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1 полн." sheetId="3" r:id="rId3"/>
    <sheet name="2011 печать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<sst xmlns="http://schemas.openxmlformats.org/spreadsheetml/2006/main" count="298" uniqueCount="118">
  <si>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</si>
  <si>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</si>
  <si>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</si>
  <si>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</si>
  <si>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</si>
  <si>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</si>
  <si>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</si>
  <si>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</si>
  <si>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</si>
  <si>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</si>
  <si>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</si>
  <si>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</si>
  <si>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</si>
  <si>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</si>
  <si>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</si>
  <si>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</si>
  <si>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</si>
  <si>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</si>
  <si>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</si>
  <si>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</si>
  <si>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</si>
  <si>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</si>
  <si>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</si>
  <si>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</si>
  <si>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</si>
  <si>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</si>
  <si>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</si>
  <si>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</si>
  <si>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</si>
  <si>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</si>
  <si>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</si>
  <si>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</si>
  <si>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</si>
  <si>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</si>
  <si>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</si>
  <si>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</si>
  <si>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</si>
  <si>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</si>
  <si>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</si>
  <si>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</si>
  <si>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</si>
  <si>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</si>
  <si>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</si>
  <si>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</si>
  <si>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</si>
  <si>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</si>
  <si>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</si>
  <si>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</si>
  <si>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</si>
  <si>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</si>
  <si>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</si>
  <si>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</si>
  <si>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</si>
  <si>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</si>
  <si>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</si>
  <si>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</si>
  <si>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</si>
  <si>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</si>
  <si>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</si>
  <si>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</si>
  <si>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</si>
  <si>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</si>
  <si>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</si>
  <si>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</si>
  <si>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</si>
  <si>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</si>
  <si>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</si>
  <si>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</si>
  <si>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</si>
  <si>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</si>
  <si>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</si>
  <si>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</si>
  <si>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</si>
  <si>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</si>
  <si>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</si>
  <si>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</si>
  <si>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</si>
  <si>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</si>
  <si>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</si>
  <si>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</si>
  <si>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</si>
  <si>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</si>
  <si>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</si>
  <si>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</si>
  <si>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</si>
  <si>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</si>
  <si>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Капитальный ремонт</t>
  </si>
  <si>
    <t>Выписка по лицевому счету по адресу г. Таштагол ул. Увальная, д.8</t>
  </si>
  <si>
    <t>Лицевой счет по адресу г. Таштагол, ул. Увальная, д.8</t>
  </si>
  <si>
    <t>2010 год</t>
  </si>
  <si>
    <t>на 01.01.2011 г.</t>
  </si>
  <si>
    <t>на начало отчетного периода</t>
  </si>
  <si>
    <t>Расходы по жил. помещениям</t>
  </si>
  <si>
    <t>2011 год</t>
  </si>
  <si>
    <t>Начислено населению</t>
  </si>
  <si>
    <t>Содержание жилья</t>
  </si>
  <si>
    <t>Арендная плата</t>
  </si>
  <si>
    <t>сод.жилья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</si>
  <si>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</si>
  <si>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</si>
  <si>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</si>
  <si>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</si>
  <si>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</si>
  <si>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</si>
  <si>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</si>
  <si>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Механизированная уборка ООО "ТУК"</t>
  </si>
  <si>
    <t>Доп. работы по содержанию и текущ. Ремонту</t>
  </si>
  <si>
    <t>Электроэнергия</t>
  </si>
  <si>
    <t>Арендная  плата</t>
  </si>
  <si>
    <t xml:space="preserve">     Лифты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</si>
  <si>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</si>
  <si>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</si>
  <si>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</si>
  <si>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Услуга начисления</t>
  </si>
  <si>
    <t>Содержание сетей тепло-водо-снабжения и в/о</t>
  </si>
  <si>
    <t>*по состоянию на 01.01.2012 г.</t>
  </si>
  <si>
    <t>на 01.01.2012 г.</t>
  </si>
  <si>
    <t>Исп. В.В. Колмогорова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</si>
</sst>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24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2" fillId="0" borderId="14" xfId="33" applyNumberFormat="1" applyFont="1" applyFill="1" applyBorder="1" applyAlignment="1">
      <alignment vertical="center"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 wrapText="1"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" wrapText="1"/>
    </xf>
    <xf numFmtId="4" fontId="2" fillId="0" borderId="33" xfId="33" applyNumberFormat="1" applyFont="1" applyFill="1" applyBorder="1" applyAlignment="1">
      <alignment horizontal="center" vertical="center" wrapText="1"/>
      <protection/>
    </xf>
    <xf numFmtId="4" fontId="2" fillId="34" borderId="12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4" fontId="2" fillId="34" borderId="14" xfId="33" applyNumberFormat="1" applyFont="1" applyFill="1" applyBorder="1" applyAlignment="1">
      <alignment horizontal="center" vertical="center" wrapText="1"/>
      <protection/>
    </xf>
    <xf numFmtId="4" fontId="2" fillId="0" borderId="32" xfId="33" applyNumberFormat="1" applyFont="1" applyFill="1" applyBorder="1" applyAlignment="1">
      <alignment horizontal="center" vertical="center" wrapText="1"/>
      <protection/>
    </xf>
    <xf numFmtId="4" fontId="0" fillId="37" borderId="17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4" fontId="0" fillId="35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37" borderId="17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10" fillId="33" borderId="14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32" xfId="0" applyNumberFormat="1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0" fillId="33" borderId="26" xfId="0" applyNumberFormat="1" applyFont="1" applyFill="1" applyBorder="1" applyAlignment="1">
      <alignment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Border="1" applyAlignment="1">
      <alignment/>
    </xf>
    <xf numFmtId="4" fontId="0" fillId="37" borderId="17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 wrapText="1"/>
    </xf>
    <xf numFmtId="0" fontId="0" fillId="0" borderId="39" xfId="0" applyFont="1" applyFill="1" applyBorder="1" applyAlignment="1">
      <alignment/>
    </xf>
    <xf numFmtId="4" fontId="1" fillId="0" borderId="40" xfId="0" applyNumberFormat="1" applyFont="1" applyFill="1" applyBorder="1" applyAlignment="1">
      <alignment horizontal="right"/>
    </xf>
    <xf numFmtId="4" fontId="1" fillId="0" borderId="41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right"/>
    </xf>
    <xf numFmtId="4" fontId="0" fillId="37" borderId="27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5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7" fillId="34" borderId="35" xfId="0" applyNumberFormat="1" applyFont="1" applyFill="1" applyBorder="1" applyAlignment="1">
      <alignment horizontal="center" vertical="center" wrapText="1"/>
    </xf>
    <xf numFmtId="2" fontId="7" fillId="34" borderId="44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2" fontId="1" fillId="33" borderId="5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34" borderId="35" xfId="0" applyNumberFormat="1" applyFont="1" applyFill="1" applyBorder="1" applyAlignment="1">
      <alignment horizontal="center" vertical="center" wrapText="1"/>
    </xf>
    <xf numFmtId="4" fontId="1" fillId="34" borderId="44" xfId="0" applyNumberFormat="1" applyFont="1" applyFill="1" applyBorder="1" applyAlignment="1">
      <alignment horizontal="center" vertical="center" wrapText="1"/>
    </xf>
    <xf numFmtId="0" fontId="1" fillId="38" borderId="60" xfId="0" applyFont="1" applyFill="1" applyBorder="1" applyAlignment="1">
      <alignment horizontal="center" vertical="center" wrapText="1"/>
    </xf>
    <xf numFmtId="0" fontId="1" fillId="38" borderId="36" xfId="0" applyFont="1" applyFill="1" applyBorder="1" applyAlignment="1">
      <alignment horizontal="center" vertical="center" wrapText="1"/>
    </xf>
    <xf numFmtId="0" fontId="1" fillId="38" borderId="63" xfId="0" applyFont="1" applyFill="1" applyBorder="1" applyAlignment="1">
      <alignment horizontal="center" vertical="center" wrapText="1"/>
    </xf>
    <xf numFmtId="2" fontId="1" fillId="37" borderId="35" xfId="0" applyNumberFormat="1" applyFont="1" applyFill="1" applyBorder="1" applyAlignment="1">
      <alignment horizontal="center" vertical="center" wrapText="1"/>
    </xf>
    <xf numFmtId="2" fontId="1" fillId="37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0" fontId="1" fillId="38" borderId="44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1" fillId="0" borderId="35" xfId="0" applyNumberFormat="1" applyFont="1" applyFill="1" applyBorder="1" applyAlignment="1">
      <alignment horizontal="center" vertical="center" wrapText="1"/>
    </xf>
    <xf numFmtId="2" fontId="11" fillId="0" borderId="34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2" fontId="7" fillId="0" borderId="35" xfId="0" applyNumberFormat="1" applyFont="1" applyFill="1" applyBorder="1" applyAlignment="1">
      <alignment horizontal="center" vertical="center" wrapText="1"/>
    </xf>
    <xf numFmtId="2" fontId="7" fillId="0" borderId="44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 textRotation="90"/>
    </xf>
    <xf numFmtId="0" fontId="1" fillId="35" borderId="35" xfId="0" applyFont="1" applyFill="1" applyBorder="1" applyAlignment="1">
      <alignment horizontal="center" textRotation="90"/>
    </xf>
    <xf numFmtId="0" fontId="1" fillId="35" borderId="34" xfId="0" applyFont="1" applyFill="1" applyBorder="1" applyAlignment="1">
      <alignment horizontal="center" textRotation="90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68" xfId="0" applyNumberFormat="1" applyFont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37" borderId="17" xfId="0" applyNumberFormat="1" applyFont="1" applyFill="1" applyBorder="1" applyAlignment="1">
      <alignment/>
    </xf>
    <xf numFmtId="4" fontId="0" fillId="0" borderId="69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70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 horizontal="center"/>
    </xf>
    <xf numFmtId="0" fontId="0" fillId="37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wrapText="1"/>
    </xf>
    <xf numFmtId="4" fontId="0" fillId="0" borderId="70" xfId="0" applyNumberFormat="1" applyFont="1" applyFill="1" applyBorder="1" applyAlignment="1">
      <alignment horizontal="center"/>
    </xf>
    <xf numFmtId="4" fontId="0" fillId="35" borderId="29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35" borderId="29" xfId="0" applyFont="1" applyFill="1" applyBorder="1" applyAlignment="1">
      <alignment horizontal="center"/>
    </xf>
    <xf numFmtId="0" fontId="2" fillId="0" borderId="3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71" xfId="0" applyFont="1" applyBorder="1" applyAlignment="1">
      <alignment wrapText="1"/>
    </xf>
    <xf numFmtId="4" fontId="0" fillId="37" borderId="14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 horizontal="center"/>
    </xf>
    <xf numFmtId="0" fontId="29" fillId="0" borderId="14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2" fillId="0" borderId="69" xfId="0" applyFont="1" applyBorder="1" applyAlignment="1">
      <alignment wrapText="1"/>
    </xf>
    <xf numFmtId="0" fontId="2" fillId="35" borderId="29" xfId="0" applyFont="1" applyFill="1" applyBorder="1" applyAlignment="1">
      <alignment/>
    </xf>
    <xf numFmtId="0" fontId="29" fillId="0" borderId="32" xfId="0" applyFont="1" applyBorder="1" applyAlignment="1">
      <alignment wrapText="1"/>
    </xf>
    <xf numFmtId="2" fontId="10" fillId="34" borderId="12" xfId="0" applyNumberFormat="1" applyFont="1" applyFill="1" applyBorder="1" applyAlignment="1">
      <alignment horizontal="center"/>
    </xf>
    <xf numFmtId="0" fontId="29" fillId="0" borderId="14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" fillId="0" borderId="61" xfId="0" applyFont="1" applyBorder="1" applyAlignment="1">
      <alignment wrapText="1"/>
    </xf>
    <xf numFmtId="0" fontId="2" fillId="35" borderId="13" xfId="0" applyFont="1" applyFill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4" fontId="0" fillId="34" borderId="38" xfId="0" applyNumberFormat="1" applyFill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3" xfId="0" applyFont="1" applyFill="1" applyBorder="1" applyAlignment="1">
      <alignment wrapText="1"/>
    </xf>
    <xf numFmtId="4" fontId="2" fillId="34" borderId="38" xfId="0" applyNumberFormat="1" applyFont="1" applyFill="1" applyBorder="1" applyAlignment="1">
      <alignment horizontal="right" wrapText="1"/>
    </xf>
    <xf numFmtId="4" fontId="2" fillId="34" borderId="38" xfId="0" applyNumberFormat="1" applyFont="1" applyFill="1" applyBorder="1" applyAlignment="1">
      <alignment horizontal="right" wrapText="1"/>
    </xf>
    <xf numFmtId="4" fontId="2" fillId="0" borderId="14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9"/>
  <sheetViews>
    <sheetView zoomScalePageLayoutView="0" workbookViewId="0" topLeftCell="A1">
      <pane xSplit="9" ySplit="10" topLeftCell="AX29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AW36" sqref="AW36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204" t="s">
        <v>88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05" t="s">
        <v>0</v>
      </c>
      <c r="B3" s="208" t="s">
        <v>1</v>
      </c>
      <c r="C3" s="208" t="s">
        <v>2</v>
      </c>
      <c r="D3" s="208" t="s">
        <v>3</v>
      </c>
      <c r="E3" s="211" t="s">
        <v>4</v>
      </c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190" t="s">
        <v>5</v>
      </c>
      <c r="T3" s="190"/>
      <c r="U3" s="191" t="s">
        <v>6</v>
      </c>
      <c r="V3" s="191"/>
      <c r="W3" s="191"/>
      <c r="X3" s="191"/>
      <c r="Y3" s="191"/>
      <c r="Z3" s="191"/>
      <c r="AA3" s="191"/>
      <c r="AB3" s="191"/>
      <c r="AC3" s="171" t="s">
        <v>85</v>
      </c>
      <c r="AD3" s="171" t="s">
        <v>8</v>
      </c>
      <c r="AE3" s="193" t="s">
        <v>9</v>
      </c>
      <c r="AF3" s="182" t="s">
        <v>73</v>
      </c>
      <c r="AG3" s="185" t="s">
        <v>10</v>
      </c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201" t="s">
        <v>74</v>
      </c>
      <c r="BD3" s="187" t="s">
        <v>11</v>
      </c>
      <c r="BE3" s="196" t="s">
        <v>12</v>
      </c>
    </row>
    <row r="4" spans="1:57" ht="36" customHeight="1" thickBot="1">
      <c r="A4" s="206"/>
      <c r="B4" s="209"/>
      <c r="C4" s="209"/>
      <c r="D4" s="209"/>
      <c r="E4" s="186" t="s">
        <v>13</v>
      </c>
      <c r="F4" s="186"/>
      <c r="G4" s="186" t="s">
        <v>14</v>
      </c>
      <c r="H4" s="186"/>
      <c r="I4" s="186" t="s">
        <v>15</v>
      </c>
      <c r="J4" s="186"/>
      <c r="K4" s="186" t="s">
        <v>16</v>
      </c>
      <c r="L4" s="186"/>
      <c r="M4" s="186" t="s">
        <v>17</v>
      </c>
      <c r="N4" s="186"/>
      <c r="O4" s="186" t="s">
        <v>18</v>
      </c>
      <c r="P4" s="186"/>
      <c r="Q4" s="186" t="s">
        <v>19</v>
      </c>
      <c r="R4" s="186"/>
      <c r="S4" s="186"/>
      <c r="T4" s="186"/>
      <c r="U4" s="192"/>
      <c r="V4" s="192"/>
      <c r="W4" s="192"/>
      <c r="X4" s="192"/>
      <c r="Y4" s="192"/>
      <c r="Z4" s="192"/>
      <c r="AA4" s="192"/>
      <c r="AB4" s="192"/>
      <c r="AC4" s="172"/>
      <c r="AD4" s="172"/>
      <c r="AE4" s="194"/>
      <c r="AF4" s="183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202"/>
      <c r="BD4" s="188"/>
      <c r="BE4" s="197"/>
    </row>
    <row r="5" spans="1:57" ht="29.25" customHeight="1" thickBot="1">
      <c r="A5" s="206"/>
      <c r="B5" s="209"/>
      <c r="C5" s="209"/>
      <c r="D5" s="209"/>
      <c r="E5" s="164" t="s">
        <v>20</v>
      </c>
      <c r="F5" s="164" t="s">
        <v>21</v>
      </c>
      <c r="G5" s="164" t="s">
        <v>20</v>
      </c>
      <c r="H5" s="164" t="s">
        <v>21</v>
      </c>
      <c r="I5" s="164" t="s">
        <v>20</v>
      </c>
      <c r="J5" s="164" t="s">
        <v>21</v>
      </c>
      <c r="K5" s="164" t="s">
        <v>20</v>
      </c>
      <c r="L5" s="164" t="s">
        <v>21</v>
      </c>
      <c r="M5" s="164" t="s">
        <v>20</v>
      </c>
      <c r="N5" s="164" t="s">
        <v>21</v>
      </c>
      <c r="O5" s="164" t="s">
        <v>20</v>
      </c>
      <c r="P5" s="164" t="s">
        <v>21</v>
      </c>
      <c r="Q5" s="164" t="s">
        <v>20</v>
      </c>
      <c r="R5" s="164" t="s">
        <v>21</v>
      </c>
      <c r="S5" s="164" t="s">
        <v>20</v>
      </c>
      <c r="T5" s="164" t="s">
        <v>21</v>
      </c>
      <c r="U5" s="166" t="s">
        <v>22</v>
      </c>
      <c r="V5" s="166" t="s">
        <v>23</v>
      </c>
      <c r="W5" s="166" t="s">
        <v>24</v>
      </c>
      <c r="X5" s="166" t="s">
        <v>25</v>
      </c>
      <c r="Y5" s="166" t="s">
        <v>26</v>
      </c>
      <c r="Z5" s="166" t="s">
        <v>27</v>
      </c>
      <c r="AA5" s="166" t="s">
        <v>28</v>
      </c>
      <c r="AB5" s="166" t="s">
        <v>29</v>
      </c>
      <c r="AC5" s="172"/>
      <c r="AD5" s="172"/>
      <c r="AE5" s="194"/>
      <c r="AF5" s="183"/>
      <c r="AG5" s="174" t="s">
        <v>30</v>
      </c>
      <c r="AH5" s="174" t="s">
        <v>31</v>
      </c>
      <c r="AI5" s="174" t="s">
        <v>32</v>
      </c>
      <c r="AJ5" s="174" t="s">
        <v>33</v>
      </c>
      <c r="AK5" s="174" t="s">
        <v>34</v>
      </c>
      <c r="AL5" s="174" t="s">
        <v>33</v>
      </c>
      <c r="AM5" s="174" t="s">
        <v>35</v>
      </c>
      <c r="AN5" s="174" t="s">
        <v>33</v>
      </c>
      <c r="AO5" s="174" t="s">
        <v>36</v>
      </c>
      <c r="AP5" s="174" t="s">
        <v>33</v>
      </c>
      <c r="AQ5" s="176" t="s">
        <v>78</v>
      </c>
      <c r="AR5" s="178" t="s">
        <v>33</v>
      </c>
      <c r="AS5" s="199" t="s">
        <v>79</v>
      </c>
      <c r="AT5" s="180" t="s">
        <v>80</v>
      </c>
      <c r="AU5" s="180" t="s">
        <v>33</v>
      </c>
      <c r="AV5" s="168" t="s">
        <v>81</v>
      </c>
      <c r="AW5" s="169"/>
      <c r="AX5" s="170"/>
      <c r="AY5" s="174" t="s">
        <v>19</v>
      </c>
      <c r="AZ5" s="174" t="s">
        <v>38</v>
      </c>
      <c r="BA5" s="174" t="s">
        <v>33</v>
      </c>
      <c r="BB5" s="174" t="s">
        <v>39</v>
      </c>
      <c r="BC5" s="202"/>
      <c r="BD5" s="188"/>
      <c r="BE5" s="197"/>
    </row>
    <row r="6" spans="1:57" ht="54" customHeight="1" thickBot="1">
      <c r="A6" s="207"/>
      <c r="B6" s="210"/>
      <c r="C6" s="210"/>
      <c r="D6" s="210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7"/>
      <c r="V6" s="167"/>
      <c r="W6" s="167"/>
      <c r="X6" s="167"/>
      <c r="Y6" s="167"/>
      <c r="Z6" s="167"/>
      <c r="AA6" s="167"/>
      <c r="AB6" s="167"/>
      <c r="AC6" s="173"/>
      <c r="AD6" s="173"/>
      <c r="AE6" s="195"/>
      <c r="AF6" s="184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7"/>
      <c r="AR6" s="179"/>
      <c r="AS6" s="200"/>
      <c r="AT6" s="181"/>
      <c r="AU6" s="181"/>
      <c r="AV6" s="97" t="s">
        <v>82</v>
      </c>
      <c r="AW6" s="97" t="s">
        <v>83</v>
      </c>
      <c r="AX6" s="97" t="s">
        <v>84</v>
      </c>
      <c r="AY6" s="175"/>
      <c r="AZ6" s="175"/>
      <c r="BA6" s="175"/>
      <c r="BB6" s="175"/>
      <c r="BC6" s="203"/>
      <c r="BD6" s="189"/>
      <c r="BE6" s="198"/>
    </row>
    <row r="7" spans="1:57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  <c r="AW7" s="6">
        <v>49</v>
      </c>
      <c r="AX7" s="7">
        <v>50</v>
      </c>
      <c r="AY7" s="6">
        <v>51</v>
      </c>
      <c r="AZ7" s="7">
        <v>52</v>
      </c>
      <c r="BA7" s="6">
        <v>53</v>
      </c>
      <c r="BB7" s="7">
        <v>54</v>
      </c>
      <c r="BC7" s="6">
        <v>55</v>
      </c>
      <c r="BD7" s="7">
        <v>56</v>
      </c>
      <c r="BE7" s="6">
        <v>57</v>
      </c>
    </row>
    <row r="8" spans="1:57" ht="15" customHeight="1" hidden="1">
      <c r="A8" s="5" t="s">
        <v>43</v>
      </c>
      <c r="B8" s="49"/>
      <c r="C8" s="50"/>
      <c r="D8" s="50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6"/>
      <c r="R8" s="46"/>
      <c r="S8" s="46"/>
      <c r="T8" s="46"/>
      <c r="U8" s="53"/>
      <c r="V8" s="53"/>
      <c r="W8" s="53"/>
      <c r="X8" s="53"/>
      <c r="Y8" s="53"/>
      <c r="Z8" s="53"/>
      <c r="AA8" s="45"/>
      <c r="AB8" s="45"/>
      <c r="AC8" s="78"/>
      <c r="AD8" s="78"/>
      <c r="AE8" s="79"/>
      <c r="AF8" s="79"/>
      <c r="AG8" s="12"/>
      <c r="AH8" s="12"/>
      <c r="AI8" s="12"/>
      <c r="AJ8" s="12"/>
      <c r="AK8" s="12"/>
      <c r="AL8" s="12"/>
      <c r="AM8" s="12"/>
      <c r="AN8" s="12"/>
      <c r="AO8" s="27"/>
      <c r="AP8" s="27"/>
      <c r="AQ8" s="27"/>
      <c r="AR8" s="27"/>
      <c r="AS8" s="75"/>
      <c r="AT8" s="75"/>
      <c r="AU8" s="42"/>
      <c r="AV8" s="42"/>
      <c r="AW8" s="42"/>
      <c r="AX8" s="27"/>
      <c r="AY8" s="27"/>
      <c r="AZ8" s="27"/>
      <c r="BA8" s="12"/>
      <c r="BB8" s="12"/>
      <c r="BC8" s="12"/>
      <c r="BD8" s="12"/>
      <c r="BE8" s="26"/>
    </row>
    <row r="9" spans="1:57" ht="12.75">
      <c r="A9" s="9" t="s">
        <v>44</v>
      </c>
      <c r="B9" s="93">
        <v>347</v>
      </c>
      <c r="C9" s="85">
        <f aca="true" t="shared" si="0" ref="C9:C20">B9*8.65</f>
        <v>3001.55</v>
      </c>
      <c r="D9" s="86">
        <f>C9*0.125</f>
        <v>375.19375</v>
      </c>
      <c r="E9" s="87">
        <v>183.02</v>
      </c>
      <c r="F9" s="87">
        <v>100.6</v>
      </c>
      <c r="G9" s="87">
        <v>66.57</v>
      </c>
      <c r="H9" s="87">
        <v>36.47</v>
      </c>
      <c r="I9" s="87">
        <v>594.82</v>
      </c>
      <c r="J9" s="87">
        <v>326.95</v>
      </c>
      <c r="K9" s="87">
        <v>411.8</v>
      </c>
      <c r="L9" s="87">
        <v>226.35</v>
      </c>
      <c r="M9" s="87">
        <v>146.42</v>
      </c>
      <c r="N9" s="87">
        <v>80.48</v>
      </c>
      <c r="O9" s="87">
        <v>0</v>
      </c>
      <c r="P9" s="92">
        <v>0</v>
      </c>
      <c r="Q9" s="87">
        <v>0</v>
      </c>
      <c r="R9" s="92">
        <v>0</v>
      </c>
      <c r="S9" s="72">
        <f aca="true" t="shared" si="1" ref="S9:S20">E9+G9+I9+K9+M9+O9+Q9</f>
        <v>1402.63</v>
      </c>
      <c r="T9" s="113">
        <f aca="true" t="shared" si="2" ref="T9:T20">P9+N9+L9+J9+H9+F9+R9</f>
        <v>770.85</v>
      </c>
      <c r="U9" s="71">
        <v>157.29</v>
      </c>
      <c r="V9" s="71">
        <v>57.25</v>
      </c>
      <c r="W9" s="71">
        <v>511.21</v>
      </c>
      <c r="X9" s="71">
        <v>353.93</v>
      </c>
      <c r="Y9" s="71">
        <v>125.84</v>
      </c>
      <c r="Z9" s="89">
        <v>0</v>
      </c>
      <c r="AA9" s="89">
        <v>0</v>
      </c>
      <c r="AB9" s="94">
        <f aca="true" t="shared" si="3" ref="AB9:AB17">SUM(U9:AA9)</f>
        <v>1205.52</v>
      </c>
      <c r="AC9" s="114">
        <f aca="true" t="shared" si="4" ref="AC9:AC17">D9+T9+AB9</f>
        <v>2351.5637500000003</v>
      </c>
      <c r="AD9" s="115">
        <f aca="true" t="shared" si="5" ref="AD9:AD20">P9+Z9</f>
        <v>0</v>
      </c>
      <c r="AE9" s="115">
        <f aca="true" t="shared" si="6" ref="AE9:AE20">R9+AA9</f>
        <v>0</v>
      </c>
      <c r="AF9" s="115"/>
      <c r="AG9" s="14">
        <f>0.6*B9*0.9</f>
        <v>187.38</v>
      </c>
      <c r="AH9" s="14">
        <f>B9*0.2*0.891</f>
        <v>61.83540000000001</v>
      </c>
      <c r="AI9" s="14">
        <f>0.85*B9*0.867-0.02</f>
        <v>255.70164999999997</v>
      </c>
      <c r="AJ9" s="101">
        <f aca="true" t="shared" si="7" ref="AJ9:AJ20">AI9*0.18</f>
        <v>46.02629699999999</v>
      </c>
      <c r="AK9" s="14">
        <f>0.83*B9*0.8686</f>
        <v>250.16548600000002</v>
      </c>
      <c r="AL9" s="101">
        <f aca="true" t="shared" si="8" ref="AL9:AL20">AK9*0.18</f>
        <v>45.02978748</v>
      </c>
      <c r="AM9" s="14">
        <f>1.91*B9*0.8686</f>
        <v>575.682022</v>
      </c>
      <c r="AN9" s="101">
        <f aca="true" t="shared" si="9" ref="AN9:AN20">AM9*0.18</f>
        <v>103.62276395999999</v>
      </c>
      <c r="AO9" s="101"/>
      <c r="AP9" s="101">
        <f aca="true" t="shared" si="10" ref="AP9:AR20">AO9*0.18</f>
        <v>0</v>
      </c>
      <c r="AQ9" s="123"/>
      <c r="AR9" s="95">
        <f>AQ9*0.18</f>
        <v>0</v>
      </c>
      <c r="AS9" s="125"/>
      <c r="AT9" s="116"/>
      <c r="AU9" s="77">
        <f aca="true" t="shared" si="11" ref="AU9:AU20">(AS9+AT9)*0.18</f>
        <v>0</v>
      </c>
      <c r="AV9" s="96">
        <v>508</v>
      </c>
      <c r="AW9" s="121">
        <v>0.15</v>
      </c>
      <c r="AX9" s="101">
        <f>AV9*AW9*1.12*1.18</f>
        <v>100.70592</v>
      </c>
      <c r="AY9" s="101"/>
      <c r="AZ9" s="118"/>
      <c r="BA9" s="118">
        <f>AZ9*0.18</f>
        <v>0</v>
      </c>
      <c r="BB9" s="99">
        <f>SUM(AG9:AU9)</f>
        <v>1525.4434064399998</v>
      </c>
      <c r="BC9" s="119"/>
      <c r="BD9" s="12">
        <f>AC9+AF9-BB9-BC9</f>
        <v>826.1203435600005</v>
      </c>
      <c r="BE9" s="26">
        <f>AB9-S9</f>
        <v>-197.11000000000013</v>
      </c>
    </row>
    <row r="10" spans="1:57" ht="12.75">
      <c r="A10" s="9" t="s">
        <v>45</v>
      </c>
      <c r="B10" s="93">
        <v>347</v>
      </c>
      <c r="C10" s="85">
        <f t="shared" si="0"/>
        <v>3001.55</v>
      </c>
      <c r="D10" s="86">
        <f>C10*0.125</f>
        <v>375.19375</v>
      </c>
      <c r="E10" s="87">
        <v>183.02</v>
      </c>
      <c r="F10" s="87">
        <v>100.6</v>
      </c>
      <c r="G10" s="87">
        <v>66.57</v>
      </c>
      <c r="H10" s="87">
        <v>36.47</v>
      </c>
      <c r="I10" s="87">
        <v>594.82</v>
      </c>
      <c r="J10" s="87">
        <v>326.95</v>
      </c>
      <c r="K10" s="87">
        <v>411.8</v>
      </c>
      <c r="L10" s="87">
        <v>226.35</v>
      </c>
      <c r="M10" s="87">
        <v>146.42</v>
      </c>
      <c r="N10" s="87">
        <v>80.48</v>
      </c>
      <c r="O10" s="87">
        <v>0</v>
      </c>
      <c r="P10" s="92">
        <v>0</v>
      </c>
      <c r="Q10" s="87">
        <v>0</v>
      </c>
      <c r="R10" s="92">
        <v>0</v>
      </c>
      <c r="S10" s="71">
        <f t="shared" si="1"/>
        <v>1402.63</v>
      </c>
      <c r="T10" s="88">
        <f t="shared" si="2"/>
        <v>770.85</v>
      </c>
      <c r="U10" s="71">
        <v>148.91</v>
      </c>
      <c r="V10" s="71">
        <v>54.21</v>
      </c>
      <c r="W10" s="71">
        <v>483.98</v>
      </c>
      <c r="X10" s="71">
        <v>335.06</v>
      </c>
      <c r="Y10" s="71">
        <v>119.14</v>
      </c>
      <c r="Z10" s="89">
        <v>0</v>
      </c>
      <c r="AA10" s="89">
        <v>0</v>
      </c>
      <c r="AB10" s="90">
        <f t="shared" si="3"/>
        <v>1141.3000000000002</v>
      </c>
      <c r="AC10" s="91">
        <f t="shared" si="4"/>
        <v>2287.34375</v>
      </c>
      <c r="AD10" s="82">
        <f t="shared" si="5"/>
        <v>0</v>
      </c>
      <c r="AE10" s="82">
        <f t="shared" si="6"/>
        <v>0</v>
      </c>
      <c r="AF10" s="82"/>
      <c r="AG10" s="14">
        <f>0.6*B10*0.9</f>
        <v>187.38</v>
      </c>
      <c r="AH10" s="14">
        <f>B10*0.2*0.9153</f>
        <v>63.521820000000005</v>
      </c>
      <c r="AI10" s="14">
        <f>0.85*B10*0.866</f>
        <v>255.42669999999998</v>
      </c>
      <c r="AJ10" s="14">
        <f t="shared" si="7"/>
        <v>45.976805999999996</v>
      </c>
      <c r="AK10" s="14">
        <f>0.83*B10*0.8685</f>
        <v>250.136685</v>
      </c>
      <c r="AL10" s="14">
        <f t="shared" si="8"/>
        <v>45.024603299999995</v>
      </c>
      <c r="AM10" s="14">
        <f>(1.91)*B10*0.8684</f>
        <v>575.5494679999999</v>
      </c>
      <c r="AN10" s="14">
        <f t="shared" si="9"/>
        <v>103.59890423999998</v>
      </c>
      <c r="AO10" s="14"/>
      <c r="AP10" s="14">
        <f t="shared" si="10"/>
        <v>0</v>
      </c>
      <c r="AQ10" s="123"/>
      <c r="AR10" s="95">
        <f>AQ10*0.18</f>
        <v>0</v>
      </c>
      <c r="AS10" s="77">
        <v>1330</v>
      </c>
      <c r="AT10" s="116"/>
      <c r="AU10" s="77">
        <f t="shared" si="11"/>
        <v>239.39999999999998</v>
      </c>
      <c r="AV10" s="96">
        <v>407</v>
      </c>
      <c r="AW10" s="111">
        <v>0.15</v>
      </c>
      <c r="AX10" s="14">
        <f aca="true" t="shared" si="12" ref="AX10:AX20">AV10*AW10*1.12*1.18</f>
        <v>80.68368</v>
      </c>
      <c r="AY10" s="14"/>
      <c r="AZ10" s="99"/>
      <c r="BA10" s="99">
        <f>AZ10*0.18</f>
        <v>0</v>
      </c>
      <c r="BB10" s="99">
        <f>SUM(AG10:AU10)+AY10</f>
        <v>3096.0149865399994</v>
      </c>
      <c r="BC10" s="105"/>
      <c r="BD10" s="12">
        <f aca="true" t="shared" si="13" ref="BD10:BD20">AC10+AF10-BB10-BC10</f>
        <v>-808.6712365399994</v>
      </c>
      <c r="BE10" s="26">
        <f aca="true" t="shared" si="14" ref="BE10:BE20">AB10-S10</f>
        <v>-261.3299999999999</v>
      </c>
    </row>
    <row r="11" spans="1:57" ht="12.75">
      <c r="A11" s="9" t="s">
        <v>46</v>
      </c>
      <c r="B11" s="106">
        <v>347</v>
      </c>
      <c r="C11" s="85">
        <f t="shared" si="0"/>
        <v>3001.55</v>
      </c>
      <c r="D11" s="86">
        <f>C11*0.125</f>
        <v>375.19375</v>
      </c>
      <c r="E11" s="87">
        <v>183.02</v>
      </c>
      <c r="F11" s="87">
        <v>100.6</v>
      </c>
      <c r="G11" s="87">
        <v>66.57</v>
      </c>
      <c r="H11" s="87">
        <v>36.47</v>
      </c>
      <c r="I11" s="87">
        <v>594.82</v>
      </c>
      <c r="J11" s="87">
        <v>326.95</v>
      </c>
      <c r="K11" s="87">
        <v>411.8</v>
      </c>
      <c r="L11" s="87">
        <v>226.35</v>
      </c>
      <c r="M11" s="87">
        <v>146.42</v>
      </c>
      <c r="N11" s="87">
        <v>80.48</v>
      </c>
      <c r="O11" s="87">
        <v>0</v>
      </c>
      <c r="P11" s="92">
        <v>0</v>
      </c>
      <c r="Q11" s="87">
        <v>0</v>
      </c>
      <c r="R11" s="92">
        <v>0</v>
      </c>
      <c r="S11" s="72">
        <f t="shared" si="1"/>
        <v>1402.63</v>
      </c>
      <c r="T11" s="113">
        <f t="shared" si="2"/>
        <v>770.85</v>
      </c>
      <c r="U11" s="72">
        <v>243.34</v>
      </c>
      <c r="V11" s="72">
        <v>88.43</v>
      </c>
      <c r="W11" s="72">
        <v>790.82</v>
      </c>
      <c r="X11" s="72">
        <v>547.5</v>
      </c>
      <c r="Y11" s="72">
        <v>194.67</v>
      </c>
      <c r="Z11" s="100">
        <v>0</v>
      </c>
      <c r="AA11" s="100">
        <v>0</v>
      </c>
      <c r="AB11" s="94">
        <f t="shared" si="3"/>
        <v>1864.7600000000002</v>
      </c>
      <c r="AC11" s="114">
        <f t="shared" si="4"/>
        <v>3010.80375</v>
      </c>
      <c r="AD11" s="115">
        <f t="shared" si="5"/>
        <v>0</v>
      </c>
      <c r="AE11" s="115">
        <f t="shared" si="6"/>
        <v>0</v>
      </c>
      <c r="AF11" s="82"/>
      <c r="AG11" s="101">
        <f>0.6*B11*0.9</f>
        <v>187.38</v>
      </c>
      <c r="AH11" s="101">
        <f>B11*0.2*0.9082-0.01</f>
        <v>63.01908000000001</v>
      </c>
      <c r="AI11" s="14">
        <f>0.85*B11*0.8675+0.01</f>
        <v>255.879125</v>
      </c>
      <c r="AJ11" s="101">
        <f t="shared" si="7"/>
        <v>46.0582425</v>
      </c>
      <c r="AK11" s="101">
        <f>0.83*B11*0.838</f>
        <v>241.35237999999998</v>
      </c>
      <c r="AL11" s="101">
        <f t="shared" si="8"/>
        <v>43.443428399999995</v>
      </c>
      <c r="AM11" s="14">
        <f>1.91*B11*0.838</f>
        <v>555.40126</v>
      </c>
      <c r="AN11" s="101">
        <f t="shared" si="9"/>
        <v>99.97222679999999</v>
      </c>
      <c r="AO11" s="101"/>
      <c r="AP11" s="101">
        <f t="shared" si="10"/>
        <v>0</v>
      </c>
      <c r="AQ11" s="123"/>
      <c r="AR11" s="95">
        <f>AQ11*0.18</f>
        <v>0</v>
      </c>
      <c r="AS11" s="116"/>
      <c r="AT11" s="116"/>
      <c r="AU11" s="77">
        <f t="shared" si="11"/>
        <v>0</v>
      </c>
      <c r="AV11" s="96">
        <v>383</v>
      </c>
      <c r="AW11" s="111">
        <v>0.15</v>
      </c>
      <c r="AX11" s="101">
        <f t="shared" si="12"/>
        <v>75.92592</v>
      </c>
      <c r="AY11" s="101"/>
      <c r="AZ11" s="118"/>
      <c r="BA11" s="118">
        <f>AZ11*0.18</f>
        <v>0</v>
      </c>
      <c r="BB11" s="99">
        <f>SUM(AG11:AU11)</f>
        <v>1492.5057427</v>
      </c>
      <c r="BC11" s="105"/>
      <c r="BD11" s="12">
        <f t="shared" si="13"/>
        <v>1518.2980073</v>
      </c>
      <c r="BE11" s="26">
        <f t="shared" si="14"/>
        <v>462.1300000000001</v>
      </c>
    </row>
    <row r="12" spans="1:57" ht="12.75">
      <c r="A12" s="9" t="s">
        <v>47</v>
      </c>
      <c r="B12" s="102">
        <v>347</v>
      </c>
      <c r="C12" s="85">
        <f t="shared" si="0"/>
        <v>3001.55</v>
      </c>
      <c r="D12" s="86">
        <f>C12*0.125</f>
        <v>375.19375</v>
      </c>
      <c r="E12" s="103">
        <v>182.92</v>
      </c>
      <c r="F12" s="103">
        <v>100.6</v>
      </c>
      <c r="G12" s="103">
        <v>66.53</v>
      </c>
      <c r="H12" s="103">
        <v>36.47</v>
      </c>
      <c r="I12" s="103">
        <v>594.51</v>
      </c>
      <c r="J12" s="103">
        <v>326.95</v>
      </c>
      <c r="K12" s="103">
        <v>411.6</v>
      </c>
      <c r="L12" s="103">
        <v>226.35</v>
      </c>
      <c r="M12" s="103">
        <v>146.35</v>
      </c>
      <c r="N12" s="103">
        <v>80.48</v>
      </c>
      <c r="O12" s="103">
        <v>0</v>
      </c>
      <c r="P12" s="104">
        <v>0</v>
      </c>
      <c r="Q12" s="103">
        <v>0</v>
      </c>
      <c r="R12" s="104">
        <v>0</v>
      </c>
      <c r="S12" s="72">
        <f t="shared" si="1"/>
        <v>1401.9099999999999</v>
      </c>
      <c r="T12" s="113">
        <f t="shared" si="2"/>
        <v>770.85</v>
      </c>
      <c r="U12" s="71">
        <v>183.01</v>
      </c>
      <c r="V12" s="71">
        <v>66.57</v>
      </c>
      <c r="W12" s="71">
        <v>594.81</v>
      </c>
      <c r="X12" s="71">
        <v>411.79</v>
      </c>
      <c r="Y12" s="71">
        <v>146.42</v>
      </c>
      <c r="Z12" s="71">
        <v>0</v>
      </c>
      <c r="AA12" s="71">
        <v>0</v>
      </c>
      <c r="AB12" s="94">
        <f t="shared" si="3"/>
        <v>1402.6</v>
      </c>
      <c r="AC12" s="114">
        <f t="shared" si="4"/>
        <v>2548.64375</v>
      </c>
      <c r="AD12" s="115">
        <f t="shared" si="5"/>
        <v>0</v>
      </c>
      <c r="AE12" s="115">
        <f t="shared" si="6"/>
        <v>0</v>
      </c>
      <c r="AF12" s="82"/>
      <c r="AG12" s="14">
        <f>0.6*B12*0.9</f>
        <v>187.38</v>
      </c>
      <c r="AH12" s="101">
        <f>B12*0.2*0.9234</f>
        <v>64.08396</v>
      </c>
      <c r="AI12" s="14">
        <f>0.85*B12*0.893</f>
        <v>263.39035</v>
      </c>
      <c r="AJ12" s="14">
        <f t="shared" si="7"/>
        <v>47.410263</v>
      </c>
      <c r="AK12" s="14">
        <f>0.83*B12*0.8498</f>
        <v>244.75089799999998</v>
      </c>
      <c r="AL12" s="14">
        <f t="shared" si="8"/>
        <v>44.055161639999994</v>
      </c>
      <c r="AM12" s="14">
        <f>(1.91)*B12*0.8498</f>
        <v>563.221946</v>
      </c>
      <c r="AN12" s="14">
        <f t="shared" si="9"/>
        <v>101.37995028</v>
      </c>
      <c r="AO12" s="101"/>
      <c r="AP12" s="101">
        <f t="shared" si="10"/>
        <v>0</v>
      </c>
      <c r="AQ12" s="95"/>
      <c r="AR12" s="123">
        <f t="shared" si="10"/>
        <v>0</v>
      </c>
      <c r="AS12" s="77">
        <v>0</v>
      </c>
      <c r="AT12" s="77"/>
      <c r="AU12" s="77">
        <f t="shared" si="11"/>
        <v>0</v>
      </c>
      <c r="AV12" s="96">
        <v>307</v>
      </c>
      <c r="AW12" s="111">
        <v>0.15</v>
      </c>
      <c r="AX12" s="14">
        <f t="shared" si="12"/>
        <v>60.85968</v>
      </c>
      <c r="AY12" s="122"/>
      <c r="AZ12" s="98"/>
      <c r="BA12" s="118">
        <f aca="true" t="shared" si="15" ref="BA12:BA20">AZ12*0.18</f>
        <v>0</v>
      </c>
      <c r="BB12" s="99">
        <f>SUM(AG12:AU12)+AX12+AX9+AX10+AX11</f>
        <v>1833.8477289200002</v>
      </c>
      <c r="BC12" s="105"/>
      <c r="BD12" s="12">
        <f t="shared" si="13"/>
        <v>714.79602108</v>
      </c>
      <c r="BE12" s="26">
        <f t="shared" si="14"/>
        <v>0.6900000000000546</v>
      </c>
    </row>
    <row r="13" spans="1:57" ht="12.75">
      <c r="A13" s="9" t="s">
        <v>48</v>
      </c>
      <c r="B13" s="106">
        <v>347</v>
      </c>
      <c r="C13" s="85">
        <f t="shared" si="0"/>
        <v>3001.55</v>
      </c>
      <c r="D13" s="107">
        <f aca="true" t="shared" si="16" ref="D13:D20">C13-E13-F13-G13-H13-I13-J13-K13-L13-M13-N13</f>
        <v>577.8599999999997</v>
      </c>
      <c r="E13" s="103">
        <v>203.42</v>
      </c>
      <c r="F13" s="103">
        <v>111.87</v>
      </c>
      <c r="G13" s="103">
        <v>76.63</v>
      </c>
      <c r="H13" s="103">
        <v>42.26</v>
      </c>
      <c r="I13" s="103">
        <v>662.11</v>
      </c>
      <c r="J13" s="103">
        <v>364.18</v>
      </c>
      <c r="K13" s="103">
        <v>458.67</v>
      </c>
      <c r="L13" s="103">
        <v>252.32</v>
      </c>
      <c r="M13" s="103">
        <v>162.74</v>
      </c>
      <c r="N13" s="103">
        <v>89.49</v>
      </c>
      <c r="O13" s="103">
        <v>0</v>
      </c>
      <c r="P13" s="104">
        <v>0</v>
      </c>
      <c r="Q13" s="103">
        <v>0</v>
      </c>
      <c r="R13" s="104">
        <v>0</v>
      </c>
      <c r="S13" s="72">
        <f t="shared" si="1"/>
        <v>1563.57</v>
      </c>
      <c r="T13" s="113">
        <f t="shared" si="2"/>
        <v>860.12</v>
      </c>
      <c r="U13" s="72">
        <v>143.65</v>
      </c>
      <c r="V13" s="72">
        <v>52.25</v>
      </c>
      <c r="W13" s="72">
        <v>466.93</v>
      </c>
      <c r="X13" s="72">
        <v>323.26</v>
      </c>
      <c r="Y13" s="72">
        <v>114.94</v>
      </c>
      <c r="Z13" s="100">
        <v>0</v>
      </c>
      <c r="AA13" s="100">
        <v>0</v>
      </c>
      <c r="AB13" s="94">
        <f t="shared" si="3"/>
        <v>1101.03</v>
      </c>
      <c r="AC13" s="114">
        <f t="shared" si="4"/>
        <v>2539.0099999999993</v>
      </c>
      <c r="AD13" s="115">
        <f t="shared" si="5"/>
        <v>0</v>
      </c>
      <c r="AE13" s="115">
        <f t="shared" si="6"/>
        <v>0</v>
      </c>
      <c r="AF13" s="82"/>
      <c r="AG13" s="101">
        <f aca="true" t="shared" si="17" ref="AG13:AG20">0.6*B13</f>
        <v>208.2</v>
      </c>
      <c r="AH13" s="14">
        <f>B13*0.2*1.01</f>
        <v>70.09400000000001</v>
      </c>
      <c r="AI13" s="14">
        <f>0.85*B13</f>
        <v>294.95</v>
      </c>
      <c r="AJ13" s="101">
        <f t="shared" si="7"/>
        <v>53.090999999999994</v>
      </c>
      <c r="AK13" s="101">
        <f>0.83*B13</f>
        <v>288.01</v>
      </c>
      <c r="AL13" s="101">
        <f t="shared" si="8"/>
        <v>51.8418</v>
      </c>
      <c r="AM13" s="14">
        <f>(1.91)*B13</f>
        <v>662.77</v>
      </c>
      <c r="AN13" s="101">
        <f t="shared" si="9"/>
        <v>119.2986</v>
      </c>
      <c r="AO13" s="101"/>
      <c r="AP13" s="101">
        <f t="shared" si="10"/>
        <v>0</v>
      </c>
      <c r="AQ13" s="95"/>
      <c r="AR13" s="123">
        <f t="shared" si="10"/>
        <v>0</v>
      </c>
      <c r="AS13" s="116"/>
      <c r="AT13" s="116"/>
      <c r="AU13" s="77">
        <f t="shared" si="11"/>
        <v>0</v>
      </c>
      <c r="AV13" s="117">
        <v>263</v>
      </c>
      <c r="AW13" s="121">
        <v>0.15</v>
      </c>
      <c r="AX13" s="101">
        <f t="shared" si="12"/>
        <v>52.137119999999996</v>
      </c>
      <c r="AY13" s="101"/>
      <c r="AZ13" s="118"/>
      <c r="BA13" s="118">
        <f t="shared" si="15"/>
        <v>0</v>
      </c>
      <c r="BB13" s="118">
        <f>SUM(AG13:BA13)-AV13-AW13</f>
        <v>1800.3925199999999</v>
      </c>
      <c r="BC13" s="120"/>
      <c r="BD13" s="12">
        <f t="shared" si="13"/>
        <v>738.6174799999994</v>
      </c>
      <c r="BE13" s="26">
        <f t="shared" si="14"/>
        <v>-462.53999999999996</v>
      </c>
    </row>
    <row r="14" spans="1:57" ht="12.75">
      <c r="A14" s="9" t="s">
        <v>49</v>
      </c>
      <c r="B14" s="106">
        <v>347</v>
      </c>
      <c r="C14" s="85">
        <f t="shared" si="0"/>
        <v>3001.55</v>
      </c>
      <c r="D14" s="107">
        <f t="shared" si="16"/>
        <v>577.73</v>
      </c>
      <c r="E14" s="103">
        <v>203.44</v>
      </c>
      <c r="F14" s="103">
        <v>111.87</v>
      </c>
      <c r="G14" s="103">
        <v>76.63</v>
      </c>
      <c r="H14" s="103">
        <v>42.26</v>
      </c>
      <c r="I14" s="103">
        <v>662.16</v>
      </c>
      <c r="J14" s="103">
        <v>364.18</v>
      </c>
      <c r="K14" s="103">
        <v>458.71</v>
      </c>
      <c r="L14" s="103">
        <v>252.32</v>
      </c>
      <c r="M14" s="103">
        <v>162.76</v>
      </c>
      <c r="N14" s="103">
        <v>89.49</v>
      </c>
      <c r="O14" s="103">
        <v>0</v>
      </c>
      <c r="P14" s="104">
        <v>0</v>
      </c>
      <c r="Q14" s="103">
        <v>0</v>
      </c>
      <c r="R14" s="104">
        <v>0</v>
      </c>
      <c r="S14" s="72">
        <f t="shared" si="1"/>
        <v>1563.7</v>
      </c>
      <c r="T14" s="113">
        <f t="shared" si="2"/>
        <v>860.12</v>
      </c>
      <c r="U14" s="72">
        <v>242.74</v>
      </c>
      <c r="V14" s="72">
        <v>90.93</v>
      </c>
      <c r="W14" s="72">
        <v>789.86</v>
      </c>
      <c r="X14" s="72">
        <v>547.12</v>
      </c>
      <c r="Y14" s="72">
        <v>194.19</v>
      </c>
      <c r="Z14" s="100">
        <v>0</v>
      </c>
      <c r="AA14" s="100">
        <v>0</v>
      </c>
      <c r="AB14" s="94">
        <f t="shared" si="3"/>
        <v>1864.8400000000001</v>
      </c>
      <c r="AC14" s="91">
        <f t="shared" si="4"/>
        <v>3302.69</v>
      </c>
      <c r="AD14" s="115">
        <f t="shared" si="5"/>
        <v>0</v>
      </c>
      <c r="AE14" s="115">
        <f t="shared" si="6"/>
        <v>0</v>
      </c>
      <c r="AF14" s="82"/>
      <c r="AG14" s="101">
        <f t="shared" si="17"/>
        <v>208.2</v>
      </c>
      <c r="AH14" s="14">
        <f>B14*0.2*1.01045</f>
        <v>70.12523000000002</v>
      </c>
      <c r="AI14" s="14">
        <f>0.85*B14</f>
        <v>294.95</v>
      </c>
      <c r="AJ14" s="101">
        <f t="shared" si="7"/>
        <v>53.090999999999994</v>
      </c>
      <c r="AK14" s="101">
        <f>0.83*B14</f>
        <v>288.01</v>
      </c>
      <c r="AL14" s="101">
        <f t="shared" si="8"/>
        <v>51.8418</v>
      </c>
      <c r="AM14" s="14">
        <f>(1.91)*B14</f>
        <v>662.77</v>
      </c>
      <c r="AN14" s="101">
        <f t="shared" si="9"/>
        <v>119.2986</v>
      </c>
      <c r="AO14" s="101"/>
      <c r="AP14" s="101">
        <f t="shared" si="10"/>
        <v>0</v>
      </c>
      <c r="AQ14" s="95"/>
      <c r="AR14" s="123">
        <f t="shared" si="10"/>
        <v>0</v>
      </c>
      <c r="AS14" s="116"/>
      <c r="AT14" s="116"/>
      <c r="AU14" s="77">
        <f t="shared" si="11"/>
        <v>0</v>
      </c>
      <c r="AV14" s="117">
        <v>233</v>
      </c>
      <c r="AW14" s="121">
        <v>0.15</v>
      </c>
      <c r="AX14" s="101">
        <f t="shared" si="12"/>
        <v>46.189919999999994</v>
      </c>
      <c r="AY14" s="124"/>
      <c r="AZ14" s="99"/>
      <c r="BA14" s="99">
        <f t="shared" si="15"/>
        <v>0</v>
      </c>
      <c r="BB14" s="99">
        <f>SUM(AG14:BA14)-AV14-AW14</f>
        <v>1794.47655</v>
      </c>
      <c r="BC14" s="120"/>
      <c r="BD14" s="12">
        <f t="shared" si="13"/>
        <v>1508.21345</v>
      </c>
      <c r="BE14" s="26">
        <f t="shared" si="14"/>
        <v>301.1400000000001</v>
      </c>
    </row>
    <row r="15" spans="1:57" ht="12.75">
      <c r="A15" s="9" t="s">
        <v>50</v>
      </c>
      <c r="B15" s="93">
        <v>347</v>
      </c>
      <c r="C15" s="85">
        <f t="shared" si="0"/>
        <v>3001.55</v>
      </c>
      <c r="D15" s="107">
        <f t="shared" si="16"/>
        <v>595.9700000000003</v>
      </c>
      <c r="E15" s="103">
        <v>202.13</v>
      </c>
      <c r="F15" s="103">
        <v>110.8</v>
      </c>
      <c r="G15" s="103">
        <v>76.16</v>
      </c>
      <c r="H15" s="103">
        <v>41.87</v>
      </c>
      <c r="I15" s="103">
        <v>657.89</v>
      </c>
      <c r="J15" s="103">
        <v>360.71</v>
      </c>
      <c r="K15" s="103">
        <v>455.75</v>
      </c>
      <c r="L15" s="103">
        <v>249.92</v>
      </c>
      <c r="M15" s="103">
        <v>161.71</v>
      </c>
      <c r="N15" s="103">
        <v>88.64</v>
      </c>
      <c r="O15" s="103">
        <v>0</v>
      </c>
      <c r="P15" s="104">
        <v>0</v>
      </c>
      <c r="Q15" s="103">
        <v>0</v>
      </c>
      <c r="R15" s="104">
        <v>0</v>
      </c>
      <c r="S15" s="71">
        <f t="shared" si="1"/>
        <v>1553.6399999999999</v>
      </c>
      <c r="T15" s="113">
        <f t="shared" si="2"/>
        <v>851.9399999999999</v>
      </c>
      <c r="U15" s="72">
        <v>160.14</v>
      </c>
      <c r="V15" s="72">
        <v>60.33</v>
      </c>
      <c r="W15" s="72">
        <v>521.22</v>
      </c>
      <c r="X15" s="72">
        <v>361.06</v>
      </c>
      <c r="Y15" s="72">
        <v>128.12</v>
      </c>
      <c r="Z15" s="100">
        <v>0</v>
      </c>
      <c r="AA15" s="100">
        <v>0</v>
      </c>
      <c r="AB15" s="94">
        <f t="shared" si="3"/>
        <v>1230.87</v>
      </c>
      <c r="AC15" s="91">
        <f t="shared" si="4"/>
        <v>2678.78</v>
      </c>
      <c r="AD15" s="115">
        <f t="shared" si="5"/>
        <v>0</v>
      </c>
      <c r="AE15" s="115">
        <f t="shared" si="6"/>
        <v>0</v>
      </c>
      <c r="AF15" s="115"/>
      <c r="AG15" s="101">
        <f t="shared" si="17"/>
        <v>208.2</v>
      </c>
      <c r="AH15" s="14">
        <f>B15*0.2*0.99425</f>
        <v>69.00095</v>
      </c>
      <c r="AI15" s="101">
        <f>0.85*B15*0.9858</f>
        <v>290.76171</v>
      </c>
      <c r="AJ15" s="101">
        <f t="shared" si="7"/>
        <v>52.3371078</v>
      </c>
      <c r="AK15" s="101">
        <f>0.83*B15*0.9905</f>
        <v>285.273905</v>
      </c>
      <c r="AL15" s="101">
        <f t="shared" si="8"/>
        <v>51.3493029</v>
      </c>
      <c r="AM15" s="101">
        <f>(1.91)*B15*0.9904</f>
        <v>656.4074079999999</v>
      </c>
      <c r="AN15" s="101">
        <f t="shared" si="9"/>
        <v>118.15333343999998</v>
      </c>
      <c r="AO15" s="101"/>
      <c r="AP15" s="101">
        <f t="shared" si="10"/>
        <v>0</v>
      </c>
      <c r="AQ15" s="95"/>
      <c r="AR15" s="123">
        <f t="shared" si="10"/>
        <v>0</v>
      </c>
      <c r="AS15" s="116"/>
      <c r="AT15" s="77"/>
      <c r="AU15" s="77">
        <f t="shared" si="11"/>
        <v>0</v>
      </c>
      <c r="AV15" s="117">
        <v>248</v>
      </c>
      <c r="AW15" s="121">
        <v>0.15</v>
      </c>
      <c r="AX15" s="101">
        <f t="shared" si="12"/>
        <v>49.16352</v>
      </c>
      <c r="AY15" s="124"/>
      <c r="AZ15" s="99"/>
      <c r="BA15" s="99">
        <f t="shared" si="15"/>
        <v>0</v>
      </c>
      <c r="BB15" s="99">
        <f>SUM(AG15:BA15)-AV15-AW15</f>
        <v>1780.64723714</v>
      </c>
      <c r="BC15" s="120"/>
      <c r="BD15" s="12">
        <f t="shared" si="13"/>
        <v>898.1327628600002</v>
      </c>
      <c r="BE15" s="26">
        <f t="shared" si="14"/>
        <v>-322.77</v>
      </c>
    </row>
    <row r="16" spans="1:57" ht="12.75">
      <c r="A16" s="9" t="s">
        <v>51</v>
      </c>
      <c r="B16" s="93">
        <v>347</v>
      </c>
      <c r="C16" s="85">
        <f t="shared" si="0"/>
        <v>3001.55</v>
      </c>
      <c r="D16" s="107">
        <f t="shared" si="16"/>
        <v>577.73</v>
      </c>
      <c r="E16" s="103">
        <v>203.44</v>
      </c>
      <c r="F16" s="103">
        <v>111.87</v>
      </c>
      <c r="G16" s="103">
        <v>76.63</v>
      </c>
      <c r="H16" s="103">
        <v>42.26</v>
      </c>
      <c r="I16" s="103">
        <v>662.16</v>
      </c>
      <c r="J16" s="103">
        <v>364.18</v>
      </c>
      <c r="K16" s="103">
        <v>458.71</v>
      </c>
      <c r="L16" s="103">
        <v>252.32</v>
      </c>
      <c r="M16" s="103">
        <v>162.76</v>
      </c>
      <c r="N16" s="103">
        <v>89.49</v>
      </c>
      <c r="O16" s="103">
        <v>0</v>
      </c>
      <c r="P16" s="104">
        <v>0</v>
      </c>
      <c r="Q16" s="72">
        <v>0</v>
      </c>
      <c r="R16" s="72">
        <v>0</v>
      </c>
      <c r="S16" s="72">
        <f t="shared" si="1"/>
        <v>1563.7</v>
      </c>
      <c r="T16" s="113">
        <f t="shared" si="2"/>
        <v>860.12</v>
      </c>
      <c r="U16" s="72">
        <v>239.79</v>
      </c>
      <c r="V16" s="72">
        <v>90.32</v>
      </c>
      <c r="W16" s="72">
        <v>780.49</v>
      </c>
      <c r="X16" s="72">
        <v>540.7</v>
      </c>
      <c r="Y16" s="72">
        <v>191.85</v>
      </c>
      <c r="Z16" s="100">
        <v>0</v>
      </c>
      <c r="AA16" s="100">
        <v>0</v>
      </c>
      <c r="AB16" s="94">
        <f t="shared" si="3"/>
        <v>1843.1499999999999</v>
      </c>
      <c r="AC16" s="91">
        <f t="shared" si="4"/>
        <v>3281</v>
      </c>
      <c r="AD16" s="115">
        <f t="shared" si="5"/>
        <v>0</v>
      </c>
      <c r="AE16" s="115">
        <f t="shared" si="6"/>
        <v>0</v>
      </c>
      <c r="AF16" s="115"/>
      <c r="AG16" s="101">
        <f t="shared" si="17"/>
        <v>208.2</v>
      </c>
      <c r="AH16" s="14">
        <f>B16*0.2*0.99876</f>
        <v>69.313944</v>
      </c>
      <c r="AI16" s="14">
        <f>0.85*B16*0.98525</f>
        <v>290.59948749999995</v>
      </c>
      <c r="AJ16" s="101">
        <f t="shared" si="7"/>
        <v>52.30790774999999</v>
      </c>
      <c r="AK16" s="14">
        <f>0.83*B16*0.99</f>
        <v>285.12989999999996</v>
      </c>
      <c r="AL16" s="101">
        <f t="shared" si="8"/>
        <v>51.32338199999999</v>
      </c>
      <c r="AM16" s="14">
        <f>(1.91)*B16*0.9899</f>
        <v>656.076023</v>
      </c>
      <c r="AN16" s="101">
        <f t="shared" si="9"/>
        <v>118.09368414</v>
      </c>
      <c r="AO16" s="101"/>
      <c r="AP16" s="101">
        <f t="shared" si="10"/>
        <v>0</v>
      </c>
      <c r="AQ16" s="95"/>
      <c r="AR16" s="95">
        <f t="shared" si="10"/>
        <v>0</v>
      </c>
      <c r="AS16" s="116"/>
      <c r="AT16" s="77"/>
      <c r="AU16" s="77">
        <f t="shared" si="11"/>
        <v>0</v>
      </c>
      <c r="AV16" s="117">
        <v>293</v>
      </c>
      <c r="AW16" s="121">
        <v>0.15</v>
      </c>
      <c r="AX16" s="101">
        <f t="shared" si="12"/>
        <v>58.08431999999999</v>
      </c>
      <c r="AY16" s="124"/>
      <c r="AZ16" s="99"/>
      <c r="BA16" s="99">
        <f t="shared" si="15"/>
        <v>0</v>
      </c>
      <c r="BB16" s="99">
        <f>SUM(AG16:BA16)-AV16-AW16</f>
        <v>1789.1286483900003</v>
      </c>
      <c r="BC16" s="120"/>
      <c r="BD16" s="12">
        <f t="shared" si="13"/>
        <v>1491.8713516099997</v>
      </c>
      <c r="BE16" s="26">
        <f t="shared" si="14"/>
        <v>279.4499999999998</v>
      </c>
    </row>
    <row r="17" spans="1:57" ht="12.75">
      <c r="A17" s="9" t="s">
        <v>52</v>
      </c>
      <c r="B17" s="84">
        <v>347</v>
      </c>
      <c r="C17" s="85">
        <f t="shared" si="0"/>
        <v>3001.55</v>
      </c>
      <c r="D17" s="107">
        <f t="shared" si="16"/>
        <v>577.73</v>
      </c>
      <c r="E17" s="87">
        <v>203.44</v>
      </c>
      <c r="F17" s="87">
        <v>111.87</v>
      </c>
      <c r="G17" s="87">
        <v>76.63</v>
      </c>
      <c r="H17" s="87">
        <v>42.26</v>
      </c>
      <c r="I17" s="87">
        <v>662.16</v>
      </c>
      <c r="J17" s="87">
        <v>364.18</v>
      </c>
      <c r="K17" s="87">
        <v>458.71</v>
      </c>
      <c r="L17" s="87">
        <v>252.32</v>
      </c>
      <c r="M17" s="87">
        <v>162.76</v>
      </c>
      <c r="N17" s="87">
        <v>89.49</v>
      </c>
      <c r="O17" s="103">
        <v>0</v>
      </c>
      <c r="P17" s="104">
        <v>0</v>
      </c>
      <c r="Q17" s="72">
        <v>0</v>
      </c>
      <c r="R17" s="72">
        <v>0</v>
      </c>
      <c r="S17" s="72">
        <f t="shared" si="1"/>
        <v>1563.7</v>
      </c>
      <c r="T17" s="113">
        <f t="shared" si="2"/>
        <v>860.12</v>
      </c>
      <c r="U17" s="71">
        <v>160.16</v>
      </c>
      <c r="V17" s="71">
        <v>60.33</v>
      </c>
      <c r="W17" s="71">
        <v>521.29</v>
      </c>
      <c r="X17" s="71">
        <v>361.12</v>
      </c>
      <c r="Y17" s="71">
        <v>128.13</v>
      </c>
      <c r="Z17" s="89">
        <v>0</v>
      </c>
      <c r="AA17" s="89">
        <v>0</v>
      </c>
      <c r="AB17" s="94">
        <f t="shared" si="3"/>
        <v>1231.0300000000002</v>
      </c>
      <c r="AC17" s="91">
        <f t="shared" si="4"/>
        <v>2668.88</v>
      </c>
      <c r="AD17" s="115">
        <f t="shared" si="5"/>
        <v>0</v>
      </c>
      <c r="AE17" s="115">
        <f t="shared" si="6"/>
        <v>0</v>
      </c>
      <c r="AF17" s="115"/>
      <c r="AG17" s="101">
        <f t="shared" si="17"/>
        <v>208.2</v>
      </c>
      <c r="AH17" s="14">
        <f>B17*0.2*0.9996</f>
        <v>69.37224</v>
      </c>
      <c r="AI17" s="14">
        <f>0.85*B17*0.98508</f>
        <v>290.54934599999996</v>
      </c>
      <c r="AJ17" s="101">
        <f t="shared" si="7"/>
        <v>52.298882279999994</v>
      </c>
      <c r="AK17" s="14">
        <f>0.83*B17*0.98981</f>
        <v>285.07517809999996</v>
      </c>
      <c r="AL17" s="101">
        <f t="shared" si="8"/>
        <v>51.31353205799999</v>
      </c>
      <c r="AM17" s="14">
        <f>(1.91)*B17*0.98981</f>
        <v>656.0163736999999</v>
      </c>
      <c r="AN17" s="101">
        <f t="shared" si="9"/>
        <v>118.08294726599998</v>
      </c>
      <c r="AO17" s="101"/>
      <c r="AP17" s="101">
        <f t="shared" si="10"/>
        <v>0</v>
      </c>
      <c r="AQ17" s="95"/>
      <c r="AR17" s="95">
        <f t="shared" si="10"/>
        <v>0</v>
      </c>
      <c r="AS17" s="116"/>
      <c r="AT17" s="77"/>
      <c r="AU17" s="77">
        <f t="shared" si="11"/>
        <v>0</v>
      </c>
      <c r="AV17" s="117">
        <v>349</v>
      </c>
      <c r="AW17" s="121">
        <v>0.15</v>
      </c>
      <c r="AX17" s="101">
        <f t="shared" si="12"/>
        <v>69.18576</v>
      </c>
      <c r="AY17" s="124"/>
      <c r="AZ17" s="99"/>
      <c r="BA17" s="99">
        <f t="shared" si="15"/>
        <v>0</v>
      </c>
      <c r="BB17" s="99">
        <f>SUM(AG17:BA17)-AV17-AW17</f>
        <v>1800.0942594039993</v>
      </c>
      <c r="BC17" s="120"/>
      <c r="BD17" s="12">
        <f t="shared" si="13"/>
        <v>868.7857405960008</v>
      </c>
      <c r="BE17" s="26">
        <f t="shared" si="14"/>
        <v>-332.66999999999985</v>
      </c>
    </row>
    <row r="18" spans="1:57" ht="12.75">
      <c r="A18" s="9" t="s">
        <v>40</v>
      </c>
      <c r="B18" s="84">
        <v>347</v>
      </c>
      <c r="C18" s="108">
        <f t="shared" si="0"/>
        <v>3001.55</v>
      </c>
      <c r="D18" s="107">
        <f t="shared" si="16"/>
        <v>577.73</v>
      </c>
      <c r="E18" s="73">
        <v>203.44</v>
      </c>
      <c r="F18" s="71">
        <v>111.87</v>
      </c>
      <c r="G18" s="71">
        <v>76.63</v>
      </c>
      <c r="H18" s="71">
        <v>42.26</v>
      </c>
      <c r="I18" s="71">
        <v>662.16</v>
      </c>
      <c r="J18" s="71">
        <v>364.18</v>
      </c>
      <c r="K18" s="71">
        <v>458.71</v>
      </c>
      <c r="L18" s="71">
        <v>252.32</v>
      </c>
      <c r="M18" s="71">
        <v>162.76</v>
      </c>
      <c r="N18" s="71">
        <v>89.49</v>
      </c>
      <c r="O18" s="71">
        <v>0</v>
      </c>
      <c r="P18" s="89">
        <v>0</v>
      </c>
      <c r="Q18" s="71">
        <v>0</v>
      </c>
      <c r="R18" s="71">
        <v>0</v>
      </c>
      <c r="S18" s="71">
        <f t="shared" si="1"/>
        <v>1563.7</v>
      </c>
      <c r="T18" s="88">
        <f t="shared" si="2"/>
        <v>860.12</v>
      </c>
      <c r="U18" s="74">
        <v>252.35</v>
      </c>
      <c r="V18" s="71">
        <v>95.06</v>
      </c>
      <c r="W18" s="71">
        <v>821.31</v>
      </c>
      <c r="X18" s="71">
        <v>568.95</v>
      </c>
      <c r="Y18" s="71">
        <v>201.88</v>
      </c>
      <c r="Z18" s="89">
        <v>0</v>
      </c>
      <c r="AA18" s="89">
        <v>0</v>
      </c>
      <c r="AB18" s="89">
        <f>SUM(U18:AA18)</f>
        <v>1939.5499999999997</v>
      </c>
      <c r="AC18" s="91">
        <f>AB18+T18+D18</f>
        <v>3377.3999999999996</v>
      </c>
      <c r="AD18" s="82">
        <f t="shared" si="5"/>
        <v>0</v>
      </c>
      <c r="AE18" s="82">
        <f t="shared" si="6"/>
        <v>0</v>
      </c>
      <c r="AF18" s="82"/>
      <c r="AG18" s="14">
        <f t="shared" si="17"/>
        <v>208.2</v>
      </c>
      <c r="AH18" s="14">
        <f>B18*0.2</f>
        <v>69.4</v>
      </c>
      <c r="AI18" s="14">
        <f>(0.847*B18)</f>
        <v>293.909</v>
      </c>
      <c r="AJ18" s="14">
        <f t="shared" si="7"/>
        <v>52.90362</v>
      </c>
      <c r="AK18" s="14">
        <f>0.83*B18</f>
        <v>288.01</v>
      </c>
      <c r="AL18" s="14">
        <f t="shared" si="8"/>
        <v>51.8418</v>
      </c>
      <c r="AM18" s="14">
        <f>(2.25/1.18)*B18</f>
        <v>661.6525423728814</v>
      </c>
      <c r="AN18" s="14">
        <f t="shared" si="9"/>
        <v>119.09745762711864</v>
      </c>
      <c r="AO18" s="14"/>
      <c r="AP18" s="14">
        <f t="shared" si="10"/>
        <v>0</v>
      </c>
      <c r="AQ18" s="95"/>
      <c r="AR18" s="123">
        <f t="shared" si="10"/>
        <v>0</v>
      </c>
      <c r="AS18" s="77">
        <v>0</v>
      </c>
      <c r="AT18" s="116"/>
      <c r="AU18" s="77">
        <f t="shared" si="11"/>
        <v>0</v>
      </c>
      <c r="AV18" s="96">
        <v>425</v>
      </c>
      <c r="AW18" s="111">
        <v>0.15</v>
      </c>
      <c r="AX18" s="14">
        <f t="shared" si="12"/>
        <v>84.252</v>
      </c>
      <c r="AY18" s="98"/>
      <c r="AZ18" s="112"/>
      <c r="BA18" s="99">
        <f t="shared" si="15"/>
        <v>0</v>
      </c>
      <c r="BB18" s="99">
        <f>SUM(AG18:AU18)+AX18+AY18+AZ18+BA18</f>
        <v>1829.2664200000002</v>
      </c>
      <c r="BC18" s="105"/>
      <c r="BD18" s="12">
        <f t="shared" si="13"/>
        <v>1548.1335799999995</v>
      </c>
      <c r="BE18" s="26">
        <f t="shared" si="14"/>
        <v>375.8499999999997</v>
      </c>
    </row>
    <row r="19" spans="1:57" ht="12.75">
      <c r="A19" s="9" t="s">
        <v>41</v>
      </c>
      <c r="B19" s="93">
        <v>347</v>
      </c>
      <c r="C19" s="108">
        <f t="shared" si="0"/>
        <v>3001.55</v>
      </c>
      <c r="D19" s="107">
        <f t="shared" si="16"/>
        <v>577.73</v>
      </c>
      <c r="E19" s="87">
        <v>203.44</v>
      </c>
      <c r="F19" s="87">
        <v>111.87</v>
      </c>
      <c r="G19" s="87">
        <v>76.63</v>
      </c>
      <c r="H19" s="87">
        <v>42.26</v>
      </c>
      <c r="I19" s="87">
        <v>662.16</v>
      </c>
      <c r="J19" s="87">
        <v>364.18</v>
      </c>
      <c r="K19" s="87">
        <v>458.71</v>
      </c>
      <c r="L19" s="87">
        <v>252.32</v>
      </c>
      <c r="M19" s="87">
        <v>162.76</v>
      </c>
      <c r="N19" s="87">
        <v>89.49</v>
      </c>
      <c r="O19" s="87">
        <v>0</v>
      </c>
      <c r="P19" s="92">
        <v>0</v>
      </c>
      <c r="Q19" s="92">
        <v>0</v>
      </c>
      <c r="R19" s="92">
        <v>0</v>
      </c>
      <c r="S19" s="71">
        <f t="shared" si="1"/>
        <v>1563.7</v>
      </c>
      <c r="T19" s="88">
        <f t="shared" si="2"/>
        <v>860.12</v>
      </c>
      <c r="U19" s="71">
        <v>160.13</v>
      </c>
      <c r="V19" s="71">
        <v>60.34</v>
      </c>
      <c r="W19" s="71">
        <v>521.23</v>
      </c>
      <c r="X19" s="71">
        <v>361.08</v>
      </c>
      <c r="Y19" s="71">
        <v>128.12</v>
      </c>
      <c r="Z19" s="89">
        <v>0</v>
      </c>
      <c r="AA19" s="89">
        <v>0</v>
      </c>
      <c r="AB19" s="89">
        <f>SUM(U19:AA19)</f>
        <v>1230.9</v>
      </c>
      <c r="AC19" s="91">
        <f>D19+T19+AB19</f>
        <v>2668.75</v>
      </c>
      <c r="AD19" s="82">
        <f t="shared" si="5"/>
        <v>0</v>
      </c>
      <c r="AE19" s="82">
        <f t="shared" si="6"/>
        <v>0</v>
      </c>
      <c r="AF19" s="82"/>
      <c r="AG19" s="14">
        <f t="shared" si="17"/>
        <v>208.2</v>
      </c>
      <c r="AH19" s="14">
        <f>B19*0.2</f>
        <v>69.4</v>
      </c>
      <c r="AI19" s="14">
        <f>0.85*B19</f>
        <v>294.95</v>
      </c>
      <c r="AJ19" s="14">
        <f t="shared" si="7"/>
        <v>53.090999999999994</v>
      </c>
      <c r="AK19" s="14">
        <f>0.83*B19</f>
        <v>288.01</v>
      </c>
      <c r="AL19" s="14">
        <f t="shared" si="8"/>
        <v>51.8418</v>
      </c>
      <c r="AM19" s="14">
        <f>(1.91)*B19</f>
        <v>662.77</v>
      </c>
      <c r="AN19" s="14">
        <f t="shared" si="9"/>
        <v>119.2986</v>
      </c>
      <c r="AO19" s="14"/>
      <c r="AP19" s="14">
        <f t="shared" si="10"/>
        <v>0</v>
      </c>
      <c r="AQ19" s="95"/>
      <c r="AR19" s="123">
        <f t="shared" si="10"/>
        <v>0</v>
      </c>
      <c r="AS19" s="77">
        <v>0</v>
      </c>
      <c r="AT19" s="116"/>
      <c r="AU19" s="77">
        <f t="shared" si="11"/>
        <v>0</v>
      </c>
      <c r="AV19" s="96">
        <v>470</v>
      </c>
      <c r="AW19" s="111">
        <v>0.15</v>
      </c>
      <c r="AX19" s="14">
        <f t="shared" si="12"/>
        <v>93.17280000000001</v>
      </c>
      <c r="AY19" s="98"/>
      <c r="AZ19" s="99"/>
      <c r="BA19" s="99">
        <f t="shared" si="15"/>
        <v>0</v>
      </c>
      <c r="BB19" s="99">
        <f>SUM(AG19:AU19)+AX19+AY19+AZ19+BA19</f>
        <v>1840.7342</v>
      </c>
      <c r="BC19" s="109"/>
      <c r="BD19" s="12">
        <f t="shared" si="13"/>
        <v>828.0157999999999</v>
      </c>
      <c r="BE19" s="26">
        <f t="shared" si="14"/>
        <v>-332.79999999999995</v>
      </c>
    </row>
    <row r="20" spans="1:57" ht="12.75">
      <c r="A20" s="9" t="s">
        <v>42</v>
      </c>
      <c r="B20" s="84">
        <v>347</v>
      </c>
      <c r="C20" s="108">
        <f t="shared" si="0"/>
        <v>3001.55</v>
      </c>
      <c r="D20" s="107">
        <f t="shared" si="16"/>
        <v>577.73</v>
      </c>
      <c r="E20" s="87">
        <v>203.44</v>
      </c>
      <c r="F20" s="87">
        <v>111.87</v>
      </c>
      <c r="G20" s="87">
        <v>76.63</v>
      </c>
      <c r="H20" s="87">
        <v>42.26</v>
      </c>
      <c r="I20" s="87">
        <v>662.16</v>
      </c>
      <c r="J20" s="87">
        <v>364.18</v>
      </c>
      <c r="K20" s="87">
        <v>458.71</v>
      </c>
      <c r="L20" s="87">
        <v>252.32</v>
      </c>
      <c r="M20" s="87">
        <v>162.76</v>
      </c>
      <c r="N20" s="87">
        <v>89.49</v>
      </c>
      <c r="O20" s="87">
        <v>0</v>
      </c>
      <c r="P20" s="92">
        <v>0</v>
      </c>
      <c r="Q20" s="92"/>
      <c r="R20" s="92"/>
      <c r="S20" s="71">
        <f t="shared" si="1"/>
        <v>1563.7</v>
      </c>
      <c r="T20" s="88">
        <f t="shared" si="2"/>
        <v>860.12</v>
      </c>
      <c r="U20" s="71">
        <v>247.83</v>
      </c>
      <c r="V20" s="71">
        <v>93.32</v>
      </c>
      <c r="W20" s="71">
        <v>806.68</v>
      </c>
      <c r="X20" s="71">
        <v>558.83</v>
      </c>
      <c r="Y20" s="71">
        <v>198.27</v>
      </c>
      <c r="Z20" s="89">
        <v>0</v>
      </c>
      <c r="AA20" s="89">
        <v>0</v>
      </c>
      <c r="AB20" s="89">
        <f>SUM(U20:AA20)</f>
        <v>1904.9299999999998</v>
      </c>
      <c r="AC20" s="91">
        <f>D20+T20+AB20</f>
        <v>3342.7799999999997</v>
      </c>
      <c r="AD20" s="82">
        <f t="shared" si="5"/>
        <v>0</v>
      </c>
      <c r="AE20" s="82">
        <f t="shared" si="6"/>
        <v>0</v>
      </c>
      <c r="AF20" s="82"/>
      <c r="AG20" s="14">
        <f t="shared" si="17"/>
        <v>208.2</v>
      </c>
      <c r="AH20" s="14">
        <f>B20*0.2</f>
        <v>69.4</v>
      </c>
      <c r="AI20" s="14">
        <f>0.85*B20</f>
        <v>294.95</v>
      </c>
      <c r="AJ20" s="14">
        <f t="shared" si="7"/>
        <v>53.090999999999994</v>
      </c>
      <c r="AK20" s="14">
        <f>0.83*B20</f>
        <v>288.01</v>
      </c>
      <c r="AL20" s="14">
        <f t="shared" si="8"/>
        <v>51.8418</v>
      </c>
      <c r="AM20" s="14">
        <f>(1.91)*B20</f>
        <v>662.77</v>
      </c>
      <c r="AN20" s="14">
        <f t="shared" si="9"/>
        <v>119.2986</v>
      </c>
      <c r="AO20" s="14"/>
      <c r="AP20" s="14">
        <f t="shared" si="10"/>
        <v>0</v>
      </c>
      <c r="AQ20" s="95"/>
      <c r="AR20" s="123">
        <f t="shared" si="10"/>
        <v>0</v>
      </c>
      <c r="AS20" s="77">
        <v>0</v>
      </c>
      <c r="AT20" s="116"/>
      <c r="AU20" s="77">
        <f t="shared" si="11"/>
        <v>0</v>
      </c>
      <c r="AV20" s="96">
        <v>514</v>
      </c>
      <c r="AW20" s="111">
        <v>0.15</v>
      </c>
      <c r="AX20" s="14">
        <f t="shared" si="12"/>
        <v>101.89536</v>
      </c>
      <c r="AY20" s="98"/>
      <c r="AZ20" s="99"/>
      <c r="BA20" s="99">
        <f t="shared" si="15"/>
        <v>0</v>
      </c>
      <c r="BB20" s="99">
        <f>SUM(AG20:BA20)-AV20-AW20</f>
        <v>1849.45676</v>
      </c>
      <c r="BC20" s="109"/>
      <c r="BD20" s="12">
        <f t="shared" si="13"/>
        <v>1493.3232399999997</v>
      </c>
      <c r="BE20" s="26">
        <f t="shared" si="14"/>
        <v>341.2299999999998</v>
      </c>
    </row>
    <row r="21" spans="1:57" s="18" customFormat="1" ht="12.75">
      <c r="A21" s="15" t="s">
        <v>5</v>
      </c>
      <c r="B21" s="51"/>
      <c r="C21" s="51">
        <f aca="true" t="shared" si="18" ref="C21:BC21">SUM(C9:C20)</f>
        <v>36018.6</v>
      </c>
      <c r="D21" s="51">
        <f t="shared" si="18"/>
        <v>6140.984999999999</v>
      </c>
      <c r="E21" s="48">
        <f t="shared" si="18"/>
        <v>2358.17</v>
      </c>
      <c r="F21" s="48">
        <f t="shared" si="18"/>
        <v>1296.29</v>
      </c>
      <c r="G21" s="48">
        <f t="shared" si="18"/>
        <v>878.81</v>
      </c>
      <c r="H21" s="48">
        <f t="shared" si="18"/>
        <v>483.56999999999994</v>
      </c>
      <c r="I21" s="48">
        <f t="shared" si="18"/>
        <v>7671.929999999999</v>
      </c>
      <c r="J21" s="48">
        <f t="shared" si="18"/>
        <v>4217.7699999999995</v>
      </c>
      <c r="K21" s="48">
        <f t="shared" si="18"/>
        <v>5313.68</v>
      </c>
      <c r="L21" s="48">
        <f t="shared" si="18"/>
        <v>2921.5600000000004</v>
      </c>
      <c r="M21" s="48">
        <f t="shared" si="18"/>
        <v>1886.62</v>
      </c>
      <c r="N21" s="48">
        <f t="shared" si="18"/>
        <v>1036.99</v>
      </c>
      <c r="O21" s="48">
        <f t="shared" si="18"/>
        <v>0</v>
      </c>
      <c r="P21" s="48">
        <f t="shared" si="18"/>
        <v>0</v>
      </c>
      <c r="Q21" s="48">
        <f t="shared" si="18"/>
        <v>0</v>
      </c>
      <c r="R21" s="48">
        <f t="shared" si="18"/>
        <v>0</v>
      </c>
      <c r="S21" s="48">
        <f t="shared" si="18"/>
        <v>18109.210000000003</v>
      </c>
      <c r="T21" s="48">
        <f t="shared" si="18"/>
        <v>9956.180000000002</v>
      </c>
      <c r="U21" s="52">
        <f t="shared" si="18"/>
        <v>2339.3399999999997</v>
      </c>
      <c r="V21" s="52">
        <f t="shared" si="18"/>
        <v>869.3400000000001</v>
      </c>
      <c r="W21" s="52">
        <f t="shared" si="18"/>
        <v>7609.83</v>
      </c>
      <c r="X21" s="52">
        <f t="shared" si="18"/>
        <v>5270.4</v>
      </c>
      <c r="Y21" s="52">
        <f t="shared" si="18"/>
        <v>1871.5700000000002</v>
      </c>
      <c r="Z21" s="52">
        <f t="shared" si="18"/>
        <v>0</v>
      </c>
      <c r="AA21" s="52">
        <f t="shared" si="18"/>
        <v>0</v>
      </c>
      <c r="AB21" s="52">
        <f t="shared" si="18"/>
        <v>17960.479999999996</v>
      </c>
      <c r="AC21" s="52">
        <f t="shared" si="18"/>
        <v>34057.645</v>
      </c>
      <c r="AD21" s="52">
        <f t="shared" si="18"/>
        <v>0</v>
      </c>
      <c r="AE21" s="80">
        <f t="shared" si="18"/>
        <v>0</v>
      </c>
      <c r="AF21" s="80">
        <f t="shared" si="18"/>
        <v>0</v>
      </c>
      <c r="AG21" s="16">
        <f t="shared" si="18"/>
        <v>2415.12</v>
      </c>
      <c r="AH21" s="16">
        <f t="shared" si="18"/>
        <v>808.5666239999999</v>
      </c>
      <c r="AI21" s="16">
        <f t="shared" si="18"/>
        <v>3376.0173684999995</v>
      </c>
      <c r="AJ21" s="16">
        <f t="shared" si="18"/>
        <v>607.6831263299999</v>
      </c>
      <c r="AK21" s="16">
        <f t="shared" si="18"/>
        <v>3281.934432100001</v>
      </c>
      <c r="AL21" s="16">
        <f t="shared" si="18"/>
        <v>590.748197778</v>
      </c>
      <c r="AM21" s="16">
        <f t="shared" si="18"/>
        <v>7551.087043072881</v>
      </c>
      <c r="AN21" s="16">
        <f t="shared" si="18"/>
        <v>1359.1956677531189</v>
      </c>
      <c r="AO21" s="16">
        <f t="shared" si="18"/>
        <v>0</v>
      </c>
      <c r="AP21" s="16">
        <f t="shared" si="18"/>
        <v>0</v>
      </c>
      <c r="AQ21" s="16">
        <f>SUM(AQ9:AQ20)</f>
        <v>0</v>
      </c>
      <c r="AR21" s="16">
        <f>SUM(AR9:AR20)</f>
        <v>0</v>
      </c>
      <c r="AS21" s="16">
        <f>SUM(AS9:AS20)</f>
        <v>1330</v>
      </c>
      <c r="AT21" s="16">
        <f>SUM(AT9:AT20)</f>
        <v>0</v>
      </c>
      <c r="AU21" s="16">
        <f>SUM(AU9:AU20)</f>
        <v>239.39999999999998</v>
      </c>
      <c r="AV21" s="16"/>
      <c r="AW21" s="16"/>
      <c r="AX21" s="16">
        <f t="shared" si="18"/>
        <v>872.256</v>
      </c>
      <c r="AY21" s="16">
        <f t="shared" si="18"/>
        <v>0</v>
      </c>
      <c r="AZ21" s="16">
        <f t="shared" si="18"/>
        <v>0</v>
      </c>
      <c r="BA21" s="16">
        <f t="shared" si="18"/>
        <v>0</v>
      </c>
      <c r="BB21" s="16">
        <f t="shared" si="18"/>
        <v>22432.008459533998</v>
      </c>
      <c r="BC21" s="16">
        <f t="shared" si="18"/>
        <v>0</v>
      </c>
      <c r="BD21" s="16">
        <f>SUM(BD9:BD20)</f>
        <v>11625.636540466</v>
      </c>
      <c r="BE21" s="17">
        <f>SUM(BE9:BE20)</f>
        <v>-148.73000000000025</v>
      </c>
    </row>
    <row r="22" spans="1:57" ht="12.75">
      <c r="A22" s="9"/>
      <c r="B22" s="10"/>
      <c r="C22" s="11"/>
      <c r="D22" s="11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2"/>
      <c r="T22" s="42"/>
      <c r="U22" s="44"/>
      <c r="V22" s="44"/>
      <c r="W22" s="44"/>
      <c r="X22" s="44"/>
      <c r="Y22" s="44"/>
      <c r="Z22" s="44"/>
      <c r="AA22" s="44"/>
      <c r="AB22" s="44"/>
      <c r="AC22" s="81"/>
      <c r="AD22" s="81"/>
      <c r="AE22" s="82"/>
      <c r="AF22" s="82"/>
      <c r="AG22" s="14"/>
      <c r="AH22" s="14"/>
      <c r="AI22" s="14"/>
      <c r="AJ22" s="14"/>
      <c r="AK22" s="14"/>
      <c r="AL22" s="14"/>
      <c r="AM22" s="14"/>
      <c r="AN22" s="14"/>
      <c r="AO22" s="13"/>
      <c r="AP22" s="13"/>
      <c r="AQ22" s="13"/>
      <c r="AR22" s="13"/>
      <c r="AS22" s="76"/>
      <c r="AT22" s="76"/>
      <c r="AU22" s="77"/>
      <c r="AV22" s="77"/>
      <c r="AW22" s="77"/>
      <c r="AX22" s="19"/>
      <c r="AY22" s="13"/>
      <c r="AZ22" s="13"/>
      <c r="BA22" s="14"/>
      <c r="BB22" s="14"/>
      <c r="BC22" s="14"/>
      <c r="BD22" s="14"/>
      <c r="BE22" s="8"/>
    </row>
    <row r="23" spans="1:57" s="18" customFormat="1" ht="13.5" thickBot="1">
      <c r="A23" s="20" t="s">
        <v>53</v>
      </c>
      <c r="B23" s="21"/>
      <c r="C23" s="21">
        <f>C21</f>
        <v>36018.6</v>
      </c>
      <c r="D23" s="21">
        <f aca="true" t="shared" si="19" ref="D23:BE23">D21</f>
        <v>6140.984999999999</v>
      </c>
      <c r="E23" s="21">
        <f t="shared" si="19"/>
        <v>2358.17</v>
      </c>
      <c r="F23" s="21">
        <f t="shared" si="19"/>
        <v>1296.29</v>
      </c>
      <c r="G23" s="21">
        <f t="shared" si="19"/>
        <v>878.81</v>
      </c>
      <c r="H23" s="21">
        <f t="shared" si="19"/>
        <v>483.56999999999994</v>
      </c>
      <c r="I23" s="21">
        <f t="shared" si="19"/>
        <v>7671.929999999999</v>
      </c>
      <c r="J23" s="21">
        <f t="shared" si="19"/>
        <v>4217.7699999999995</v>
      </c>
      <c r="K23" s="21">
        <f t="shared" si="19"/>
        <v>5313.68</v>
      </c>
      <c r="L23" s="21">
        <f t="shared" si="19"/>
        <v>2921.5600000000004</v>
      </c>
      <c r="M23" s="21">
        <f t="shared" si="19"/>
        <v>1886.62</v>
      </c>
      <c r="N23" s="21">
        <f t="shared" si="19"/>
        <v>1036.99</v>
      </c>
      <c r="O23" s="21">
        <f t="shared" si="19"/>
        <v>0</v>
      </c>
      <c r="P23" s="21">
        <f t="shared" si="19"/>
        <v>0</v>
      </c>
      <c r="Q23" s="21">
        <f t="shared" si="19"/>
        <v>0</v>
      </c>
      <c r="R23" s="21">
        <f t="shared" si="19"/>
        <v>0</v>
      </c>
      <c r="S23" s="21">
        <f t="shared" si="19"/>
        <v>18109.210000000003</v>
      </c>
      <c r="T23" s="21">
        <f t="shared" si="19"/>
        <v>9956.180000000002</v>
      </c>
      <c r="U23" s="21">
        <f t="shared" si="19"/>
        <v>2339.3399999999997</v>
      </c>
      <c r="V23" s="21">
        <f t="shared" si="19"/>
        <v>869.3400000000001</v>
      </c>
      <c r="W23" s="21">
        <f t="shared" si="19"/>
        <v>7609.83</v>
      </c>
      <c r="X23" s="21">
        <f t="shared" si="19"/>
        <v>5270.4</v>
      </c>
      <c r="Y23" s="21">
        <f t="shared" si="19"/>
        <v>1871.5700000000002</v>
      </c>
      <c r="Z23" s="21">
        <f t="shared" si="19"/>
        <v>0</v>
      </c>
      <c r="AA23" s="21">
        <f t="shared" si="19"/>
        <v>0</v>
      </c>
      <c r="AB23" s="21">
        <f t="shared" si="19"/>
        <v>17960.479999999996</v>
      </c>
      <c r="AC23" s="21">
        <f t="shared" si="19"/>
        <v>34057.645</v>
      </c>
      <c r="AD23" s="21">
        <f t="shared" si="19"/>
        <v>0</v>
      </c>
      <c r="AE23" s="21">
        <f t="shared" si="19"/>
        <v>0</v>
      </c>
      <c r="AF23" s="21">
        <f t="shared" si="19"/>
        <v>0</v>
      </c>
      <c r="AG23" s="21">
        <f t="shared" si="19"/>
        <v>2415.12</v>
      </c>
      <c r="AH23" s="21">
        <f t="shared" si="19"/>
        <v>808.5666239999999</v>
      </c>
      <c r="AI23" s="21">
        <f t="shared" si="19"/>
        <v>3376.0173684999995</v>
      </c>
      <c r="AJ23" s="21">
        <f t="shared" si="19"/>
        <v>607.6831263299999</v>
      </c>
      <c r="AK23" s="21">
        <f t="shared" si="19"/>
        <v>3281.934432100001</v>
      </c>
      <c r="AL23" s="21">
        <f t="shared" si="19"/>
        <v>590.748197778</v>
      </c>
      <c r="AM23" s="21">
        <f t="shared" si="19"/>
        <v>7551.087043072881</v>
      </c>
      <c r="AN23" s="21">
        <f t="shared" si="19"/>
        <v>1359.1956677531189</v>
      </c>
      <c r="AO23" s="21">
        <f t="shared" si="19"/>
        <v>0</v>
      </c>
      <c r="AP23" s="21">
        <f t="shared" si="19"/>
        <v>0</v>
      </c>
      <c r="AQ23" s="21">
        <f t="shared" si="19"/>
        <v>0</v>
      </c>
      <c r="AR23" s="21">
        <f t="shared" si="19"/>
        <v>0</v>
      </c>
      <c r="AS23" s="21">
        <f t="shared" si="19"/>
        <v>1330</v>
      </c>
      <c r="AT23" s="21">
        <f t="shared" si="19"/>
        <v>0</v>
      </c>
      <c r="AU23" s="21">
        <f t="shared" si="19"/>
        <v>239.39999999999998</v>
      </c>
      <c r="AV23" s="21">
        <f t="shared" si="19"/>
        <v>0</v>
      </c>
      <c r="AW23" s="21">
        <f t="shared" si="19"/>
        <v>0</v>
      </c>
      <c r="AX23" s="21">
        <f t="shared" si="19"/>
        <v>872.256</v>
      </c>
      <c r="AY23" s="21">
        <f t="shared" si="19"/>
        <v>0</v>
      </c>
      <c r="AZ23" s="21">
        <f t="shared" si="19"/>
        <v>0</v>
      </c>
      <c r="BA23" s="21">
        <f t="shared" si="19"/>
        <v>0</v>
      </c>
      <c r="BB23" s="21">
        <f t="shared" si="19"/>
        <v>22432.008459533998</v>
      </c>
      <c r="BC23" s="21">
        <f t="shared" si="19"/>
        <v>0</v>
      </c>
      <c r="BD23" s="21">
        <f t="shared" si="19"/>
        <v>11625.636540466</v>
      </c>
      <c r="BE23" s="21">
        <f t="shared" si="19"/>
        <v>-148.73000000000025</v>
      </c>
    </row>
    <row r="24" spans="1:57" ht="15" customHeight="1">
      <c r="A24" s="5" t="s">
        <v>89</v>
      </c>
      <c r="B24" s="49"/>
      <c r="C24" s="50"/>
      <c r="D24" s="50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6"/>
      <c r="R24" s="46"/>
      <c r="S24" s="46"/>
      <c r="T24" s="46"/>
      <c r="U24" s="53"/>
      <c r="V24" s="53"/>
      <c r="W24" s="53"/>
      <c r="X24" s="53"/>
      <c r="Y24" s="53"/>
      <c r="Z24" s="53"/>
      <c r="AA24" s="45"/>
      <c r="AB24" s="45"/>
      <c r="AC24" s="78"/>
      <c r="AD24" s="78"/>
      <c r="AE24" s="79"/>
      <c r="AF24" s="79"/>
      <c r="AG24" s="12"/>
      <c r="AH24" s="12"/>
      <c r="AI24" s="12"/>
      <c r="AJ24" s="12"/>
      <c r="AK24" s="12"/>
      <c r="AL24" s="12"/>
      <c r="AM24" s="12"/>
      <c r="AN24" s="12"/>
      <c r="AO24" s="27"/>
      <c r="AP24" s="27"/>
      <c r="AQ24" s="27"/>
      <c r="AR24" s="27"/>
      <c r="AS24" s="75"/>
      <c r="AT24" s="75"/>
      <c r="AU24" s="42"/>
      <c r="AV24" s="42"/>
      <c r="AW24" s="42"/>
      <c r="AX24" s="27"/>
      <c r="AY24" s="27"/>
      <c r="AZ24" s="27"/>
      <c r="BA24" s="12"/>
      <c r="BB24" s="12"/>
      <c r="BC24" s="12"/>
      <c r="BD24" s="12"/>
      <c r="BE24" s="26"/>
    </row>
    <row r="25" spans="1:57" ht="12.75">
      <c r="A25" s="9" t="s">
        <v>44</v>
      </c>
      <c r="B25" s="84">
        <v>347</v>
      </c>
      <c r="C25" s="108">
        <f aca="true" t="shared" si="20" ref="C25:C36">B25*8.65</f>
        <v>3001.55</v>
      </c>
      <c r="D25" s="107">
        <f aca="true" t="shared" si="21" ref="D25:D36">C25-E25-F25-G25-H25-I25-J25-K25-L25-M25-N25</f>
        <v>577.73</v>
      </c>
      <c r="E25" s="87">
        <v>203.44</v>
      </c>
      <c r="F25" s="87">
        <v>111.87</v>
      </c>
      <c r="G25" s="87">
        <v>76.63</v>
      </c>
      <c r="H25" s="87">
        <v>42.26</v>
      </c>
      <c r="I25" s="87">
        <v>662.16</v>
      </c>
      <c r="J25" s="87">
        <v>364.18</v>
      </c>
      <c r="K25" s="87">
        <v>458.71</v>
      </c>
      <c r="L25" s="87">
        <v>252.32</v>
      </c>
      <c r="M25" s="87">
        <v>162.76</v>
      </c>
      <c r="N25" s="87">
        <v>89.49</v>
      </c>
      <c r="O25" s="87">
        <v>0</v>
      </c>
      <c r="P25" s="92">
        <v>0</v>
      </c>
      <c r="Q25" s="92"/>
      <c r="R25" s="92"/>
      <c r="S25" s="71">
        <f aca="true" t="shared" si="22" ref="S25:S36">E25+G25+I25+K25+M25+O25+Q25</f>
        <v>1563.7</v>
      </c>
      <c r="T25" s="88">
        <f aca="true" t="shared" si="23" ref="T25:T36">P25+N25+L25+J25+H25+F25+R25</f>
        <v>860.12</v>
      </c>
      <c r="U25" s="71">
        <v>202.38</v>
      </c>
      <c r="V25" s="71">
        <v>76.24</v>
      </c>
      <c r="W25" s="71">
        <v>658.66</v>
      </c>
      <c r="X25" s="71">
        <v>456.28</v>
      </c>
      <c r="Y25" s="71">
        <v>161.9</v>
      </c>
      <c r="Z25" s="89">
        <v>0</v>
      </c>
      <c r="AA25" s="89">
        <v>0</v>
      </c>
      <c r="AB25" s="89">
        <f>SUM(U25:AA25)</f>
        <v>1555.46</v>
      </c>
      <c r="AC25" s="91">
        <f aca="true" t="shared" si="24" ref="AC25:AC36">D25+T25+AB25</f>
        <v>2993.31</v>
      </c>
      <c r="AD25" s="82">
        <f aca="true" t="shared" si="25" ref="AD25:AD36">P25+Z25</f>
        <v>0</v>
      </c>
      <c r="AE25" s="82">
        <f aca="true" t="shared" si="26" ref="AE25:AE36">R25+AA25</f>
        <v>0</v>
      </c>
      <c r="AF25" s="82"/>
      <c r="AG25" s="14">
        <f aca="true" t="shared" si="27" ref="AG25:AG36">0.6*B25</f>
        <v>208.2</v>
      </c>
      <c r="AH25" s="14">
        <f aca="true" t="shared" si="28" ref="AH25:AH36">B25*0.2</f>
        <v>69.4</v>
      </c>
      <c r="AI25" s="14">
        <f aca="true" t="shared" si="29" ref="AI25:AI36">1*B25</f>
        <v>347</v>
      </c>
      <c r="AJ25" s="14">
        <v>0</v>
      </c>
      <c r="AK25" s="14">
        <f aca="true" t="shared" si="30" ref="AK25:AK36">0.98*B25</f>
        <v>340.06</v>
      </c>
      <c r="AL25" s="14">
        <v>0</v>
      </c>
      <c r="AM25" s="14">
        <f aca="true" t="shared" si="31" ref="AM25:AM36">2.25*B25</f>
        <v>780.75</v>
      </c>
      <c r="AN25" s="14">
        <v>0</v>
      </c>
      <c r="AO25" s="14"/>
      <c r="AP25" s="14">
        <v>0</v>
      </c>
      <c r="AQ25" s="95"/>
      <c r="AR25" s="95"/>
      <c r="AS25" s="77">
        <v>0</v>
      </c>
      <c r="AT25" s="77"/>
      <c r="AU25" s="77">
        <f aca="true" t="shared" si="32" ref="AU25:AU36">AT25*0.18</f>
        <v>0</v>
      </c>
      <c r="AV25" s="96">
        <v>508</v>
      </c>
      <c r="AW25" s="111">
        <v>0.15</v>
      </c>
      <c r="AX25" s="126">
        <f aca="true" t="shared" si="33" ref="AX25:AX36">AV25*AW25*1.4</f>
        <v>106.67999999999999</v>
      </c>
      <c r="AY25" s="98"/>
      <c r="AZ25" s="99"/>
      <c r="BA25" s="99">
        <f aca="true" t="shared" si="34" ref="BA25:BA36">AZ25*0.18</f>
        <v>0</v>
      </c>
      <c r="BB25" s="99">
        <f aca="true" t="shared" si="35" ref="BB25:BB36">SUM(AG25:BA25)-AV25-AW25</f>
        <v>1852.0899999999997</v>
      </c>
      <c r="BC25" s="109"/>
      <c r="BD25" s="12">
        <f>AC25+AF25-BB25-BC25</f>
        <v>1141.2200000000003</v>
      </c>
      <c r="BE25" s="26">
        <f>AB25-S25</f>
        <v>-8.240000000000009</v>
      </c>
    </row>
    <row r="26" spans="1:57" ht="12.75">
      <c r="A26" s="9" t="s">
        <v>45</v>
      </c>
      <c r="B26" s="84">
        <v>347</v>
      </c>
      <c r="C26" s="108">
        <f t="shared" si="20"/>
        <v>3001.55</v>
      </c>
      <c r="D26" s="107">
        <f t="shared" si="21"/>
        <v>577.73</v>
      </c>
      <c r="E26" s="127">
        <v>203.44</v>
      </c>
      <c r="F26" s="87">
        <v>111.87</v>
      </c>
      <c r="G26" s="87">
        <v>76.63</v>
      </c>
      <c r="H26" s="87">
        <v>42.26</v>
      </c>
      <c r="I26" s="87">
        <v>662.16</v>
      </c>
      <c r="J26" s="87">
        <v>364.18</v>
      </c>
      <c r="K26" s="87">
        <v>458.71</v>
      </c>
      <c r="L26" s="87">
        <v>252.32</v>
      </c>
      <c r="M26" s="87">
        <v>162.76</v>
      </c>
      <c r="N26" s="87">
        <v>89.49</v>
      </c>
      <c r="O26" s="87">
        <v>0</v>
      </c>
      <c r="P26" s="92">
        <v>0</v>
      </c>
      <c r="Q26" s="89">
        <v>0</v>
      </c>
      <c r="R26" s="89">
        <v>0</v>
      </c>
      <c r="S26" s="71">
        <f t="shared" si="22"/>
        <v>1563.7</v>
      </c>
      <c r="T26" s="88">
        <f t="shared" si="23"/>
        <v>860.12</v>
      </c>
      <c r="U26" s="71">
        <v>204.77</v>
      </c>
      <c r="V26" s="71">
        <v>77.11</v>
      </c>
      <c r="W26" s="71">
        <v>666.5</v>
      </c>
      <c r="X26" s="71">
        <v>461.72</v>
      </c>
      <c r="Y26" s="71">
        <v>163.84</v>
      </c>
      <c r="Z26" s="89">
        <v>0</v>
      </c>
      <c r="AA26" s="89">
        <v>0</v>
      </c>
      <c r="AB26" s="89">
        <f>SUM(U26:AA26)</f>
        <v>1573.9399999999998</v>
      </c>
      <c r="AC26" s="91">
        <f t="shared" si="24"/>
        <v>3011.79</v>
      </c>
      <c r="AD26" s="82">
        <f t="shared" si="25"/>
        <v>0</v>
      </c>
      <c r="AE26" s="82">
        <f t="shared" si="26"/>
        <v>0</v>
      </c>
      <c r="AF26" s="82"/>
      <c r="AG26" s="14">
        <f t="shared" si="27"/>
        <v>208.2</v>
      </c>
      <c r="AH26" s="14">
        <f t="shared" si="28"/>
        <v>69.4</v>
      </c>
      <c r="AI26" s="14">
        <f t="shared" si="29"/>
        <v>347</v>
      </c>
      <c r="AJ26" s="14">
        <v>0</v>
      </c>
      <c r="AK26" s="14">
        <f t="shared" si="30"/>
        <v>340.06</v>
      </c>
      <c r="AL26" s="14">
        <v>0</v>
      </c>
      <c r="AM26" s="14">
        <f t="shared" si="31"/>
        <v>780.75</v>
      </c>
      <c r="AN26" s="14">
        <v>0</v>
      </c>
      <c r="AO26" s="14"/>
      <c r="AP26" s="14"/>
      <c r="AQ26" s="95"/>
      <c r="AR26" s="95"/>
      <c r="AS26" s="77"/>
      <c r="AT26" s="77"/>
      <c r="AU26" s="77">
        <f t="shared" si="32"/>
        <v>0</v>
      </c>
      <c r="AV26" s="96">
        <v>407</v>
      </c>
      <c r="AW26" s="111">
        <v>0.15</v>
      </c>
      <c r="AX26" s="14">
        <f t="shared" si="33"/>
        <v>85.46999999999998</v>
      </c>
      <c r="AY26" s="98"/>
      <c r="AZ26" s="99"/>
      <c r="BA26" s="99">
        <f t="shared" si="34"/>
        <v>0</v>
      </c>
      <c r="BB26" s="99">
        <f t="shared" si="35"/>
        <v>1830.8799999999997</v>
      </c>
      <c r="BC26" s="109"/>
      <c r="BD26" s="12">
        <f aca="true" t="shared" si="36" ref="BD26:BD36">AC26+AF26-BB26-BC26</f>
        <v>1180.9100000000003</v>
      </c>
      <c r="BE26" s="26">
        <f aca="true" t="shared" si="37" ref="BE26:BE36">AB26-S26</f>
        <v>10.239999999999782</v>
      </c>
    </row>
    <row r="27" spans="1:57" ht="12.75">
      <c r="A27" s="9" t="s">
        <v>46</v>
      </c>
      <c r="B27" s="84">
        <v>347</v>
      </c>
      <c r="C27" s="108">
        <f t="shared" si="20"/>
        <v>3001.55</v>
      </c>
      <c r="D27" s="107">
        <f t="shared" si="21"/>
        <v>577.73</v>
      </c>
      <c r="E27" s="87">
        <v>203.44</v>
      </c>
      <c r="F27" s="87">
        <v>111.87</v>
      </c>
      <c r="G27" s="87">
        <v>76.63</v>
      </c>
      <c r="H27" s="87">
        <v>42.26</v>
      </c>
      <c r="I27" s="87">
        <v>662.16</v>
      </c>
      <c r="J27" s="87">
        <v>364.18</v>
      </c>
      <c r="K27" s="87">
        <v>458.71</v>
      </c>
      <c r="L27" s="87">
        <v>252.32</v>
      </c>
      <c r="M27" s="87">
        <v>162.76</v>
      </c>
      <c r="N27" s="87">
        <v>89.49</v>
      </c>
      <c r="O27" s="87">
        <v>0</v>
      </c>
      <c r="P27" s="92">
        <v>0</v>
      </c>
      <c r="Q27" s="92">
        <v>0</v>
      </c>
      <c r="R27" s="92">
        <v>0</v>
      </c>
      <c r="S27" s="71">
        <f t="shared" si="22"/>
        <v>1563.7</v>
      </c>
      <c r="T27" s="88">
        <f t="shared" si="23"/>
        <v>860.12</v>
      </c>
      <c r="U27" s="71">
        <v>202.11</v>
      </c>
      <c r="V27" s="71">
        <v>76.15</v>
      </c>
      <c r="W27" s="71">
        <v>657.8</v>
      </c>
      <c r="X27" s="71">
        <v>455.69</v>
      </c>
      <c r="Y27" s="71">
        <v>161.68</v>
      </c>
      <c r="Z27" s="89">
        <v>0</v>
      </c>
      <c r="AA27" s="89">
        <v>0</v>
      </c>
      <c r="AB27" s="89">
        <f>SUM(U27:AA27)</f>
        <v>1553.43</v>
      </c>
      <c r="AC27" s="91">
        <f t="shared" si="24"/>
        <v>2991.2799999999997</v>
      </c>
      <c r="AD27" s="82">
        <f t="shared" si="25"/>
        <v>0</v>
      </c>
      <c r="AE27" s="82">
        <f t="shared" si="26"/>
        <v>0</v>
      </c>
      <c r="AF27" s="82"/>
      <c r="AG27" s="14">
        <f t="shared" si="27"/>
        <v>208.2</v>
      </c>
      <c r="AH27" s="14">
        <f t="shared" si="28"/>
        <v>69.4</v>
      </c>
      <c r="AI27" s="14">
        <f t="shared" si="29"/>
        <v>347</v>
      </c>
      <c r="AJ27" s="14">
        <v>0</v>
      </c>
      <c r="AK27" s="14">
        <f t="shared" si="30"/>
        <v>340.06</v>
      </c>
      <c r="AL27" s="14">
        <v>0</v>
      </c>
      <c r="AM27" s="14">
        <f t="shared" si="31"/>
        <v>780.75</v>
      </c>
      <c r="AN27" s="14">
        <v>0</v>
      </c>
      <c r="AO27" s="14"/>
      <c r="AP27" s="14"/>
      <c r="AQ27" s="95"/>
      <c r="AR27" s="95"/>
      <c r="AS27" s="77">
        <v>460</v>
      </c>
      <c r="AT27" s="77"/>
      <c r="AU27" s="77">
        <f t="shared" si="32"/>
        <v>0</v>
      </c>
      <c r="AV27" s="96">
        <v>383</v>
      </c>
      <c r="AW27" s="111">
        <v>0.15</v>
      </c>
      <c r="AX27" s="14">
        <f t="shared" si="33"/>
        <v>80.42999999999999</v>
      </c>
      <c r="AY27" s="98"/>
      <c r="AZ27" s="99"/>
      <c r="BA27" s="99">
        <f t="shared" si="34"/>
        <v>0</v>
      </c>
      <c r="BB27" s="99">
        <f t="shared" si="35"/>
        <v>2285.8399999999997</v>
      </c>
      <c r="BC27" s="109"/>
      <c r="BD27" s="12">
        <f t="shared" si="36"/>
        <v>705.44</v>
      </c>
      <c r="BE27" s="26">
        <f t="shared" si="37"/>
        <v>-10.269999999999982</v>
      </c>
    </row>
    <row r="28" spans="1:57" ht="12.75">
      <c r="A28" s="9" t="s">
        <v>47</v>
      </c>
      <c r="B28" s="84">
        <v>347</v>
      </c>
      <c r="C28" s="108">
        <f t="shared" si="20"/>
        <v>3001.55</v>
      </c>
      <c r="D28" s="107">
        <f t="shared" si="21"/>
        <v>577.73</v>
      </c>
      <c r="E28" s="87">
        <v>203.44</v>
      </c>
      <c r="F28" s="87">
        <v>111.87</v>
      </c>
      <c r="G28" s="87">
        <v>76.63</v>
      </c>
      <c r="H28" s="87">
        <v>42.26</v>
      </c>
      <c r="I28" s="87">
        <v>662.16</v>
      </c>
      <c r="J28" s="87">
        <v>364.18</v>
      </c>
      <c r="K28" s="87">
        <v>458.71</v>
      </c>
      <c r="L28" s="87">
        <v>252.32</v>
      </c>
      <c r="M28" s="87">
        <v>162.76</v>
      </c>
      <c r="N28" s="87">
        <v>89.49</v>
      </c>
      <c r="O28" s="87">
        <v>0</v>
      </c>
      <c r="P28" s="92">
        <v>0</v>
      </c>
      <c r="Q28" s="92"/>
      <c r="R28" s="92"/>
      <c r="S28" s="71">
        <f t="shared" si="22"/>
        <v>1563.7</v>
      </c>
      <c r="T28" s="88">
        <f t="shared" si="23"/>
        <v>860.12</v>
      </c>
      <c r="U28" s="71">
        <v>183.01</v>
      </c>
      <c r="V28" s="71">
        <v>66.57</v>
      </c>
      <c r="W28" s="71">
        <v>594.81</v>
      </c>
      <c r="X28" s="71">
        <v>411.79</v>
      </c>
      <c r="Y28" s="71">
        <v>146.42</v>
      </c>
      <c r="Z28" s="89">
        <v>0</v>
      </c>
      <c r="AA28" s="89">
        <v>0</v>
      </c>
      <c r="AB28" s="89">
        <f>SUM(U28:AA28)</f>
        <v>1402.6</v>
      </c>
      <c r="AC28" s="91">
        <f t="shared" si="24"/>
        <v>2840.45</v>
      </c>
      <c r="AD28" s="82">
        <f t="shared" si="25"/>
        <v>0</v>
      </c>
      <c r="AE28" s="82">
        <f t="shared" si="26"/>
        <v>0</v>
      </c>
      <c r="AF28" s="82"/>
      <c r="AG28" s="14">
        <f t="shared" si="27"/>
        <v>208.2</v>
      </c>
      <c r="AH28" s="14">
        <f t="shared" si="28"/>
        <v>69.4</v>
      </c>
      <c r="AI28" s="14">
        <f t="shared" si="29"/>
        <v>347</v>
      </c>
      <c r="AJ28" s="14">
        <v>0</v>
      </c>
      <c r="AK28" s="14">
        <f t="shared" si="30"/>
        <v>340.06</v>
      </c>
      <c r="AL28" s="14">
        <v>0</v>
      </c>
      <c r="AM28" s="14">
        <f t="shared" si="31"/>
        <v>780.75</v>
      </c>
      <c r="AN28" s="14">
        <v>0</v>
      </c>
      <c r="AO28" s="14"/>
      <c r="AP28" s="14"/>
      <c r="AQ28" s="95"/>
      <c r="AR28" s="95"/>
      <c r="AS28" s="77"/>
      <c r="AT28" s="77">
        <f>500</f>
        <v>500</v>
      </c>
      <c r="AU28" s="77">
        <v>0</v>
      </c>
      <c r="AV28" s="96">
        <v>307</v>
      </c>
      <c r="AW28" s="111">
        <v>0.15</v>
      </c>
      <c r="AX28" s="14">
        <f t="shared" si="33"/>
        <v>64.47</v>
      </c>
      <c r="AY28" s="98"/>
      <c r="AZ28" s="99"/>
      <c r="BA28" s="99">
        <f t="shared" si="34"/>
        <v>0</v>
      </c>
      <c r="BB28" s="99">
        <f t="shared" si="35"/>
        <v>2309.8799999999997</v>
      </c>
      <c r="BC28" s="109"/>
      <c r="BD28" s="12">
        <f t="shared" si="36"/>
        <v>530.5700000000002</v>
      </c>
      <c r="BE28" s="26">
        <f t="shared" si="37"/>
        <v>-161.10000000000014</v>
      </c>
    </row>
    <row r="29" spans="1:57" ht="12.75">
      <c r="A29" s="9" t="s">
        <v>48</v>
      </c>
      <c r="B29" s="84">
        <v>347</v>
      </c>
      <c r="C29" s="108">
        <f t="shared" si="20"/>
        <v>3001.55</v>
      </c>
      <c r="D29" s="107">
        <f t="shared" si="21"/>
        <v>577.74</v>
      </c>
      <c r="E29" s="87">
        <v>203.44</v>
      </c>
      <c r="F29" s="87">
        <v>111.87</v>
      </c>
      <c r="G29" s="87">
        <v>76.63</v>
      </c>
      <c r="H29" s="87">
        <v>42.26</v>
      </c>
      <c r="I29" s="87">
        <v>662.16</v>
      </c>
      <c r="J29" s="87">
        <v>364.18</v>
      </c>
      <c r="K29" s="87">
        <v>458.7</v>
      </c>
      <c r="L29" s="87">
        <v>252.32</v>
      </c>
      <c r="M29" s="87">
        <v>162.76</v>
      </c>
      <c r="N29" s="87">
        <v>89.49</v>
      </c>
      <c r="O29" s="87">
        <v>0</v>
      </c>
      <c r="P29" s="92">
        <v>0</v>
      </c>
      <c r="Q29" s="92"/>
      <c r="R29" s="92"/>
      <c r="S29" s="71">
        <f t="shared" si="22"/>
        <v>1563.69</v>
      </c>
      <c r="T29" s="88">
        <f t="shared" si="23"/>
        <v>860.12</v>
      </c>
      <c r="U29" s="128">
        <v>160.09</v>
      </c>
      <c r="V29" s="128">
        <v>60.32</v>
      </c>
      <c r="W29" s="128">
        <v>521.09</v>
      </c>
      <c r="X29" s="128">
        <v>360.99</v>
      </c>
      <c r="Y29" s="128">
        <v>128.07</v>
      </c>
      <c r="Z29" s="129">
        <v>0</v>
      </c>
      <c r="AA29" s="129">
        <v>0</v>
      </c>
      <c r="AB29" s="89">
        <f aca="true" t="shared" si="38" ref="AB29:AB36">SUM(U29:AA29)</f>
        <v>1230.56</v>
      </c>
      <c r="AC29" s="91">
        <f t="shared" si="24"/>
        <v>2668.42</v>
      </c>
      <c r="AD29" s="82">
        <f t="shared" si="25"/>
        <v>0</v>
      </c>
      <c r="AE29" s="82">
        <f t="shared" si="26"/>
        <v>0</v>
      </c>
      <c r="AF29" s="82"/>
      <c r="AG29" s="14">
        <f t="shared" si="27"/>
        <v>208.2</v>
      </c>
      <c r="AH29" s="14">
        <f t="shared" si="28"/>
        <v>69.4</v>
      </c>
      <c r="AI29" s="14">
        <f t="shared" si="29"/>
        <v>347</v>
      </c>
      <c r="AJ29" s="14">
        <v>0</v>
      </c>
      <c r="AK29" s="14">
        <f t="shared" si="30"/>
        <v>340.06</v>
      </c>
      <c r="AL29" s="14">
        <v>0</v>
      </c>
      <c r="AM29" s="14">
        <f t="shared" si="31"/>
        <v>780.75</v>
      </c>
      <c r="AN29" s="14">
        <v>0</v>
      </c>
      <c r="AO29" s="14"/>
      <c r="AP29" s="14"/>
      <c r="AQ29" s="95"/>
      <c r="AR29" s="95"/>
      <c r="AS29" s="77"/>
      <c r="AT29" s="77"/>
      <c r="AU29" s="77">
        <f t="shared" si="32"/>
        <v>0</v>
      </c>
      <c r="AV29" s="96">
        <v>263</v>
      </c>
      <c r="AW29" s="111">
        <v>0.15</v>
      </c>
      <c r="AX29" s="14">
        <f t="shared" si="33"/>
        <v>55.22999999999999</v>
      </c>
      <c r="AY29" s="98"/>
      <c r="AZ29" s="99"/>
      <c r="BA29" s="99">
        <f t="shared" si="34"/>
        <v>0</v>
      </c>
      <c r="BB29" s="99">
        <f t="shared" si="35"/>
        <v>1800.6399999999999</v>
      </c>
      <c r="BC29" s="109"/>
      <c r="BD29" s="12">
        <f t="shared" si="36"/>
        <v>867.7800000000002</v>
      </c>
      <c r="BE29" s="26">
        <f t="shared" si="37"/>
        <v>-333.1300000000001</v>
      </c>
    </row>
    <row r="30" spans="1:57" ht="12.75">
      <c r="A30" s="9" t="s">
        <v>49</v>
      </c>
      <c r="B30" s="84">
        <v>347</v>
      </c>
      <c r="C30" s="108">
        <f t="shared" si="20"/>
        <v>3001.55</v>
      </c>
      <c r="D30" s="107">
        <f t="shared" si="21"/>
        <v>577.74</v>
      </c>
      <c r="E30" s="87">
        <v>203.44</v>
      </c>
      <c r="F30" s="87">
        <v>111.87</v>
      </c>
      <c r="G30" s="87">
        <v>76.63</v>
      </c>
      <c r="H30" s="87">
        <v>42.26</v>
      </c>
      <c r="I30" s="87">
        <v>662.16</v>
      </c>
      <c r="J30" s="87">
        <v>364.18</v>
      </c>
      <c r="K30" s="87">
        <v>458.7</v>
      </c>
      <c r="L30" s="87">
        <v>252.32</v>
      </c>
      <c r="M30" s="87">
        <v>162.76</v>
      </c>
      <c r="N30" s="87">
        <v>89.49</v>
      </c>
      <c r="O30" s="87">
        <v>0</v>
      </c>
      <c r="P30" s="92">
        <v>0</v>
      </c>
      <c r="Q30" s="87">
        <v>0</v>
      </c>
      <c r="R30" s="92">
        <v>0</v>
      </c>
      <c r="S30" s="71">
        <f t="shared" si="22"/>
        <v>1563.69</v>
      </c>
      <c r="T30" s="88">
        <f t="shared" si="23"/>
        <v>860.12</v>
      </c>
      <c r="U30" s="71">
        <v>203.83</v>
      </c>
      <c r="V30" s="71">
        <v>76.52</v>
      </c>
      <c r="W30" s="71">
        <v>663.43</v>
      </c>
      <c r="X30" s="71">
        <v>459.59</v>
      </c>
      <c r="Y30" s="71">
        <v>163.09</v>
      </c>
      <c r="Z30" s="89">
        <v>0</v>
      </c>
      <c r="AA30" s="89">
        <v>0</v>
      </c>
      <c r="AB30" s="89">
        <f t="shared" si="38"/>
        <v>1566.4599999999998</v>
      </c>
      <c r="AC30" s="91">
        <f t="shared" si="24"/>
        <v>3004.3199999999997</v>
      </c>
      <c r="AD30" s="82">
        <f t="shared" si="25"/>
        <v>0</v>
      </c>
      <c r="AE30" s="82">
        <f t="shared" si="26"/>
        <v>0</v>
      </c>
      <c r="AF30" s="82"/>
      <c r="AG30" s="14">
        <f t="shared" si="27"/>
        <v>208.2</v>
      </c>
      <c r="AH30" s="14">
        <f t="shared" si="28"/>
        <v>69.4</v>
      </c>
      <c r="AI30" s="14">
        <f t="shared" si="29"/>
        <v>347</v>
      </c>
      <c r="AJ30" s="14">
        <v>0</v>
      </c>
      <c r="AK30" s="14">
        <f t="shared" si="30"/>
        <v>340.06</v>
      </c>
      <c r="AL30" s="14">
        <v>0</v>
      </c>
      <c r="AM30" s="14">
        <f t="shared" si="31"/>
        <v>780.75</v>
      </c>
      <c r="AN30" s="14">
        <v>0</v>
      </c>
      <c r="AO30" s="14"/>
      <c r="AP30" s="14"/>
      <c r="AQ30" s="95"/>
      <c r="AR30" s="95"/>
      <c r="AS30" s="77"/>
      <c r="AT30" s="77"/>
      <c r="AU30" s="77">
        <f t="shared" si="32"/>
        <v>0</v>
      </c>
      <c r="AV30" s="96">
        <v>233</v>
      </c>
      <c r="AW30" s="111">
        <v>0.15</v>
      </c>
      <c r="AX30" s="14">
        <f t="shared" si="33"/>
        <v>48.92999999999999</v>
      </c>
      <c r="AY30" s="98"/>
      <c r="AZ30" s="99"/>
      <c r="BA30" s="99">
        <f t="shared" si="34"/>
        <v>0</v>
      </c>
      <c r="BB30" s="99">
        <f t="shared" si="35"/>
        <v>1794.3400000000001</v>
      </c>
      <c r="BC30" s="109"/>
      <c r="BD30" s="12">
        <f t="shared" si="36"/>
        <v>1209.9799999999996</v>
      </c>
      <c r="BE30" s="26">
        <f t="shared" si="37"/>
        <v>2.7699999999997544</v>
      </c>
    </row>
    <row r="31" spans="1:57" ht="12.75">
      <c r="A31" s="9" t="s">
        <v>50</v>
      </c>
      <c r="B31" s="84">
        <v>347</v>
      </c>
      <c r="C31" s="108">
        <f t="shared" si="20"/>
        <v>3001.55</v>
      </c>
      <c r="D31" s="107">
        <f t="shared" si="21"/>
        <v>560.6399999999999</v>
      </c>
      <c r="E31" s="127">
        <v>317.59</v>
      </c>
      <c r="F31" s="87">
        <v>0</v>
      </c>
      <c r="G31" s="87">
        <v>119.57</v>
      </c>
      <c r="H31" s="87">
        <v>0</v>
      </c>
      <c r="I31" s="87">
        <v>1033.64</v>
      </c>
      <c r="J31" s="87">
        <v>0</v>
      </c>
      <c r="K31" s="87">
        <v>716.04</v>
      </c>
      <c r="L31" s="87">
        <v>0</v>
      </c>
      <c r="M31" s="87">
        <v>254.07</v>
      </c>
      <c r="N31" s="87">
        <v>0</v>
      </c>
      <c r="O31" s="87">
        <v>0</v>
      </c>
      <c r="P31" s="92">
        <v>0</v>
      </c>
      <c r="Q31" s="92"/>
      <c r="R31" s="92"/>
      <c r="S31" s="71">
        <f t="shared" si="22"/>
        <v>2440.9100000000003</v>
      </c>
      <c r="T31" s="88">
        <f t="shared" si="23"/>
        <v>0</v>
      </c>
      <c r="U31" s="73">
        <v>247.53</v>
      </c>
      <c r="V31" s="71">
        <v>92.99</v>
      </c>
      <c r="W31" s="71">
        <v>805.65</v>
      </c>
      <c r="X31" s="71">
        <v>558.1</v>
      </c>
      <c r="Y31" s="71">
        <v>198.02</v>
      </c>
      <c r="Z31" s="89">
        <v>0</v>
      </c>
      <c r="AA31" s="89">
        <v>0</v>
      </c>
      <c r="AB31" s="89">
        <f t="shared" si="38"/>
        <v>1902.29</v>
      </c>
      <c r="AC31" s="91">
        <f t="shared" si="24"/>
        <v>2462.93</v>
      </c>
      <c r="AD31" s="82">
        <f t="shared" si="25"/>
        <v>0</v>
      </c>
      <c r="AE31" s="82">
        <f t="shared" si="26"/>
        <v>0</v>
      </c>
      <c r="AF31" s="82"/>
      <c r="AG31" s="14">
        <f t="shared" si="27"/>
        <v>208.2</v>
      </c>
      <c r="AH31" s="14">
        <f t="shared" si="28"/>
        <v>69.4</v>
      </c>
      <c r="AI31" s="14">
        <f t="shared" si="29"/>
        <v>347</v>
      </c>
      <c r="AJ31" s="14">
        <v>0</v>
      </c>
      <c r="AK31" s="14">
        <f t="shared" si="30"/>
        <v>340.06</v>
      </c>
      <c r="AL31" s="14">
        <v>0</v>
      </c>
      <c r="AM31" s="14">
        <f t="shared" si="31"/>
        <v>780.75</v>
      </c>
      <c r="AN31" s="14">
        <v>0</v>
      </c>
      <c r="AO31" s="14"/>
      <c r="AP31" s="14"/>
      <c r="AQ31" s="95"/>
      <c r="AR31" s="95"/>
      <c r="AS31" s="77"/>
      <c r="AT31" s="77"/>
      <c r="AU31" s="77">
        <f t="shared" si="32"/>
        <v>0</v>
      </c>
      <c r="AV31" s="96">
        <v>248</v>
      </c>
      <c r="AW31" s="111">
        <v>0.15</v>
      </c>
      <c r="AX31" s="14">
        <f t="shared" si="33"/>
        <v>52.07999999999999</v>
      </c>
      <c r="AY31" s="98"/>
      <c r="AZ31" s="99"/>
      <c r="BA31" s="99">
        <f t="shared" si="34"/>
        <v>0</v>
      </c>
      <c r="BB31" s="99">
        <f t="shared" si="35"/>
        <v>1797.49</v>
      </c>
      <c r="BC31" s="109"/>
      <c r="BD31" s="12">
        <f t="shared" si="36"/>
        <v>665.4399999999998</v>
      </c>
      <c r="BE31" s="26">
        <f t="shared" si="37"/>
        <v>-538.6200000000003</v>
      </c>
    </row>
    <row r="32" spans="1:57" ht="12.75">
      <c r="A32" s="9" t="s">
        <v>51</v>
      </c>
      <c r="B32" s="84">
        <v>347</v>
      </c>
      <c r="C32" s="108">
        <f t="shared" si="20"/>
        <v>3001.55</v>
      </c>
      <c r="D32" s="107">
        <f t="shared" si="21"/>
        <v>560.6399999999999</v>
      </c>
      <c r="E32" s="127">
        <v>317.59</v>
      </c>
      <c r="F32" s="87">
        <v>0</v>
      </c>
      <c r="G32" s="87">
        <v>119.57</v>
      </c>
      <c r="H32" s="87">
        <v>0</v>
      </c>
      <c r="I32" s="87">
        <v>1033.64</v>
      </c>
      <c r="J32" s="87">
        <v>0</v>
      </c>
      <c r="K32" s="87">
        <v>716.04</v>
      </c>
      <c r="L32" s="87">
        <v>0</v>
      </c>
      <c r="M32" s="87">
        <v>254.07</v>
      </c>
      <c r="N32" s="87">
        <v>0</v>
      </c>
      <c r="O32" s="87">
        <v>0</v>
      </c>
      <c r="P32" s="92">
        <v>0</v>
      </c>
      <c r="Q32" s="92"/>
      <c r="R32" s="92"/>
      <c r="S32" s="71">
        <f t="shared" si="22"/>
        <v>2440.9100000000003</v>
      </c>
      <c r="T32" s="88">
        <f t="shared" si="23"/>
        <v>0</v>
      </c>
      <c r="U32" s="128">
        <v>316.8</v>
      </c>
      <c r="V32" s="128">
        <v>119.27</v>
      </c>
      <c r="W32" s="128">
        <v>1031.08</v>
      </c>
      <c r="X32" s="128">
        <v>714.28</v>
      </c>
      <c r="Y32" s="128">
        <v>253.44</v>
      </c>
      <c r="Z32" s="129">
        <v>0</v>
      </c>
      <c r="AA32" s="129">
        <v>0</v>
      </c>
      <c r="AB32" s="89">
        <f t="shared" si="38"/>
        <v>2434.87</v>
      </c>
      <c r="AC32" s="91">
        <f t="shared" si="24"/>
        <v>2995.5099999999998</v>
      </c>
      <c r="AD32" s="82">
        <f t="shared" si="25"/>
        <v>0</v>
      </c>
      <c r="AE32" s="82">
        <f t="shared" si="26"/>
        <v>0</v>
      </c>
      <c r="AF32" s="82"/>
      <c r="AG32" s="14">
        <f t="shared" si="27"/>
        <v>208.2</v>
      </c>
      <c r="AH32" s="14">
        <f t="shared" si="28"/>
        <v>69.4</v>
      </c>
      <c r="AI32" s="14">
        <f t="shared" si="29"/>
        <v>347</v>
      </c>
      <c r="AJ32" s="14">
        <v>0</v>
      </c>
      <c r="AK32" s="14">
        <f t="shared" si="30"/>
        <v>340.06</v>
      </c>
      <c r="AL32" s="14">
        <v>0</v>
      </c>
      <c r="AM32" s="14">
        <f t="shared" si="31"/>
        <v>780.75</v>
      </c>
      <c r="AN32" s="14">
        <v>0</v>
      </c>
      <c r="AO32" s="14"/>
      <c r="AP32" s="14"/>
      <c r="AQ32" s="95"/>
      <c r="AR32" s="95"/>
      <c r="AS32" s="77"/>
      <c r="AT32" s="77">
        <f>47.8</f>
        <v>47.8</v>
      </c>
      <c r="AU32" s="77">
        <v>0</v>
      </c>
      <c r="AV32" s="96">
        <v>293</v>
      </c>
      <c r="AW32" s="111">
        <v>0.15</v>
      </c>
      <c r="AX32" s="14">
        <f t="shared" si="33"/>
        <v>61.52999999999999</v>
      </c>
      <c r="AY32" s="98"/>
      <c r="AZ32" s="99"/>
      <c r="BA32" s="99">
        <f t="shared" si="34"/>
        <v>0</v>
      </c>
      <c r="BB32" s="99">
        <f t="shared" si="35"/>
        <v>1854.7400000000002</v>
      </c>
      <c r="BC32" s="109"/>
      <c r="BD32" s="12">
        <f t="shared" si="36"/>
        <v>1140.7699999999995</v>
      </c>
      <c r="BE32" s="26">
        <f t="shared" si="37"/>
        <v>-6.040000000000418</v>
      </c>
    </row>
    <row r="33" spans="1:57" ht="12.75">
      <c r="A33" s="9" t="s">
        <v>52</v>
      </c>
      <c r="B33" s="84">
        <v>347</v>
      </c>
      <c r="C33" s="108">
        <f t="shared" si="20"/>
        <v>3001.55</v>
      </c>
      <c r="D33" s="107">
        <f t="shared" si="21"/>
        <v>560.6399999999999</v>
      </c>
      <c r="E33" s="87">
        <v>317.59</v>
      </c>
      <c r="F33" s="87">
        <v>0</v>
      </c>
      <c r="G33" s="87">
        <v>119.57</v>
      </c>
      <c r="H33" s="87">
        <v>0</v>
      </c>
      <c r="I33" s="87">
        <v>1033.64</v>
      </c>
      <c r="J33" s="87">
        <v>0</v>
      </c>
      <c r="K33" s="87">
        <v>716.04</v>
      </c>
      <c r="L33" s="87">
        <v>0</v>
      </c>
      <c r="M33" s="87">
        <v>254.07</v>
      </c>
      <c r="N33" s="87">
        <v>0</v>
      </c>
      <c r="O33" s="87">
        <v>0</v>
      </c>
      <c r="P33" s="92">
        <v>0</v>
      </c>
      <c r="Q33" s="92"/>
      <c r="R33" s="92"/>
      <c r="S33" s="71">
        <f t="shared" si="22"/>
        <v>2440.9100000000003</v>
      </c>
      <c r="T33" s="88">
        <f t="shared" si="23"/>
        <v>0</v>
      </c>
      <c r="U33" s="71">
        <v>317.25</v>
      </c>
      <c r="V33" s="71">
        <v>119.86</v>
      </c>
      <c r="W33" s="71">
        <v>1036.06</v>
      </c>
      <c r="X33" s="71">
        <v>717.69</v>
      </c>
      <c r="Y33" s="71">
        <v>254.67</v>
      </c>
      <c r="Z33" s="89">
        <v>0</v>
      </c>
      <c r="AA33" s="89">
        <v>0</v>
      </c>
      <c r="AB33" s="89">
        <f t="shared" si="38"/>
        <v>2445.53</v>
      </c>
      <c r="AC33" s="91">
        <f t="shared" si="24"/>
        <v>3006.17</v>
      </c>
      <c r="AD33" s="82">
        <f t="shared" si="25"/>
        <v>0</v>
      </c>
      <c r="AE33" s="82">
        <f t="shared" si="26"/>
        <v>0</v>
      </c>
      <c r="AF33" s="82"/>
      <c r="AG33" s="14">
        <f t="shared" si="27"/>
        <v>208.2</v>
      </c>
      <c r="AH33" s="14">
        <f t="shared" si="28"/>
        <v>69.4</v>
      </c>
      <c r="AI33" s="14">
        <f t="shared" si="29"/>
        <v>347</v>
      </c>
      <c r="AJ33" s="14">
        <v>0</v>
      </c>
      <c r="AK33" s="14">
        <f t="shared" si="30"/>
        <v>340.06</v>
      </c>
      <c r="AL33" s="14">
        <v>0</v>
      </c>
      <c r="AM33" s="14">
        <f t="shared" si="31"/>
        <v>780.75</v>
      </c>
      <c r="AN33" s="14">
        <v>0</v>
      </c>
      <c r="AO33" s="14"/>
      <c r="AP33" s="14"/>
      <c r="AQ33" s="95"/>
      <c r="AR33" s="95"/>
      <c r="AS33" s="77"/>
      <c r="AT33" s="77"/>
      <c r="AU33" s="130">
        <f t="shared" si="32"/>
        <v>0</v>
      </c>
      <c r="AV33" s="96">
        <v>349</v>
      </c>
      <c r="AW33" s="111">
        <v>0.15</v>
      </c>
      <c r="AX33" s="14">
        <f t="shared" si="33"/>
        <v>73.28999999999999</v>
      </c>
      <c r="AY33" s="98"/>
      <c r="AZ33" s="99"/>
      <c r="BA33" s="99">
        <f t="shared" si="34"/>
        <v>0</v>
      </c>
      <c r="BB33" s="99">
        <f t="shared" si="35"/>
        <v>1818.6999999999998</v>
      </c>
      <c r="BC33" s="109"/>
      <c r="BD33" s="12">
        <f t="shared" si="36"/>
        <v>1187.4700000000003</v>
      </c>
      <c r="BE33" s="26">
        <f t="shared" si="37"/>
        <v>4.619999999999891</v>
      </c>
    </row>
    <row r="34" spans="1:57" ht="12.75">
      <c r="A34" s="9" t="s">
        <v>40</v>
      </c>
      <c r="B34" s="84">
        <v>347</v>
      </c>
      <c r="C34" s="108">
        <f t="shared" si="20"/>
        <v>3001.55</v>
      </c>
      <c r="D34" s="107">
        <f t="shared" si="21"/>
        <v>560.6399999999999</v>
      </c>
      <c r="E34" s="103">
        <v>317.59</v>
      </c>
      <c r="F34" s="103">
        <v>0</v>
      </c>
      <c r="G34" s="103">
        <v>119.57</v>
      </c>
      <c r="H34" s="103">
        <v>0</v>
      </c>
      <c r="I34" s="103">
        <v>1033.64</v>
      </c>
      <c r="J34" s="103">
        <v>0</v>
      </c>
      <c r="K34" s="103">
        <v>716.04</v>
      </c>
      <c r="L34" s="103">
        <v>0</v>
      </c>
      <c r="M34" s="103">
        <v>254.07</v>
      </c>
      <c r="N34" s="103">
        <v>0</v>
      </c>
      <c r="O34" s="103">
        <v>0</v>
      </c>
      <c r="P34" s="104">
        <v>0</v>
      </c>
      <c r="Q34" s="104"/>
      <c r="R34" s="104"/>
      <c r="S34" s="71">
        <f t="shared" si="22"/>
        <v>2440.9100000000003</v>
      </c>
      <c r="T34" s="88">
        <f t="shared" si="23"/>
        <v>0</v>
      </c>
      <c r="U34" s="71">
        <v>318.88</v>
      </c>
      <c r="V34" s="71">
        <v>119.63</v>
      </c>
      <c r="W34" s="71">
        <v>1034.31</v>
      </c>
      <c r="X34" s="71">
        <v>716.52</v>
      </c>
      <c r="Y34" s="71">
        <v>254.24</v>
      </c>
      <c r="Z34" s="89">
        <v>0</v>
      </c>
      <c r="AA34" s="89">
        <v>0</v>
      </c>
      <c r="AB34" s="89">
        <f t="shared" si="38"/>
        <v>2443.58</v>
      </c>
      <c r="AC34" s="91">
        <f t="shared" si="24"/>
        <v>3004.22</v>
      </c>
      <c r="AD34" s="82">
        <f t="shared" si="25"/>
        <v>0</v>
      </c>
      <c r="AE34" s="82">
        <f t="shared" si="26"/>
        <v>0</v>
      </c>
      <c r="AF34" s="82"/>
      <c r="AG34" s="14">
        <f t="shared" si="27"/>
        <v>208.2</v>
      </c>
      <c r="AH34" s="14">
        <f t="shared" si="28"/>
        <v>69.4</v>
      </c>
      <c r="AI34" s="14">
        <f t="shared" si="29"/>
        <v>347</v>
      </c>
      <c r="AJ34" s="14">
        <v>0</v>
      </c>
      <c r="AK34" s="14">
        <f t="shared" si="30"/>
        <v>340.06</v>
      </c>
      <c r="AL34" s="14">
        <v>0</v>
      </c>
      <c r="AM34" s="14">
        <f t="shared" si="31"/>
        <v>780.75</v>
      </c>
      <c r="AN34" s="14">
        <v>0</v>
      </c>
      <c r="AO34" s="14"/>
      <c r="AP34" s="14"/>
      <c r="AQ34" s="95"/>
      <c r="AR34" s="95"/>
      <c r="AS34" s="77"/>
      <c r="AT34" s="77"/>
      <c r="AU34" s="77">
        <f t="shared" si="32"/>
        <v>0</v>
      </c>
      <c r="AV34" s="96">
        <v>425</v>
      </c>
      <c r="AW34" s="111">
        <v>0.15</v>
      </c>
      <c r="AX34" s="14">
        <f t="shared" si="33"/>
        <v>89.25</v>
      </c>
      <c r="AY34" s="98"/>
      <c r="AZ34" s="99"/>
      <c r="BA34" s="99">
        <f t="shared" si="34"/>
        <v>0</v>
      </c>
      <c r="BB34" s="99">
        <f t="shared" si="35"/>
        <v>1834.6599999999999</v>
      </c>
      <c r="BC34" s="109"/>
      <c r="BD34" s="12">
        <f t="shared" si="36"/>
        <v>1169.56</v>
      </c>
      <c r="BE34" s="26">
        <f t="shared" si="37"/>
        <v>2.669999999999618</v>
      </c>
    </row>
    <row r="35" spans="1:57" ht="12.75">
      <c r="A35" s="9" t="s">
        <v>41</v>
      </c>
      <c r="B35" s="84">
        <v>347</v>
      </c>
      <c r="C35" s="108">
        <f t="shared" si="20"/>
        <v>3001.55</v>
      </c>
      <c r="D35" s="107">
        <f t="shared" si="21"/>
        <v>560.6399999999999</v>
      </c>
      <c r="E35" s="87">
        <v>317.59</v>
      </c>
      <c r="F35" s="87">
        <v>0</v>
      </c>
      <c r="G35" s="87">
        <v>119.57</v>
      </c>
      <c r="H35" s="87">
        <v>0</v>
      </c>
      <c r="I35" s="87">
        <v>1033.64</v>
      </c>
      <c r="J35" s="87">
        <v>0</v>
      </c>
      <c r="K35" s="87">
        <v>716.04</v>
      </c>
      <c r="L35" s="87">
        <v>0</v>
      </c>
      <c r="M35" s="87">
        <v>254.07</v>
      </c>
      <c r="N35" s="87">
        <v>0</v>
      </c>
      <c r="O35" s="87">
        <v>0</v>
      </c>
      <c r="P35" s="92">
        <v>0</v>
      </c>
      <c r="Q35" s="92"/>
      <c r="R35" s="92"/>
      <c r="S35" s="71">
        <f t="shared" si="22"/>
        <v>2440.9100000000003</v>
      </c>
      <c r="T35" s="88">
        <f t="shared" si="23"/>
        <v>0</v>
      </c>
      <c r="U35" s="73">
        <v>317.59</v>
      </c>
      <c r="V35" s="71">
        <v>119.57</v>
      </c>
      <c r="W35" s="71">
        <v>1029.5</v>
      </c>
      <c r="X35" s="71">
        <v>713.18</v>
      </c>
      <c r="Y35" s="71">
        <v>253.04</v>
      </c>
      <c r="Z35" s="89">
        <v>0</v>
      </c>
      <c r="AA35" s="89">
        <v>0</v>
      </c>
      <c r="AB35" s="89">
        <f t="shared" si="38"/>
        <v>2432.8799999999997</v>
      </c>
      <c r="AC35" s="91">
        <f t="shared" si="24"/>
        <v>2993.5199999999995</v>
      </c>
      <c r="AD35" s="82">
        <f t="shared" si="25"/>
        <v>0</v>
      </c>
      <c r="AE35" s="82">
        <f t="shared" si="26"/>
        <v>0</v>
      </c>
      <c r="AF35" s="82"/>
      <c r="AG35" s="14">
        <f t="shared" si="27"/>
        <v>208.2</v>
      </c>
      <c r="AH35" s="14">
        <f t="shared" si="28"/>
        <v>69.4</v>
      </c>
      <c r="AI35" s="14">
        <f t="shared" si="29"/>
        <v>347</v>
      </c>
      <c r="AJ35" s="14">
        <v>0</v>
      </c>
      <c r="AK35" s="14">
        <f t="shared" si="30"/>
        <v>340.06</v>
      </c>
      <c r="AL35" s="14">
        <v>0</v>
      </c>
      <c r="AM35" s="14">
        <f t="shared" si="31"/>
        <v>780.75</v>
      </c>
      <c r="AN35" s="14">
        <v>0</v>
      </c>
      <c r="AO35" s="14"/>
      <c r="AP35" s="14"/>
      <c r="AQ35" s="95"/>
      <c r="AR35" s="95"/>
      <c r="AS35" s="77"/>
      <c r="AT35" s="77"/>
      <c r="AU35" s="77">
        <f t="shared" si="32"/>
        <v>0</v>
      </c>
      <c r="AV35" s="96">
        <v>470</v>
      </c>
      <c r="AW35" s="111">
        <v>0.15</v>
      </c>
      <c r="AX35" s="14">
        <f t="shared" si="33"/>
        <v>98.69999999999999</v>
      </c>
      <c r="AY35" s="98"/>
      <c r="AZ35" s="99"/>
      <c r="BA35" s="99">
        <f t="shared" si="34"/>
        <v>0</v>
      </c>
      <c r="BB35" s="99">
        <f t="shared" si="35"/>
        <v>1844.1099999999997</v>
      </c>
      <c r="BC35" s="109"/>
      <c r="BD35" s="12">
        <f t="shared" si="36"/>
        <v>1149.4099999999999</v>
      </c>
      <c r="BE35" s="26">
        <f t="shared" si="37"/>
        <v>-8.030000000000655</v>
      </c>
    </row>
    <row r="36" spans="1:57" ht="12.75">
      <c r="A36" s="9" t="s">
        <v>42</v>
      </c>
      <c r="B36" s="84">
        <v>347</v>
      </c>
      <c r="C36" s="108">
        <f t="shared" si="20"/>
        <v>3001.55</v>
      </c>
      <c r="D36" s="107">
        <f t="shared" si="21"/>
        <v>560.6399999999999</v>
      </c>
      <c r="E36" s="87">
        <v>317.59</v>
      </c>
      <c r="F36" s="87">
        <v>0</v>
      </c>
      <c r="G36" s="87">
        <v>119.57</v>
      </c>
      <c r="H36" s="87">
        <v>0</v>
      </c>
      <c r="I36" s="87">
        <v>1033.64</v>
      </c>
      <c r="J36" s="87">
        <v>0</v>
      </c>
      <c r="K36" s="87">
        <v>716.04</v>
      </c>
      <c r="L36" s="87">
        <v>0</v>
      </c>
      <c r="M36" s="87">
        <v>254.07</v>
      </c>
      <c r="N36" s="87">
        <v>0</v>
      </c>
      <c r="O36" s="87">
        <v>0</v>
      </c>
      <c r="P36" s="92">
        <v>0</v>
      </c>
      <c r="Q36" s="92"/>
      <c r="R36" s="92"/>
      <c r="S36" s="71">
        <f t="shared" si="22"/>
        <v>2440.9100000000003</v>
      </c>
      <c r="T36" s="88">
        <f t="shared" si="23"/>
        <v>0</v>
      </c>
      <c r="U36" s="71">
        <v>316.69</v>
      </c>
      <c r="V36" s="71">
        <v>119.23</v>
      </c>
      <c r="W36" s="71">
        <v>1034.83</v>
      </c>
      <c r="X36" s="71">
        <v>716.86</v>
      </c>
      <c r="Y36" s="71">
        <v>254.37</v>
      </c>
      <c r="Z36" s="89">
        <v>0</v>
      </c>
      <c r="AA36" s="89">
        <v>0</v>
      </c>
      <c r="AB36" s="89">
        <f t="shared" si="38"/>
        <v>2441.98</v>
      </c>
      <c r="AC36" s="91">
        <f t="shared" si="24"/>
        <v>3002.62</v>
      </c>
      <c r="AD36" s="82">
        <f t="shared" si="25"/>
        <v>0</v>
      </c>
      <c r="AE36" s="82">
        <f t="shared" si="26"/>
        <v>0</v>
      </c>
      <c r="AF36" s="82"/>
      <c r="AG36" s="14">
        <f t="shared" si="27"/>
        <v>208.2</v>
      </c>
      <c r="AH36" s="14">
        <f t="shared" si="28"/>
        <v>69.4</v>
      </c>
      <c r="AI36" s="14">
        <f t="shared" si="29"/>
        <v>347</v>
      </c>
      <c r="AJ36" s="14">
        <v>0</v>
      </c>
      <c r="AK36" s="14">
        <f t="shared" si="30"/>
        <v>340.06</v>
      </c>
      <c r="AL36" s="14">
        <v>0</v>
      </c>
      <c r="AM36" s="14">
        <f t="shared" si="31"/>
        <v>780.75</v>
      </c>
      <c r="AN36" s="14">
        <v>0</v>
      </c>
      <c r="AO36" s="14"/>
      <c r="AP36" s="14"/>
      <c r="AQ36" s="95"/>
      <c r="AR36" s="95"/>
      <c r="AS36" s="77"/>
      <c r="AT36" s="77"/>
      <c r="AU36" s="77">
        <f t="shared" si="32"/>
        <v>0</v>
      </c>
      <c r="AV36" s="96">
        <v>514</v>
      </c>
      <c r="AW36" s="111">
        <v>0.15</v>
      </c>
      <c r="AX36" s="14">
        <f t="shared" si="33"/>
        <v>107.93999999999998</v>
      </c>
      <c r="AY36" s="98"/>
      <c r="AZ36" s="99"/>
      <c r="BA36" s="99">
        <f t="shared" si="34"/>
        <v>0</v>
      </c>
      <c r="BB36" s="99">
        <f t="shared" si="35"/>
        <v>1853.35</v>
      </c>
      <c r="BC36" s="109"/>
      <c r="BD36" s="12">
        <f t="shared" si="36"/>
        <v>1149.27</v>
      </c>
      <c r="BE36" s="26">
        <f t="shared" si="37"/>
        <v>1.069999999999709</v>
      </c>
    </row>
    <row r="37" spans="1:57" s="18" customFormat="1" ht="12.75">
      <c r="A37" s="15" t="s">
        <v>5</v>
      </c>
      <c r="B37" s="51"/>
      <c r="C37" s="51">
        <f aca="true" t="shared" si="39" ref="C37:AU37">SUM(C25:C36)</f>
        <v>36018.6</v>
      </c>
      <c r="D37" s="51">
        <f t="shared" si="39"/>
        <v>6830.239999999998</v>
      </c>
      <c r="E37" s="48">
        <f t="shared" si="39"/>
        <v>3126.1800000000003</v>
      </c>
      <c r="F37" s="48">
        <f t="shared" si="39"/>
        <v>671.22</v>
      </c>
      <c r="G37" s="48">
        <f t="shared" si="39"/>
        <v>1177.1999999999996</v>
      </c>
      <c r="H37" s="48">
        <f t="shared" si="39"/>
        <v>253.55999999999997</v>
      </c>
      <c r="I37" s="48">
        <f t="shared" si="39"/>
        <v>10174.8</v>
      </c>
      <c r="J37" s="48">
        <f t="shared" si="39"/>
        <v>2185.08</v>
      </c>
      <c r="K37" s="48">
        <f t="shared" si="39"/>
        <v>7048.48</v>
      </c>
      <c r="L37" s="48">
        <f t="shared" si="39"/>
        <v>1513.9199999999998</v>
      </c>
      <c r="M37" s="48">
        <f t="shared" si="39"/>
        <v>2500.98</v>
      </c>
      <c r="N37" s="48">
        <f t="shared" si="39"/>
        <v>536.9399999999999</v>
      </c>
      <c r="O37" s="48">
        <f t="shared" si="39"/>
        <v>0</v>
      </c>
      <c r="P37" s="48">
        <f t="shared" si="39"/>
        <v>0</v>
      </c>
      <c r="Q37" s="48">
        <f t="shared" si="39"/>
        <v>0</v>
      </c>
      <c r="R37" s="48">
        <f t="shared" si="39"/>
        <v>0</v>
      </c>
      <c r="S37" s="48">
        <f t="shared" si="39"/>
        <v>24027.64</v>
      </c>
      <c r="T37" s="48">
        <f t="shared" si="39"/>
        <v>5160.72</v>
      </c>
      <c r="U37" s="52">
        <f t="shared" si="39"/>
        <v>2990.9300000000003</v>
      </c>
      <c r="V37" s="52">
        <f t="shared" si="39"/>
        <v>1123.46</v>
      </c>
      <c r="W37" s="52">
        <f t="shared" si="39"/>
        <v>9733.72</v>
      </c>
      <c r="X37" s="52">
        <f t="shared" si="39"/>
        <v>6742.690000000001</v>
      </c>
      <c r="Y37" s="52">
        <f t="shared" si="39"/>
        <v>2392.78</v>
      </c>
      <c r="Z37" s="52">
        <f t="shared" si="39"/>
        <v>0</v>
      </c>
      <c r="AA37" s="52">
        <f t="shared" si="39"/>
        <v>0</v>
      </c>
      <c r="AB37" s="52">
        <f t="shared" si="39"/>
        <v>22983.579999999998</v>
      </c>
      <c r="AC37" s="52">
        <f t="shared" si="39"/>
        <v>34974.54</v>
      </c>
      <c r="AD37" s="52">
        <f t="shared" si="39"/>
        <v>0</v>
      </c>
      <c r="AE37" s="80">
        <f t="shared" si="39"/>
        <v>0</v>
      </c>
      <c r="AF37" s="80">
        <f t="shared" si="39"/>
        <v>0</v>
      </c>
      <c r="AG37" s="16">
        <f t="shared" si="39"/>
        <v>2498.3999999999996</v>
      </c>
      <c r="AH37" s="16">
        <f t="shared" si="39"/>
        <v>832.7999999999998</v>
      </c>
      <c r="AI37" s="16">
        <f t="shared" si="39"/>
        <v>4164</v>
      </c>
      <c r="AJ37" s="16">
        <f t="shared" si="39"/>
        <v>0</v>
      </c>
      <c r="AK37" s="16">
        <f t="shared" si="39"/>
        <v>4080.72</v>
      </c>
      <c r="AL37" s="16">
        <f t="shared" si="39"/>
        <v>0</v>
      </c>
      <c r="AM37" s="16">
        <f t="shared" si="39"/>
        <v>9369</v>
      </c>
      <c r="AN37" s="16">
        <f t="shared" si="39"/>
        <v>0</v>
      </c>
      <c r="AO37" s="16">
        <f t="shared" si="39"/>
        <v>0</v>
      </c>
      <c r="AP37" s="16">
        <f t="shared" si="39"/>
        <v>0</v>
      </c>
      <c r="AQ37" s="16">
        <f t="shared" si="39"/>
        <v>0</v>
      </c>
      <c r="AR37" s="16">
        <f t="shared" si="39"/>
        <v>0</v>
      </c>
      <c r="AS37" s="16">
        <f t="shared" si="39"/>
        <v>460</v>
      </c>
      <c r="AT37" s="16">
        <f t="shared" si="39"/>
        <v>547.8</v>
      </c>
      <c r="AU37" s="16">
        <f t="shared" si="39"/>
        <v>0</v>
      </c>
      <c r="AV37" s="16"/>
      <c r="AW37" s="16"/>
      <c r="AX37" s="16">
        <f aca="true" t="shared" si="40" ref="AX37:BE37">SUM(AX25:AX36)</f>
        <v>923.9999999999999</v>
      </c>
      <c r="AY37" s="16">
        <f t="shared" si="40"/>
        <v>0</v>
      </c>
      <c r="AZ37" s="16">
        <f t="shared" si="40"/>
        <v>0</v>
      </c>
      <c r="BA37" s="16">
        <f t="shared" si="40"/>
        <v>0</v>
      </c>
      <c r="BB37" s="16">
        <f t="shared" si="40"/>
        <v>22876.719999999998</v>
      </c>
      <c r="BC37" s="16">
        <f t="shared" si="40"/>
        <v>0</v>
      </c>
      <c r="BD37" s="16">
        <f t="shared" si="40"/>
        <v>12097.82</v>
      </c>
      <c r="BE37" s="17">
        <f t="shared" si="40"/>
        <v>-1044.060000000003</v>
      </c>
    </row>
    <row r="38" spans="1:57" ht="12.75">
      <c r="A38" s="9"/>
      <c r="B38" s="10"/>
      <c r="C38" s="11"/>
      <c r="D38" s="11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/>
      <c r="T38" s="42"/>
      <c r="U38" s="44"/>
      <c r="V38" s="44"/>
      <c r="W38" s="44"/>
      <c r="X38" s="44"/>
      <c r="Y38" s="44"/>
      <c r="Z38" s="44"/>
      <c r="AA38" s="44"/>
      <c r="AB38" s="44"/>
      <c r="AC38" s="81"/>
      <c r="AD38" s="81"/>
      <c r="AE38" s="82"/>
      <c r="AF38" s="82"/>
      <c r="AG38" s="14"/>
      <c r="AH38" s="14"/>
      <c r="AI38" s="14"/>
      <c r="AJ38" s="14"/>
      <c r="AK38" s="14"/>
      <c r="AL38" s="14"/>
      <c r="AM38" s="14"/>
      <c r="AN38" s="14"/>
      <c r="AO38" s="13"/>
      <c r="AP38" s="13"/>
      <c r="AQ38" s="13"/>
      <c r="AR38" s="13"/>
      <c r="AS38" s="76"/>
      <c r="AT38" s="76"/>
      <c r="AU38" s="77"/>
      <c r="AV38" s="77"/>
      <c r="AW38" s="77"/>
      <c r="AX38" s="19"/>
      <c r="AY38" s="13"/>
      <c r="AZ38" s="13"/>
      <c r="BA38" s="14"/>
      <c r="BB38" s="14"/>
      <c r="BC38" s="14"/>
      <c r="BD38" s="14"/>
      <c r="BE38" s="8"/>
    </row>
    <row r="39" spans="1:57" s="18" customFormat="1" ht="13.5" thickBot="1">
      <c r="A39" s="20" t="s">
        <v>53</v>
      </c>
      <c r="B39" s="21"/>
      <c r="C39" s="21">
        <f aca="true" t="shared" si="41" ref="C39:BC39">C37+C23</f>
        <v>72037.2</v>
      </c>
      <c r="D39" s="21">
        <f t="shared" si="41"/>
        <v>12971.224999999997</v>
      </c>
      <c r="E39" s="21">
        <f t="shared" si="41"/>
        <v>5484.35</v>
      </c>
      <c r="F39" s="21">
        <f t="shared" si="41"/>
        <v>1967.51</v>
      </c>
      <c r="G39" s="21">
        <f t="shared" si="41"/>
        <v>2056.0099999999993</v>
      </c>
      <c r="H39" s="21">
        <f t="shared" si="41"/>
        <v>737.1299999999999</v>
      </c>
      <c r="I39" s="21">
        <f t="shared" si="41"/>
        <v>17846.73</v>
      </c>
      <c r="J39" s="21">
        <f t="shared" si="41"/>
        <v>6402.849999999999</v>
      </c>
      <c r="K39" s="21">
        <f t="shared" si="41"/>
        <v>12362.16</v>
      </c>
      <c r="L39" s="21">
        <f t="shared" si="41"/>
        <v>4435.4800000000005</v>
      </c>
      <c r="M39" s="21">
        <f t="shared" si="41"/>
        <v>4387.6</v>
      </c>
      <c r="N39" s="21">
        <f t="shared" si="41"/>
        <v>1573.9299999999998</v>
      </c>
      <c r="O39" s="21">
        <f t="shared" si="41"/>
        <v>0</v>
      </c>
      <c r="P39" s="21">
        <f t="shared" si="41"/>
        <v>0</v>
      </c>
      <c r="Q39" s="21">
        <f t="shared" si="41"/>
        <v>0</v>
      </c>
      <c r="R39" s="21">
        <f t="shared" si="41"/>
        <v>0</v>
      </c>
      <c r="S39" s="21">
        <f t="shared" si="41"/>
        <v>42136.850000000006</v>
      </c>
      <c r="T39" s="21">
        <f t="shared" si="41"/>
        <v>15116.900000000001</v>
      </c>
      <c r="U39" s="21">
        <f t="shared" si="41"/>
        <v>5330.27</v>
      </c>
      <c r="V39" s="21">
        <f t="shared" si="41"/>
        <v>1992.8000000000002</v>
      </c>
      <c r="W39" s="21">
        <f t="shared" si="41"/>
        <v>17343.55</v>
      </c>
      <c r="X39" s="21">
        <f t="shared" si="41"/>
        <v>12013.09</v>
      </c>
      <c r="Y39" s="21">
        <f t="shared" si="41"/>
        <v>4264.35</v>
      </c>
      <c r="Z39" s="21">
        <f t="shared" si="41"/>
        <v>0</v>
      </c>
      <c r="AA39" s="21">
        <f t="shared" si="41"/>
        <v>0</v>
      </c>
      <c r="AB39" s="21">
        <f t="shared" si="41"/>
        <v>40944.06</v>
      </c>
      <c r="AC39" s="21">
        <f t="shared" si="41"/>
        <v>69032.185</v>
      </c>
      <c r="AD39" s="21">
        <f t="shared" si="41"/>
        <v>0</v>
      </c>
      <c r="AE39" s="21">
        <f t="shared" si="41"/>
        <v>0</v>
      </c>
      <c r="AF39" s="21">
        <f t="shared" si="41"/>
        <v>0</v>
      </c>
      <c r="AG39" s="21">
        <f t="shared" si="41"/>
        <v>4913.5199999999995</v>
      </c>
      <c r="AH39" s="21">
        <f t="shared" si="41"/>
        <v>1641.3666239999998</v>
      </c>
      <c r="AI39" s="21">
        <f t="shared" si="41"/>
        <v>7540.017368499999</v>
      </c>
      <c r="AJ39" s="21">
        <f t="shared" si="41"/>
        <v>607.6831263299999</v>
      </c>
      <c r="AK39" s="21">
        <f t="shared" si="41"/>
        <v>7362.6544321</v>
      </c>
      <c r="AL39" s="21">
        <f t="shared" si="41"/>
        <v>590.748197778</v>
      </c>
      <c r="AM39" s="21">
        <f t="shared" si="41"/>
        <v>16920.087043072883</v>
      </c>
      <c r="AN39" s="21">
        <f t="shared" si="41"/>
        <v>1359.1956677531189</v>
      </c>
      <c r="AO39" s="21">
        <f t="shared" si="41"/>
        <v>0</v>
      </c>
      <c r="AP39" s="21">
        <f t="shared" si="41"/>
        <v>0</v>
      </c>
      <c r="AQ39" s="21">
        <f t="shared" si="41"/>
        <v>0</v>
      </c>
      <c r="AR39" s="21">
        <f t="shared" si="41"/>
        <v>0</v>
      </c>
      <c r="AS39" s="21">
        <f t="shared" si="41"/>
        <v>1790</v>
      </c>
      <c r="AT39" s="21">
        <f t="shared" si="41"/>
        <v>547.8</v>
      </c>
      <c r="AU39" s="21">
        <f t="shared" si="41"/>
        <v>239.39999999999998</v>
      </c>
      <c r="AV39" s="21">
        <f t="shared" si="41"/>
        <v>0</v>
      </c>
      <c r="AW39" s="21">
        <f t="shared" si="41"/>
        <v>0</v>
      </c>
      <c r="AX39" s="21">
        <f t="shared" si="41"/>
        <v>1796.2559999999999</v>
      </c>
      <c r="AY39" s="21">
        <f t="shared" si="41"/>
        <v>0</v>
      </c>
      <c r="AZ39" s="21">
        <f t="shared" si="41"/>
        <v>0</v>
      </c>
      <c r="BA39" s="21">
        <f t="shared" si="41"/>
        <v>0</v>
      </c>
      <c r="BB39" s="21">
        <f t="shared" si="41"/>
        <v>45308.728459533995</v>
      </c>
      <c r="BC39" s="21">
        <f t="shared" si="41"/>
        <v>0</v>
      </c>
      <c r="BD39" s="21">
        <f>BD37+BD23</f>
        <v>23723.456540466</v>
      </c>
      <c r="BE39" s="21">
        <f>BE37+BE23</f>
        <v>-1192.7900000000031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7">
      <selection activeCell="G15" sqref="G15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47" t="s">
        <v>54</v>
      </c>
      <c r="C1" s="247"/>
      <c r="D1" s="247"/>
      <c r="E1" s="247"/>
      <c r="F1" s="247"/>
      <c r="G1" s="247"/>
      <c r="H1" s="247"/>
    </row>
    <row r="2" spans="2:8" ht="21" customHeight="1">
      <c r="B2" s="247" t="s">
        <v>55</v>
      </c>
      <c r="C2" s="247"/>
      <c r="D2" s="247"/>
      <c r="E2" s="247"/>
      <c r="F2" s="247"/>
      <c r="G2" s="247"/>
      <c r="H2" s="247"/>
    </row>
    <row r="5" spans="1:15" ht="12.75">
      <c r="A5" s="249" t="s">
        <v>87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</row>
    <row r="6" spans="1:15" ht="12.75">
      <c r="A6" s="250" t="s">
        <v>90</v>
      </c>
      <c r="B6" s="250"/>
      <c r="C6" s="250"/>
      <c r="D6" s="250"/>
      <c r="E6" s="250"/>
      <c r="F6" s="250"/>
      <c r="G6" s="250"/>
      <c r="H6" s="83"/>
      <c r="I6" s="83"/>
      <c r="J6" s="83"/>
      <c r="K6" s="83"/>
      <c r="L6" s="83"/>
      <c r="M6" s="83"/>
      <c r="N6" s="83"/>
      <c r="O6" s="83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6" ht="13.5" thickBot="1">
      <c r="A8" s="248" t="s">
        <v>56</v>
      </c>
      <c r="B8" s="248"/>
      <c r="C8" s="248"/>
      <c r="D8" s="248"/>
      <c r="E8" s="248">
        <v>8.65</v>
      </c>
      <c r="F8" s="248"/>
    </row>
    <row r="9" spans="1:16" ht="12.75" customHeight="1">
      <c r="A9" s="205" t="s">
        <v>57</v>
      </c>
      <c r="B9" s="217" t="s">
        <v>1</v>
      </c>
      <c r="C9" s="220" t="s">
        <v>58</v>
      </c>
      <c r="D9" s="223" t="s">
        <v>3</v>
      </c>
      <c r="E9" s="237" t="s">
        <v>59</v>
      </c>
      <c r="F9" s="238"/>
      <c r="G9" s="241" t="s">
        <v>60</v>
      </c>
      <c r="H9" s="242"/>
      <c r="I9" s="212" t="s">
        <v>10</v>
      </c>
      <c r="J9" s="185"/>
      <c r="K9" s="185"/>
      <c r="L9" s="185"/>
      <c r="M9" s="185"/>
      <c r="N9" s="213"/>
      <c r="O9" s="226" t="s">
        <v>61</v>
      </c>
      <c r="P9" s="226" t="s">
        <v>12</v>
      </c>
    </row>
    <row r="10" spans="1:16" ht="12.75">
      <c r="A10" s="206"/>
      <c r="B10" s="218"/>
      <c r="C10" s="221"/>
      <c r="D10" s="224"/>
      <c r="E10" s="239"/>
      <c r="F10" s="240"/>
      <c r="G10" s="243"/>
      <c r="H10" s="244"/>
      <c r="I10" s="214"/>
      <c r="J10" s="174"/>
      <c r="K10" s="174"/>
      <c r="L10" s="174"/>
      <c r="M10" s="174"/>
      <c r="N10" s="215"/>
      <c r="O10" s="227"/>
      <c r="P10" s="227"/>
    </row>
    <row r="11" spans="1:16" ht="26.25" customHeight="1">
      <c r="A11" s="206"/>
      <c r="B11" s="218"/>
      <c r="C11" s="221"/>
      <c r="D11" s="224"/>
      <c r="E11" s="229" t="s">
        <v>62</v>
      </c>
      <c r="F11" s="230"/>
      <c r="G11" s="70" t="s">
        <v>63</v>
      </c>
      <c r="H11" s="231" t="s">
        <v>7</v>
      </c>
      <c r="I11" s="233" t="s">
        <v>64</v>
      </c>
      <c r="J11" s="235" t="s">
        <v>32</v>
      </c>
      <c r="K11" s="235" t="s">
        <v>65</v>
      </c>
      <c r="L11" s="235" t="s">
        <v>37</v>
      </c>
      <c r="M11" s="235" t="s">
        <v>66</v>
      </c>
      <c r="N11" s="231" t="s">
        <v>39</v>
      </c>
      <c r="O11" s="227"/>
      <c r="P11" s="227"/>
    </row>
    <row r="12" spans="1:16" ht="66.75" customHeight="1" thickBot="1">
      <c r="A12" s="216"/>
      <c r="B12" s="219"/>
      <c r="C12" s="222"/>
      <c r="D12" s="225"/>
      <c r="E12" s="54" t="s">
        <v>67</v>
      </c>
      <c r="F12" s="57" t="s">
        <v>21</v>
      </c>
      <c r="G12" s="67" t="s">
        <v>68</v>
      </c>
      <c r="H12" s="232"/>
      <c r="I12" s="234"/>
      <c r="J12" s="236"/>
      <c r="K12" s="236"/>
      <c r="L12" s="236"/>
      <c r="M12" s="236"/>
      <c r="N12" s="232"/>
      <c r="O12" s="228"/>
      <c r="P12" s="228"/>
    </row>
    <row r="13" spans="1:16" ht="13.5" thickBo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6">
        <v>6</v>
      </c>
      <c r="G13" s="55">
        <v>7</v>
      </c>
      <c r="H13" s="56">
        <v>8</v>
      </c>
      <c r="I13" s="55">
        <v>9</v>
      </c>
      <c r="J13" s="56">
        <v>10</v>
      </c>
      <c r="K13" s="55">
        <v>11</v>
      </c>
      <c r="L13" s="56">
        <v>12</v>
      </c>
      <c r="M13" s="55">
        <v>13</v>
      </c>
      <c r="N13" s="56">
        <v>14</v>
      </c>
      <c r="O13" s="55">
        <v>15</v>
      </c>
      <c r="P13" s="56">
        <v>16</v>
      </c>
    </row>
    <row r="14" spans="1:18" ht="12.75">
      <c r="A14" s="6" t="s">
        <v>43</v>
      </c>
      <c r="B14" s="35"/>
      <c r="C14" s="36"/>
      <c r="D14" s="37"/>
      <c r="E14" s="38"/>
      <c r="F14" s="40"/>
      <c r="G14" s="39"/>
      <c r="H14" s="40"/>
      <c r="I14" s="39"/>
      <c r="J14" s="12"/>
      <c r="K14" s="12"/>
      <c r="L14" s="27"/>
      <c r="M14" s="60"/>
      <c r="N14" s="26"/>
      <c r="O14" s="63"/>
      <c r="P14" s="63"/>
      <c r="Q14" s="1"/>
      <c r="R14" s="1"/>
    </row>
    <row r="15" spans="1:18" ht="12.75">
      <c r="A15" s="9" t="s">
        <v>44</v>
      </c>
      <c r="B15" s="68">
        <f>Лист1!B9</f>
        <v>347</v>
      </c>
      <c r="C15" s="23">
        <f aca="true" t="shared" si="0" ref="C15:C26">B15*8.65</f>
        <v>3001.55</v>
      </c>
      <c r="D15" s="24">
        <f>Лист1!D9</f>
        <v>375.19375</v>
      </c>
      <c r="E15" s="12">
        <f>Лист1!S9</f>
        <v>1402.63</v>
      </c>
      <c r="F15" s="26">
        <f>Лист1!T9</f>
        <v>770.85</v>
      </c>
      <c r="G15" s="25">
        <f>Лист1!AB9</f>
        <v>1205.52</v>
      </c>
      <c r="H15" s="26">
        <f>Лист1!AC9</f>
        <v>2351.5637500000003</v>
      </c>
      <c r="I15" s="25">
        <f>Лист1!AG9</f>
        <v>187.38</v>
      </c>
      <c r="J15" s="12">
        <f>Лист1!AI9+Лист1!AJ9</f>
        <v>301.727947</v>
      </c>
      <c r="K15" s="12">
        <f>Лист1!AH9+Лист1!AK9+Лист1!AL9+Лист1!AM9+Лист1!AN9+Лист1!AO9+Лист1!AP9+Лист1!AQ9+Лист1!AR9</f>
        <v>1036.33545944</v>
      </c>
      <c r="L15" s="27">
        <f>Лист1!AS9+Лист1!AT9+Лист1!AU9+Лист1!AZ9+Лист1!BA9</f>
        <v>0</v>
      </c>
      <c r="M15" s="27">
        <f>Лист1!AX9</f>
        <v>100.70592</v>
      </c>
      <c r="N15" s="26">
        <f>Лист1!BB9</f>
        <v>1525.4434064399998</v>
      </c>
      <c r="O15" s="63">
        <f>Лист1!BD9</f>
        <v>826.1203435600005</v>
      </c>
      <c r="P15" s="63">
        <f>Лист1!BE9</f>
        <v>-197.11000000000013</v>
      </c>
      <c r="Q15" s="1"/>
      <c r="R15" s="1"/>
    </row>
    <row r="16" spans="1:18" ht="12.75">
      <c r="A16" s="9" t="s">
        <v>45</v>
      </c>
      <c r="B16" s="68">
        <f>Лист1!B10</f>
        <v>347</v>
      </c>
      <c r="C16" s="23">
        <f t="shared" si="0"/>
        <v>3001.55</v>
      </c>
      <c r="D16" s="24">
        <f>Лист1!D10</f>
        <v>375.19375</v>
      </c>
      <c r="E16" s="12">
        <f>Лист1!S10</f>
        <v>1402.63</v>
      </c>
      <c r="F16" s="26">
        <f>Лист1!T10</f>
        <v>770.85</v>
      </c>
      <c r="G16" s="25">
        <f>Лист1!AB10</f>
        <v>1141.3000000000002</v>
      </c>
      <c r="H16" s="26">
        <f>Лист1!AC10</f>
        <v>2287.34375</v>
      </c>
      <c r="I16" s="25">
        <f>Лист1!AG10</f>
        <v>187.38</v>
      </c>
      <c r="J16" s="12">
        <f>Лист1!AI10+Лист1!AJ10</f>
        <v>301.403506</v>
      </c>
      <c r="K16" s="12">
        <f>Лист1!AH10+Лист1!AK10+Лист1!AL10+Лист1!AM10+Лист1!AN10+Лист1!AO10+Лист1!AP10+Лист1!AQ10+Лист1!AR10</f>
        <v>1037.8314805399998</v>
      </c>
      <c r="L16" s="27">
        <f>Лист1!AS10+Лист1!AT10+Лист1!AU10+Лист1!AZ10+Лист1!BA10</f>
        <v>1569.4</v>
      </c>
      <c r="M16" s="27">
        <f>Лист1!AX10</f>
        <v>80.68368</v>
      </c>
      <c r="N16" s="26">
        <f>Лист1!BB10</f>
        <v>3096.0149865399994</v>
      </c>
      <c r="O16" s="63">
        <f>Лист1!BD10</f>
        <v>-808.6712365399994</v>
      </c>
      <c r="P16" s="63">
        <f>Лист1!BE10</f>
        <v>-261.3299999999999</v>
      </c>
      <c r="Q16" s="1"/>
      <c r="R16" s="1"/>
    </row>
    <row r="17" spans="1:18" ht="12.75">
      <c r="A17" s="9" t="s">
        <v>46</v>
      </c>
      <c r="B17" s="68">
        <f>Лист1!B11</f>
        <v>347</v>
      </c>
      <c r="C17" s="23">
        <f t="shared" si="0"/>
        <v>3001.55</v>
      </c>
      <c r="D17" s="24">
        <f>Лист1!D11</f>
        <v>375.19375</v>
      </c>
      <c r="E17" s="12">
        <f>Лист1!S11</f>
        <v>1402.63</v>
      </c>
      <c r="F17" s="26">
        <f>Лист1!T11</f>
        <v>770.85</v>
      </c>
      <c r="G17" s="25">
        <f>Лист1!AB11</f>
        <v>1864.7600000000002</v>
      </c>
      <c r="H17" s="26">
        <f>Лист1!AC11</f>
        <v>3010.80375</v>
      </c>
      <c r="I17" s="25">
        <f>Лист1!AG11</f>
        <v>187.38</v>
      </c>
      <c r="J17" s="12">
        <f>Лист1!AI11+Лист1!AJ11</f>
        <v>301.9373675</v>
      </c>
      <c r="K17" s="12">
        <f>Лист1!AH11+Лист1!AK11+Лист1!AL11+Лист1!AM11+Лист1!AN11+Лист1!AO11+Лист1!AP11+Лист1!AQ11+Лист1!AR11</f>
        <v>1003.1883752000001</v>
      </c>
      <c r="L17" s="27">
        <f>Лист1!AS11+Лист1!AT11+Лист1!AU11+Лист1!AZ11+Лист1!BA11</f>
        <v>0</v>
      </c>
      <c r="M17" s="27">
        <f>Лист1!AX11</f>
        <v>75.92592</v>
      </c>
      <c r="N17" s="26">
        <f>Лист1!BB11</f>
        <v>1492.5057427</v>
      </c>
      <c r="O17" s="63">
        <f>Лист1!BD11</f>
        <v>1518.2980073</v>
      </c>
      <c r="P17" s="63">
        <f>Лист1!BE11</f>
        <v>462.1300000000001</v>
      </c>
      <c r="Q17" s="1"/>
      <c r="R17" s="1"/>
    </row>
    <row r="18" spans="1:18" ht="12.75">
      <c r="A18" s="9" t="s">
        <v>47</v>
      </c>
      <c r="B18" s="68">
        <f>Лист1!B12</f>
        <v>347</v>
      </c>
      <c r="C18" s="23">
        <f t="shared" si="0"/>
        <v>3001.55</v>
      </c>
      <c r="D18" s="24">
        <f>Лист1!D12</f>
        <v>375.19375</v>
      </c>
      <c r="E18" s="12">
        <f>Лист1!S12</f>
        <v>1401.9099999999999</v>
      </c>
      <c r="F18" s="26">
        <f>Лист1!T12</f>
        <v>770.85</v>
      </c>
      <c r="G18" s="25">
        <f>Лист1!AB12</f>
        <v>1402.6</v>
      </c>
      <c r="H18" s="26">
        <f>Лист1!AC12</f>
        <v>2548.64375</v>
      </c>
      <c r="I18" s="25">
        <f>Лист1!AG12</f>
        <v>187.38</v>
      </c>
      <c r="J18" s="12">
        <f>Лист1!AI12+Лист1!AJ12</f>
        <v>310.800613</v>
      </c>
      <c r="K18" s="12">
        <f>Лист1!AH12+Лист1!AK12+Лист1!AL12+Лист1!AM12+Лист1!AN12+Лист1!AO12+Лист1!AP12+Лист1!AQ12+Лист1!AR12</f>
        <v>1017.49191592</v>
      </c>
      <c r="L18" s="27">
        <f>Лист1!AS12+Лист1!AT12+Лист1!AU12+Лист1!AY12+Лист1!AZ12</f>
        <v>0</v>
      </c>
      <c r="M18" s="27">
        <f>Лист1!AX12</f>
        <v>60.85968</v>
      </c>
      <c r="N18" s="26">
        <f>Лист1!BB12</f>
        <v>1833.8477289200002</v>
      </c>
      <c r="O18" s="63">
        <f>Лист1!BD12</f>
        <v>714.79602108</v>
      </c>
      <c r="P18" s="63">
        <f>Лист1!BE12</f>
        <v>0.6900000000000546</v>
      </c>
      <c r="Q18" s="1"/>
      <c r="R18" s="1"/>
    </row>
    <row r="19" spans="1:18" ht="12.75">
      <c r="A19" s="9" t="s">
        <v>48</v>
      </c>
      <c r="B19" s="68">
        <f>Лист1!B13</f>
        <v>347</v>
      </c>
      <c r="C19" s="23">
        <f t="shared" si="0"/>
        <v>3001.55</v>
      </c>
      <c r="D19" s="24">
        <f>Лист1!D13</f>
        <v>577.8599999999997</v>
      </c>
      <c r="E19" s="12">
        <f>Лист1!S13</f>
        <v>1563.57</v>
      </c>
      <c r="F19" s="26">
        <f>Лист1!T13</f>
        <v>860.12</v>
      </c>
      <c r="G19" s="25">
        <f>Лист1!AB13</f>
        <v>1101.03</v>
      </c>
      <c r="H19" s="26">
        <f>Лист1!AC13</f>
        <v>2539.0099999999993</v>
      </c>
      <c r="I19" s="25">
        <f>Лист1!AG13</f>
        <v>208.2</v>
      </c>
      <c r="J19" s="12">
        <f>Лист1!AI13+Лист1!AJ13</f>
        <v>348.041</v>
      </c>
      <c r="K19" s="12">
        <f>Лист1!AH13+Лист1!AK13+Лист1!AL13+Лист1!AM13+Лист1!AN13+Лист1!AO13+Лист1!AP13+Лист1!AQ13+Лист1!AR13</f>
        <v>1192.0144</v>
      </c>
      <c r="L19" s="27">
        <f>Лист1!AS13+Лист1!AT13+Лист1!AU13+Лист1!AZ13+Лист1!BA13</f>
        <v>0</v>
      </c>
      <c r="M19" s="27">
        <f>Лист1!AX13</f>
        <v>52.137119999999996</v>
      </c>
      <c r="N19" s="26">
        <f>Лист1!BB13</f>
        <v>1800.3925199999999</v>
      </c>
      <c r="O19" s="63">
        <f>Лист1!BD13</f>
        <v>738.6174799999994</v>
      </c>
      <c r="P19" s="63">
        <f>Лист1!BE13</f>
        <v>-462.53999999999996</v>
      </c>
      <c r="Q19" s="1"/>
      <c r="R19" s="1"/>
    </row>
    <row r="20" spans="1:18" ht="12.75">
      <c r="A20" s="9" t="s">
        <v>49</v>
      </c>
      <c r="B20" s="68">
        <f>Лист1!B14</f>
        <v>347</v>
      </c>
      <c r="C20" s="23">
        <f t="shared" si="0"/>
        <v>3001.55</v>
      </c>
      <c r="D20" s="24">
        <f>Лист1!D14</f>
        <v>577.73</v>
      </c>
      <c r="E20" s="12">
        <f>Лист1!S14</f>
        <v>1563.7</v>
      </c>
      <c r="F20" s="26">
        <f>Лист1!T14</f>
        <v>860.12</v>
      </c>
      <c r="G20" s="25">
        <f>Лист1!AB14</f>
        <v>1864.8400000000001</v>
      </c>
      <c r="H20" s="26">
        <f>Лист1!AC14</f>
        <v>3302.69</v>
      </c>
      <c r="I20" s="25">
        <f>Лист1!AG14</f>
        <v>208.2</v>
      </c>
      <c r="J20" s="12">
        <f>Лист1!AI14+Лист1!AJ14</f>
        <v>348.041</v>
      </c>
      <c r="K20" s="12">
        <f>Лист1!AH14+Лист1!AK14+Лист1!AL14+Лист1!AM14+Лист1!AN14+Лист1!AO14+Лист1!AP14+Лист1!AQ14+Лист1!AR14</f>
        <v>1192.04563</v>
      </c>
      <c r="L20" s="27">
        <f>Лист1!AS14+Лист1!AT14+Лист1!AU14+Лист1!AZ14+Лист1!BA14</f>
        <v>0</v>
      </c>
      <c r="M20" s="27">
        <f>Лист1!AX14</f>
        <v>46.189919999999994</v>
      </c>
      <c r="N20" s="26">
        <f>Лист1!BB14</f>
        <v>1794.47655</v>
      </c>
      <c r="O20" s="63">
        <f>Лист1!BD14</f>
        <v>1508.21345</v>
      </c>
      <c r="P20" s="63">
        <f>Лист1!BE14</f>
        <v>301.1400000000001</v>
      </c>
      <c r="Q20" s="1"/>
      <c r="R20" s="1"/>
    </row>
    <row r="21" spans="1:18" ht="12.75">
      <c r="A21" s="9" t="s">
        <v>50</v>
      </c>
      <c r="B21" s="68">
        <f>Лист1!B15</f>
        <v>347</v>
      </c>
      <c r="C21" s="23">
        <f t="shared" si="0"/>
        <v>3001.55</v>
      </c>
      <c r="D21" s="24">
        <f>Лист1!D15</f>
        <v>595.9700000000003</v>
      </c>
      <c r="E21" s="12">
        <f>Лист1!S15</f>
        <v>1553.6399999999999</v>
      </c>
      <c r="F21" s="26">
        <f>Лист1!T15</f>
        <v>851.9399999999999</v>
      </c>
      <c r="G21" s="25">
        <f>Лист1!AB15</f>
        <v>1230.87</v>
      </c>
      <c r="H21" s="26">
        <f>Лист1!AC15</f>
        <v>2678.78</v>
      </c>
      <c r="I21" s="25">
        <f>Лист1!AG15</f>
        <v>208.2</v>
      </c>
      <c r="J21" s="12">
        <f>Лист1!AI15+Лист1!AJ15</f>
        <v>343.0988178</v>
      </c>
      <c r="K21" s="12">
        <f>Лист1!AH15+Лист1!AK15+Лист1!AL15+Лист1!AM15+Лист1!AN15+Лист1!AO15+Лист1!AP15+Лист1!AQ15+Лист1!AR15</f>
        <v>1180.18489934</v>
      </c>
      <c r="L21" s="27">
        <f>Лист1!AS15+Лист1!AT15+Лист1!AU15+Лист1!AZ15+Лист1!BA15</f>
        <v>0</v>
      </c>
      <c r="M21" s="27">
        <f>Лист1!AX15</f>
        <v>49.16352</v>
      </c>
      <c r="N21" s="26">
        <f>Лист1!BB15</f>
        <v>1780.64723714</v>
      </c>
      <c r="O21" s="63">
        <f>Лист1!BD15</f>
        <v>898.1327628600002</v>
      </c>
      <c r="P21" s="63">
        <f>Лист1!BE15</f>
        <v>-322.77</v>
      </c>
      <c r="Q21" s="1"/>
      <c r="R21" s="1"/>
    </row>
    <row r="22" spans="1:18" ht="12.75">
      <c r="A22" s="9" t="s">
        <v>51</v>
      </c>
      <c r="B22" s="68">
        <f>Лист1!B16</f>
        <v>347</v>
      </c>
      <c r="C22" s="23">
        <f t="shared" si="0"/>
        <v>3001.55</v>
      </c>
      <c r="D22" s="24">
        <f>Лист1!D16</f>
        <v>577.73</v>
      </c>
      <c r="E22" s="12">
        <f>Лист1!S16</f>
        <v>1563.7</v>
      </c>
      <c r="F22" s="26">
        <f>Лист1!T16</f>
        <v>860.12</v>
      </c>
      <c r="G22" s="25">
        <f>Лист1!AB16</f>
        <v>1843.1499999999999</v>
      </c>
      <c r="H22" s="26">
        <f>Лист1!AC16</f>
        <v>3281</v>
      </c>
      <c r="I22" s="25">
        <f>Лист1!AG16</f>
        <v>208.2</v>
      </c>
      <c r="J22" s="12">
        <f>Лист1!AI16+Лист1!AJ16</f>
        <v>342.9073952499999</v>
      </c>
      <c r="K22" s="12">
        <f>Лист1!AH16+Лист1!AK16+Лист1!AL16+Лист1!AM16+Лист1!AN16+Лист1!AO16+Лист1!AP16+Лист1!AQ16+Лист1!AR16</f>
        <v>1179.93693314</v>
      </c>
      <c r="L22" s="27">
        <f>Лист1!AS16+Лист1!AT16+Лист1!AU16+Лист1!AZ16+Лист1!BA16</f>
        <v>0</v>
      </c>
      <c r="M22" s="27">
        <f>Лист1!AX16</f>
        <v>58.08431999999999</v>
      </c>
      <c r="N22" s="26">
        <f>Лист1!BB16</f>
        <v>1789.1286483900003</v>
      </c>
      <c r="O22" s="63">
        <f>Лист1!BD16</f>
        <v>1491.8713516099997</v>
      </c>
      <c r="P22" s="63">
        <f>Лист1!BE16</f>
        <v>279.4499999999998</v>
      </c>
      <c r="Q22" s="1"/>
      <c r="R22" s="1"/>
    </row>
    <row r="23" spans="1:18" ht="12.75">
      <c r="A23" s="9" t="s">
        <v>52</v>
      </c>
      <c r="B23" s="68">
        <f>Лист1!B17</f>
        <v>347</v>
      </c>
      <c r="C23" s="23">
        <f t="shared" si="0"/>
        <v>3001.55</v>
      </c>
      <c r="D23" s="24">
        <f>Лист1!D17</f>
        <v>577.73</v>
      </c>
      <c r="E23" s="12">
        <f>Лист1!S17</f>
        <v>1563.7</v>
      </c>
      <c r="F23" s="26">
        <f>Лист1!T17</f>
        <v>860.12</v>
      </c>
      <c r="G23" s="25">
        <f>Лист1!AB17</f>
        <v>1231.0300000000002</v>
      </c>
      <c r="H23" s="26">
        <f>Лист1!AC17</f>
        <v>2668.88</v>
      </c>
      <c r="I23" s="25">
        <f>Лист1!AG17</f>
        <v>208.2</v>
      </c>
      <c r="J23" s="12">
        <f>Лист1!AI17+Лист1!AJ17</f>
        <v>342.84822827999994</v>
      </c>
      <c r="K23" s="12">
        <f>Лист1!AH17+Лист1!AK17+Лист1!AL17+Лист1!AM17+Лист1!AN17+Лист1!AO17+Лист1!AP17+Лист1!AQ17+Лист1!AR17</f>
        <v>1179.8602711239998</v>
      </c>
      <c r="L23" s="27">
        <f>Лист1!AS17+Лист1!AT17+Лист1!AU17+Лист1!AZ17+Лист1!BA17</f>
        <v>0</v>
      </c>
      <c r="M23" s="27">
        <f>Лист1!AX17</f>
        <v>69.18576</v>
      </c>
      <c r="N23" s="26">
        <f>Лист1!BB17</f>
        <v>1800.0942594039993</v>
      </c>
      <c r="O23" s="63">
        <f>Лист1!BD17</f>
        <v>868.7857405960008</v>
      </c>
      <c r="P23" s="63">
        <f>Лист1!BE17</f>
        <v>-332.66999999999985</v>
      </c>
      <c r="Q23" s="1"/>
      <c r="R23" s="1"/>
    </row>
    <row r="24" spans="1:18" ht="12.75">
      <c r="A24" s="9" t="s">
        <v>40</v>
      </c>
      <c r="B24" s="68">
        <f>Лист1!B18</f>
        <v>347</v>
      </c>
      <c r="C24" s="23">
        <f>B24*8.65</f>
        <v>3001.55</v>
      </c>
      <c r="D24" s="24">
        <f>Лист1!D18</f>
        <v>577.73</v>
      </c>
      <c r="E24" s="12">
        <f>Лист1!S18</f>
        <v>1563.7</v>
      </c>
      <c r="F24" s="26">
        <f>Лист1!T18</f>
        <v>860.12</v>
      </c>
      <c r="G24" s="25">
        <f>Лист1!AB18</f>
        <v>1939.5499999999997</v>
      </c>
      <c r="H24" s="26">
        <f>Лист1!AC18</f>
        <v>3377.3999999999996</v>
      </c>
      <c r="I24" s="25">
        <f>Лист1!AG18</f>
        <v>208.2</v>
      </c>
      <c r="J24" s="12">
        <f>Лист1!AI18+Лист1!AJ18</f>
        <v>346.81262</v>
      </c>
      <c r="K24" s="12">
        <f>Лист1!AH18+Лист1!AK18+Лист1!AL18+Лист1!AM18+Лист1!AN18+Лист1!AO18+Лист1!AP18+Лист1!AQ18+Лист1!AR18</f>
        <v>1190.0018</v>
      </c>
      <c r="L24" s="27">
        <f>Лист1!AS18+Лист1!AT18+Лист1!AU18+Лист1!AZ18+Лист1!BA18</f>
        <v>0</v>
      </c>
      <c r="M24" s="27">
        <f>Лист1!AX18</f>
        <v>84.252</v>
      </c>
      <c r="N24" s="26">
        <f>Лист1!BB18</f>
        <v>1829.2664200000002</v>
      </c>
      <c r="O24" s="63">
        <f>Лист1!BD18</f>
        <v>1548.1335799999995</v>
      </c>
      <c r="P24" s="63">
        <f>Лист1!BE18</f>
        <v>375.8499999999997</v>
      </c>
      <c r="Q24" s="1"/>
      <c r="R24" s="1"/>
    </row>
    <row r="25" spans="1:18" ht="12.75">
      <c r="A25" s="9" t="s">
        <v>41</v>
      </c>
      <c r="B25" s="68">
        <f>Лист1!B19</f>
        <v>347</v>
      </c>
      <c r="C25" s="23">
        <f t="shared" si="0"/>
        <v>3001.55</v>
      </c>
      <c r="D25" s="24">
        <f>Лист1!D19</f>
        <v>577.73</v>
      </c>
      <c r="E25" s="12">
        <f>Лист1!S19</f>
        <v>1563.7</v>
      </c>
      <c r="F25" s="26">
        <f>Лист1!T19</f>
        <v>860.12</v>
      </c>
      <c r="G25" s="25">
        <f>Лист1!AB19</f>
        <v>1230.9</v>
      </c>
      <c r="H25" s="26">
        <f>Лист1!AC19</f>
        <v>2668.75</v>
      </c>
      <c r="I25" s="25">
        <f>Лист1!AG19</f>
        <v>208.2</v>
      </c>
      <c r="J25" s="12">
        <f>Лист1!AI19+Лист1!AJ19</f>
        <v>348.041</v>
      </c>
      <c r="K25" s="12">
        <f>Лист1!AH19+Лист1!AK19+Лист1!AL19+Лист1!AM19+Лист1!AN19+Лист1!AO19+Лист1!AP19+Лист1!AQ19+Лист1!AR19</f>
        <v>1191.3204</v>
      </c>
      <c r="L25" s="27">
        <f>Лист1!AS19+Лист1!AT19+Лист1!AU19+Лист1!AZ19+Лист1!BA19</f>
        <v>0</v>
      </c>
      <c r="M25" s="27">
        <f>Лист1!AX19</f>
        <v>93.17280000000001</v>
      </c>
      <c r="N25" s="26">
        <f>Лист1!BB19</f>
        <v>1840.7342</v>
      </c>
      <c r="O25" s="63">
        <f>Лист1!BD19</f>
        <v>828.0157999999999</v>
      </c>
      <c r="P25" s="63">
        <f>Лист1!BE19</f>
        <v>-332.79999999999995</v>
      </c>
      <c r="Q25" s="1"/>
      <c r="R25" s="1"/>
    </row>
    <row r="26" spans="1:18" ht="13.5" thickBot="1">
      <c r="A26" s="28" t="s">
        <v>42</v>
      </c>
      <c r="B26" s="68">
        <f>Лист1!B20</f>
        <v>347</v>
      </c>
      <c r="C26" s="29">
        <f t="shared" si="0"/>
        <v>3001.55</v>
      </c>
      <c r="D26" s="24">
        <f>Лист1!D20</f>
        <v>577.73</v>
      </c>
      <c r="E26" s="12">
        <f>Лист1!S20</f>
        <v>1563.7</v>
      </c>
      <c r="F26" s="26">
        <f>Лист1!T20</f>
        <v>860.12</v>
      </c>
      <c r="G26" s="25">
        <f>Лист1!AB20</f>
        <v>1904.9299999999998</v>
      </c>
      <c r="H26" s="26">
        <f>Лист1!AC20</f>
        <v>3342.7799999999997</v>
      </c>
      <c r="I26" s="25">
        <f>Лист1!AG20</f>
        <v>208.2</v>
      </c>
      <c r="J26" s="12">
        <f>Лист1!AI20+Лист1!AJ20</f>
        <v>348.041</v>
      </c>
      <c r="K26" s="12">
        <f>Лист1!AH20+Лист1!AK20+Лист1!AL20+Лист1!AM20+Лист1!AN20+Лист1!AO20+Лист1!AP20+Лист1!AQ20+Лист1!AR20</f>
        <v>1191.3204</v>
      </c>
      <c r="L26" s="27">
        <f>Лист1!AS20+Лист1!AT20+Лист1!AU20+Лист1!AZ20+Лист1!BA20</f>
        <v>0</v>
      </c>
      <c r="M26" s="27">
        <f>Лист1!AX20</f>
        <v>101.89536</v>
      </c>
      <c r="N26" s="26">
        <f>Лист1!BB20</f>
        <v>1849.45676</v>
      </c>
      <c r="O26" s="63">
        <f>Лист1!BD20</f>
        <v>1493.3232399999997</v>
      </c>
      <c r="P26" s="63">
        <f>Лист1!BE20</f>
        <v>341.2299999999998</v>
      </c>
      <c r="Q26" s="1"/>
      <c r="R26" s="1"/>
    </row>
    <row r="27" spans="1:18" s="18" customFormat="1" ht="13.5" thickBot="1">
      <c r="A27" s="30" t="s">
        <v>5</v>
      </c>
      <c r="B27" s="31"/>
      <c r="C27" s="32">
        <f aca="true" t="shared" si="1" ref="C27:P27">SUM(C15:C26)</f>
        <v>36018.6</v>
      </c>
      <c r="D27" s="58">
        <f t="shared" si="1"/>
        <v>6140.984999999999</v>
      </c>
      <c r="E27" s="32">
        <f t="shared" si="1"/>
        <v>18109.210000000003</v>
      </c>
      <c r="F27" s="59">
        <f t="shared" si="1"/>
        <v>9956.180000000002</v>
      </c>
      <c r="G27" s="58">
        <f t="shared" si="1"/>
        <v>17960.479999999996</v>
      </c>
      <c r="H27" s="59">
        <f t="shared" si="1"/>
        <v>34057.645</v>
      </c>
      <c r="I27" s="58">
        <f t="shared" si="1"/>
        <v>2415.12</v>
      </c>
      <c r="J27" s="32">
        <f t="shared" si="1"/>
        <v>3983.7004948300005</v>
      </c>
      <c r="K27" s="32">
        <f t="shared" si="1"/>
        <v>13591.531964704</v>
      </c>
      <c r="L27" s="32">
        <f>SUM(L15:L26)</f>
        <v>1569.4</v>
      </c>
      <c r="M27" s="32">
        <f t="shared" si="1"/>
        <v>872.256</v>
      </c>
      <c r="N27" s="59">
        <f t="shared" si="1"/>
        <v>22432.008459533998</v>
      </c>
      <c r="O27" s="64">
        <f t="shared" si="1"/>
        <v>11625.636540466</v>
      </c>
      <c r="P27" s="64">
        <f t="shared" si="1"/>
        <v>-148.73000000000025</v>
      </c>
      <c r="Q27" s="61"/>
      <c r="R27" s="61"/>
    </row>
    <row r="28" spans="1:18" ht="13.5" thickBot="1">
      <c r="A28" s="245" t="s">
        <v>91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65"/>
      <c r="Q28" s="1"/>
      <c r="R28" s="1"/>
    </row>
    <row r="29" spans="1:18" s="18" customFormat="1" ht="13.5" thickBot="1">
      <c r="A29" s="66" t="s">
        <v>53</v>
      </c>
      <c r="B29" s="33"/>
      <c r="C29" s="34">
        <f>C27</f>
        <v>36018.6</v>
      </c>
      <c r="D29" s="34">
        <f aca="true" t="shared" si="2" ref="D29:P29">D27</f>
        <v>6140.984999999999</v>
      </c>
      <c r="E29" s="34">
        <f t="shared" si="2"/>
        <v>18109.210000000003</v>
      </c>
      <c r="F29" s="34">
        <f t="shared" si="2"/>
        <v>9956.180000000002</v>
      </c>
      <c r="G29" s="34">
        <f t="shared" si="2"/>
        <v>17960.479999999996</v>
      </c>
      <c r="H29" s="34">
        <f t="shared" si="2"/>
        <v>34057.645</v>
      </c>
      <c r="I29" s="34">
        <f t="shared" si="2"/>
        <v>2415.12</v>
      </c>
      <c r="J29" s="34">
        <f t="shared" si="2"/>
        <v>3983.7004948300005</v>
      </c>
      <c r="K29" s="34">
        <f t="shared" si="2"/>
        <v>13591.531964704</v>
      </c>
      <c r="L29" s="34">
        <f t="shared" si="2"/>
        <v>1569.4</v>
      </c>
      <c r="M29" s="34">
        <f t="shared" si="2"/>
        <v>872.256</v>
      </c>
      <c r="N29" s="34">
        <f t="shared" si="2"/>
        <v>22432.008459533998</v>
      </c>
      <c r="O29" s="34">
        <f t="shared" si="2"/>
        <v>11625.636540466</v>
      </c>
      <c r="P29" s="34">
        <f t="shared" si="2"/>
        <v>-148.73000000000025</v>
      </c>
      <c r="Q29" s="62"/>
      <c r="R29" s="61"/>
    </row>
    <row r="30" spans="1:18" ht="12.75">
      <c r="A30" s="6" t="s">
        <v>89</v>
      </c>
      <c r="B30" s="35"/>
      <c r="C30" s="36"/>
      <c r="D30" s="37"/>
      <c r="E30" s="38"/>
      <c r="F30" s="40"/>
      <c r="G30" s="39"/>
      <c r="H30" s="40"/>
      <c r="I30" s="39"/>
      <c r="J30" s="12"/>
      <c r="K30" s="12"/>
      <c r="L30" s="27"/>
      <c r="M30" s="60"/>
      <c r="N30" s="26"/>
      <c r="O30" s="63"/>
      <c r="P30" s="63"/>
      <c r="Q30" s="1"/>
      <c r="R30" s="1"/>
    </row>
    <row r="31" spans="1:18" ht="12.75">
      <c r="A31" s="9" t="s">
        <v>44</v>
      </c>
      <c r="B31" s="68">
        <f>Лист1!B25</f>
        <v>347</v>
      </c>
      <c r="C31" s="23">
        <f aca="true" t="shared" si="3" ref="C31:C42">B31*8.65</f>
        <v>3001.55</v>
      </c>
      <c r="D31" s="24">
        <f>Лист1!D25</f>
        <v>577.73</v>
      </c>
      <c r="E31" s="12">
        <f>Лист1!S25</f>
        <v>1563.7</v>
      </c>
      <c r="F31" s="26">
        <f>Лист1!T25</f>
        <v>860.12</v>
      </c>
      <c r="G31" s="25">
        <f>Лист1!AB25</f>
        <v>1555.46</v>
      </c>
      <c r="H31" s="26">
        <f>Лист1!AC25</f>
        <v>2993.31</v>
      </c>
      <c r="I31" s="25">
        <f>Лист1!AG25</f>
        <v>208.2</v>
      </c>
      <c r="J31" s="12">
        <f>Лист1!AI25+Лист1!AJ25</f>
        <v>347</v>
      </c>
      <c r="K31" s="12">
        <f>Лист1!AH25+Лист1!AK25+Лист1!AL25+Лист1!AM25+Лист1!AN25+Лист1!AO25+Лист1!AP25+Лист1!AQ25+Лист1!AR25</f>
        <v>1190.21</v>
      </c>
      <c r="L31" s="27">
        <f>Лист1!AS25+Лист1!AT25+Лист1!AU25+Лист1!AZ25+Лист1!BA25</f>
        <v>0</v>
      </c>
      <c r="M31" s="27">
        <f>Лист1!AX25</f>
        <v>106.67999999999999</v>
      </c>
      <c r="N31" s="26">
        <f>Лист1!BB25</f>
        <v>1852.0899999999997</v>
      </c>
      <c r="O31" s="63">
        <f>Лист1!BD25</f>
        <v>1141.2200000000003</v>
      </c>
      <c r="P31" s="63">
        <f>Лист1!BE25</f>
        <v>-8.240000000000009</v>
      </c>
      <c r="Q31" s="1"/>
      <c r="R31" s="1"/>
    </row>
    <row r="32" spans="1:18" ht="12.75">
      <c r="A32" s="9" t="s">
        <v>45</v>
      </c>
      <c r="B32" s="68">
        <f>Лист1!B26</f>
        <v>347</v>
      </c>
      <c r="C32" s="23">
        <f t="shared" si="3"/>
        <v>3001.55</v>
      </c>
      <c r="D32" s="24">
        <f>Лист1!D26</f>
        <v>577.73</v>
      </c>
      <c r="E32" s="12">
        <f>Лист1!S26</f>
        <v>1563.7</v>
      </c>
      <c r="F32" s="26">
        <f>Лист1!T26</f>
        <v>860.12</v>
      </c>
      <c r="G32" s="25">
        <f>Лист1!AB26</f>
        <v>1573.9399999999998</v>
      </c>
      <c r="H32" s="26">
        <f>Лист1!AC26</f>
        <v>3011.79</v>
      </c>
      <c r="I32" s="25">
        <f>Лист1!AG26</f>
        <v>208.2</v>
      </c>
      <c r="J32" s="12">
        <f>Лист1!AI26+Лист1!AJ26</f>
        <v>347</v>
      </c>
      <c r="K32" s="12">
        <f>Лист1!AH26+Лист1!AK26+Лист1!AL26+Лист1!AM26+Лист1!AN26+Лист1!AO26+Лист1!AP26+Лист1!AQ26+Лист1!AR26</f>
        <v>1190.21</v>
      </c>
      <c r="L32" s="27">
        <f>Лист1!AS26+Лист1!AT26+Лист1!AU26+Лист1!AZ26+Лист1!BA26</f>
        <v>0</v>
      </c>
      <c r="M32" s="27">
        <f>Лист1!AX26</f>
        <v>85.46999999999998</v>
      </c>
      <c r="N32" s="26">
        <f>Лист1!BB26</f>
        <v>1830.8799999999997</v>
      </c>
      <c r="O32" s="63">
        <f>Лист1!BD26</f>
        <v>1180.9100000000003</v>
      </c>
      <c r="P32" s="63">
        <f>Лист1!BE26</f>
        <v>10.239999999999782</v>
      </c>
      <c r="Q32" s="1"/>
      <c r="R32" s="1"/>
    </row>
    <row r="33" spans="1:18" ht="12.75">
      <c r="A33" s="9" t="s">
        <v>46</v>
      </c>
      <c r="B33" s="68">
        <f>Лист1!B27</f>
        <v>347</v>
      </c>
      <c r="C33" s="23">
        <f t="shared" si="3"/>
        <v>3001.55</v>
      </c>
      <c r="D33" s="24">
        <f>Лист1!D27</f>
        <v>577.73</v>
      </c>
      <c r="E33" s="12">
        <f>Лист1!S27</f>
        <v>1563.7</v>
      </c>
      <c r="F33" s="26">
        <f>Лист1!T27</f>
        <v>860.12</v>
      </c>
      <c r="G33" s="25">
        <f>Лист1!AB27</f>
        <v>1553.43</v>
      </c>
      <c r="H33" s="26">
        <f>Лист1!AC27</f>
        <v>2991.2799999999997</v>
      </c>
      <c r="I33" s="25">
        <f>Лист1!AG27</f>
        <v>208.2</v>
      </c>
      <c r="J33" s="12">
        <f>Лист1!AI27+Лист1!AJ27</f>
        <v>347</v>
      </c>
      <c r="K33" s="12">
        <f>Лист1!AH27+Лист1!AK27+Лист1!AL27+Лист1!AM27+Лист1!AN27+Лист1!AO27+Лист1!AP27+Лист1!AQ27+Лист1!AR27</f>
        <v>1190.21</v>
      </c>
      <c r="L33" s="27">
        <f>Лист1!AS27+Лист1!AT27+Лист1!AU27+Лист1!AZ27+Лист1!BA27</f>
        <v>460</v>
      </c>
      <c r="M33" s="27">
        <f>Лист1!AX27</f>
        <v>80.42999999999999</v>
      </c>
      <c r="N33" s="26">
        <f>Лист1!BB27</f>
        <v>2285.8399999999997</v>
      </c>
      <c r="O33" s="63">
        <f>Лист1!BD27</f>
        <v>705.44</v>
      </c>
      <c r="P33" s="63">
        <f>Лист1!BE27</f>
        <v>-10.269999999999982</v>
      </c>
      <c r="Q33" s="1"/>
      <c r="R33" s="1"/>
    </row>
    <row r="34" spans="1:18" ht="12.75">
      <c r="A34" s="9" t="s">
        <v>47</v>
      </c>
      <c r="B34" s="68">
        <f>Лист1!B28</f>
        <v>347</v>
      </c>
      <c r="C34" s="23">
        <f t="shared" si="3"/>
        <v>3001.55</v>
      </c>
      <c r="D34" s="24">
        <f>Лист1!D28</f>
        <v>577.73</v>
      </c>
      <c r="E34" s="12">
        <f>Лист1!S28</f>
        <v>1563.7</v>
      </c>
      <c r="F34" s="26">
        <f>Лист1!T28</f>
        <v>860.12</v>
      </c>
      <c r="G34" s="25">
        <f>Лист1!AB28</f>
        <v>1402.6</v>
      </c>
      <c r="H34" s="26">
        <f>Лист1!AC28</f>
        <v>2840.45</v>
      </c>
      <c r="I34" s="25">
        <f>Лист1!AG28</f>
        <v>208.2</v>
      </c>
      <c r="J34" s="12">
        <f>Лист1!AI28+Лист1!AJ28</f>
        <v>347</v>
      </c>
      <c r="K34" s="12">
        <f>Лист1!AH28+Лист1!AK28+Лист1!AL28+Лист1!AM28+Лист1!AN28+Лист1!AO28+Лист1!AP28+Лист1!AQ28+Лист1!AR28</f>
        <v>1190.21</v>
      </c>
      <c r="L34" s="27">
        <f>Лист1!AS28+Лист1!AT28+Лист1!AU28+Лист1!AZ28+Лист1!BA28</f>
        <v>500</v>
      </c>
      <c r="M34" s="27">
        <f>Лист1!AX28</f>
        <v>64.47</v>
      </c>
      <c r="N34" s="26">
        <f>Лист1!BB28</f>
        <v>2309.8799999999997</v>
      </c>
      <c r="O34" s="63">
        <f>Лист1!BD28</f>
        <v>530.5700000000002</v>
      </c>
      <c r="P34" s="63">
        <f>Лист1!BE28</f>
        <v>-161.10000000000014</v>
      </c>
      <c r="Q34" s="1"/>
      <c r="R34" s="1"/>
    </row>
    <row r="35" spans="1:18" ht="12.75">
      <c r="A35" s="9" t="s">
        <v>48</v>
      </c>
      <c r="B35" s="68">
        <f>Лист1!B29</f>
        <v>347</v>
      </c>
      <c r="C35" s="23">
        <f t="shared" si="3"/>
        <v>3001.55</v>
      </c>
      <c r="D35" s="24">
        <f>Лист1!D29</f>
        <v>577.74</v>
      </c>
      <c r="E35" s="12">
        <f>Лист1!S29</f>
        <v>1563.69</v>
      </c>
      <c r="F35" s="26">
        <f>Лист1!T29</f>
        <v>860.12</v>
      </c>
      <c r="G35" s="25">
        <f>Лист1!AB29</f>
        <v>1230.56</v>
      </c>
      <c r="H35" s="26">
        <f>Лист1!AC29</f>
        <v>2668.42</v>
      </c>
      <c r="I35" s="25">
        <f>Лист1!AG29</f>
        <v>208.2</v>
      </c>
      <c r="J35" s="12">
        <f>Лист1!AI29+Лист1!AJ29</f>
        <v>347</v>
      </c>
      <c r="K35" s="12">
        <f>Лист1!AH29+Лист1!AK29+Лист1!AL29+Лист1!AM29+Лист1!AN29+Лист1!AO29+Лист1!AP29+Лист1!AQ29+Лист1!AR29</f>
        <v>1190.21</v>
      </c>
      <c r="L35" s="27">
        <f>Лист1!AS29+Лист1!AT29+Лист1!AU29+Лист1!AZ29+Лист1!BA29</f>
        <v>0</v>
      </c>
      <c r="M35" s="27">
        <f>Лист1!AX29</f>
        <v>55.22999999999999</v>
      </c>
      <c r="N35" s="26">
        <f>Лист1!BB29</f>
        <v>1800.6399999999999</v>
      </c>
      <c r="O35" s="63">
        <f>Лист1!BD29</f>
        <v>867.7800000000002</v>
      </c>
      <c r="P35" s="63">
        <f>Лист1!BE29</f>
        <v>-333.1300000000001</v>
      </c>
      <c r="Q35" s="1"/>
      <c r="R35" s="1"/>
    </row>
    <row r="36" spans="1:18" ht="12.75">
      <c r="A36" s="9" t="s">
        <v>49</v>
      </c>
      <c r="B36" s="68">
        <f>Лист1!B30</f>
        <v>347</v>
      </c>
      <c r="C36" s="23">
        <f t="shared" si="3"/>
        <v>3001.55</v>
      </c>
      <c r="D36" s="24">
        <f>Лист1!D30</f>
        <v>577.74</v>
      </c>
      <c r="E36" s="12">
        <f>Лист1!S30</f>
        <v>1563.69</v>
      </c>
      <c r="F36" s="26">
        <f>Лист1!T30</f>
        <v>860.12</v>
      </c>
      <c r="G36" s="25">
        <f>Лист1!AB30</f>
        <v>1566.4599999999998</v>
      </c>
      <c r="H36" s="26">
        <f>Лист1!AC30</f>
        <v>3004.3199999999997</v>
      </c>
      <c r="I36" s="25">
        <f>Лист1!AG30</f>
        <v>208.2</v>
      </c>
      <c r="J36" s="12">
        <f>Лист1!AI30+Лист1!AJ30</f>
        <v>347</v>
      </c>
      <c r="K36" s="12">
        <f>Лист1!AH30+Лист1!AK30+Лист1!AL30+Лист1!AM30+Лист1!AN30+Лист1!AO30+Лист1!AP30+Лист1!AQ30+Лист1!AR30</f>
        <v>1190.21</v>
      </c>
      <c r="L36" s="27">
        <f>Лист1!AS30+Лист1!AT30+Лист1!AU30+Лист1!AZ30+Лист1!BA30</f>
        <v>0</v>
      </c>
      <c r="M36" s="27">
        <f>Лист1!AX30</f>
        <v>48.92999999999999</v>
      </c>
      <c r="N36" s="26">
        <f>Лист1!BB30</f>
        <v>1794.3400000000001</v>
      </c>
      <c r="O36" s="63">
        <f>Лист1!BD30</f>
        <v>1209.9799999999996</v>
      </c>
      <c r="P36" s="63">
        <f>Лист1!BE30</f>
        <v>2.7699999999997544</v>
      </c>
      <c r="Q36" s="1"/>
      <c r="R36" s="1"/>
    </row>
    <row r="37" spans="1:18" ht="12.75">
      <c r="A37" s="9" t="s">
        <v>50</v>
      </c>
      <c r="B37" s="68">
        <f>Лист1!B31</f>
        <v>347</v>
      </c>
      <c r="C37" s="23">
        <f t="shared" si="3"/>
        <v>3001.55</v>
      </c>
      <c r="D37" s="24">
        <f>Лист1!D31</f>
        <v>560.6399999999999</v>
      </c>
      <c r="E37" s="12">
        <f>Лист1!S31</f>
        <v>2440.9100000000003</v>
      </c>
      <c r="F37" s="26">
        <f>Лист1!T31</f>
        <v>0</v>
      </c>
      <c r="G37" s="25">
        <f>Лист1!AB31</f>
        <v>1902.29</v>
      </c>
      <c r="H37" s="26">
        <f>Лист1!AC31</f>
        <v>2462.93</v>
      </c>
      <c r="I37" s="25">
        <f>Лист1!AG31</f>
        <v>208.2</v>
      </c>
      <c r="J37" s="12">
        <f>Лист1!AI31+Лист1!AJ31</f>
        <v>347</v>
      </c>
      <c r="K37" s="12">
        <f>Лист1!AH31+Лист1!AK31+Лист1!AL31+Лист1!AM31+Лист1!AN31+Лист1!AO31+Лист1!AP31+Лист1!AQ31+Лист1!AR31</f>
        <v>1190.21</v>
      </c>
      <c r="L37" s="27">
        <f>Лист1!AS31+Лист1!AT31+Лист1!AU31+Лист1!AZ31+Лист1!BA31</f>
        <v>0</v>
      </c>
      <c r="M37" s="27">
        <f>Лист1!AX31</f>
        <v>52.07999999999999</v>
      </c>
      <c r="N37" s="26">
        <f>Лист1!BB31</f>
        <v>1797.49</v>
      </c>
      <c r="O37" s="63">
        <f>Лист1!BD31</f>
        <v>665.4399999999998</v>
      </c>
      <c r="P37" s="63">
        <f>Лист1!BE31</f>
        <v>-538.6200000000003</v>
      </c>
      <c r="Q37" s="1"/>
      <c r="R37" s="1"/>
    </row>
    <row r="38" spans="1:18" ht="12.75">
      <c r="A38" s="9" t="s">
        <v>51</v>
      </c>
      <c r="B38" s="68">
        <f>Лист1!B32</f>
        <v>347</v>
      </c>
      <c r="C38" s="23">
        <f t="shared" si="3"/>
        <v>3001.55</v>
      </c>
      <c r="D38" s="24">
        <f>Лист1!D32</f>
        <v>560.6399999999999</v>
      </c>
      <c r="E38" s="12">
        <f>Лист1!S32</f>
        <v>2440.9100000000003</v>
      </c>
      <c r="F38" s="26">
        <f>Лист1!T32</f>
        <v>0</v>
      </c>
      <c r="G38" s="25">
        <f>Лист1!AB32</f>
        <v>2434.87</v>
      </c>
      <c r="H38" s="26">
        <f>Лист1!AC32</f>
        <v>2995.5099999999998</v>
      </c>
      <c r="I38" s="25">
        <f>Лист1!AG32</f>
        <v>208.2</v>
      </c>
      <c r="J38" s="12">
        <f>Лист1!AI32+Лист1!AJ32</f>
        <v>347</v>
      </c>
      <c r="K38" s="12">
        <f>Лист1!AH32+Лист1!AK32+Лист1!AL32+Лист1!AM32+Лист1!AN32+Лист1!AO32+Лист1!AP32+Лист1!AQ32+Лист1!AR32</f>
        <v>1190.21</v>
      </c>
      <c r="L38" s="27">
        <f>Лист1!AS32+Лист1!AT32+Лист1!AU32+Лист1!AZ32+Лист1!BA32</f>
        <v>47.8</v>
      </c>
      <c r="M38" s="27">
        <f>Лист1!AX32</f>
        <v>61.52999999999999</v>
      </c>
      <c r="N38" s="26">
        <f>Лист1!BB32</f>
        <v>1854.7400000000002</v>
      </c>
      <c r="O38" s="63">
        <f>Лист1!BD32</f>
        <v>1140.7699999999995</v>
      </c>
      <c r="P38" s="63">
        <f>Лист1!BE32</f>
        <v>-6.040000000000418</v>
      </c>
      <c r="Q38" s="1"/>
      <c r="R38" s="1"/>
    </row>
    <row r="39" spans="1:18" ht="12.75">
      <c r="A39" s="9" t="s">
        <v>52</v>
      </c>
      <c r="B39" s="68">
        <f>Лист1!B33</f>
        <v>347</v>
      </c>
      <c r="C39" s="23">
        <f t="shared" si="3"/>
        <v>3001.55</v>
      </c>
      <c r="D39" s="24">
        <f>Лист1!D33</f>
        <v>560.6399999999999</v>
      </c>
      <c r="E39" s="12">
        <f>Лист1!S33</f>
        <v>2440.9100000000003</v>
      </c>
      <c r="F39" s="26">
        <f>Лист1!T33</f>
        <v>0</v>
      </c>
      <c r="G39" s="25">
        <f>Лист1!AB33</f>
        <v>2445.53</v>
      </c>
      <c r="H39" s="26">
        <f>Лист1!AC33</f>
        <v>3006.17</v>
      </c>
      <c r="I39" s="25">
        <f>Лист1!AG33</f>
        <v>208.2</v>
      </c>
      <c r="J39" s="12">
        <f>Лист1!AI33+Лист1!AJ33</f>
        <v>347</v>
      </c>
      <c r="K39" s="12">
        <f>Лист1!AH33+Лист1!AK33+Лист1!AL33+Лист1!AM33+Лист1!AN33+Лист1!AO33+Лист1!AP33+Лист1!AQ33+Лист1!AR33</f>
        <v>1190.21</v>
      </c>
      <c r="L39" s="27">
        <f>Лист1!AS33+Лист1!AT33+Лист1!AU33+Лист1!AZ33+Лист1!BA33</f>
        <v>0</v>
      </c>
      <c r="M39" s="27">
        <f>Лист1!AX33</f>
        <v>73.28999999999999</v>
      </c>
      <c r="N39" s="26">
        <f>Лист1!BB33</f>
        <v>1818.6999999999998</v>
      </c>
      <c r="O39" s="63">
        <f>Лист1!BD33</f>
        <v>1187.4700000000003</v>
      </c>
      <c r="P39" s="63">
        <f>Лист1!BE33</f>
        <v>4.619999999999891</v>
      </c>
      <c r="Q39" s="1"/>
      <c r="R39" s="1"/>
    </row>
    <row r="40" spans="1:18" ht="12.75">
      <c r="A40" s="9" t="s">
        <v>40</v>
      </c>
      <c r="B40" s="68">
        <f>Лист1!B34</f>
        <v>347</v>
      </c>
      <c r="C40" s="23">
        <f>B40*8.65</f>
        <v>3001.55</v>
      </c>
      <c r="D40" s="24">
        <f>Лист1!D34</f>
        <v>560.6399999999999</v>
      </c>
      <c r="E40" s="12">
        <f>Лист1!S34</f>
        <v>2440.9100000000003</v>
      </c>
      <c r="F40" s="26">
        <f>Лист1!T34</f>
        <v>0</v>
      </c>
      <c r="G40" s="25">
        <f>Лист1!AB34</f>
        <v>2443.58</v>
      </c>
      <c r="H40" s="26">
        <f>Лист1!AC34</f>
        <v>3004.22</v>
      </c>
      <c r="I40" s="25">
        <f>Лист1!AG34</f>
        <v>208.2</v>
      </c>
      <c r="J40" s="12">
        <f>Лист1!AI34+Лист1!AJ34</f>
        <v>347</v>
      </c>
      <c r="K40" s="12">
        <f>Лист1!AH34+Лист1!AK34+Лист1!AL34+Лист1!AM34+Лист1!AN34+Лист1!AO34+Лист1!AP34+Лист1!AQ34+Лист1!AR34</f>
        <v>1190.21</v>
      </c>
      <c r="L40" s="27">
        <f>Лист1!AS34+Лист1!AT34+Лист1!AU34+Лист1!AZ34+Лист1!BA34</f>
        <v>0</v>
      </c>
      <c r="M40" s="27">
        <f>Лист1!AX34</f>
        <v>89.25</v>
      </c>
      <c r="N40" s="26">
        <f>Лист1!BB34</f>
        <v>1834.6599999999999</v>
      </c>
      <c r="O40" s="63">
        <f>Лист1!BD34</f>
        <v>1169.56</v>
      </c>
      <c r="P40" s="63">
        <f>Лист1!BE34</f>
        <v>2.669999999999618</v>
      </c>
      <c r="Q40" s="1"/>
      <c r="R40" s="1"/>
    </row>
    <row r="41" spans="1:18" ht="12.75">
      <c r="A41" s="9" t="s">
        <v>41</v>
      </c>
      <c r="B41" s="68">
        <f>Лист1!B35</f>
        <v>347</v>
      </c>
      <c r="C41" s="23">
        <f t="shared" si="3"/>
        <v>3001.55</v>
      </c>
      <c r="D41" s="24">
        <f>Лист1!D35</f>
        <v>560.6399999999999</v>
      </c>
      <c r="E41" s="12">
        <f>Лист1!S35</f>
        <v>2440.9100000000003</v>
      </c>
      <c r="F41" s="26">
        <f>Лист1!T35</f>
        <v>0</v>
      </c>
      <c r="G41" s="25">
        <f>Лист1!AB35</f>
        <v>2432.8799999999997</v>
      </c>
      <c r="H41" s="26">
        <f>Лист1!AC35</f>
        <v>2993.5199999999995</v>
      </c>
      <c r="I41" s="25">
        <f>Лист1!AG35</f>
        <v>208.2</v>
      </c>
      <c r="J41" s="12">
        <f>Лист1!AI35+Лист1!AJ35</f>
        <v>347</v>
      </c>
      <c r="K41" s="12">
        <f>Лист1!AH35+Лист1!AK35+Лист1!AL35+Лист1!AM35+Лист1!AN35+Лист1!AO35+Лист1!AP35+Лист1!AQ35+Лист1!AR35</f>
        <v>1190.21</v>
      </c>
      <c r="L41" s="27">
        <f>Лист1!AS35+Лист1!AT35+Лист1!AU35+Лист1!AZ35+Лист1!BA35</f>
        <v>0</v>
      </c>
      <c r="M41" s="27">
        <f>Лист1!AX35</f>
        <v>98.69999999999999</v>
      </c>
      <c r="N41" s="26">
        <f>Лист1!BB35</f>
        <v>1844.1099999999997</v>
      </c>
      <c r="O41" s="63">
        <f>Лист1!BD35</f>
        <v>1149.4099999999999</v>
      </c>
      <c r="P41" s="63">
        <f>Лист1!BE35</f>
        <v>-8.030000000000655</v>
      </c>
      <c r="Q41" s="1"/>
      <c r="R41" s="1"/>
    </row>
    <row r="42" spans="1:18" ht="13.5" thickBot="1">
      <c r="A42" s="28" t="s">
        <v>42</v>
      </c>
      <c r="B42" s="68">
        <f>Лист1!B36</f>
        <v>347</v>
      </c>
      <c r="C42" s="29">
        <f t="shared" si="3"/>
        <v>3001.55</v>
      </c>
      <c r="D42" s="24">
        <f>Лист1!D36</f>
        <v>560.6399999999999</v>
      </c>
      <c r="E42" s="12">
        <f>Лист1!S36</f>
        <v>2440.9100000000003</v>
      </c>
      <c r="F42" s="26">
        <f>Лист1!T36</f>
        <v>0</v>
      </c>
      <c r="G42" s="25">
        <f>Лист1!AB36</f>
        <v>2441.98</v>
      </c>
      <c r="H42" s="26">
        <f>Лист1!AC36</f>
        <v>3002.62</v>
      </c>
      <c r="I42" s="25">
        <f>Лист1!AG36</f>
        <v>208.2</v>
      </c>
      <c r="J42" s="12">
        <f>Лист1!AI36+Лист1!AJ36</f>
        <v>347</v>
      </c>
      <c r="K42" s="12">
        <f>Лист1!AH36+Лист1!AK36+Лист1!AL36+Лист1!AM36+Лист1!AN36+Лист1!AO36+Лист1!AP36+Лист1!AQ36+Лист1!AR36</f>
        <v>1190.21</v>
      </c>
      <c r="L42" s="27">
        <f>Лист1!AS36+Лист1!AT36+Лист1!AU36+Лист1!AZ36+Лист1!BA36</f>
        <v>0</v>
      </c>
      <c r="M42" s="27">
        <f>Лист1!AX36</f>
        <v>107.93999999999998</v>
      </c>
      <c r="N42" s="26">
        <f>Лист1!BB36</f>
        <v>1853.35</v>
      </c>
      <c r="O42" s="63">
        <f>Лист1!BD36</f>
        <v>1149.27</v>
      </c>
      <c r="P42" s="63">
        <f>Лист1!BE36</f>
        <v>1.069999999999709</v>
      </c>
      <c r="Q42" s="1"/>
      <c r="R42" s="1"/>
    </row>
    <row r="43" spans="1:18" s="18" customFormat="1" ht="13.5" thickBot="1">
      <c r="A43" s="30" t="s">
        <v>5</v>
      </c>
      <c r="B43" s="31"/>
      <c r="C43" s="32">
        <f aca="true" t="shared" si="4" ref="C43:P43">SUM(C31:C42)</f>
        <v>36018.6</v>
      </c>
      <c r="D43" s="58">
        <f t="shared" si="4"/>
        <v>6830.239999999998</v>
      </c>
      <c r="E43" s="32">
        <f t="shared" si="4"/>
        <v>24027.64</v>
      </c>
      <c r="F43" s="59">
        <f t="shared" si="4"/>
        <v>5160.72</v>
      </c>
      <c r="G43" s="58">
        <f t="shared" si="4"/>
        <v>22983.579999999998</v>
      </c>
      <c r="H43" s="59">
        <f t="shared" si="4"/>
        <v>34974.54</v>
      </c>
      <c r="I43" s="58">
        <f t="shared" si="4"/>
        <v>2498.3999999999996</v>
      </c>
      <c r="J43" s="32">
        <f t="shared" si="4"/>
        <v>4164</v>
      </c>
      <c r="K43" s="32">
        <f t="shared" si="4"/>
        <v>14282.519999999997</v>
      </c>
      <c r="L43" s="32">
        <f t="shared" si="4"/>
        <v>1007.8</v>
      </c>
      <c r="M43" s="32">
        <f t="shared" si="4"/>
        <v>923.9999999999999</v>
      </c>
      <c r="N43" s="59">
        <f t="shared" si="4"/>
        <v>22876.719999999998</v>
      </c>
      <c r="O43" s="64">
        <f t="shared" si="4"/>
        <v>12097.82</v>
      </c>
      <c r="P43" s="64">
        <f t="shared" si="4"/>
        <v>-1044.060000000003</v>
      </c>
      <c r="Q43" s="61"/>
      <c r="R43" s="61"/>
    </row>
    <row r="44" spans="1:18" ht="13.5" thickBot="1">
      <c r="A44" s="245" t="s">
        <v>69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65"/>
      <c r="Q44" s="1"/>
      <c r="R44" s="1"/>
    </row>
    <row r="45" spans="1:18" s="18" customFormat="1" ht="13.5" thickBot="1">
      <c r="A45" s="66" t="s">
        <v>53</v>
      </c>
      <c r="B45" s="33"/>
      <c r="C45" s="34">
        <f>C43+C29</f>
        <v>72037.2</v>
      </c>
      <c r="D45" s="34">
        <f aca="true" t="shared" si="5" ref="D45:P45">D43+D29</f>
        <v>12971.224999999997</v>
      </c>
      <c r="E45" s="34">
        <f t="shared" si="5"/>
        <v>42136.850000000006</v>
      </c>
      <c r="F45" s="34">
        <f t="shared" si="5"/>
        <v>15116.900000000001</v>
      </c>
      <c r="G45" s="34">
        <f t="shared" si="5"/>
        <v>40944.06</v>
      </c>
      <c r="H45" s="34">
        <f t="shared" si="5"/>
        <v>69032.185</v>
      </c>
      <c r="I45" s="34">
        <f t="shared" si="5"/>
        <v>4913.5199999999995</v>
      </c>
      <c r="J45" s="34">
        <f t="shared" si="5"/>
        <v>8147.70049483</v>
      </c>
      <c r="K45" s="34">
        <f t="shared" si="5"/>
        <v>27874.051964704</v>
      </c>
      <c r="L45" s="34">
        <f t="shared" si="5"/>
        <v>2577.2</v>
      </c>
      <c r="M45" s="34">
        <f t="shared" si="5"/>
        <v>1796.2559999999999</v>
      </c>
      <c r="N45" s="34">
        <f t="shared" si="5"/>
        <v>45308.728459533995</v>
      </c>
      <c r="O45" s="34">
        <f t="shared" si="5"/>
        <v>23723.456540466</v>
      </c>
      <c r="P45" s="34">
        <f t="shared" si="5"/>
        <v>-1192.7900000000031</v>
      </c>
      <c r="Q45" s="62"/>
      <c r="R45" s="61"/>
    </row>
  </sheetData>
  <sheetProtection/>
  <mergeCells count="25">
    <mergeCell ref="B1:H1"/>
    <mergeCell ref="B2:H2"/>
    <mergeCell ref="A8:D8"/>
    <mergeCell ref="E8:F8"/>
    <mergeCell ref="A5:O5"/>
    <mergeCell ref="A6:G6"/>
    <mergeCell ref="K11:K12"/>
    <mergeCell ref="L11:L12"/>
    <mergeCell ref="M11:M12"/>
    <mergeCell ref="E9:F10"/>
    <mergeCell ref="G9:H10"/>
    <mergeCell ref="A44:O44"/>
    <mergeCell ref="N11:N12"/>
    <mergeCell ref="A28:O28"/>
    <mergeCell ref="O9:O12"/>
    <mergeCell ref="I9:N10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5"/>
  <sheetViews>
    <sheetView zoomScalePageLayoutView="0" workbookViewId="0" topLeftCell="AU3">
      <selection activeCell="BG23" sqref="C23:BG23"/>
    </sheetView>
  </sheetViews>
  <sheetFormatPr defaultColWidth="9.00390625" defaultRowHeight="12.75"/>
  <cols>
    <col min="1" max="1" width="8.75390625" style="2" bestFit="1" customWidth="1"/>
    <col min="2" max="2" width="10.375" style="2" customWidth="1"/>
    <col min="3" max="4" width="9.125" style="2" customWidth="1"/>
    <col min="5" max="5" width="10.25390625" style="2" customWidth="1"/>
    <col min="6" max="6" width="9.125" style="2" customWidth="1"/>
    <col min="7" max="7" width="9.875" style="2" customWidth="1"/>
    <col min="8" max="8" width="9.125" style="2" customWidth="1"/>
    <col min="9" max="9" width="10.375" style="2" customWidth="1"/>
    <col min="10" max="12" width="9.125" style="2" customWidth="1"/>
    <col min="13" max="13" width="10.125" style="2" bestFit="1" customWidth="1"/>
    <col min="14" max="16" width="9.125" style="2" customWidth="1"/>
    <col min="17" max="17" width="10.125" style="2" bestFit="1" customWidth="1"/>
    <col min="18" max="18" width="10.125" style="2" customWidth="1"/>
    <col min="19" max="20" width="9.125" style="2" customWidth="1"/>
    <col min="21" max="21" width="10.625" style="2" customWidth="1"/>
    <col min="22" max="22" width="10.125" style="2" customWidth="1"/>
    <col min="23" max="23" width="11.00390625" style="2" customWidth="1"/>
    <col min="24" max="24" width="13.125" style="2" customWidth="1"/>
    <col min="25" max="25" width="12.125" style="2" customWidth="1"/>
    <col min="26" max="26" width="14.375" style="2" customWidth="1"/>
    <col min="27" max="28" width="13.125" style="2" customWidth="1"/>
    <col min="29" max="29" width="9.25390625" style="2" bestFit="1" customWidth="1"/>
    <col min="30" max="30" width="9.875" style="2" customWidth="1"/>
    <col min="31" max="31" width="10.25390625" style="2" customWidth="1"/>
    <col min="32" max="32" width="10.375" style="2" customWidth="1"/>
    <col min="33" max="33" width="10.75390625" style="2" customWidth="1"/>
    <col min="34" max="34" width="10.25390625" style="2" customWidth="1"/>
    <col min="35" max="35" width="9.25390625" style="2" bestFit="1" customWidth="1"/>
    <col min="36" max="36" width="10.875" style="2" customWidth="1"/>
    <col min="37" max="37" width="13.75390625" style="2" customWidth="1"/>
    <col min="38" max="38" width="13.375" style="2" customWidth="1"/>
    <col min="39" max="39" width="12.00390625" style="2" customWidth="1"/>
    <col min="40" max="40" width="13.125" style="2" customWidth="1"/>
    <col min="41" max="41" width="13.875" style="2" customWidth="1"/>
    <col min="42" max="42" width="13.625" style="2" customWidth="1"/>
    <col min="43" max="44" width="11.875" style="2" customWidth="1"/>
    <col min="45" max="45" width="12.25390625" style="2" customWidth="1"/>
    <col min="46" max="46" width="12.125" style="2" customWidth="1"/>
    <col min="47" max="47" width="14.25390625" style="2" customWidth="1"/>
    <col min="48" max="48" width="13.75390625" style="2" customWidth="1"/>
    <col min="49" max="49" width="15.875" style="2" customWidth="1"/>
    <col min="50" max="50" width="11.37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7" width="10.75390625" style="2" customWidth="1"/>
    <col min="58" max="58" width="14.00390625" style="2" customWidth="1"/>
    <col min="59" max="59" width="12.875" style="2" customWidth="1"/>
    <col min="60" max="16384" width="9.125" style="2" customWidth="1"/>
  </cols>
  <sheetData>
    <row r="1" spans="1:16" ht="21" customHeight="1">
      <c r="A1" s="204" t="s">
        <v>88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1"/>
      <c r="N1" s="1"/>
      <c r="O1" s="1"/>
      <c r="P1" s="1"/>
    </row>
    <row r="2" spans="1:56" ht="110.25" customHeight="1" thickBo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BD2" s="147"/>
    </row>
    <row r="3" spans="1:60" ht="29.25" customHeight="1" thickBot="1">
      <c r="A3" s="251" t="s">
        <v>0</v>
      </c>
      <c r="B3" s="253" t="s">
        <v>1</v>
      </c>
      <c r="C3" s="255" t="s">
        <v>2</v>
      </c>
      <c r="D3" s="257" t="s">
        <v>3</v>
      </c>
      <c r="E3" s="251" t="s">
        <v>94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38"/>
      <c r="S3" s="251"/>
      <c r="T3" s="277"/>
      <c r="U3" s="251" t="s">
        <v>5</v>
      </c>
      <c r="V3" s="277"/>
      <c r="W3" s="289" t="s">
        <v>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1"/>
      <c r="AJ3" s="295" t="s">
        <v>73</v>
      </c>
      <c r="AK3" s="308" t="s">
        <v>10</v>
      </c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10"/>
      <c r="BF3" s="266" t="s">
        <v>11</v>
      </c>
      <c r="BG3" s="259" t="s">
        <v>12</v>
      </c>
      <c r="BH3" s="149"/>
    </row>
    <row r="4" spans="1:59" ht="51.75" customHeight="1" hidden="1" thickBot="1">
      <c r="A4" s="252"/>
      <c r="B4" s="254"/>
      <c r="C4" s="256"/>
      <c r="D4" s="258"/>
      <c r="E4" s="252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30"/>
      <c r="S4" s="314"/>
      <c r="T4" s="315"/>
      <c r="U4" s="314"/>
      <c r="V4" s="315"/>
      <c r="W4" s="292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4"/>
      <c r="AJ4" s="296"/>
      <c r="AK4" s="311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3"/>
      <c r="BF4" s="267"/>
      <c r="BG4" s="260"/>
    </row>
    <row r="5" spans="1:61" ht="19.5" customHeight="1">
      <c r="A5" s="252"/>
      <c r="B5" s="254"/>
      <c r="C5" s="256"/>
      <c r="D5" s="258"/>
      <c r="E5" s="279" t="s">
        <v>13</v>
      </c>
      <c r="F5" s="280"/>
      <c r="G5" s="279" t="s">
        <v>95</v>
      </c>
      <c r="H5" s="280"/>
      <c r="I5" s="279" t="s">
        <v>14</v>
      </c>
      <c r="J5" s="280"/>
      <c r="K5" s="279" t="s">
        <v>16</v>
      </c>
      <c r="L5" s="280"/>
      <c r="M5" s="279" t="s">
        <v>15</v>
      </c>
      <c r="N5" s="280"/>
      <c r="O5" s="283" t="s">
        <v>17</v>
      </c>
      <c r="P5" s="283"/>
      <c r="Q5" s="279" t="s">
        <v>109</v>
      </c>
      <c r="R5" s="280"/>
      <c r="S5" s="283" t="s">
        <v>96</v>
      </c>
      <c r="T5" s="280"/>
      <c r="U5" s="304" t="s">
        <v>20</v>
      </c>
      <c r="V5" s="306" t="s">
        <v>21</v>
      </c>
      <c r="W5" s="300" t="s">
        <v>22</v>
      </c>
      <c r="X5" s="300" t="s">
        <v>97</v>
      </c>
      <c r="Y5" s="300" t="s">
        <v>23</v>
      </c>
      <c r="Z5" s="300" t="s">
        <v>25</v>
      </c>
      <c r="AA5" s="300" t="s">
        <v>24</v>
      </c>
      <c r="AB5" s="300" t="s">
        <v>26</v>
      </c>
      <c r="AC5" s="300" t="s">
        <v>27</v>
      </c>
      <c r="AD5" s="317" t="s">
        <v>28</v>
      </c>
      <c r="AE5" s="317" t="s">
        <v>108</v>
      </c>
      <c r="AF5" s="298" t="s">
        <v>29</v>
      </c>
      <c r="AG5" s="269" t="s">
        <v>85</v>
      </c>
      <c r="AH5" s="271" t="s">
        <v>8</v>
      </c>
      <c r="AI5" s="273" t="s">
        <v>9</v>
      </c>
      <c r="AJ5" s="296"/>
      <c r="AK5" s="275" t="s">
        <v>98</v>
      </c>
      <c r="AL5" s="287" t="s">
        <v>99</v>
      </c>
      <c r="AM5" s="287" t="s">
        <v>100</v>
      </c>
      <c r="AN5" s="264" t="s">
        <v>101</v>
      </c>
      <c r="AO5" s="287" t="s">
        <v>102</v>
      </c>
      <c r="AP5" s="264" t="s">
        <v>103</v>
      </c>
      <c r="AQ5" s="264" t="s">
        <v>104</v>
      </c>
      <c r="AR5" s="264" t="s">
        <v>114</v>
      </c>
      <c r="AS5" s="264" t="s">
        <v>105</v>
      </c>
      <c r="AT5" s="264" t="s">
        <v>36</v>
      </c>
      <c r="AU5" s="199" t="s">
        <v>110</v>
      </c>
      <c r="AV5" s="178" t="s">
        <v>111</v>
      </c>
      <c r="AW5" s="199" t="s">
        <v>112</v>
      </c>
      <c r="AX5" s="180" t="s">
        <v>106</v>
      </c>
      <c r="AY5" s="131"/>
      <c r="AZ5" s="285" t="s">
        <v>19</v>
      </c>
      <c r="BA5" s="264" t="s">
        <v>38</v>
      </c>
      <c r="BB5" s="264" t="s">
        <v>33</v>
      </c>
      <c r="BC5" s="302" t="s">
        <v>39</v>
      </c>
      <c r="BD5" s="262" t="s">
        <v>74</v>
      </c>
      <c r="BE5" s="264" t="s">
        <v>92</v>
      </c>
      <c r="BF5" s="267"/>
      <c r="BG5" s="260"/>
      <c r="BH5" s="134"/>
      <c r="BI5" s="133"/>
    </row>
    <row r="6" spans="1:61" ht="29.25" customHeight="1" thickBot="1">
      <c r="A6" s="252"/>
      <c r="B6" s="254"/>
      <c r="C6" s="256"/>
      <c r="D6" s="258"/>
      <c r="E6" s="281"/>
      <c r="F6" s="282"/>
      <c r="G6" s="281"/>
      <c r="H6" s="282"/>
      <c r="I6" s="281"/>
      <c r="J6" s="282"/>
      <c r="K6" s="281"/>
      <c r="L6" s="282"/>
      <c r="M6" s="281"/>
      <c r="N6" s="282"/>
      <c r="O6" s="284"/>
      <c r="P6" s="284"/>
      <c r="Q6" s="281"/>
      <c r="R6" s="282"/>
      <c r="S6" s="316"/>
      <c r="T6" s="282"/>
      <c r="U6" s="305"/>
      <c r="V6" s="307"/>
      <c r="W6" s="301"/>
      <c r="X6" s="301"/>
      <c r="Y6" s="301"/>
      <c r="Z6" s="301"/>
      <c r="AA6" s="301"/>
      <c r="AB6" s="301"/>
      <c r="AC6" s="301"/>
      <c r="AD6" s="318"/>
      <c r="AE6" s="318"/>
      <c r="AF6" s="299"/>
      <c r="AG6" s="270"/>
      <c r="AH6" s="272"/>
      <c r="AI6" s="274"/>
      <c r="AJ6" s="297"/>
      <c r="AK6" s="276"/>
      <c r="AL6" s="288"/>
      <c r="AM6" s="288"/>
      <c r="AN6" s="265"/>
      <c r="AO6" s="288"/>
      <c r="AP6" s="265"/>
      <c r="AQ6" s="265"/>
      <c r="AR6" s="265"/>
      <c r="AS6" s="265"/>
      <c r="AT6" s="265"/>
      <c r="AU6" s="200"/>
      <c r="AV6" s="179"/>
      <c r="AW6" s="200"/>
      <c r="AX6" s="181"/>
      <c r="AY6" s="132" t="s">
        <v>107</v>
      </c>
      <c r="AZ6" s="286"/>
      <c r="BA6" s="265"/>
      <c r="BB6" s="265"/>
      <c r="BC6" s="303"/>
      <c r="BD6" s="263"/>
      <c r="BE6" s="265"/>
      <c r="BF6" s="268"/>
      <c r="BG6" s="261"/>
      <c r="BH6" s="134"/>
      <c r="BI6" s="133"/>
    </row>
    <row r="7" spans="1:61" ht="19.5" customHeight="1" thickBot="1">
      <c r="A7" s="135">
        <v>1</v>
      </c>
      <c r="B7" s="136">
        <v>2</v>
      </c>
      <c r="C7" s="136">
        <v>3</v>
      </c>
      <c r="D7" s="135">
        <v>4</v>
      </c>
      <c r="E7" s="136">
        <v>5</v>
      </c>
      <c r="F7" s="136">
        <v>6</v>
      </c>
      <c r="G7" s="135">
        <v>7</v>
      </c>
      <c r="H7" s="136">
        <v>8</v>
      </c>
      <c r="I7" s="136">
        <v>9</v>
      </c>
      <c r="J7" s="135">
        <v>10</v>
      </c>
      <c r="K7" s="136">
        <v>11</v>
      </c>
      <c r="L7" s="136">
        <v>12</v>
      </c>
      <c r="M7" s="135">
        <v>13</v>
      </c>
      <c r="N7" s="136">
        <v>14</v>
      </c>
      <c r="O7" s="136">
        <v>15</v>
      </c>
      <c r="P7" s="135">
        <v>16</v>
      </c>
      <c r="Q7" s="136">
        <v>17</v>
      </c>
      <c r="R7" s="136">
        <v>18</v>
      </c>
      <c r="S7" s="135">
        <v>19</v>
      </c>
      <c r="T7" s="136">
        <v>20</v>
      </c>
      <c r="U7" s="136">
        <v>21</v>
      </c>
      <c r="V7" s="135">
        <v>22</v>
      </c>
      <c r="W7" s="136">
        <v>23</v>
      </c>
      <c r="X7" s="135">
        <v>24</v>
      </c>
      <c r="Y7" s="136">
        <v>25</v>
      </c>
      <c r="Z7" s="135">
        <v>26</v>
      </c>
      <c r="AA7" s="136">
        <v>27</v>
      </c>
      <c r="AB7" s="135">
        <v>28</v>
      </c>
      <c r="AC7" s="136">
        <v>29</v>
      </c>
      <c r="AD7" s="135">
        <v>30</v>
      </c>
      <c r="AE7" s="135">
        <v>31</v>
      </c>
      <c r="AF7" s="136">
        <v>32</v>
      </c>
      <c r="AG7" s="135">
        <v>33</v>
      </c>
      <c r="AH7" s="136">
        <v>34</v>
      </c>
      <c r="AI7" s="135">
        <v>35</v>
      </c>
      <c r="AJ7" s="136">
        <v>36</v>
      </c>
      <c r="AK7" s="135">
        <v>37</v>
      </c>
      <c r="AL7" s="136">
        <v>38</v>
      </c>
      <c r="AM7" s="135">
        <v>39</v>
      </c>
      <c r="AN7" s="135">
        <v>40</v>
      </c>
      <c r="AO7" s="136">
        <v>41</v>
      </c>
      <c r="AP7" s="135">
        <v>42</v>
      </c>
      <c r="AQ7" s="136">
        <v>43</v>
      </c>
      <c r="AR7" s="135">
        <v>44</v>
      </c>
      <c r="AS7" s="136">
        <v>45</v>
      </c>
      <c r="AT7" s="135">
        <v>46</v>
      </c>
      <c r="AU7" s="136">
        <v>47</v>
      </c>
      <c r="AV7" s="135">
        <v>48</v>
      </c>
      <c r="AW7" s="136">
        <v>49</v>
      </c>
      <c r="AX7" s="135">
        <v>50</v>
      </c>
      <c r="AY7" s="136">
        <v>51</v>
      </c>
      <c r="AZ7" s="135">
        <v>52</v>
      </c>
      <c r="BA7" s="136">
        <v>53</v>
      </c>
      <c r="BB7" s="135">
        <v>54</v>
      </c>
      <c r="BC7" s="136">
        <v>55</v>
      </c>
      <c r="BD7" s="135">
        <v>56</v>
      </c>
      <c r="BE7" s="136">
        <v>57</v>
      </c>
      <c r="BF7" s="135">
        <v>58</v>
      </c>
      <c r="BG7" s="136">
        <v>59</v>
      </c>
      <c r="BH7" s="133"/>
      <c r="BI7" s="133"/>
    </row>
    <row r="8" spans="1:61" ht="15" customHeight="1" hidden="1">
      <c r="A8" s="5" t="s">
        <v>43</v>
      </c>
      <c r="B8" s="50"/>
      <c r="C8" s="137"/>
      <c r="D8" s="47"/>
      <c r="E8" s="137"/>
      <c r="F8" s="47"/>
      <c r="G8" s="137"/>
      <c r="H8" s="47"/>
      <c r="I8" s="137"/>
      <c r="J8" s="47"/>
      <c r="K8" s="47"/>
      <c r="L8" s="47"/>
      <c r="M8" s="47"/>
      <c r="N8" s="47"/>
      <c r="O8" s="46"/>
      <c r="P8" s="46"/>
      <c r="Q8" s="46"/>
      <c r="R8" s="46"/>
      <c r="S8" s="53"/>
      <c r="T8" s="53"/>
      <c r="U8" s="53"/>
      <c r="V8" s="53"/>
      <c r="W8" s="53"/>
      <c r="X8" s="53"/>
      <c r="Y8" s="53"/>
      <c r="Z8" s="45"/>
      <c r="AA8" s="45"/>
      <c r="AB8" s="78"/>
      <c r="AC8" s="78"/>
      <c r="AD8" s="79"/>
      <c r="AE8" s="79"/>
      <c r="AF8" s="12"/>
      <c r="AG8" s="12"/>
      <c r="AH8" s="12"/>
      <c r="AI8" s="12"/>
      <c r="AJ8" s="12"/>
      <c r="AK8" s="12"/>
      <c r="AL8" s="12"/>
      <c r="AM8" s="12"/>
      <c r="AN8" s="27"/>
      <c r="AO8" s="27"/>
      <c r="AP8" s="27"/>
      <c r="AQ8" s="27"/>
      <c r="AR8" s="27"/>
      <c r="AS8" s="75"/>
      <c r="AT8" s="75"/>
      <c r="AU8" s="42"/>
      <c r="AV8" s="42"/>
      <c r="AW8" s="42"/>
      <c r="AX8" s="27"/>
      <c r="AY8" s="27"/>
      <c r="AZ8" s="27"/>
      <c r="BA8" s="27"/>
      <c r="BB8" s="27"/>
      <c r="BC8" s="38"/>
      <c r="BD8" s="12"/>
      <c r="BE8" s="12"/>
      <c r="BF8" s="12"/>
      <c r="BG8" s="143"/>
      <c r="BH8" s="38"/>
      <c r="BI8" s="1"/>
    </row>
    <row r="9" spans="1:60" s="18" customFormat="1" ht="13.5" thickBot="1">
      <c r="A9" s="20" t="s">
        <v>53</v>
      </c>
      <c r="B9" s="21"/>
      <c r="C9" s="21">
        <f>Лист1!C39</f>
        <v>72037.2</v>
      </c>
      <c r="D9" s="21">
        <f>Лист1!D39</f>
        <v>12971.224999999997</v>
      </c>
      <c r="E9" s="21">
        <f>Лист1!E39</f>
        <v>5484.35</v>
      </c>
      <c r="F9" s="21">
        <f>Лист1!F39</f>
        <v>1967.51</v>
      </c>
      <c r="G9" s="21">
        <v>0</v>
      </c>
      <c r="H9" s="21">
        <v>0</v>
      </c>
      <c r="I9" s="21">
        <f>Лист1!G39</f>
        <v>2056.0099999999993</v>
      </c>
      <c r="J9" s="21">
        <f>Лист1!H39</f>
        <v>737.1299999999999</v>
      </c>
      <c r="K9" s="144">
        <f>Лист1!K39</f>
        <v>12362.16</v>
      </c>
      <c r="L9" s="144">
        <f>Лист1!L39</f>
        <v>4435.4800000000005</v>
      </c>
      <c r="M9" s="21">
        <f>Лист1!I39</f>
        <v>17846.73</v>
      </c>
      <c r="N9" s="21">
        <f>Лист1!J39</f>
        <v>6402.849999999999</v>
      </c>
      <c r="O9" s="21">
        <f>Лист1!M39</f>
        <v>4387.6</v>
      </c>
      <c r="P9" s="21">
        <f>Лист1!N39</f>
        <v>1573.9299999999998</v>
      </c>
      <c r="Q9" s="21">
        <f>Лист1!O39</f>
        <v>0</v>
      </c>
      <c r="R9" s="21">
        <f>Лист1!P39</f>
        <v>0</v>
      </c>
      <c r="S9" s="21">
        <f>Лист1!Q39</f>
        <v>0</v>
      </c>
      <c r="T9" s="21">
        <f>Лист1!R39</f>
        <v>0</v>
      </c>
      <c r="U9" s="21">
        <f>Лист1!S39</f>
        <v>42136.850000000006</v>
      </c>
      <c r="V9" s="21">
        <f>Лист1!T39</f>
        <v>15116.900000000001</v>
      </c>
      <c r="W9" s="21">
        <f>Лист1!U39</f>
        <v>5330.27</v>
      </c>
      <c r="X9" s="21">
        <v>0</v>
      </c>
      <c r="Y9" s="21">
        <f>Лист1!V39</f>
        <v>1992.8000000000002</v>
      </c>
      <c r="Z9" s="21">
        <f>Лист1!X39</f>
        <v>12013.09</v>
      </c>
      <c r="AA9" s="21">
        <f>Лист1!W39</f>
        <v>17343.55</v>
      </c>
      <c r="AB9" s="21">
        <f>Лист1!Y39</f>
        <v>4264.35</v>
      </c>
      <c r="AC9" s="21">
        <f>Лист1!Z39</f>
        <v>0</v>
      </c>
      <c r="AD9" s="18">
        <v>0</v>
      </c>
      <c r="AE9" s="18">
        <v>0</v>
      </c>
      <c r="AF9" s="21">
        <f>Лист1!AB39</f>
        <v>40944.06</v>
      </c>
      <c r="AG9" s="144">
        <f>Лист1!AC39</f>
        <v>69032.185</v>
      </c>
      <c r="AH9" s="144">
        <f>Лист1!AD39</f>
        <v>0</v>
      </c>
      <c r="AI9" s="144">
        <f>Лист1!AE39</f>
        <v>0</v>
      </c>
      <c r="AJ9" s="144">
        <f>Лист1!AF39</f>
        <v>0</v>
      </c>
      <c r="AK9" s="21">
        <f>Лист1!AG39</f>
        <v>4913.5199999999995</v>
      </c>
      <c r="AL9" s="21">
        <f>Лист1!AH39</f>
        <v>1641.3666239999998</v>
      </c>
      <c r="AM9" s="21">
        <f>Лист1!AI39+Лист1!AJ39</f>
        <v>8147.700494829999</v>
      </c>
      <c r="AN9" s="21">
        <f>0</f>
        <v>0</v>
      </c>
      <c r="AO9" s="21">
        <f>Лист1!AK39+Лист1!AL39</f>
        <v>7953.402629878</v>
      </c>
      <c r="AP9" s="21">
        <f>Лист1!AM39+Лист1!AN39</f>
        <v>18279.282710826003</v>
      </c>
      <c r="AQ9" s="21">
        <f>0</f>
        <v>0</v>
      </c>
      <c r="AR9" s="21"/>
      <c r="AS9" s="21">
        <f>0</f>
        <v>0</v>
      </c>
      <c r="AT9" s="21">
        <v>0</v>
      </c>
      <c r="AU9" s="21">
        <f>Лист1!AS39+Лист1!AU39</f>
        <v>2029.4</v>
      </c>
      <c r="AV9" s="21">
        <f>0</f>
        <v>0</v>
      </c>
      <c r="AW9" s="21">
        <f>Лист1!AT39</f>
        <v>547.8</v>
      </c>
      <c r="AX9" s="21">
        <f>0</f>
        <v>0</v>
      </c>
      <c r="AY9" s="21">
        <f>Лист1!AX39</f>
        <v>1796.2559999999999</v>
      </c>
      <c r="AZ9" s="21">
        <f>Лист1!AY39</f>
        <v>0</v>
      </c>
      <c r="BA9" s="21">
        <f>Лист1!AZ39</f>
        <v>0</v>
      </c>
      <c r="BB9" s="21">
        <v>0</v>
      </c>
      <c r="BC9" s="21">
        <f>Лист1!BB39</f>
        <v>45308.728459533995</v>
      </c>
      <c r="BD9" s="21">
        <v>0</v>
      </c>
      <c r="BE9" s="157">
        <f>BC9</f>
        <v>45308.728459533995</v>
      </c>
      <c r="BF9" s="158">
        <f>AG9-BE9</f>
        <v>23723.456540466002</v>
      </c>
      <c r="BG9" s="152">
        <f>AF9-U9</f>
        <v>-1192.7900000000081</v>
      </c>
      <c r="BH9" s="61"/>
    </row>
    <row r="10" spans="1:60" ht="15" customHeight="1" thickBot="1">
      <c r="A10" s="5" t="s">
        <v>93</v>
      </c>
      <c r="B10" s="50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9"/>
      <c r="P10" s="139"/>
      <c r="Q10" s="139"/>
      <c r="R10" s="139"/>
      <c r="S10" s="138"/>
      <c r="T10" s="138"/>
      <c r="U10" s="138"/>
      <c r="V10" s="138"/>
      <c r="W10" s="138"/>
      <c r="X10" s="138"/>
      <c r="Y10" s="138"/>
      <c r="Z10" s="139"/>
      <c r="AA10" s="139"/>
      <c r="AB10" s="140"/>
      <c r="AC10" s="140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27"/>
      <c r="AO10" s="27"/>
      <c r="AP10" s="27"/>
      <c r="AQ10" s="27"/>
      <c r="AR10" s="27"/>
      <c r="AS10" s="27"/>
      <c r="AT10" s="27"/>
      <c r="AU10" s="12"/>
      <c r="AV10" s="12"/>
      <c r="AW10" s="12"/>
      <c r="AX10" s="27"/>
      <c r="AY10" s="27"/>
      <c r="AZ10" s="27"/>
      <c r="BA10" s="27"/>
      <c r="BB10" s="12"/>
      <c r="BC10" s="12"/>
      <c r="BD10" s="12"/>
      <c r="BE10" s="160"/>
      <c r="BF10" s="158">
        <f>AG10-BE10</f>
        <v>0</v>
      </c>
      <c r="BG10" s="152">
        <f>AF10-U10</f>
        <v>0</v>
      </c>
      <c r="BH10" s="145"/>
    </row>
    <row r="11" spans="1:64" ht="13.5" thickBot="1">
      <c r="A11" s="9" t="s">
        <v>44</v>
      </c>
      <c r="B11" s="324">
        <v>347</v>
      </c>
      <c r="C11" s="108">
        <f>(B11*0.87)+((B11*5.17*0.9)+(B11*2.51*0.9))</f>
        <v>2700.354</v>
      </c>
      <c r="D11" s="86">
        <v>0</v>
      </c>
      <c r="E11" s="325">
        <v>0</v>
      </c>
      <c r="F11" s="326">
        <v>0</v>
      </c>
      <c r="G11" s="325">
        <v>1641.06</v>
      </c>
      <c r="H11" s="325">
        <v>0</v>
      </c>
      <c r="I11" s="325">
        <v>0</v>
      </c>
      <c r="J11" s="325">
        <v>0</v>
      </c>
      <c r="K11" s="325">
        <v>0</v>
      </c>
      <c r="L11" s="325">
        <v>0</v>
      </c>
      <c r="M11" s="325">
        <v>885.78</v>
      </c>
      <c r="N11" s="325">
        <v>0</v>
      </c>
      <c r="O11" s="325">
        <v>307.18</v>
      </c>
      <c r="P11" s="326">
        <v>0</v>
      </c>
      <c r="Q11" s="327">
        <v>0</v>
      </c>
      <c r="R11" s="328">
        <v>0</v>
      </c>
      <c r="S11" s="329">
        <v>0</v>
      </c>
      <c r="T11" s="328">
        <v>0</v>
      </c>
      <c r="U11" s="330">
        <f aca="true" t="shared" si="0" ref="U11:V22">E11+G11+I11+K11+M11+O11+Q11+S11</f>
        <v>2834.02</v>
      </c>
      <c r="V11" s="331">
        <f t="shared" si="0"/>
        <v>0</v>
      </c>
      <c r="W11" s="332">
        <v>238.32</v>
      </c>
      <c r="X11" s="332"/>
      <c r="Y11" s="332">
        <v>89.69</v>
      </c>
      <c r="Z11" s="332">
        <v>537.27</v>
      </c>
      <c r="AA11" s="332">
        <v>775.59</v>
      </c>
      <c r="AB11" s="332">
        <v>190.65</v>
      </c>
      <c r="AC11" s="333">
        <v>0</v>
      </c>
      <c r="AD11" s="333">
        <v>0</v>
      </c>
      <c r="AE11" s="334">
        <v>0</v>
      </c>
      <c r="AF11" s="334">
        <f>SUM(W11:AE11)</f>
        <v>1831.52</v>
      </c>
      <c r="AG11" s="335">
        <f>AF11+V11+D11</f>
        <v>1831.52</v>
      </c>
      <c r="AH11" s="336">
        <f aca="true" t="shared" si="1" ref="AH11:AI22">AC11</f>
        <v>0</v>
      </c>
      <c r="AI11" s="336">
        <f t="shared" si="1"/>
        <v>0</v>
      </c>
      <c r="AJ11" s="337"/>
      <c r="AK11" s="338">
        <f aca="true" t="shared" si="2" ref="AK11:AK22">0.67*B11</f>
        <v>232.49</v>
      </c>
      <c r="AL11" s="338">
        <f aca="true" t="shared" si="3" ref="AL11:AL22">B11*0.2</f>
        <v>69.4</v>
      </c>
      <c r="AM11" s="338">
        <f>B11*1</f>
        <v>347</v>
      </c>
      <c r="AN11" s="338">
        <f>B11*0.21</f>
        <v>72.86999999999999</v>
      </c>
      <c r="AO11" s="124">
        <v>0</v>
      </c>
      <c r="AP11" s="338">
        <f>B11*1.03</f>
        <v>357.41</v>
      </c>
      <c r="AQ11" s="338">
        <f>B11*0.75</f>
        <v>260.25</v>
      </c>
      <c r="AR11" s="338">
        <f>B11*0.75</f>
        <v>260.25</v>
      </c>
      <c r="AS11" s="124">
        <v>0</v>
      </c>
      <c r="AT11" s="338"/>
      <c r="AU11" s="339"/>
      <c r="AV11" s="340"/>
      <c r="AW11" s="339"/>
      <c r="AX11" s="339"/>
      <c r="AY11" s="339"/>
      <c r="AZ11" s="98"/>
      <c r="BA11" s="341"/>
      <c r="BB11" s="341">
        <f>BA11*0.18</f>
        <v>0</v>
      </c>
      <c r="BC11" s="341">
        <f>SUM(AK11:BB11)</f>
        <v>1599.67</v>
      </c>
      <c r="BD11" s="342"/>
      <c r="BE11" s="150">
        <f>BC11</f>
        <v>1599.67</v>
      </c>
      <c r="BF11" s="161">
        <f>AG11-BE11</f>
        <v>231.8499999999999</v>
      </c>
      <c r="BG11" s="158">
        <f>AF11-U11</f>
        <v>-1002.5</v>
      </c>
      <c r="BH11" s="153"/>
      <c r="BI11" s="145"/>
      <c r="BJ11" s="1"/>
      <c r="BL11" s="148"/>
    </row>
    <row r="12" spans="1:61" ht="13.5" thickBot="1">
      <c r="A12" s="9" t="s">
        <v>45</v>
      </c>
      <c r="B12" s="324">
        <v>347</v>
      </c>
      <c r="C12" s="108">
        <f>(B12*0.87)+((B12*5.17*0.9)+(B12*2.51*0.9))</f>
        <v>2700.354</v>
      </c>
      <c r="D12" s="86">
        <v>0</v>
      </c>
      <c r="E12" s="325">
        <v>0</v>
      </c>
      <c r="F12" s="326">
        <v>0</v>
      </c>
      <c r="G12" s="325">
        <v>1641.04</v>
      </c>
      <c r="H12" s="325">
        <v>0</v>
      </c>
      <c r="I12" s="325">
        <v>0</v>
      </c>
      <c r="J12" s="325">
        <v>0</v>
      </c>
      <c r="K12" s="325">
        <v>0</v>
      </c>
      <c r="L12" s="325">
        <v>0</v>
      </c>
      <c r="M12" s="325">
        <v>885.78</v>
      </c>
      <c r="N12" s="325">
        <v>0</v>
      </c>
      <c r="O12" s="325">
        <v>307.18</v>
      </c>
      <c r="P12" s="325">
        <v>0</v>
      </c>
      <c r="Q12" s="326">
        <v>0</v>
      </c>
      <c r="R12" s="326">
        <v>0</v>
      </c>
      <c r="S12" s="333">
        <v>0</v>
      </c>
      <c r="T12" s="332">
        <v>0</v>
      </c>
      <c r="U12" s="343">
        <f t="shared" si="0"/>
        <v>2833.9999999999995</v>
      </c>
      <c r="V12" s="331">
        <f t="shared" si="0"/>
        <v>0</v>
      </c>
      <c r="W12" s="332">
        <v>79.48</v>
      </c>
      <c r="X12" s="333">
        <v>1637.46</v>
      </c>
      <c r="Y12" s="332">
        <v>29.97</v>
      </c>
      <c r="Z12" s="332">
        <v>179.27</v>
      </c>
      <c r="AA12" s="332">
        <v>1142.61</v>
      </c>
      <c r="AB12" s="332">
        <v>370.1</v>
      </c>
      <c r="AC12" s="333">
        <v>0</v>
      </c>
      <c r="AD12" s="333">
        <v>0</v>
      </c>
      <c r="AE12" s="333">
        <v>0</v>
      </c>
      <c r="AF12" s="334">
        <f>SUM(W12:AE12)</f>
        <v>3438.89</v>
      </c>
      <c r="AG12" s="335">
        <f>AF12+V12+D12</f>
        <v>3438.89</v>
      </c>
      <c r="AH12" s="336">
        <f t="shared" si="1"/>
        <v>0</v>
      </c>
      <c r="AI12" s="336">
        <f t="shared" si="1"/>
        <v>0</v>
      </c>
      <c r="AJ12" s="337"/>
      <c r="AK12" s="338">
        <f t="shared" si="2"/>
        <v>232.49</v>
      </c>
      <c r="AL12" s="338">
        <f t="shared" si="3"/>
        <v>69.4</v>
      </c>
      <c r="AM12" s="338">
        <f>B12*1</f>
        <v>347</v>
      </c>
      <c r="AN12" s="338">
        <f>B12*0.21</f>
        <v>72.86999999999999</v>
      </c>
      <c r="AO12" s="124">
        <v>0</v>
      </c>
      <c r="AP12" s="338">
        <f>B12*1.03</f>
        <v>357.41</v>
      </c>
      <c r="AQ12" s="338">
        <f>B12*0.75</f>
        <v>260.25</v>
      </c>
      <c r="AR12" s="338">
        <f>B12*0.75</f>
        <v>260.25</v>
      </c>
      <c r="AS12" s="124">
        <v>0</v>
      </c>
      <c r="AT12" s="338"/>
      <c r="AU12" s="339"/>
      <c r="AV12" s="340"/>
      <c r="AW12" s="339"/>
      <c r="AX12" s="339">
        <f>80</f>
        <v>80</v>
      </c>
      <c r="AY12" s="339"/>
      <c r="AZ12" s="98"/>
      <c r="BA12" s="341"/>
      <c r="BB12" s="341">
        <f>BA12*0.18</f>
        <v>0</v>
      </c>
      <c r="BC12" s="341">
        <f>SUM(AK12:BB12)</f>
        <v>1679.67</v>
      </c>
      <c r="BD12" s="342"/>
      <c r="BE12" s="150">
        <f aca="true" t="shared" si="4" ref="BE12:BF22">BC12</f>
        <v>1679.67</v>
      </c>
      <c r="BF12" s="161">
        <f aca="true" t="shared" si="5" ref="BF12:BF22">AG12-BE12</f>
        <v>1759.2199999999998</v>
      </c>
      <c r="BG12" s="158">
        <f aca="true" t="shared" si="6" ref="BG12:BG22">AF12-U12</f>
        <v>604.8900000000003</v>
      </c>
      <c r="BH12" s="153"/>
      <c r="BI12" s="145"/>
    </row>
    <row r="13" spans="1:62" ht="13.5" thickBot="1">
      <c r="A13" s="9" t="s">
        <v>46</v>
      </c>
      <c r="B13" s="324">
        <v>347</v>
      </c>
      <c r="C13" s="108">
        <f>(B13*0.87)+((B13*5.17*0.9)+(B13*2.51*0.9))</f>
        <v>2700.354</v>
      </c>
      <c r="D13" s="86">
        <v>0</v>
      </c>
      <c r="E13" s="325">
        <v>-2.48</v>
      </c>
      <c r="F13" s="326">
        <v>0</v>
      </c>
      <c r="G13" s="325">
        <v>1641.05</v>
      </c>
      <c r="H13" s="325">
        <v>0</v>
      </c>
      <c r="I13" s="325">
        <v>-0.94</v>
      </c>
      <c r="J13" s="325">
        <v>0</v>
      </c>
      <c r="K13" s="325">
        <v>-5.59</v>
      </c>
      <c r="L13" s="325">
        <v>0</v>
      </c>
      <c r="M13" s="325">
        <v>877.71</v>
      </c>
      <c r="N13" s="325">
        <v>0</v>
      </c>
      <c r="O13" s="325">
        <v>305.19</v>
      </c>
      <c r="P13" s="325">
        <v>0</v>
      </c>
      <c r="Q13" s="325">
        <v>0</v>
      </c>
      <c r="R13" s="325">
        <v>0</v>
      </c>
      <c r="S13" s="325">
        <v>0</v>
      </c>
      <c r="T13" s="332">
        <v>0</v>
      </c>
      <c r="U13" s="332">
        <f t="shared" si="0"/>
        <v>2814.94</v>
      </c>
      <c r="V13" s="344">
        <f t="shared" si="0"/>
        <v>0</v>
      </c>
      <c r="W13" s="345">
        <v>0</v>
      </c>
      <c r="X13" s="333">
        <v>1643.65</v>
      </c>
      <c r="Y13" s="332">
        <v>0</v>
      </c>
      <c r="Z13" s="332">
        <v>0</v>
      </c>
      <c r="AA13" s="332">
        <v>889.44</v>
      </c>
      <c r="AB13" s="332">
        <v>308.22</v>
      </c>
      <c r="AC13" s="333">
        <v>0</v>
      </c>
      <c r="AD13" s="333">
        <v>0</v>
      </c>
      <c r="AE13" s="332">
        <v>0</v>
      </c>
      <c r="AF13" s="346">
        <f>SUM(W13:AE13)</f>
        <v>2841.3100000000004</v>
      </c>
      <c r="AG13" s="335">
        <f>AF13+V13+D13</f>
        <v>2841.3100000000004</v>
      </c>
      <c r="AH13" s="336">
        <f t="shared" si="1"/>
        <v>0</v>
      </c>
      <c r="AI13" s="336">
        <f t="shared" si="1"/>
        <v>0</v>
      </c>
      <c r="AJ13" s="337"/>
      <c r="AK13" s="338">
        <f t="shared" si="2"/>
        <v>232.49</v>
      </c>
      <c r="AL13" s="338">
        <f t="shared" si="3"/>
        <v>69.4</v>
      </c>
      <c r="AM13" s="338">
        <f>B13*1</f>
        <v>347</v>
      </c>
      <c r="AN13" s="338">
        <f>B13*0.21</f>
        <v>72.86999999999999</v>
      </c>
      <c r="AO13" s="124">
        <v>0</v>
      </c>
      <c r="AP13" s="338">
        <f>B13*1.03</f>
        <v>357.41</v>
      </c>
      <c r="AQ13" s="338">
        <f>B13*0.75</f>
        <v>260.25</v>
      </c>
      <c r="AR13" s="338">
        <f>B13*0.75</f>
        <v>260.25</v>
      </c>
      <c r="AS13" s="124">
        <v>0</v>
      </c>
      <c r="AT13" s="338"/>
      <c r="AU13" s="339"/>
      <c r="AV13" s="340"/>
      <c r="AW13" s="339"/>
      <c r="AX13" s="339"/>
      <c r="AY13" s="339"/>
      <c r="AZ13" s="98"/>
      <c r="BA13" s="341"/>
      <c r="BB13" s="341">
        <f>BA13*0.18</f>
        <v>0</v>
      </c>
      <c r="BC13" s="341">
        <f>SUM(AK13:BB13)</f>
        <v>1599.67</v>
      </c>
      <c r="BD13" s="342"/>
      <c r="BE13" s="150">
        <f t="shared" si="4"/>
        <v>1599.67</v>
      </c>
      <c r="BF13" s="161">
        <f t="shared" si="5"/>
        <v>1241.6400000000003</v>
      </c>
      <c r="BG13" s="158">
        <f t="shared" si="6"/>
        <v>26.370000000000346</v>
      </c>
      <c r="BH13" s="153"/>
      <c r="BI13" s="145"/>
      <c r="BJ13" s="1"/>
    </row>
    <row r="14" spans="1:62" ht="13.5" thickBot="1">
      <c r="A14" s="9" t="s">
        <v>47</v>
      </c>
      <c r="B14" s="324">
        <v>347</v>
      </c>
      <c r="C14" s="108">
        <f>(B14*0.87)+((B14*5.17*0.9)+(B14*2.51*0.9))</f>
        <v>2700.354</v>
      </c>
      <c r="D14" s="347">
        <v>0</v>
      </c>
      <c r="E14" s="327">
        <v>0</v>
      </c>
      <c r="F14" s="325">
        <v>0</v>
      </c>
      <c r="G14" s="348">
        <v>1641.05</v>
      </c>
      <c r="H14" s="325">
        <v>0</v>
      </c>
      <c r="I14" s="325">
        <v>0</v>
      </c>
      <c r="J14" s="325">
        <v>0</v>
      </c>
      <c r="K14" s="325">
        <v>0</v>
      </c>
      <c r="L14" s="325">
        <v>0</v>
      </c>
      <c r="M14" s="325">
        <v>885.77</v>
      </c>
      <c r="N14" s="325">
        <v>0</v>
      </c>
      <c r="O14" s="325">
        <v>307.18</v>
      </c>
      <c r="P14" s="325">
        <v>0</v>
      </c>
      <c r="Q14" s="326">
        <v>0</v>
      </c>
      <c r="R14" s="326">
        <v>0</v>
      </c>
      <c r="S14" s="349">
        <v>0</v>
      </c>
      <c r="T14" s="350">
        <v>0</v>
      </c>
      <c r="U14" s="343">
        <f t="shared" si="0"/>
        <v>2833.9999999999995</v>
      </c>
      <c r="V14" s="344">
        <f t="shared" si="0"/>
        <v>0</v>
      </c>
      <c r="W14" s="332">
        <v>0</v>
      </c>
      <c r="X14" s="333">
        <v>1639.19</v>
      </c>
      <c r="Y14" s="332">
        <v>0</v>
      </c>
      <c r="Z14" s="332">
        <v>0</v>
      </c>
      <c r="AA14" s="332">
        <v>877.63</v>
      </c>
      <c r="AB14" s="333">
        <v>306.84</v>
      </c>
      <c r="AC14" s="332">
        <v>0</v>
      </c>
      <c r="AD14" s="333">
        <v>0</v>
      </c>
      <c r="AE14" s="333">
        <v>0</v>
      </c>
      <c r="AF14" s="334">
        <f>SUM(W14:AD14)</f>
        <v>2823.6600000000003</v>
      </c>
      <c r="AG14" s="351">
        <f>AF14+V14+D14</f>
        <v>2823.6600000000003</v>
      </c>
      <c r="AH14" s="352">
        <f t="shared" si="1"/>
        <v>0</v>
      </c>
      <c r="AI14" s="352">
        <f t="shared" si="1"/>
        <v>0</v>
      </c>
      <c r="AJ14" s="353"/>
      <c r="AK14" s="338">
        <f t="shared" si="2"/>
        <v>232.49</v>
      </c>
      <c r="AL14" s="338">
        <f t="shared" si="3"/>
        <v>69.4</v>
      </c>
      <c r="AM14" s="338">
        <f>B14*1</f>
        <v>347</v>
      </c>
      <c r="AN14" s="338">
        <f>B14*0.21</f>
        <v>72.86999999999999</v>
      </c>
      <c r="AO14" s="338">
        <v>0</v>
      </c>
      <c r="AP14" s="338">
        <f>B14*1.03</f>
        <v>357.41</v>
      </c>
      <c r="AQ14" s="338">
        <f>B14*0.75</f>
        <v>260.25</v>
      </c>
      <c r="AR14" s="338">
        <f>B14*0.75</f>
        <v>260.25</v>
      </c>
      <c r="AS14" s="124"/>
      <c r="AT14" s="354"/>
      <c r="AU14" s="355"/>
      <c r="AV14" s="355">
        <v>151</v>
      </c>
      <c r="AW14" s="355"/>
      <c r="AX14" s="355"/>
      <c r="AY14" s="355"/>
      <c r="AZ14" s="98"/>
      <c r="BA14" s="354"/>
      <c r="BB14" s="354"/>
      <c r="BC14" s="325">
        <f>SUM(AK14:BB14)</f>
        <v>1750.67</v>
      </c>
      <c r="BD14" s="356"/>
      <c r="BE14" s="150">
        <f t="shared" si="4"/>
        <v>1750.67</v>
      </c>
      <c r="BF14" s="161">
        <f t="shared" si="5"/>
        <v>1072.9900000000002</v>
      </c>
      <c r="BG14" s="158">
        <f t="shared" si="6"/>
        <v>-10.339999999999236</v>
      </c>
      <c r="BH14" s="153"/>
      <c r="BI14" s="151"/>
      <c r="BJ14" s="1"/>
    </row>
    <row r="15" spans="1:62" ht="13.5" thickBot="1">
      <c r="A15" s="9" t="s">
        <v>48</v>
      </c>
      <c r="B15" s="357">
        <v>347</v>
      </c>
      <c r="C15" s="108">
        <f>(B15*0.87)+((B15*5.17*0.9)+(B15*2.51*0.9))</f>
        <v>2700.354</v>
      </c>
      <c r="D15" s="347">
        <v>0</v>
      </c>
      <c r="E15" s="348">
        <v>0</v>
      </c>
      <c r="F15" s="326">
        <v>0</v>
      </c>
      <c r="G15" s="325">
        <v>1641.05</v>
      </c>
      <c r="H15" s="325">
        <v>0</v>
      </c>
      <c r="I15" s="325">
        <v>0</v>
      </c>
      <c r="J15" s="325">
        <v>0</v>
      </c>
      <c r="K15" s="325">
        <v>0</v>
      </c>
      <c r="L15" s="325">
        <v>0</v>
      </c>
      <c r="M15" s="325">
        <v>885.78</v>
      </c>
      <c r="N15" s="325">
        <v>0</v>
      </c>
      <c r="O15" s="325">
        <v>307.18</v>
      </c>
      <c r="P15" s="325">
        <v>0</v>
      </c>
      <c r="Q15" s="326">
        <v>0</v>
      </c>
      <c r="R15" s="326">
        <v>0</v>
      </c>
      <c r="S15" s="325">
        <v>0</v>
      </c>
      <c r="T15" s="333">
        <v>0</v>
      </c>
      <c r="U15" s="358">
        <f t="shared" si="0"/>
        <v>2834.0099999999998</v>
      </c>
      <c r="V15" s="359">
        <f>F15+H15+J15+L15+N15++R15+T15</f>
        <v>0</v>
      </c>
      <c r="W15" s="332">
        <v>0</v>
      </c>
      <c r="X15" s="333">
        <v>1639.16</v>
      </c>
      <c r="Y15" s="332">
        <v>0</v>
      </c>
      <c r="Z15" s="332">
        <v>0</v>
      </c>
      <c r="AA15" s="332">
        <v>887.94</v>
      </c>
      <c r="AB15" s="332">
        <v>306.83</v>
      </c>
      <c r="AC15" s="333">
        <v>0</v>
      </c>
      <c r="AD15" s="333">
        <v>0</v>
      </c>
      <c r="AE15" s="334">
        <v>0</v>
      </c>
      <c r="AF15" s="360">
        <f>SUM(W15:AE15)</f>
        <v>2833.9300000000003</v>
      </c>
      <c r="AG15" s="351">
        <f aca="true" t="shared" si="7" ref="AG15:AG22">D15+V15+AF15</f>
        <v>2833.9300000000003</v>
      </c>
      <c r="AH15" s="352">
        <f t="shared" si="1"/>
        <v>0</v>
      </c>
      <c r="AI15" s="352">
        <f t="shared" si="1"/>
        <v>0</v>
      </c>
      <c r="AJ15" s="353"/>
      <c r="AK15" s="338">
        <f t="shared" si="2"/>
        <v>232.49</v>
      </c>
      <c r="AL15" s="338">
        <f t="shared" si="3"/>
        <v>69.4</v>
      </c>
      <c r="AM15" s="338">
        <f>B15*1</f>
        <v>347</v>
      </c>
      <c r="AN15" s="338">
        <f>B15*0.21</f>
        <v>72.86999999999999</v>
      </c>
      <c r="AO15" s="124">
        <v>0</v>
      </c>
      <c r="AP15" s="338">
        <f>B15*1.03</f>
        <v>357.41</v>
      </c>
      <c r="AQ15" s="338">
        <f>B15*0.75</f>
        <v>260.25</v>
      </c>
      <c r="AR15" s="338">
        <f>B15*0.75</f>
        <v>260.25</v>
      </c>
      <c r="AS15" s="124"/>
      <c r="AT15" s="354"/>
      <c r="AU15" s="355"/>
      <c r="AV15" s="355"/>
      <c r="AW15" s="355"/>
      <c r="AX15" s="355">
        <v>10</v>
      </c>
      <c r="AY15" s="355"/>
      <c r="AZ15" s="98"/>
      <c r="BA15" s="354"/>
      <c r="BB15" s="354"/>
      <c r="BC15" s="325">
        <f>SUM(AK15:BB15)</f>
        <v>1609.67</v>
      </c>
      <c r="BD15" s="356"/>
      <c r="BE15" s="150">
        <f t="shared" si="4"/>
        <v>1609.67</v>
      </c>
      <c r="BF15" s="161">
        <f t="shared" si="5"/>
        <v>1224.2600000000002</v>
      </c>
      <c r="BG15" s="158">
        <f t="shared" si="6"/>
        <v>-0.0799999999994725</v>
      </c>
      <c r="BH15" s="153"/>
      <c r="BI15" s="151"/>
      <c r="BJ15" s="1"/>
    </row>
    <row r="16" spans="1:62" ht="13.5" thickBot="1">
      <c r="A16" s="9" t="s">
        <v>49</v>
      </c>
      <c r="B16" s="324">
        <v>347</v>
      </c>
      <c r="C16" s="108">
        <f>(B16*0.87)+((B16*5.17*0.9)+(B16*2.51*0.9))</f>
        <v>2700.354</v>
      </c>
      <c r="D16" s="347">
        <v>0</v>
      </c>
      <c r="E16" s="361">
        <v>0</v>
      </c>
      <c r="F16" s="361"/>
      <c r="G16" s="361">
        <v>1641.05</v>
      </c>
      <c r="H16" s="361"/>
      <c r="I16" s="362">
        <v>0</v>
      </c>
      <c r="J16" s="362"/>
      <c r="K16" s="362">
        <v>0</v>
      </c>
      <c r="L16" s="362"/>
      <c r="M16" s="362">
        <v>885.78</v>
      </c>
      <c r="N16" s="362"/>
      <c r="O16" s="362">
        <v>307.18</v>
      </c>
      <c r="P16" s="362"/>
      <c r="Q16" s="362">
        <v>0</v>
      </c>
      <c r="R16" s="363"/>
      <c r="S16" s="363">
        <v>0</v>
      </c>
      <c r="T16" s="362"/>
      <c r="U16" s="364">
        <f t="shared" si="0"/>
        <v>2834.0099999999998</v>
      </c>
      <c r="V16" s="365">
        <f t="shared" si="0"/>
        <v>0</v>
      </c>
      <c r="W16" s="366">
        <v>-0.61</v>
      </c>
      <c r="X16" s="361">
        <v>1641.92</v>
      </c>
      <c r="Y16" s="361">
        <v>-0.21</v>
      </c>
      <c r="Z16" s="361">
        <v>-1.38</v>
      </c>
      <c r="AA16" s="361">
        <v>885.97</v>
      </c>
      <c r="AB16" s="361">
        <v>306.28</v>
      </c>
      <c r="AC16" s="361">
        <v>0</v>
      </c>
      <c r="AD16" s="361">
        <v>0</v>
      </c>
      <c r="AE16" s="367">
        <v>0</v>
      </c>
      <c r="AF16" s="368">
        <f aca="true" t="shared" si="8" ref="AF16:AF22">SUM(W16:AE16)</f>
        <v>2831.9700000000003</v>
      </c>
      <c r="AG16" s="351">
        <f t="shared" si="7"/>
        <v>2831.9700000000003</v>
      </c>
      <c r="AH16" s="352">
        <f t="shared" si="1"/>
        <v>0</v>
      </c>
      <c r="AI16" s="352">
        <f t="shared" si="1"/>
        <v>0</v>
      </c>
      <c r="AJ16" s="353"/>
      <c r="AK16" s="338">
        <f t="shared" si="2"/>
        <v>232.49</v>
      </c>
      <c r="AL16" s="338">
        <f t="shared" si="3"/>
        <v>69.4</v>
      </c>
      <c r="AM16" s="338">
        <f>B16*1</f>
        <v>347</v>
      </c>
      <c r="AN16" s="338">
        <f>B16*0.21</f>
        <v>72.86999999999999</v>
      </c>
      <c r="AO16" s="369">
        <v>0</v>
      </c>
      <c r="AP16" s="338">
        <f>B16*1.03</f>
        <v>357.41</v>
      </c>
      <c r="AQ16" s="338">
        <f>B16*0.75</f>
        <v>260.25</v>
      </c>
      <c r="AR16" s="338">
        <f>B16*0.75</f>
        <v>260.25</v>
      </c>
      <c r="AS16" s="338"/>
      <c r="AT16" s="354"/>
      <c r="AU16" s="355"/>
      <c r="AV16" s="355"/>
      <c r="AW16" s="355"/>
      <c r="AX16" s="355"/>
      <c r="AY16" s="355"/>
      <c r="AZ16" s="338"/>
      <c r="BA16" s="354"/>
      <c r="BB16" s="354"/>
      <c r="BC16" s="370">
        <f>SUM(AK16:BB16)</f>
        <v>1599.67</v>
      </c>
      <c r="BD16" s="356"/>
      <c r="BE16" s="150">
        <f t="shared" si="4"/>
        <v>1599.67</v>
      </c>
      <c r="BF16" s="161">
        <f t="shared" si="5"/>
        <v>1232.3000000000002</v>
      </c>
      <c r="BG16" s="158">
        <f t="shared" si="6"/>
        <v>-2.039999999999509</v>
      </c>
      <c r="BH16" s="153"/>
      <c r="BI16" s="151"/>
      <c r="BJ16" s="1"/>
    </row>
    <row r="17" spans="1:62" ht="13.5" thickBot="1">
      <c r="A17" s="9" t="s">
        <v>50</v>
      </c>
      <c r="B17" s="324">
        <v>347</v>
      </c>
      <c r="C17" s="108">
        <f>(B17*0.87)+((B17*5.17*0.9)+(B17*2.51*0.9))</f>
        <v>2700.354</v>
      </c>
      <c r="D17" s="347">
        <v>0</v>
      </c>
      <c r="E17" s="371"/>
      <c r="F17" s="371"/>
      <c r="G17" s="371">
        <v>1641.05</v>
      </c>
      <c r="H17" s="371"/>
      <c r="I17" s="371"/>
      <c r="J17" s="371"/>
      <c r="K17" s="371"/>
      <c r="L17" s="371"/>
      <c r="M17" s="371">
        <v>885.78</v>
      </c>
      <c r="N17" s="371"/>
      <c r="O17" s="371">
        <v>307.18</v>
      </c>
      <c r="P17" s="371"/>
      <c r="Q17" s="371"/>
      <c r="R17" s="371"/>
      <c r="S17" s="372"/>
      <c r="T17" s="366"/>
      <c r="U17" s="373">
        <f t="shared" si="0"/>
        <v>2834.0099999999998</v>
      </c>
      <c r="V17" s="374">
        <f t="shared" si="0"/>
        <v>0</v>
      </c>
      <c r="W17" s="375">
        <v>0</v>
      </c>
      <c r="X17" s="371">
        <v>1643.6</v>
      </c>
      <c r="Y17" s="371">
        <v>0</v>
      </c>
      <c r="Z17" s="371">
        <v>0</v>
      </c>
      <c r="AA17" s="371">
        <v>879.78</v>
      </c>
      <c r="AB17" s="371">
        <v>307.68</v>
      </c>
      <c r="AC17" s="361"/>
      <c r="AD17" s="371"/>
      <c r="AE17" s="372"/>
      <c r="AF17" s="368">
        <f t="shared" si="8"/>
        <v>2831.06</v>
      </c>
      <c r="AG17" s="376">
        <f t="shared" si="7"/>
        <v>2831.06</v>
      </c>
      <c r="AH17" s="352">
        <f t="shared" si="1"/>
        <v>0</v>
      </c>
      <c r="AI17" s="352">
        <f t="shared" si="1"/>
        <v>0</v>
      </c>
      <c r="AJ17" s="353"/>
      <c r="AK17" s="338">
        <f t="shared" si="2"/>
        <v>232.49</v>
      </c>
      <c r="AL17" s="338">
        <f t="shared" si="3"/>
        <v>69.4</v>
      </c>
      <c r="AM17" s="338">
        <f>B17*1</f>
        <v>347</v>
      </c>
      <c r="AN17" s="338">
        <f>B17*0.21</f>
        <v>72.86999999999999</v>
      </c>
      <c r="AO17" s="369">
        <v>0</v>
      </c>
      <c r="AP17" s="338">
        <f>B17*1.03</f>
        <v>357.41</v>
      </c>
      <c r="AQ17" s="338">
        <f>B17*0.75</f>
        <v>260.25</v>
      </c>
      <c r="AR17" s="338">
        <f>B17*0.75</f>
        <v>260.25</v>
      </c>
      <c r="AS17" s="124"/>
      <c r="AT17" s="354"/>
      <c r="AU17" s="355"/>
      <c r="AV17" s="355"/>
      <c r="AW17" s="355"/>
      <c r="AX17" s="355"/>
      <c r="AY17" s="355"/>
      <c r="AZ17" s="98"/>
      <c r="BA17" s="354">
        <v>24.94</v>
      </c>
      <c r="BB17" s="354"/>
      <c r="BC17" s="325">
        <f>SUM(AK17:BB17)</f>
        <v>1624.6100000000001</v>
      </c>
      <c r="BD17" s="356"/>
      <c r="BE17" s="150">
        <f t="shared" si="4"/>
        <v>1624.6100000000001</v>
      </c>
      <c r="BF17" s="161">
        <f t="shared" si="5"/>
        <v>1206.4499999999998</v>
      </c>
      <c r="BG17" s="158">
        <f t="shared" si="6"/>
        <v>-2.949999999999818</v>
      </c>
      <c r="BH17" s="153"/>
      <c r="BI17" s="323"/>
      <c r="BJ17" s="1"/>
    </row>
    <row r="18" spans="1:62" ht="13.5" thickBot="1">
      <c r="A18" s="9" t="s">
        <v>51</v>
      </c>
      <c r="B18" s="324">
        <v>347</v>
      </c>
      <c r="C18" s="108">
        <f>(B18*0.87)+((B18*5.17*0.9)+(B18*2.51*0.9))</f>
        <v>2700.354</v>
      </c>
      <c r="D18" s="347">
        <v>0</v>
      </c>
      <c r="E18" s="377"/>
      <c r="F18" s="377"/>
      <c r="G18" s="377">
        <v>1641.05</v>
      </c>
      <c r="H18" s="377"/>
      <c r="I18" s="377"/>
      <c r="J18" s="377"/>
      <c r="K18" s="377"/>
      <c r="L18" s="377"/>
      <c r="M18" s="377">
        <v>885.78</v>
      </c>
      <c r="N18" s="377"/>
      <c r="O18" s="377">
        <v>307.18</v>
      </c>
      <c r="P18" s="377"/>
      <c r="Q18" s="377"/>
      <c r="R18" s="377"/>
      <c r="S18" s="378"/>
      <c r="T18" s="367"/>
      <c r="U18" s="379">
        <f t="shared" si="0"/>
        <v>2834.0099999999998</v>
      </c>
      <c r="V18" s="380">
        <f t="shared" si="0"/>
        <v>0</v>
      </c>
      <c r="W18" s="371">
        <v>0</v>
      </c>
      <c r="X18" s="371">
        <v>1230.27</v>
      </c>
      <c r="Y18" s="371">
        <v>0</v>
      </c>
      <c r="Z18" s="371">
        <v>0</v>
      </c>
      <c r="AA18" s="371">
        <v>671.37</v>
      </c>
      <c r="AB18" s="371">
        <v>230.29</v>
      </c>
      <c r="AC18" s="371"/>
      <c r="AD18" s="371"/>
      <c r="AE18" s="372"/>
      <c r="AF18" s="368">
        <f t="shared" si="8"/>
        <v>2131.93</v>
      </c>
      <c r="AG18" s="376">
        <f t="shared" si="7"/>
        <v>2131.93</v>
      </c>
      <c r="AH18" s="352">
        <f t="shared" si="1"/>
        <v>0</v>
      </c>
      <c r="AI18" s="352">
        <f t="shared" si="1"/>
        <v>0</v>
      </c>
      <c r="AJ18" s="353"/>
      <c r="AK18" s="338">
        <f t="shared" si="2"/>
        <v>232.49</v>
      </c>
      <c r="AL18" s="338">
        <f t="shared" si="3"/>
        <v>69.4</v>
      </c>
      <c r="AM18" s="338">
        <f>B18*1</f>
        <v>347</v>
      </c>
      <c r="AN18" s="338">
        <f>B18*0.21</f>
        <v>72.86999999999999</v>
      </c>
      <c r="AO18" s="369">
        <v>0</v>
      </c>
      <c r="AP18" s="338">
        <f>B18*1.03</f>
        <v>357.41</v>
      </c>
      <c r="AQ18" s="338">
        <f>B18*0.75</f>
        <v>260.25</v>
      </c>
      <c r="AR18" s="338">
        <f>B18*0.75</f>
        <v>260.25</v>
      </c>
      <c r="AS18" s="124"/>
      <c r="AT18" s="354"/>
      <c r="AU18" s="355"/>
      <c r="AV18" s="355"/>
      <c r="AW18" s="355"/>
      <c r="AX18" s="355"/>
      <c r="AY18" s="355"/>
      <c r="AZ18" s="98"/>
      <c r="BA18" s="354"/>
      <c r="BB18" s="354"/>
      <c r="BC18" s="325">
        <f>SUM(AK18:BB18)</f>
        <v>1599.67</v>
      </c>
      <c r="BD18" s="356"/>
      <c r="BE18" s="150">
        <f t="shared" si="4"/>
        <v>1599.67</v>
      </c>
      <c r="BF18" s="161">
        <f t="shared" si="5"/>
        <v>532.2599999999998</v>
      </c>
      <c r="BG18" s="158">
        <f t="shared" si="6"/>
        <v>-702.0799999999999</v>
      </c>
      <c r="BH18" s="153"/>
      <c r="BI18" s="323"/>
      <c r="BJ18" s="1"/>
    </row>
    <row r="19" spans="1:62" ht="13.5" thickBot="1">
      <c r="A19" s="9" t="s">
        <v>52</v>
      </c>
      <c r="B19" s="324">
        <v>347</v>
      </c>
      <c r="C19" s="108">
        <f>(B19*0.87)+((B19*5.17*0.9)+(B19*2.51*0.9))</f>
        <v>2700.354</v>
      </c>
      <c r="D19" s="347">
        <v>0</v>
      </c>
      <c r="E19" s="371"/>
      <c r="F19" s="371"/>
      <c r="G19" s="371">
        <v>1824.14</v>
      </c>
      <c r="H19" s="371"/>
      <c r="I19" s="371"/>
      <c r="J19" s="371"/>
      <c r="K19" s="371"/>
      <c r="L19" s="371"/>
      <c r="M19" s="371">
        <v>885.78</v>
      </c>
      <c r="N19" s="371"/>
      <c r="O19" s="371">
        <v>307.18</v>
      </c>
      <c r="P19" s="371"/>
      <c r="Q19" s="371"/>
      <c r="R19" s="371"/>
      <c r="S19" s="372"/>
      <c r="T19" s="381"/>
      <c r="U19" s="381">
        <f t="shared" si="0"/>
        <v>3017.1</v>
      </c>
      <c r="V19" s="382">
        <f t="shared" si="0"/>
        <v>0</v>
      </c>
      <c r="W19" s="371">
        <v>0</v>
      </c>
      <c r="X19" s="371">
        <v>1880.38</v>
      </c>
      <c r="Y19" s="371">
        <v>0</v>
      </c>
      <c r="Z19" s="371">
        <v>0</v>
      </c>
      <c r="AA19" s="371">
        <v>1015.02</v>
      </c>
      <c r="AB19" s="371">
        <v>351.97</v>
      </c>
      <c r="AC19" s="371"/>
      <c r="AD19" s="371"/>
      <c r="AE19" s="372"/>
      <c r="AF19" s="368">
        <f t="shared" si="8"/>
        <v>3247.37</v>
      </c>
      <c r="AG19" s="376">
        <f t="shared" si="7"/>
        <v>3247.37</v>
      </c>
      <c r="AH19" s="352">
        <f t="shared" si="1"/>
        <v>0</v>
      </c>
      <c r="AI19" s="352">
        <f t="shared" si="1"/>
        <v>0</v>
      </c>
      <c r="AJ19" s="353"/>
      <c r="AK19" s="338">
        <f t="shared" si="2"/>
        <v>232.49</v>
      </c>
      <c r="AL19" s="338">
        <f t="shared" si="3"/>
        <v>69.4</v>
      </c>
      <c r="AM19" s="338">
        <f>B19*1</f>
        <v>347</v>
      </c>
      <c r="AN19" s="338">
        <f>B19*0.21</f>
        <v>72.86999999999999</v>
      </c>
      <c r="AO19" s="369">
        <v>0</v>
      </c>
      <c r="AP19" s="338">
        <f>B19*1.03</f>
        <v>357.41</v>
      </c>
      <c r="AQ19" s="338">
        <f>B19*0.75</f>
        <v>260.25</v>
      </c>
      <c r="AR19" s="338">
        <f>B19*0.75</f>
        <v>260.25</v>
      </c>
      <c r="AS19" s="124"/>
      <c r="AT19" s="354"/>
      <c r="AU19" s="355"/>
      <c r="AV19" s="355"/>
      <c r="AW19" s="355"/>
      <c r="AX19" s="355"/>
      <c r="AY19" s="355"/>
      <c r="AZ19" s="98"/>
      <c r="BA19" s="354"/>
      <c r="BB19" s="354"/>
      <c r="BC19" s="325">
        <f>SUM(AK19:BB19)</f>
        <v>1599.67</v>
      </c>
      <c r="BD19" s="356"/>
      <c r="BE19" s="150">
        <f t="shared" si="4"/>
        <v>1599.67</v>
      </c>
      <c r="BF19" s="161">
        <f t="shared" si="5"/>
        <v>1647.6999999999998</v>
      </c>
      <c r="BG19" s="158">
        <f t="shared" si="6"/>
        <v>230.26999999999998</v>
      </c>
      <c r="BH19" s="153"/>
      <c r="BI19" s="323"/>
      <c r="BJ19" s="1"/>
    </row>
    <row r="20" spans="1:62" ht="13.5" thickBot="1">
      <c r="A20" s="9" t="s">
        <v>40</v>
      </c>
      <c r="B20" s="324">
        <v>347</v>
      </c>
      <c r="C20" s="108">
        <f>(B20*0.87)+((B20*5.17)+(B20*2.51))</f>
        <v>2966.85</v>
      </c>
      <c r="D20" s="383">
        <v>0</v>
      </c>
      <c r="E20" s="361"/>
      <c r="F20" s="361"/>
      <c r="G20" s="361">
        <v>1824.14</v>
      </c>
      <c r="H20" s="361"/>
      <c r="I20" s="361"/>
      <c r="J20" s="361"/>
      <c r="K20" s="361"/>
      <c r="L20" s="361"/>
      <c r="M20" s="361">
        <v>885.78</v>
      </c>
      <c r="N20" s="361"/>
      <c r="O20" s="361">
        <v>307.18</v>
      </c>
      <c r="P20" s="361"/>
      <c r="Q20" s="361"/>
      <c r="R20" s="361"/>
      <c r="S20" s="367"/>
      <c r="T20" s="384"/>
      <c r="U20" s="385">
        <f t="shared" si="0"/>
        <v>3017.1</v>
      </c>
      <c r="V20" s="386">
        <f t="shared" si="0"/>
        <v>0</v>
      </c>
      <c r="W20" s="361">
        <v>0</v>
      </c>
      <c r="X20" s="361">
        <v>1913.28</v>
      </c>
      <c r="Y20" s="361">
        <v>0</v>
      </c>
      <c r="Z20" s="361">
        <v>0</v>
      </c>
      <c r="AA20" s="361">
        <v>929.06</v>
      </c>
      <c r="AB20" s="361">
        <v>322.18</v>
      </c>
      <c r="AC20" s="361"/>
      <c r="AD20" s="361"/>
      <c r="AE20" s="367"/>
      <c r="AF20" s="368">
        <f t="shared" si="8"/>
        <v>3164.52</v>
      </c>
      <c r="AG20" s="376">
        <f t="shared" si="7"/>
        <v>3164.52</v>
      </c>
      <c r="AH20" s="352">
        <f t="shared" si="1"/>
        <v>0</v>
      </c>
      <c r="AI20" s="352">
        <f t="shared" si="1"/>
        <v>0</v>
      </c>
      <c r="AJ20" s="353"/>
      <c r="AK20" s="338">
        <f t="shared" si="2"/>
        <v>232.49</v>
      </c>
      <c r="AL20" s="338">
        <f t="shared" si="3"/>
        <v>69.4</v>
      </c>
      <c r="AM20" s="338">
        <f>B20*1</f>
        <v>347</v>
      </c>
      <c r="AN20" s="338">
        <f>B20*0.21</f>
        <v>72.86999999999999</v>
      </c>
      <c r="AO20" s="369">
        <v>0</v>
      </c>
      <c r="AP20" s="338">
        <f>B20*1.03</f>
        <v>357.41</v>
      </c>
      <c r="AQ20" s="338">
        <f>B20*0.75</f>
        <v>260.25</v>
      </c>
      <c r="AR20" s="338">
        <f>B20*0.75</f>
        <v>260.25</v>
      </c>
      <c r="AS20" s="369">
        <v>0</v>
      </c>
      <c r="AT20" s="354"/>
      <c r="AU20" s="355"/>
      <c r="AV20" s="355"/>
      <c r="AW20" s="355"/>
      <c r="AX20" s="355"/>
      <c r="AY20" s="355"/>
      <c r="AZ20" s="98"/>
      <c r="BA20" s="354"/>
      <c r="BB20" s="354"/>
      <c r="BC20" s="325">
        <f>SUM(AK20:BB20)</f>
        <v>1599.67</v>
      </c>
      <c r="BD20" s="356"/>
      <c r="BE20" s="150">
        <f t="shared" si="4"/>
        <v>1599.67</v>
      </c>
      <c r="BF20" s="161">
        <f t="shared" si="5"/>
        <v>1564.85</v>
      </c>
      <c r="BG20" s="158">
        <f t="shared" si="6"/>
        <v>147.42000000000007</v>
      </c>
      <c r="BH20" s="153"/>
      <c r="BI20" s="323"/>
      <c r="BJ20" s="1"/>
    </row>
    <row r="21" spans="1:62" ht="13.5" thickBot="1">
      <c r="A21" s="9" t="s">
        <v>41</v>
      </c>
      <c r="B21" s="324">
        <v>347</v>
      </c>
      <c r="C21" s="108">
        <f>(B21*0.87)+((B21*5.17)+(B21*2.51))</f>
        <v>2966.85</v>
      </c>
      <c r="D21" s="387">
        <v>0</v>
      </c>
      <c r="E21" s="361"/>
      <c r="F21" s="361"/>
      <c r="G21" s="361">
        <v>1824.13</v>
      </c>
      <c r="H21" s="361"/>
      <c r="I21" s="361"/>
      <c r="J21" s="361"/>
      <c r="K21" s="361"/>
      <c r="L21" s="361"/>
      <c r="M21" s="361">
        <v>885.78</v>
      </c>
      <c r="N21" s="361"/>
      <c r="O21" s="361">
        <v>307.17</v>
      </c>
      <c r="P21" s="361"/>
      <c r="Q21" s="361"/>
      <c r="R21" s="361"/>
      <c r="S21" s="367"/>
      <c r="T21" s="384"/>
      <c r="U21" s="385">
        <f t="shared" si="0"/>
        <v>3017.08</v>
      </c>
      <c r="V21" s="386">
        <f t="shared" si="0"/>
        <v>0</v>
      </c>
      <c r="W21" s="361">
        <v>0</v>
      </c>
      <c r="X21" s="361">
        <v>1825.43</v>
      </c>
      <c r="Y21" s="361">
        <v>0</v>
      </c>
      <c r="Z21" s="361">
        <v>0</v>
      </c>
      <c r="AA21" s="361">
        <v>886.38</v>
      </c>
      <c r="AB21" s="361">
        <v>307.4</v>
      </c>
      <c r="AC21" s="361"/>
      <c r="AD21" s="361"/>
      <c r="AE21" s="367"/>
      <c r="AF21" s="368">
        <f t="shared" si="8"/>
        <v>3019.21</v>
      </c>
      <c r="AG21" s="376">
        <f t="shared" si="7"/>
        <v>3019.21</v>
      </c>
      <c r="AH21" s="352">
        <f t="shared" si="1"/>
        <v>0</v>
      </c>
      <c r="AI21" s="352">
        <f t="shared" si="1"/>
        <v>0</v>
      </c>
      <c r="AJ21" s="353"/>
      <c r="AK21" s="338">
        <f t="shared" si="2"/>
        <v>232.49</v>
      </c>
      <c r="AL21" s="338">
        <f t="shared" si="3"/>
        <v>69.4</v>
      </c>
      <c r="AM21" s="338">
        <f>B21*1</f>
        <v>347</v>
      </c>
      <c r="AN21" s="338">
        <f>B21*0.21</f>
        <v>72.86999999999999</v>
      </c>
      <c r="AO21" s="369">
        <v>0</v>
      </c>
      <c r="AP21" s="338">
        <f>B21*1.03</f>
        <v>357.41</v>
      </c>
      <c r="AQ21" s="338">
        <f>B21*0.75</f>
        <v>260.25</v>
      </c>
      <c r="AR21" s="338">
        <f>B21*0.75</f>
        <v>260.25</v>
      </c>
      <c r="AS21" s="369">
        <v>0</v>
      </c>
      <c r="AT21" s="354"/>
      <c r="AU21" s="355"/>
      <c r="AV21" s="355"/>
      <c r="AW21" s="355"/>
      <c r="AX21" s="355"/>
      <c r="AY21" s="355"/>
      <c r="AZ21" s="98"/>
      <c r="BA21" s="354"/>
      <c r="BB21" s="354"/>
      <c r="BC21" s="325">
        <f>SUM(AK21:BB21)</f>
        <v>1599.67</v>
      </c>
      <c r="BD21" s="356"/>
      <c r="BE21" s="150">
        <f t="shared" si="4"/>
        <v>1599.67</v>
      </c>
      <c r="BF21" s="161">
        <f t="shared" si="5"/>
        <v>1419.54</v>
      </c>
      <c r="BG21" s="158">
        <f t="shared" si="6"/>
        <v>2.130000000000109</v>
      </c>
      <c r="BH21" s="153"/>
      <c r="BI21" s="323"/>
      <c r="BJ21" s="1"/>
    </row>
    <row r="22" spans="1:63" ht="13.5" thickBot="1">
      <c r="A22" s="9" t="s">
        <v>42</v>
      </c>
      <c r="B22" s="324">
        <v>347</v>
      </c>
      <c r="C22" s="108">
        <f>(B22*0.87)+((B22*5.17)+(B22*2.51))</f>
        <v>2966.85</v>
      </c>
      <c r="D22" s="388">
        <v>0</v>
      </c>
      <c r="E22" s="389"/>
      <c r="F22" s="389"/>
      <c r="G22" s="389">
        <v>1824.14</v>
      </c>
      <c r="H22" s="389"/>
      <c r="I22" s="389"/>
      <c r="J22" s="389"/>
      <c r="K22" s="389"/>
      <c r="L22" s="389"/>
      <c r="M22" s="389">
        <v>885.78</v>
      </c>
      <c r="N22" s="389"/>
      <c r="O22" s="389">
        <v>307.18</v>
      </c>
      <c r="P22" s="389"/>
      <c r="Q22" s="389"/>
      <c r="R22" s="389"/>
      <c r="S22" s="390"/>
      <c r="T22" s="391"/>
      <c r="U22" s="385">
        <f t="shared" si="0"/>
        <v>3017.1</v>
      </c>
      <c r="V22" s="386">
        <f t="shared" si="0"/>
        <v>0</v>
      </c>
      <c r="W22" s="361">
        <v>0</v>
      </c>
      <c r="X22" s="361">
        <v>1824.21</v>
      </c>
      <c r="Y22" s="361">
        <v>0</v>
      </c>
      <c r="Z22" s="361">
        <v>0</v>
      </c>
      <c r="AA22" s="361">
        <v>885.83</v>
      </c>
      <c r="AB22" s="361">
        <v>307.19</v>
      </c>
      <c r="AC22" s="361"/>
      <c r="AD22" s="361"/>
      <c r="AE22" s="367"/>
      <c r="AF22" s="368">
        <f t="shared" si="8"/>
        <v>3017.23</v>
      </c>
      <c r="AG22" s="376">
        <f t="shared" si="7"/>
        <v>3017.23</v>
      </c>
      <c r="AH22" s="352">
        <f t="shared" si="1"/>
        <v>0</v>
      </c>
      <c r="AI22" s="352">
        <f t="shared" si="1"/>
        <v>0</v>
      </c>
      <c r="AJ22" s="353"/>
      <c r="AK22" s="338">
        <f t="shared" si="2"/>
        <v>232.49</v>
      </c>
      <c r="AL22" s="338">
        <f t="shared" si="3"/>
        <v>69.4</v>
      </c>
      <c r="AM22" s="338">
        <f>B22*1</f>
        <v>347</v>
      </c>
      <c r="AN22" s="338">
        <f>B22*0.21</f>
        <v>72.86999999999999</v>
      </c>
      <c r="AO22" s="369">
        <v>0</v>
      </c>
      <c r="AP22" s="338">
        <f>B22*1.03</f>
        <v>357.41</v>
      </c>
      <c r="AQ22" s="338">
        <f>B22*0.75</f>
        <v>260.25</v>
      </c>
      <c r="AR22" s="338">
        <f>B22*0.75</f>
        <v>260.25</v>
      </c>
      <c r="AS22" s="369">
        <v>0</v>
      </c>
      <c r="AT22" s="354"/>
      <c r="AU22" s="355"/>
      <c r="AV22" s="355"/>
      <c r="AW22" s="355"/>
      <c r="AX22" s="355"/>
      <c r="AY22" s="98"/>
      <c r="AZ22" s="354"/>
      <c r="BA22" s="354"/>
      <c r="BB22" s="354"/>
      <c r="BC22" s="325">
        <f>SUM(AK22:BB22)</f>
        <v>1599.67</v>
      </c>
      <c r="BD22" s="356"/>
      <c r="BE22" s="150">
        <f t="shared" si="4"/>
        <v>1599.67</v>
      </c>
      <c r="BF22" s="161">
        <f t="shared" si="5"/>
        <v>1417.56</v>
      </c>
      <c r="BG22" s="158">
        <f t="shared" si="6"/>
        <v>0.13000000000010914</v>
      </c>
      <c r="BH22" s="322"/>
      <c r="BI22" s="153"/>
      <c r="BJ22" s="323"/>
      <c r="BK22" s="1"/>
    </row>
    <row r="23" spans="1:60" s="18" customFormat="1" ht="12.75">
      <c r="A23" s="15" t="s">
        <v>5</v>
      </c>
      <c r="B23" s="16"/>
      <c r="C23" s="154">
        <f aca="true" t="shared" si="9" ref="C23:BF23">SUM(C11:C22)</f>
        <v>33203.736</v>
      </c>
      <c r="D23" s="154">
        <f t="shared" si="9"/>
        <v>0</v>
      </c>
      <c r="E23" s="154">
        <f t="shared" si="9"/>
        <v>-2.48</v>
      </c>
      <c r="F23" s="154">
        <f t="shared" si="9"/>
        <v>0</v>
      </c>
      <c r="G23" s="154">
        <f t="shared" si="9"/>
        <v>20424.949999999997</v>
      </c>
      <c r="H23" s="154">
        <f t="shared" si="9"/>
        <v>0</v>
      </c>
      <c r="I23" s="154">
        <f t="shared" si="9"/>
        <v>-0.94</v>
      </c>
      <c r="J23" s="154">
        <f t="shared" si="9"/>
        <v>0</v>
      </c>
      <c r="K23" s="154">
        <f t="shared" si="9"/>
        <v>-5.59</v>
      </c>
      <c r="L23" s="154">
        <f t="shared" si="9"/>
        <v>0</v>
      </c>
      <c r="M23" s="154">
        <f t="shared" si="9"/>
        <v>10621.28</v>
      </c>
      <c r="N23" s="154">
        <f t="shared" si="9"/>
        <v>0</v>
      </c>
      <c r="O23" s="154">
        <f t="shared" si="9"/>
        <v>3684.1599999999994</v>
      </c>
      <c r="P23" s="154">
        <f t="shared" si="9"/>
        <v>0</v>
      </c>
      <c r="Q23" s="154">
        <f t="shared" si="9"/>
        <v>0</v>
      </c>
      <c r="R23" s="154">
        <f t="shared" si="9"/>
        <v>0</v>
      </c>
      <c r="S23" s="154">
        <f t="shared" si="9"/>
        <v>0</v>
      </c>
      <c r="T23" s="154">
        <f t="shared" si="9"/>
        <v>0</v>
      </c>
      <c r="U23" s="154">
        <f t="shared" si="9"/>
        <v>34721.37999999999</v>
      </c>
      <c r="V23" s="154">
        <f t="shared" si="9"/>
        <v>0</v>
      </c>
      <c r="W23" s="154">
        <f t="shared" si="9"/>
        <v>317.19</v>
      </c>
      <c r="X23" s="154">
        <f t="shared" si="9"/>
        <v>18518.55</v>
      </c>
      <c r="Y23" s="154">
        <f t="shared" si="9"/>
        <v>119.45</v>
      </c>
      <c r="Z23" s="154">
        <f t="shared" si="9"/>
        <v>715.16</v>
      </c>
      <c r="AA23" s="154">
        <f t="shared" si="9"/>
        <v>10726.619999999999</v>
      </c>
      <c r="AB23" s="154">
        <f t="shared" si="9"/>
        <v>3615.6299999999997</v>
      </c>
      <c r="AC23" s="154">
        <f t="shared" si="9"/>
        <v>0</v>
      </c>
      <c r="AD23" s="154">
        <f t="shared" si="9"/>
        <v>0</v>
      </c>
      <c r="AE23" s="154">
        <f t="shared" si="9"/>
        <v>0</v>
      </c>
      <c r="AF23" s="154">
        <f t="shared" si="9"/>
        <v>34012.600000000006</v>
      </c>
      <c r="AG23" s="154">
        <f t="shared" si="9"/>
        <v>34012.600000000006</v>
      </c>
      <c r="AH23" s="154">
        <f t="shared" si="9"/>
        <v>0</v>
      </c>
      <c r="AI23" s="154">
        <f t="shared" si="9"/>
        <v>0</v>
      </c>
      <c r="AJ23" s="154">
        <f t="shared" si="9"/>
        <v>0</v>
      </c>
      <c r="AK23" s="154">
        <f t="shared" si="9"/>
        <v>2789.879999999999</v>
      </c>
      <c r="AL23" s="154">
        <f t="shared" si="9"/>
        <v>832.7999999999998</v>
      </c>
      <c r="AM23" s="154">
        <f t="shared" si="9"/>
        <v>4164</v>
      </c>
      <c r="AN23" s="154">
        <f t="shared" si="9"/>
        <v>874.4399999999999</v>
      </c>
      <c r="AO23" s="154">
        <f t="shared" si="9"/>
        <v>0</v>
      </c>
      <c r="AP23" s="154">
        <f t="shared" si="9"/>
        <v>4288.919999999999</v>
      </c>
      <c r="AQ23" s="154">
        <f t="shared" si="9"/>
        <v>3123</v>
      </c>
      <c r="AR23" s="154">
        <f t="shared" si="9"/>
        <v>3123</v>
      </c>
      <c r="AS23" s="154">
        <f t="shared" si="9"/>
        <v>0</v>
      </c>
      <c r="AT23" s="154">
        <f t="shared" si="9"/>
        <v>0</v>
      </c>
      <c r="AU23" s="154">
        <f t="shared" si="9"/>
        <v>0</v>
      </c>
      <c r="AV23" s="154">
        <f t="shared" si="9"/>
        <v>151</v>
      </c>
      <c r="AW23" s="154">
        <f t="shared" si="9"/>
        <v>0</v>
      </c>
      <c r="AX23" s="154">
        <f t="shared" si="9"/>
        <v>90</v>
      </c>
      <c r="AY23" s="154">
        <f t="shared" si="9"/>
        <v>0</v>
      </c>
      <c r="AZ23" s="154">
        <f t="shared" si="9"/>
        <v>0</v>
      </c>
      <c r="BA23" s="154">
        <f t="shared" si="9"/>
        <v>24.94</v>
      </c>
      <c r="BB23" s="154">
        <f t="shared" si="9"/>
        <v>0</v>
      </c>
      <c r="BC23" s="154">
        <f t="shared" si="9"/>
        <v>19461.980000000003</v>
      </c>
      <c r="BD23" s="154">
        <f t="shared" si="9"/>
        <v>0</v>
      </c>
      <c r="BE23" s="154">
        <f t="shared" si="9"/>
        <v>19461.980000000003</v>
      </c>
      <c r="BF23" s="154">
        <f t="shared" si="9"/>
        <v>14550.62</v>
      </c>
      <c r="BG23" s="154">
        <f>SUM(BG11:BG22)</f>
        <v>-708.779999999997</v>
      </c>
      <c r="BH23" s="61"/>
    </row>
    <row r="24" spans="1:60" ht="13.5" thickBot="1">
      <c r="A24" s="9"/>
      <c r="B24" s="1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2"/>
      <c r="R24" s="12"/>
      <c r="S24" s="71"/>
      <c r="T24" s="71"/>
      <c r="U24" s="71"/>
      <c r="V24" s="71"/>
      <c r="W24" s="71"/>
      <c r="X24" s="71"/>
      <c r="Y24" s="71"/>
      <c r="Z24" s="71"/>
      <c r="AA24" s="71"/>
      <c r="AB24" s="142"/>
      <c r="AC24" s="142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3"/>
      <c r="AO24" s="13"/>
      <c r="AP24" s="13"/>
      <c r="AQ24" s="13"/>
      <c r="AR24" s="13"/>
      <c r="AS24" s="13"/>
      <c r="AT24" s="13"/>
      <c r="AU24" s="14"/>
      <c r="AV24" s="14"/>
      <c r="AW24" s="14"/>
      <c r="AX24" s="19"/>
      <c r="AY24" s="19"/>
      <c r="AZ24" s="13"/>
      <c r="BA24" s="13"/>
      <c r="BB24" s="14"/>
      <c r="BC24" s="14"/>
      <c r="BD24" s="14"/>
      <c r="BE24" s="162"/>
      <c r="BF24" s="159"/>
      <c r="BG24" s="155"/>
      <c r="BH24" s="1"/>
    </row>
    <row r="25" spans="1:60" s="18" customFormat="1" ht="13.5" thickBot="1">
      <c r="A25" s="20" t="s">
        <v>53</v>
      </c>
      <c r="B25" s="21"/>
      <c r="C25" s="146">
        <f aca="true" t="shared" si="10" ref="C25:BF25">C9+C23</f>
        <v>105240.93599999999</v>
      </c>
      <c r="D25" s="146">
        <f t="shared" si="10"/>
        <v>12971.224999999997</v>
      </c>
      <c r="E25" s="146">
        <f t="shared" si="10"/>
        <v>5481.870000000001</v>
      </c>
      <c r="F25" s="146">
        <f t="shared" si="10"/>
        <v>1967.51</v>
      </c>
      <c r="G25" s="146">
        <f t="shared" si="10"/>
        <v>20424.949999999997</v>
      </c>
      <c r="H25" s="146">
        <f t="shared" si="10"/>
        <v>0</v>
      </c>
      <c r="I25" s="146">
        <f t="shared" si="10"/>
        <v>2055.0699999999993</v>
      </c>
      <c r="J25" s="146">
        <f t="shared" si="10"/>
        <v>737.1299999999999</v>
      </c>
      <c r="K25" s="146">
        <f t="shared" si="10"/>
        <v>12356.57</v>
      </c>
      <c r="L25" s="146">
        <f t="shared" si="10"/>
        <v>4435.4800000000005</v>
      </c>
      <c r="M25" s="146">
        <f t="shared" si="10"/>
        <v>28468.010000000002</v>
      </c>
      <c r="N25" s="146">
        <f t="shared" si="10"/>
        <v>6402.849999999999</v>
      </c>
      <c r="O25" s="146">
        <f t="shared" si="10"/>
        <v>8071.76</v>
      </c>
      <c r="P25" s="146">
        <f t="shared" si="10"/>
        <v>1573.9299999999998</v>
      </c>
      <c r="Q25" s="146">
        <f t="shared" si="10"/>
        <v>0</v>
      </c>
      <c r="R25" s="146">
        <f t="shared" si="10"/>
        <v>0</v>
      </c>
      <c r="S25" s="146">
        <f t="shared" si="10"/>
        <v>0</v>
      </c>
      <c r="T25" s="146">
        <f t="shared" si="10"/>
        <v>0</v>
      </c>
      <c r="U25" s="146">
        <f t="shared" si="10"/>
        <v>76858.23</v>
      </c>
      <c r="V25" s="146">
        <f t="shared" si="10"/>
        <v>15116.900000000001</v>
      </c>
      <c r="W25" s="146">
        <f t="shared" si="10"/>
        <v>5647.46</v>
      </c>
      <c r="X25" s="146">
        <f t="shared" si="10"/>
        <v>18518.55</v>
      </c>
      <c r="Y25" s="146">
        <f t="shared" si="10"/>
        <v>2112.25</v>
      </c>
      <c r="Z25" s="146">
        <f t="shared" si="10"/>
        <v>12728.25</v>
      </c>
      <c r="AA25" s="146">
        <f t="shared" si="10"/>
        <v>28070.17</v>
      </c>
      <c r="AB25" s="146">
        <f t="shared" si="10"/>
        <v>7879.98</v>
      </c>
      <c r="AC25" s="146">
        <f t="shared" si="10"/>
        <v>0</v>
      </c>
      <c r="AD25" s="146">
        <f t="shared" si="10"/>
        <v>0</v>
      </c>
      <c r="AE25" s="146">
        <f t="shared" si="10"/>
        <v>0</v>
      </c>
      <c r="AF25" s="146">
        <f t="shared" si="10"/>
        <v>74956.66</v>
      </c>
      <c r="AG25" s="146">
        <f t="shared" si="10"/>
        <v>103044.785</v>
      </c>
      <c r="AH25" s="146">
        <f t="shared" si="10"/>
        <v>0</v>
      </c>
      <c r="AI25" s="146">
        <f t="shared" si="10"/>
        <v>0</v>
      </c>
      <c r="AJ25" s="146">
        <f t="shared" si="10"/>
        <v>0</v>
      </c>
      <c r="AK25" s="146">
        <f t="shared" si="10"/>
        <v>7703.399999999999</v>
      </c>
      <c r="AL25" s="146">
        <f t="shared" si="10"/>
        <v>2474.1666239999995</v>
      </c>
      <c r="AM25" s="146">
        <f t="shared" si="10"/>
        <v>12311.700494829998</v>
      </c>
      <c r="AN25" s="146">
        <f t="shared" si="10"/>
        <v>874.4399999999999</v>
      </c>
      <c r="AO25" s="146">
        <f t="shared" si="10"/>
        <v>7953.402629878</v>
      </c>
      <c r="AP25" s="146">
        <f t="shared" si="10"/>
        <v>22568.202710826</v>
      </c>
      <c r="AQ25" s="146">
        <f t="shared" si="10"/>
        <v>3123</v>
      </c>
      <c r="AR25" s="146"/>
      <c r="AS25" s="146">
        <f t="shared" si="10"/>
        <v>0</v>
      </c>
      <c r="AT25" s="146">
        <f t="shared" si="10"/>
        <v>0</v>
      </c>
      <c r="AU25" s="146">
        <f t="shared" si="10"/>
        <v>2029.4</v>
      </c>
      <c r="AV25" s="146">
        <f t="shared" si="10"/>
        <v>151</v>
      </c>
      <c r="AW25" s="146">
        <f t="shared" si="10"/>
        <v>547.8</v>
      </c>
      <c r="AX25" s="146">
        <f t="shared" si="10"/>
        <v>90</v>
      </c>
      <c r="AY25" s="146">
        <f t="shared" si="10"/>
        <v>1796.2559999999999</v>
      </c>
      <c r="AZ25" s="146">
        <f t="shared" si="10"/>
        <v>0</v>
      </c>
      <c r="BA25" s="146">
        <f t="shared" si="10"/>
        <v>24.94</v>
      </c>
      <c r="BB25" s="146">
        <f t="shared" si="10"/>
        <v>0</v>
      </c>
      <c r="BC25" s="146">
        <f t="shared" si="10"/>
        <v>64770.708459534</v>
      </c>
      <c r="BD25" s="146">
        <f t="shared" si="10"/>
        <v>0</v>
      </c>
      <c r="BE25" s="146">
        <f t="shared" si="10"/>
        <v>64770.708459534</v>
      </c>
      <c r="BF25" s="146">
        <f t="shared" si="10"/>
        <v>38274.076540466005</v>
      </c>
      <c r="BG25" s="156">
        <f>BG9+BG23</f>
        <v>-1901.5700000000052</v>
      </c>
      <c r="BH25" s="61"/>
    </row>
  </sheetData>
  <sheetProtection/>
  <mergeCells count="56">
    <mergeCell ref="S3:T4"/>
    <mergeCell ref="U3:V4"/>
    <mergeCell ref="S5:T6"/>
    <mergeCell ref="AB5:AB6"/>
    <mergeCell ref="AC5:AC6"/>
    <mergeCell ref="AD5:AD6"/>
    <mergeCell ref="X5:X6"/>
    <mergeCell ref="Y5:Y6"/>
    <mergeCell ref="BA5:BA6"/>
    <mergeCell ref="AW5:AW6"/>
    <mergeCell ref="Z5:Z6"/>
    <mergeCell ref="U5:U6"/>
    <mergeCell ref="V5:V6"/>
    <mergeCell ref="W5:W6"/>
    <mergeCell ref="AE5:AE6"/>
    <mergeCell ref="AR5:AR6"/>
    <mergeCell ref="AM5:AM6"/>
    <mergeCell ref="AN5:AN6"/>
    <mergeCell ref="Q5:R6"/>
    <mergeCell ref="AA5:AA6"/>
    <mergeCell ref="BC5:BC6"/>
    <mergeCell ref="AP5:AP6"/>
    <mergeCell ref="AQ5:AQ6"/>
    <mergeCell ref="AT5:AT6"/>
    <mergeCell ref="BB5:BB6"/>
    <mergeCell ref="AV5:AV6"/>
    <mergeCell ref="AX5:AX6"/>
    <mergeCell ref="AZ5:AZ6"/>
    <mergeCell ref="I5:J6"/>
    <mergeCell ref="K5:L6"/>
    <mergeCell ref="M5:N6"/>
    <mergeCell ref="AL5:AL6"/>
    <mergeCell ref="AO5:AO6"/>
    <mergeCell ref="AS5:AS6"/>
    <mergeCell ref="AJ3:AJ6"/>
    <mergeCell ref="AU5:AU6"/>
    <mergeCell ref="AH5:AH6"/>
    <mergeCell ref="AI5:AI6"/>
    <mergeCell ref="AK5:AK6"/>
    <mergeCell ref="E3:R4"/>
    <mergeCell ref="E5:F6"/>
    <mergeCell ref="G5:H6"/>
    <mergeCell ref="O5:P6"/>
    <mergeCell ref="W3:AI4"/>
    <mergeCell ref="AF5:AF6"/>
    <mergeCell ref="AK3:BE4"/>
    <mergeCell ref="A1:L1"/>
    <mergeCell ref="A3:A6"/>
    <mergeCell ref="B3:B6"/>
    <mergeCell ref="C3:C6"/>
    <mergeCell ref="D3:D6"/>
    <mergeCell ref="BG3:BG6"/>
    <mergeCell ref="BD5:BD6"/>
    <mergeCell ref="BE5:BE6"/>
    <mergeCell ref="BF3:BF6"/>
    <mergeCell ref="AG5:A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31">
      <selection activeCell="D54" sqref="D5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hidden="1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47" t="s">
        <v>54</v>
      </c>
      <c r="C1" s="247"/>
      <c r="D1" s="247"/>
      <c r="E1" s="247"/>
      <c r="F1" s="247"/>
      <c r="G1" s="247"/>
      <c r="H1" s="247"/>
    </row>
    <row r="2" spans="2:8" ht="21" customHeight="1">
      <c r="B2" s="247" t="s">
        <v>55</v>
      </c>
      <c r="C2" s="247"/>
      <c r="D2" s="247"/>
      <c r="E2" s="247"/>
      <c r="F2" s="247"/>
      <c r="G2" s="247"/>
      <c r="H2" s="247"/>
    </row>
    <row r="5" spans="1:15" ht="12.75">
      <c r="A5" s="249" t="s">
        <v>87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</row>
    <row r="6" spans="1:15" ht="12.75">
      <c r="A6" s="250" t="s">
        <v>116</v>
      </c>
      <c r="B6" s="250"/>
      <c r="C6" s="250"/>
      <c r="D6" s="250"/>
      <c r="E6" s="250"/>
      <c r="F6" s="250"/>
      <c r="G6" s="250"/>
      <c r="H6" s="83"/>
      <c r="I6" s="83"/>
      <c r="J6" s="83"/>
      <c r="K6" s="83"/>
      <c r="L6" s="83"/>
      <c r="M6" s="83"/>
      <c r="N6" s="83"/>
      <c r="O6" s="83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6" ht="13.5" thickBot="1">
      <c r="A8" s="248" t="s">
        <v>56</v>
      </c>
      <c r="B8" s="248"/>
      <c r="C8" s="248"/>
      <c r="D8" s="248"/>
      <c r="E8" s="248">
        <v>8.55</v>
      </c>
      <c r="F8" s="248"/>
    </row>
    <row r="9" spans="1:16" ht="12.75" customHeight="1">
      <c r="A9" s="205" t="s">
        <v>57</v>
      </c>
      <c r="B9" s="217" t="s">
        <v>1</v>
      </c>
      <c r="C9" s="220" t="s">
        <v>58</v>
      </c>
      <c r="D9" s="223" t="s">
        <v>3</v>
      </c>
      <c r="E9" s="237" t="s">
        <v>59</v>
      </c>
      <c r="F9" s="238"/>
      <c r="G9" s="241" t="s">
        <v>60</v>
      </c>
      <c r="H9" s="242"/>
      <c r="I9" s="212" t="s">
        <v>10</v>
      </c>
      <c r="J9" s="185"/>
      <c r="K9" s="185"/>
      <c r="L9" s="185"/>
      <c r="M9" s="185"/>
      <c r="N9" s="213"/>
      <c r="O9" s="226" t="s">
        <v>61</v>
      </c>
      <c r="P9" s="226" t="s">
        <v>12</v>
      </c>
    </row>
    <row r="10" spans="1:16" ht="12.75">
      <c r="A10" s="206"/>
      <c r="B10" s="218"/>
      <c r="C10" s="221"/>
      <c r="D10" s="224"/>
      <c r="E10" s="239"/>
      <c r="F10" s="240"/>
      <c r="G10" s="243"/>
      <c r="H10" s="244"/>
      <c r="I10" s="214"/>
      <c r="J10" s="174"/>
      <c r="K10" s="174"/>
      <c r="L10" s="174"/>
      <c r="M10" s="174"/>
      <c r="N10" s="215"/>
      <c r="O10" s="227"/>
      <c r="P10" s="227"/>
    </row>
    <row r="11" spans="1:16" ht="26.25" customHeight="1">
      <c r="A11" s="206"/>
      <c r="B11" s="218"/>
      <c r="C11" s="221"/>
      <c r="D11" s="224"/>
      <c r="E11" s="229" t="s">
        <v>62</v>
      </c>
      <c r="F11" s="230"/>
      <c r="G11" s="70" t="s">
        <v>63</v>
      </c>
      <c r="H11" s="231" t="s">
        <v>7</v>
      </c>
      <c r="I11" s="233" t="s">
        <v>64</v>
      </c>
      <c r="J11" s="235" t="s">
        <v>113</v>
      </c>
      <c r="K11" s="235" t="s">
        <v>65</v>
      </c>
      <c r="L11" s="235" t="s">
        <v>37</v>
      </c>
      <c r="M11" s="235" t="s">
        <v>66</v>
      </c>
      <c r="N11" s="231" t="s">
        <v>39</v>
      </c>
      <c r="O11" s="227"/>
      <c r="P11" s="227"/>
    </row>
    <row r="12" spans="1:16" ht="66.75" customHeight="1" thickBot="1">
      <c r="A12" s="216"/>
      <c r="B12" s="219"/>
      <c r="C12" s="222"/>
      <c r="D12" s="225"/>
      <c r="E12" s="54" t="s">
        <v>67</v>
      </c>
      <c r="F12" s="57" t="s">
        <v>21</v>
      </c>
      <c r="G12" s="67" t="s">
        <v>68</v>
      </c>
      <c r="H12" s="232"/>
      <c r="I12" s="234"/>
      <c r="J12" s="236"/>
      <c r="K12" s="236"/>
      <c r="L12" s="236"/>
      <c r="M12" s="236"/>
      <c r="N12" s="232"/>
      <c r="O12" s="228"/>
      <c r="P12" s="228"/>
    </row>
    <row r="13" spans="1:16" ht="13.5" thickBo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6">
        <v>6</v>
      </c>
      <c r="G13" s="55">
        <v>7</v>
      </c>
      <c r="H13" s="56">
        <v>8</v>
      </c>
      <c r="I13" s="55">
        <v>9</v>
      </c>
      <c r="J13" s="56">
        <v>10</v>
      </c>
      <c r="K13" s="55">
        <v>11</v>
      </c>
      <c r="L13" s="56">
        <v>12</v>
      </c>
      <c r="M13" s="55">
        <v>13</v>
      </c>
      <c r="N13" s="56">
        <v>13</v>
      </c>
      <c r="O13" s="56">
        <v>14</v>
      </c>
      <c r="P13" s="55">
        <v>15</v>
      </c>
    </row>
    <row r="14" spans="1:18" ht="12.75" hidden="1">
      <c r="A14" s="6" t="s">
        <v>43</v>
      </c>
      <c r="B14" s="35"/>
      <c r="C14" s="36"/>
      <c r="D14" s="37"/>
      <c r="E14" s="38"/>
      <c r="F14" s="40"/>
      <c r="G14" s="39"/>
      <c r="H14" s="40"/>
      <c r="I14" s="39"/>
      <c r="J14" s="12"/>
      <c r="K14" s="12"/>
      <c r="L14" s="27"/>
      <c r="M14" s="60"/>
      <c r="N14" s="26"/>
      <c r="O14" s="63"/>
      <c r="P14" s="63"/>
      <c r="Q14" s="1"/>
      <c r="R14" s="1"/>
    </row>
    <row r="15" spans="1:18" ht="12.75" hidden="1">
      <c r="A15" s="9" t="s">
        <v>44</v>
      </c>
      <c r="B15" s="68">
        <f>Лист1!B9</f>
        <v>347</v>
      </c>
      <c r="C15" s="23">
        <f aca="true" t="shared" si="0" ref="C15:C26">B15*8.65</f>
        <v>3001.55</v>
      </c>
      <c r="D15" s="24">
        <f>Лист1!D9</f>
        <v>375.19375</v>
      </c>
      <c r="E15" s="12">
        <f>Лист1!S9</f>
        <v>1402.63</v>
      </c>
      <c r="F15" s="26">
        <f>Лист1!T9</f>
        <v>770.85</v>
      </c>
      <c r="G15" s="25">
        <f>Лист1!AB9</f>
        <v>1205.52</v>
      </c>
      <c r="H15" s="26">
        <f>Лист1!AC9</f>
        <v>2351.5637500000003</v>
      </c>
      <c r="I15" s="25">
        <f>Лист1!AG9</f>
        <v>187.38</v>
      </c>
      <c r="J15" s="12">
        <f>Лист1!AI9+Лист1!AJ9</f>
        <v>301.727947</v>
      </c>
      <c r="K15" s="12">
        <f>Лист1!AH9+Лист1!AK9+Лист1!AL9+Лист1!AM9+Лист1!AN9+Лист1!AO9+Лист1!AP9+Лист1!AQ9+Лист1!AR9</f>
        <v>1036.33545944</v>
      </c>
      <c r="L15" s="27">
        <f>Лист1!AS9+Лист1!AT9+Лист1!AU9+Лист1!AZ9+Лист1!BA9</f>
        <v>0</v>
      </c>
      <c r="M15" s="27">
        <f>Лист1!AX9</f>
        <v>100.70592</v>
      </c>
      <c r="N15" s="26">
        <f>Лист1!BB9</f>
        <v>1525.4434064399998</v>
      </c>
      <c r="O15" s="63">
        <f>Лист1!BD9</f>
        <v>826.1203435600005</v>
      </c>
      <c r="P15" s="63">
        <f>Лист1!BE9</f>
        <v>-197.11000000000013</v>
      </c>
      <c r="Q15" s="1"/>
      <c r="R15" s="1"/>
    </row>
    <row r="16" spans="1:18" ht="12.75" hidden="1">
      <c r="A16" s="9" t="s">
        <v>45</v>
      </c>
      <c r="B16" s="68">
        <f>Лист1!B10</f>
        <v>347</v>
      </c>
      <c r="C16" s="23">
        <f t="shared" si="0"/>
        <v>3001.55</v>
      </c>
      <c r="D16" s="24">
        <f>Лист1!D10</f>
        <v>375.19375</v>
      </c>
      <c r="E16" s="12">
        <f>Лист1!S10</f>
        <v>1402.63</v>
      </c>
      <c r="F16" s="26">
        <f>Лист1!T10</f>
        <v>770.85</v>
      </c>
      <c r="G16" s="25">
        <f>Лист1!AB10</f>
        <v>1141.3000000000002</v>
      </c>
      <c r="H16" s="26">
        <f>Лист1!AC10</f>
        <v>2287.34375</v>
      </c>
      <c r="I16" s="25">
        <f>Лист1!AG10</f>
        <v>187.38</v>
      </c>
      <c r="J16" s="12">
        <f>Лист1!AI10+Лист1!AJ10</f>
        <v>301.403506</v>
      </c>
      <c r="K16" s="12">
        <f>Лист1!AH10+Лист1!AK10+Лист1!AL10+Лист1!AM10+Лист1!AN10+Лист1!AO10+Лист1!AP10+Лист1!AQ10+Лист1!AR10</f>
        <v>1037.8314805399998</v>
      </c>
      <c r="L16" s="27">
        <f>Лист1!AS10+Лист1!AT10+Лист1!AU10+Лист1!AZ10+Лист1!BA10</f>
        <v>1569.4</v>
      </c>
      <c r="M16" s="27">
        <f>Лист1!AX10</f>
        <v>80.68368</v>
      </c>
      <c r="N16" s="26">
        <f>Лист1!BB10</f>
        <v>3096.0149865399994</v>
      </c>
      <c r="O16" s="63">
        <f>Лист1!BD10</f>
        <v>-808.6712365399994</v>
      </c>
      <c r="P16" s="63">
        <f>Лист1!BE10</f>
        <v>-261.3299999999999</v>
      </c>
      <c r="Q16" s="1"/>
      <c r="R16" s="1"/>
    </row>
    <row r="17" spans="1:18" ht="12.75" hidden="1">
      <c r="A17" s="9" t="s">
        <v>46</v>
      </c>
      <c r="B17" s="68">
        <f>Лист1!B11</f>
        <v>347</v>
      </c>
      <c r="C17" s="23">
        <f t="shared" si="0"/>
        <v>3001.55</v>
      </c>
      <c r="D17" s="24">
        <f>Лист1!D11</f>
        <v>375.19375</v>
      </c>
      <c r="E17" s="12">
        <f>Лист1!S11</f>
        <v>1402.63</v>
      </c>
      <c r="F17" s="26">
        <f>Лист1!T11</f>
        <v>770.85</v>
      </c>
      <c r="G17" s="25">
        <f>Лист1!AB11</f>
        <v>1864.7600000000002</v>
      </c>
      <c r="H17" s="26">
        <f>Лист1!AC11</f>
        <v>3010.80375</v>
      </c>
      <c r="I17" s="25">
        <f>Лист1!AG11</f>
        <v>187.38</v>
      </c>
      <c r="J17" s="12">
        <f>Лист1!AI11+Лист1!AJ11</f>
        <v>301.9373675</v>
      </c>
      <c r="K17" s="12">
        <f>Лист1!AH11+Лист1!AK11+Лист1!AL11+Лист1!AM11+Лист1!AN11+Лист1!AO11+Лист1!AP11+Лист1!AQ11+Лист1!AR11</f>
        <v>1003.1883752000001</v>
      </c>
      <c r="L17" s="27">
        <f>Лист1!AS11+Лист1!AT11+Лист1!AU11+Лист1!AZ11+Лист1!BA11</f>
        <v>0</v>
      </c>
      <c r="M17" s="27">
        <f>Лист1!AX11</f>
        <v>75.92592</v>
      </c>
      <c r="N17" s="26">
        <f>Лист1!BB11</f>
        <v>1492.5057427</v>
      </c>
      <c r="O17" s="63">
        <f>Лист1!BD11</f>
        <v>1518.2980073</v>
      </c>
      <c r="P17" s="63">
        <f>Лист1!BE11</f>
        <v>462.1300000000001</v>
      </c>
      <c r="Q17" s="1"/>
      <c r="R17" s="1"/>
    </row>
    <row r="18" spans="1:18" ht="12.75" hidden="1">
      <c r="A18" s="9" t="s">
        <v>47</v>
      </c>
      <c r="B18" s="68">
        <f>Лист1!B12</f>
        <v>347</v>
      </c>
      <c r="C18" s="23">
        <f t="shared" si="0"/>
        <v>3001.55</v>
      </c>
      <c r="D18" s="24">
        <f>Лист1!D12</f>
        <v>375.19375</v>
      </c>
      <c r="E18" s="12">
        <f>Лист1!S12</f>
        <v>1401.9099999999999</v>
      </c>
      <c r="F18" s="26">
        <f>Лист1!T12</f>
        <v>770.85</v>
      </c>
      <c r="G18" s="25">
        <f>Лист1!AB12</f>
        <v>1402.6</v>
      </c>
      <c r="H18" s="26">
        <f>Лист1!AC12</f>
        <v>2548.64375</v>
      </c>
      <c r="I18" s="25">
        <f>Лист1!AG12</f>
        <v>187.38</v>
      </c>
      <c r="J18" s="12">
        <f>Лист1!AI12+Лист1!AJ12</f>
        <v>310.800613</v>
      </c>
      <c r="K18" s="12">
        <f>Лист1!AH12+Лист1!AK12+Лист1!AL12+Лист1!AM12+Лист1!AN12+Лист1!AO12+Лист1!AP12+Лист1!AQ12+Лист1!AR12</f>
        <v>1017.49191592</v>
      </c>
      <c r="L18" s="27">
        <f>Лист1!AS12+Лист1!AT12+Лист1!AU12+Лист1!AY12+Лист1!AZ12</f>
        <v>0</v>
      </c>
      <c r="M18" s="27">
        <f>Лист1!AX12</f>
        <v>60.85968</v>
      </c>
      <c r="N18" s="26">
        <f>Лист1!BB12</f>
        <v>1833.8477289200002</v>
      </c>
      <c r="O18" s="63">
        <f>Лист1!BD12</f>
        <v>714.79602108</v>
      </c>
      <c r="P18" s="63">
        <f>Лист1!BE12</f>
        <v>0.6900000000000546</v>
      </c>
      <c r="Q18" s="1"/>
      <c r="R18" s="1"/>
    </row>
    <row r="19" spans="1:18" ht="12.75" hidden="1">
      <c r="A19" s="9" t="s">
        <v>48</v>
      </c>
      <c r="B19" s="68">
        <f>Лист1!B13</f>
        <v>347</v>
      </c>
      <c r="C19" s="23">
        <f t="shared" si="0"/>
        <v>3001.55</v>
      </c>
      <c r="D19" s="24">
        <f>Лист1!D13</f>
        <v>577.8599999999997</v>
      </c>
      <c r="E19" s="12">
        <f>Лист1!S13</f>
        <v>1563.57</v>
      </c>
      <c r="F19" s="26">
        <f>Лист1!T13</f>
        <v>860.12</v>
      </c>
      <c r="G19" s="25">
        <f>Лист1!AB13</f>
        <v>1101.03</v>
      </c>
      <c r="H19" s="26">
        <f>Лист1!AC13</f>
        <v>2539.0099999999993</v>
      </c>
      <c r="I19" s="25">
        <f>Лист1!AG13</f>
        <v>208.2</v>
      </c>
      <c r="J19" s="12">
        <f>Лист1!AI13+Лист1!AJ13</f>
        <v>348.041</v>
      </c>
      <c r="K19" s="12">
        <f>Лист1!AH13+Лист1!AK13+Лист1!AL13+Лист1!AM13+Лист1!AN13+Лист1!AO13+Лист1!AP13+Лист1!AQ13+Лист1!AR13</f>
        <v>1192.0144</v>
      </c>
      <c r="L19" s="27">
        <f>Лист1!AS13+Лист1!AT13+Лист1!AU13+Лист1!AZ13+Лист1!BA13</f>
        <v>0</v>
      </c>
      <c r="M19" s="27">
        <f>Лист1!AX13</f>
        <v>52.137119999999996</v>
      </c>
      <c r="N19" s="26">
        <f>Лист1!BB13</f>
        <v>1800.3925199999999</v>
      </c>
      <c r="O19" s="63">
        <f>Лист1!BD13</f>
        <v>738.6174799999994</v>
      </c>
      <c r="P19" s="63">
        <f>Лист1!BE13</f>
        <v>-462.53999999999996</v>
      </c>
      <c r="Q19" s="1"/>
      <c r="R19" s="1"/>
    </row>
    <row r="20" spans="1:18" ht="12.75" hidden="1">
      <c r="A20" s="9" t="s">
        <v>49</v>
      </c>
      <c r="B20" s="68">
        <f>Лист1!B14</f>
        <v>347</v>
      </c>
      <c r="C20" s="23">
        <f t="shared" si="0"/>
        <v>3001.55</v>
      </c>
      <c r="D20" s="24">
        <f>Лист1!D14</f>
        <v>577.73</v>
      </c>
      <c r="E20" s="12">
        <f>Лист1!S14</f>
        <v>1563.7</v>
      </c>
      <c r="F20" s="26">
        <f>Лист1!T14</f>
        <v>860.12</v>
      </c>
      <c r="G20" s="25">
        <f>Лист1!AB14</f>
        <v>1864.8400000000001</v>
      </c>
      <c r="H20" s="26">
        <f>Лист1!AC14</f>
        <v>3302.69</v>
      </c>
      <c r="I20" s="25">
        <f>Лист1!AG14</f>
        <v>208.2</v>
      </c>
      <c r="J20" s="12">
        <f>Лист1!AI14+Лист1!AJ14</f>
        <v>348.041</v>
      </c>
      <c r="K20" s="12">
        <f>Лист1!AH14+Лист1!AK14+Лист1!AL14+Лист1!AM14+Лист1!AN14+Лист1!AO14+Лист1!AP14+Лист1!AQ14+Лист1!AR14</f>
        <v>1192.04563</v>
      </c>
      <c r="L20" s="27">
        <f>Лист1!AS14+Лист1!AT14+Лист1!AU14+Лист1!AZ14+Лист1!BA14</f>
        <v>0</v>
      </c>
      <c r="M20" s="27">
        <f>Лист1!AX14</f>
        <v>46.189919999999994</v>
      </c>
      <c r="N20" s="26">
        <f>Лист1!BB14</f>
        <v>1794.47655</v>
      </c>
      <c r="O20" s="63">
        <f>Лист1!BD14</f>
        <v>1508.21345</v>
      </c>
      <c r="P20" s="63">
        <f>Лист1!BE14</f>
        <v>301.1400000000001</v>
      </c>
      <c r="Q20" s="1"/>
      <c r="R20" s="1"/>
    </row>
    <row r="21" spans="1:18" ht="12.75" hidden="1">
      <c r="A21" s="9" t="s">
        <v>50</v>
      </c>
      <c r="B21" s="68">
        <f>Лист1!B15</f>
        <v>347</v>
      </c>
      <c r="C21" s="23">
        <f t="shared" si="0"/>
        <v>3001.55</v>
      </c>
      <c r="D21" s="24">
        <f>Лист1!D15</f>
        <v>595.9700000000003</v>
      </c>
      <c r="E21" s="12">
        <f>Лист1!S15</f>
        <v>1553.6399999999999</v>
      </c>
      <c r="F21" s="26">
        <f>Лист1!T15</f>
        <v>851.9399999999999</v>
      </c>
      <c r="G21" s="25">
        <f>Лист1!AB15</f>
        <v>1230.87</v>
      </c>
      <c r="H21" s="26">
        <f>Лист1!AC15</f>
        <v>2678.78</v>
      </c>
      <c r="I21" s="25">
        <f>Лист1!AG15</f>
        <v>208.2</v>
      </c>
      <c r="J21" s="12">
        <f>Лист1!AI15+Лист1!AJ15</f>
        <v>343.0988178</v>
      </c>
      <c r="K21" s="12">
        <f>Лист1!AH15+Лист1!AK15+Лист1!AL15+Лист1!AM15+Лист1!AN15+Лист1!AO15+Лист1!AP15+Лист1!AQ15+Лист1!AR15</f>
        <v>1180.18489934</v>
      </c>
      <c r="L21" s="27">
        <f>Лист1!AS15+Лист1!AT15+Лист1!AU15+Лист1!AZ15+Лист1!BA15</f>
        <v>0</v>
      </c>
      <c r="M21" s="27">
        <f>Лист1!AX15</f>
        <v>49.16352</v>
      </c>
      <c r="N21" s="26">
        <f>Лист1!BB15</f>
        <v>1780.64723714</v>
      </c>
      <c r="O21" s="63">
        <f>Лист1!BD15</f>
        <v>898.1327628600002</v>
      </c>
      <c r="P21" s="63">
        <f>Лист1!BE15</f>
        <v>-322.77</v>
      </c>
      <c r="Q21" s="1"/>
      <c r="R21" s="1"/>
    </row>
    <row r="22" spans="1:18" ht="12.75" hidden="1">
      <c r="A22" s="9" t="s">
        <v>51</v>
      </c>
      <c r="B22" s="68">
        <f>Лист1!B16</f>
        <v>347</v>
      </c>
      <c r="C22" s="23">
        <f t="shared" si="0"/>
        <v>3001.55</v>
      </c>
      <c r="D22" s="24">
        <f>Лист1!D16</f>
        <v>577.73</v>
      </c>
      <c r="E22" s="12">
        <f>Лист1!S16</f>
        <v>1563.7</v>
      </c>
      <c r="F22" s="26">
        <f>Лист1!T16</f>
        <v>860.12</v>
      </c>
      <c r="G22" s="25">
        <f>Лист1!AB16</f>
        <v>1843.1499999999999</v>
      </c>
      <c r="H22" s="26">
        <f>Лист1!AC16</f>
        <v>3281</v>
      </c>
      <c r="I22" s="25">
        <f>Лист1!AG16</f>
        <v>208.2</v>
      </c>
      <c r="J22" s="12">
        <f>Лист1!AI16+Лист1!AJ16</f>
        <v>342.9073952499999</v>
      </c>
      <c r="K22" s="12">
        <f>Лист1!AH16+Лист1!AK16+Лист1!AL16+Лист1!AM16+Лист1!AN16+Лист1!AO16+Лист1!AP16+Лист1!AQ16+Лист1!AR16</f>
        <v>1179.93693314</v>
      </c>
      <c r="L22" s="27">
        <f>Лист1!AS16+Лист1!AT16+Лист1!AU16+Лист1!AZ16+Лист1!BA16</f>
        <v>0</v>
      </c>
      <c r="M22" s="27">
        <f>Лист1!AX16</f>
        <v>58.08431999999999</v>
      </c>
      <c r="N22" s="26">
        <f>Лист1!BB16</f>
        <v>1789.1286483900003</v>
      </c>
      <c r="O22" s="63">
        <f>Лист1!BD16</f>
        <v>1491.8713516099997</v>
      </c>
      <c r="P22" s="63">
        <f>Лист1!BE16</f>
        <v>279.4499999999998</v>
      </c>
      <c r="Q22" s="1"/>
      <c r="R22" s="1"/>
    </row>
    <row r="23" spans="1:18" ht="12.75" hidden="1">
      <c r="A23" s="9" t="s">
        <v>52</v>
      </c>
      <c r="B23" s="68">
        <f>Лист1!B17</f>
        <v>347</v>
      </c>
      <c r="C23" s="23">
        <f t="shared" si="0"/>
        <v>3001.55</v>
      </c>
      <c r="D23" s="24">
        <f>Лист1!D17</f>
        <v>577.73</v>
      </c>
      <c r="E23" s="12">
        <f>Лист1!S17</f>
        <v>1563.7</v>
      </c>
      <c r="F23" s="26">
        <f>Лист1!T17</f>
        <v>860.12</v>
      </c>
      <c r="G23" s="25">
        <f>Лист1!AB17</f>
        <v>1231.0300000000002</v>
      </c>
      <c r="H23" s="26">
        <f>Лист1!AC17</f>
        <v>2668.88</v>
      </c>
      <c r="I23" s="25">
        <f>Лист1!AG17</f>
        <v>208.2</v>
      </c>
      <c r="J23" s="12">
        <f>Лист1!AI17+Лист1!AJ17</f>
        <v>342.84822827999994</v>
      </c>
      <c r="K23" s="12">
        <f>Лист1!AH17+Лист1!AK17+Лист1!AL17+Лист1!AM17+Лист1!AN17+Лист1!AO17+Лист1!AP17+Лист1!AQ17+Лист1!AR17</f>
        <v>1179.8602711239998</v>
      </c>
      <c r="L23" s="27">
        <f>Лист1!AS17+Лист1!AT17+Лист1!AU17+Лист1!AZ17+Лист1!BA17</f>
        <v>0</v>
      </c>
      <c r="M23" s="27">
        <f>Лист1!AX17</f>
        <v>69.18576</v>
      </c>
      <c r="N23" s="26">
        <f>Лист1!BB17</f>
        <v>1800.0942594039993</v>
      </c>
      <c r="O23" s="63">
        <f>Лист1!BD17</f>
        <v>868.7857405960008</v>
      </c>
      <c r="P23" s="63">
        <f>Лист1!BE17</f>
        <v>-332.66999999999985</v>
      </c>
      <c r="Q23" s="1"/>
      <c r="R23" s="1"/>
    </row>
    <row r="24" spans="1:18" ht="12.75" hidden="1">
      <c r="A24" s="9" t="s">
        <v>40</v>
      </c>
      <c r="B24" s="68">
        <f>Лист1!B18</f>
        <v>347</v>
      </c>
      <c r="C24" s="23">
        <f t="shared" si="0"/>
        <v>3001.55</v>
      </c>
      <c r="D24" s="24">
        <f>Лист1!D18</f>
        <v>577.73</v>
      </c>
      <c r="E24" s="12">
        <f>Лист1!S18</f>
        <v>1563.7</v>
      </c>
      <c r="F24" s="26">
        <f>Лист1!T18</f>
        <v>860.12</v>
      </c>
      <c r="G24" s="25">
        <f>Лист1!AB18</f>
        <v>1939.5499999999997</v>
      </c>
      <c r="H24" s="26">
        <f>Лист1!AC18</f>
        <v>3377.3999999999996</v>
      </c>
      <c r="I24" s="25">
        <f>Лист1!AG18</f>
        <v>208.2</v>
      </c>
      <c r="J24" s="12">
        <f>Лист1!AI18+Лист1!AJ18</f>
        <v>346.81262</v>
      </c>
      <c r="K24" s="12">
        <f>Лист1!AH18+Лист1!AK18+Лист1!AL18+Лист1!AM18+Лист1!AN18+Лист1!AO18+Лист1!AP18+Лист1!AQ18+Лист1!AR18</f>
        <v>1190.0018</v>
      </c>
      <c r="L24" s="27">
        <f>Лист1!AS18+Лист1!AT18+Лист1!AU18+Лист1!AZ18+Лист1!BA18</f>
        <v>0</v>
      </c>
      <c r="M24" s="27">
        <f>Лист1!AX18</f>
        <v>84.252</v>
      </c>
      <c r="N24" s="26">
        <f>Лист1!BB18</f>
        <v>1829.2664200000002</v>
      </c>
      <c r="O24" s="63">
        <f>Лист1!BD18</f>
        <v>1548.1335799999995</v>
      </c>
      <c r="P24" s="63">
        <f>Лист1!BE18</f>
        <v>375.8499999999997</v>
      </c>
      <c r="Q24" s="1"/>
      <c r="R24" s="1"/>
    </row>
    <row r="25" spans="1:18" ht="12.75" hidden="1">
      <c r="A25" s="9" t="s">
        <v>41</v>
      </c>
      <c r="B25" s="68">
        <f>Лист1!B19</f>
        <v>347</v>
      </c>
      <c r="C25" s="23">
        <f t="shared" si="0"/>
        <v>3001.55</v>
      </c>
      <c r="D25" s="24">
        <f>Лист1!D19</f>
        <v>577.73</v>
      </c>
      <c r="E25" s="12">
        <f>Лист1!S19</f>
        <v>1563.7</v>
      </c>
      <c r="F25" s="26">
        <f>Лист1!T19</f>
        <v>860.12</v>
      </c>
      <c r="G25" s="25">
        <f>Лист1!AB19</f>
        <v>1230.9</v>
      </c>
      <c r="H25" s="26">
        <f>Лист1!AC19</f>
        <v>2668.75</v>
      </c>
      <c r="I25" s="25">
        <f>Лист1!AG19</f>
        <v>208.2</v>
      </c>
      <c r="J25" s="12">
        <f>Лист1!AI19+Лист1!AJ19</f>
        <v>348.041</v>
      </c>
      <c r="K25" s="12">
        <f>Лист1!AH19+Лист1!AK19+Лист1!AL19+Лист1!AM19+Лист1!AN19+Лист1!AO19+Лист1!AP19+Лист1!AQ19+Лист1!AR19</f>
        <v>1191.3204</v>
      </c>
      <c r="L25" s="27">
        <f>Лист1!AS19+Лист1!AT19+Лист1!AU19+Лист1!AZ19+Лист1!BA19</f>
        <v>0</v>
      </c>
      <c r="M25" s="27">
        <f>Лист1!AX19</f>
        <v>93.17280000000001</v>
      </c>
      <c r="N25" s="26">
        <f>Лист1!BB19</f>
        <v>1840.7342</v>
      </c>
      <c r="O25" s="63">
        <f>Лист1!BD19</f>
        <v>828.0157999999999</v>
      </c>
      <c r="P25" s="63">
        <f>Лист1!BE19</f>
        <v>-332.79999999999995</v>
      </c>
      <c r="Q25" s="1"/>
      <c r="R25" s="1"/>
    </row>
    <row r="26" spans="1:18" ht="13.5" hidden="1" thickBot="1">
      <c r="A26" s="28" t="s">
        <v>42</v>
      </c>
      <c r="B26" s="68">
        <f>Лист1!B20</f>
        <v>347</v>
      </c>
      <c r="C26" s="29">
        <f t="shared" si="0"/>
        <v>3001.55</v>
      </c>
      <c r="D26" s="24">
        <f>Лист1!D20</f>
        <v>577.73</v>
      </c>
      <c r="E26" s="12">
        <f>Лист1!S20</f>
        <v>1563.7</v>
      </c>
      <c r="F26" s="26">
        <f>Лист1!T20</f>
        <v>860.12</v>
      </c>
      <c r="G26" s="25">
        <f>Лист1!AB20</f>
        <v>1904.9299999999998</v>
      </c>
      <c r="H26" s="26">
        <f>Лист1!AC20</f>
        <v>3342.7799999999997</v>
      </c>
      <c r="I26" s="25">
        <f>Лист1!AG20</f>
        <v>208.2</v>
      </c>
      <c r="J26" s="12">
        <f>Лист1!AI20+Лист1!AJ20</f>
        <v>348.041</v>
      </c>
      <c r="K26" s="12">
        <f>Лист1!AH20+Лист1!AK20+Лист1!AL20+Лист1!AM20+Лист1!AN20+Лист1!AO20+Лист1!AP20+Лист1!AQ20+Лист1!AR20</f>
        <v>1191.3204</v>
      </c>
      <c r="L26" s="27">
        <f>Лист1!AS20+Лист1!AT20+Лист1!AU20+Лист1!AZ20+Лист1!BA20</f>
        <v>0</v>
      </c>
      <c r="M26" s="27">
        <f>Лист1!AX20</f>
        <v>101.89536</v>
      </c>
      <c r="N26" s="26">
        <f>Лист1!BB20</f>
        <v>1849.45676</v>
      </c>
      <c r="O26" s="63">
        <f>Лист1!BD20</f>
        <v>1493.3232399999997</v>
      </c>
      <c r="P26" s="63">
        <f>Лист1!BE20</f>
        <v>341.2299999999998</v>
      </c>
      <c r="Q26" s="1"/>
      <c r="R26" s="1"/>
    </row>
    <row r="27" spans="1:18" s="18" customFormat="1" ht="13.5" hidden="1" thickBot="1">
      <c r="A27" s="30" t="s">
        <v>5</v>
      </c>
      <c r="B27" s="31"/>
      <c r="C27" s="32">
        <f aca="true" t="shared" si="1" ref="C27:P27">SUM(C15:C26)</f>
        <v>36018.6</v>
      </c>
      <c r="D27" s="58">
        <f t="shared" si="1"/>
        <v>6140.984999999999</v>
      </c>
      <c r="E27" s="32">
        <f t="shared" si="1"/>
        <v>18109.210000000003</v>
      </c>
      <c r="F27" s="59">
        <f t="shared" si="1"/>
        <v>9956.180000000002</v>
      </c>
      <c r="G27" s="58">
        <f t="shared" si="1"/>
        <v>17960.479999999996</v>
      </c>
      <c r="H27" s="59">
        <f t="shared" si="1"/>
        <v>34057.645</v>
      </c>
      <c r="I27" s="58">
        <f t="shared" si="1"/>
        <v>2415.12</v>
      </c>
      <c r="J27" s="32">
        <f t="shared" si="1"/>
        <v>3983.7004948300005</v>
      </c>
      <c r="K27" s="32">
        <f t="shared" si="1"/>
        <v>13591.531964704</v>
      </c>
      <c r="L27" s="32">
        <f t="shared" si="1"/>
        <v>1569.4</v>
      </c>
      <c r="M27" s="32">
        <f t="shared" si="1"/>
        <v>872.256</v>
      </c>
      <c r="N27" s="59">
        <f t="shared" si="1"/>
        <v>22432.008459533998</v>
      </c>
      <c r="O27" s="64">
        <f t="shared" si="1"/>
        <v>11625.636540466</v>
      </c>
      <c r="P27" s="64">
        <f t="shared" si="1"/>
        <v>-148.73000000000025</v>
      </c>
      <c r="Q27" s="61"/>
      <c r="R27" s="61"/>
    </row>
    <row r="28" spans="1:18" ht="13.5" thickBot="1">
      <c r="A28" s="245" t="s">
        <v>91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65"/>
      <c r="Q28" s="1"/>
      <c r="R28" s="1"/>
    </row>
    <row r="29" spans="1:18" s="18" customFormat="1" ht="13.5" thickBot="1">
      <c r="A29" s="66" t="s">
        <v>53</v>
      </c>
      <c r="B29" s="33"/>
      <c r="C29" s="34">
        <f>'2011 полн.'!C9</f>
        <v>72037.2</v>
      </c>
      <c r="D29" s="34">
        <f>'2011 полн.'!D9</f>
        <v>12971.224999999997</v>
      </c>
      <c r="E29" s="34">
        <f>'2011 полн.'!U9</f>
        <v>42136.850000000006</v>
      </c>
      <c r="F29" s="34">
        <f>'2011 полн.'!V9</f>
        <v>15116.900000000001</v>
      </c>
      <c r="G29" s="34">
        <f>'2011 полн.'!AF9</f>
        <v>40944.06</v>
      </c>
      <c r="H29" s="34">
        <f>'2011 полн.'!AG9</f>
        <v>69032.185</v>
      </c>
      <c r="I29" s="34">
        <f>'2011 полн.'!AK9</f>
        <v>4913.5199999999995</v>
      </c>
      <c r="J29" s="34">
        <f>'2011 полн.'!AL9</f>
        <v>1641.3666239999998</v>
      </c>
      <c r="K29" s="34">
        <f>'2011 полн.'!AM9+'2011 полн.'!AN9+'2011 полн.'!AO9+'2011 полн.'!AP9+'2011 полн.'!AQ9+'2011 полн.'!AS9+1821.2</f>
        <v>36201.585835534</v>
      </c>
      <c r="L29" s="34">
        <f>'2011 полн.'!AU9+'2011 полн.'!AV9+'2011 полн.'!AW9+'2011 полн.'!AX9</f>
        <v>2577.2</v>
      </c>
      <c r="M29" s="34">
        <v>0</v>
      </c>
      <c r="N29" s="34">
        <f>I29+J29+K29+L29</f>
        <v>45333.672459534</v>
      </c>
      <c r="O29" s="34">
        <f>H29-N29</f>
        <v>23698.512540466</v>
      </c>
      <c r="P29" s="34">
        <f>'2011 полн.'!BG9</f>
        <v>-1192.7900000000081</v>
      </c>
      <c r="Q29" s="62"/>
      <c r="R29" s="61"/>
    </row>
    <row r="30" spans="1:18" ht="12.75">
      <c r="A30" s="6" t="s">
        <v>89</v>
      </c>
      <c r="B30" s="35"/>
      <c r="C30" s="36"/>
      <c r="D30" s="37"/>
      <c r="E30" s="38"/>
      <c r="F30" s="40"/>
      <c r="G30" s="39"/>
      <c r="H30" s="40"/>
      <c r="I30" s="39"/>
      <c r="J30" s="12"/>
      <c r="K30" s="12"/>
      <c r="L30" s="27"/>
      <c r="M30" s="60"/>
      <c r="N30" s="26"/>
      <c r="O30" s="63"/>
      <c r="P30" s="63"/>
      <c r="Q30" s="1"/>
      <c r="R30" s="1"/>
    </row>
    <row r="31" spans="1:18" ht="12.75">
      <c r="A31" s="9" t="s">
        <v>44</v>
      </c>
      <c r="B31" s="68">
        <f>'2011 полн.'!B11</f>
        <v>347</v>
      </c>
      <c r="C31" s="23">
        <f>'2011 полн.'!C11</f>
        <v>2700.354</v>
      </c>
      <c r="D31" s="24">
        <f>'2011 полн.'!D11</f>
        <v>0</v>
      </c>
      <c r="E31" s="12">
        <f>'2011 полн.'!U11</f>
        <v>2834.02</v>
      </c>
      <c r="F31" s="26">
        <f>'2011 полн.'!V11</f>
        <v>0</v>
      </c>
      <c r="G31" s="25">
        <f>'2011 полн.'!AF11</f>
        <v>1831.52</v>
      </c>
      <c r="H31" s="26">
        <f>'2011 полн.'!AG11</f>
        <v>1831.52</v>
      </c>
      <c r="I31" s="25">
        <f>'2011 полн.'!AK11</f>
        <v>232.49</v>
      </c>
      <c r="J31" s="12">
        <f>'2011 полн.'!AL11</f>
        <v>69.4</v>
      </c>
      <c r="K31" s="12">
        <f>'2011 полн.'!AM11+'2011 полн.'!AN11+'2011 полн.'!AO11+'2011 полн.'!AP11+'2011 полн.'!AQ11+'2011 полн.'!AR11+'2011 полн.'!AS11+'2011 полн.'!AT11+'2011 полн.'!AX11</f>
        <v>1297.78</v>
      </c>
      <c r="L31" s="27">
        <f>'2011 полн.'!AU11+'2011 полн.'!AV11+'2011 полн.'!AW11</f>
        <v>0</v>
      </c>
      <c r="M31" s="27">
        <f>'2011 полн.'!BA11</f>
        <v>0</v>
      </c>
      <c r="N31" s="26">
        <f>I31+J31+K31+L31</f>
        <v>1599.67</v>
      </c>
      <c r="O31" s="63">
        <f>H31-N31</f>
        <v>231.8499999999999</v>
      </c>
      <c r="P31" s="63">
        <f>'2011 полн.'!BG11</f>
        <v>-1002.5</v>
      </c>
      <c r="Q31" s="1"/>
      <c r="R31" s="1"/>
    </row>
    <row r="32" spans="1:18" ht="12.75">
      <c r="A32" s="9" t="s">
        <v>45</v>
      </c>
      <c r="B32" s="68">
        <f>'2011 полн.'!B12</f>
        <v>347</v>
      </c>
      <c r="C32" s="23">
        <f>'2011 полн.'!C12</f>
        <v>2700.354</v>
      </c>
      <c r="D32" s="24">
        <f>'2011 полн.'!D12</f>
        <v>0</v>
      </c>
      <c r="E32" s="12">
        <f>'2011 полн.'!U12</f>
        <v>2833.9999999999995</v>
      </c>
      <c r="F32" s="26">
        <f>'2011 полн.'!V12</f>
        <v>0</v>
      </c>
      <c r="G32" s="25">
        <f>'2011 полн.'!AF12</f>
        <v>3438.89</v>
      </c>
      <c r="H32" s="26">
        <f>'2011 полн.'!AG12</f>
        <v>3438.89</v>
      </c>
      <c r="I32" s="25">
        <f>'2011 полн.'!AK12</f>
        <v>232.49</v>
      </c>
      <c r="J32" s="12">
        <f>'2011 полн.'!AL12</f>
        <v>69.4</v>
      </c>
      <c r="K32" s="12">
        <f>'2011 полн.'!AM12+'2011 полн.'!AN12+'2011 полн.'!AO12+'2011 полн.'!AP12+'2011 полн.'!AQ12+'2011 полн.'!AR12+'2011 полн.'!AS12+'2011 полн.'!AT12+'2011 полн.'!AX12</f>
        <v>1377.78</v>
      </c>
      <c r="L32" s="27">
        <f>'2011 полн.'!AU12+'2011 полн.'!AV12+'2011 полн.'!AW12</f>
        <v>0</v>
      </c>
      <c r="M32" s="27">
        <f>'2011 полн.'!BA12</f>
        <v>0</v>
      </c>
      <c r="N32" s="26">
        <f aca="true" t="shared" si="2" ref="N32:N42">I32+J32+K32+L32</f>
        <v>1679.67</v>
      </c>
      <c r="O32" s="63">
        <f aca="true" t="shared" si="3" ref="O32:O42">H32-N32</f>
        <v>1759.2199999999998</v>
      </c>
      <c r="P32" s="63">
        <f>'2011 полн.'!BG12</f>
        <v>604.8900000000003</v>
      </c>
      <c r="Q32" s="1"/>
      <c r="R32" s="1"/>
    </row>
    <row r="33" spans="1:18" ht="12.75">
      <c r="A33" s="9" t="s">
        <v>46</v>
      </c>
      <c r="B33" s="68">
        <f>'2011 полн.'!B13</f>
        <v>347</v>
      </c>
      <c r="C33" s="23">
        <f>'2011 полн.'!C13</f>
        <v>2700.354</v>
      </c>
      <c r="D33" s="24">
        <f>'2011 полн.'!D13</f>
        <v>0</v>
      </c>
      <c r="E33" s="12">
        <f>'2011 полн.'!U13</f>
        <v>2814.94</v>
      </c>
      <c r="F33" s="26">
        <f>'2011 полн.'!V13</f>
        <v>0</v>
      </c>
      <c r="G33" s="25">
        <f>'2011 полн.'!AF13</f>
        <v>2841.3100000000004</v>
      </c>
      <c r="H33" s="26">
        <f>'2011 полн.'!AG13</f>
        <v>2841.3100000000004</v>
      </c>
      <c r="I33" s="25">
        <f>'2011 полн.'!AK13</f>
        <v>232.49</v>
      </c>
      <c r="J33" s="12">
        <f>'2011 полн.'!AL13</f>
        <v>69.4</v>
      </c>
      <c r="K33" s="12">
        <f>'2011 полн.'!AM13+'2011 полн.'!AN13+'2011 полн.'!AO13+'2011 полн.'!AP13+'2011 полн.'!AQ13+'2011 полн.'!AR13+'2011 полн.'!AS13+'2011 полн.'!AT13+'2011 полн.'!AX13</f>
        <v>1297.78</v>
      </c>
      <c r="L33" s="27">
        <f>'2011 полн.'!AU13+'2011 полн.'!AV13+'2011 полн.'!AW13</f>
        <v>0</v>
      </c>
      <c r="M33" s="27">
        <f>'2011 полн.'!BA13</f>
        <v>0</v>
      </c>
      <c r="N33" s="26">
        <f t="shared" si="2"/>
        <v>1599.67</v>
      </c>
      <c r="O33" s="63">
        <f t="shared" si="3"/>
        <v>1241.6400000000003</v>
      </c>
      <c r="P33" s="63">
        <f>'2011 полн.'!BG13</f>
        <v>26.370000000000346</v>
      </c>
      <c r="Q33" s="1"/>
      <c r="R33" s="1"/>
    </row>
    <row r="34" spans="1:18" ht="12.75">
      <c r="A34" s="9" t="s">
        <v>47</v>
      </c>
      <c r="B34" s="68">
        <f>'2011 полн.'!B14</f>
        <v>347</v>
      </c>
      <c r="C34" s="23">
        <f>'2011 полн.'!C14</f>
        <v>2700.354</v>
      </c>
      <c r="D34" s="24">
        <f>'2011 полн.'!D14</f>
        <v>0</v>
      </c>
      <c r="E34" s="12">
        <f>'2011 полн.'!U14</f>
        <v>2833.9999999999995</v>
      </c>
      <c r="F34" s="26">
        <f>'2011 полн.'!V14</f>
        <v>0</v>
      </c>
      <c r="G34" s="25">
        <f>'2011 полн.'!AF14</f>
        <v>2823.6600000000003</v>
      </c>
      <c r="H34" s="26">
        <f>'2011 полн.'!AG14</f>
        <v>2823.6600000000003</v>
      </c>
      <c r="I34" s="25">
        <f>'2011 полн.'!AK14</f>
        <v>232.49</v>
      </c>
      <c r="J34" s="12">
        <f>'2011 полн.'!AL14</f>
        <v>69.4</v>
      </c>
      <c r="K34" s="12">
        <f>'2011 полн.'!AM14+'2011 полн.'!AN14+'2011 полн.'!AO14+'2011 полн.'!AP14+'2011 полн.'!AQ14+'2011 полн.'!AR14+'2011 полн.'!AS14+'2011 полн.'!AT14+'2011 полн.'!AX14</f>
        <v>1297.78</v>
      </c>
      <c r="L34" s="27">
        <f>'2011 полн.'!AU14+'2011 полн.'!AV14+'2011 полн.'!AW14</f>
        <v>151</v>
      </c>
      <c r="M34" s="27">
        <f>'2011 полн.'!BA14</f>
        <v>0</v>
      </c>
      <c r="N34" s="26">
        <f t="shared" si="2"/>
        <v>1750.67</v>
      </c>
      <c r="O34" s="63">
        <f t="shared" si="3"/>
        <v>1072.9900000000002</v>
      </c>
      <c r="P34" s="63">
        <f>'2011 полн.'!BG14</f>
        <v>-10.339999999999236</v>
      </c>
      <c r="Q34" s="1"/>
      <c r="R34" s="1"/>
    </row>
    <row r="35" spans="1:18" ht="12.75">
      <c r="A35" s="9" t="s">
        <v>48</v>
      </c>
      <c r="B35" s="68">
        <f>'2011 полн.'!B15</f>
        <v>347</v>
      </c>
      <c r="C35" s="23">
        <f>'2011 полн.'!C15</f>
        <v>2700.354</v>
      </c>
      <c r="D35" s="24">
        <f>'2011 полн.'!D15</f>
        <v>0</v>
      </c>
      <c r="E35" s="12">
        <f>'2011 полн.'!U15</f>
        <v>2834.0099999999998</v>
      </c>
      <c r="F35" s="26">
        <f>'2011 полн.'!V15</f>
        <v>0</v>
      </c>
      <c r="G35" s="25">
        <f>'2011 полн.'!AF15</f>
        <v>2833.9300000000003</v>
      </c>
      <c r="H35" s="26">
        <f>'2011 полн.'!AG15</f>
        <v>2833.9300000000003</v>
      </c>
      <c r="I35" s="25">
        <f>'2011 полн.'!AK15</f>
        <v>232.49</v>
      </c>
      <c r="J35" s="12">
        <f>'2011 полн.'!AL15</f>
        <v>69.4</v>
      </c>
      <c r="K35" s="12">
        <f>'2011 полн.'!AM15+'2011 полн.'!AN15+'2011 полн.'!AO15+'2011 полн.'!AP15+'2011 полн.'!AQ15+'2011 полн.'!AR15+'2011 полн.'!AS15+'2011 полн.'!AT15+'2011 полн.'!AX15</f>
        <v>1307.78</v>
      </c>
      <c r="L35" s="27">
        <f>'2011 полн.'!AU15+'2011 полн.'!AV15+'2011 полн.'!AW15</f>
        <v>0</v>
      </c>
      <c r="M35" s="27">
        <f>'2011 полн.'!BA15</f>
        <v>0</v>
      </c>
      <c r="N35" s="26">
        <f t="shared" si="2"/>
        <v>1609.67</v>
      </c>
      <c r="O35" s="63">
        <f t="shared" si="3"/>
        <v>1224.2600000000002</v>
      </c>
      <c r="P35" s="63">
        <f>'2011 полн.'!BG15</f>
        <v>-0.0799999999994725</v>
      </c>
      <c r="Q35" s="1"/>
      <c r="R35" s="1"/>
    </row>
    <row r="36" spans="1:18" ht="12.75">
      <c r="A36" s="9" t="s">
        <v>49</v>
      </c>
      <c r="B36" s="68">
        <f>'2011 полн.'!B16</f>
        <v>347</v>
      </c>
      <c r="C36" s="23">
        <f>'2011 полн.'!C16</f>
        <v>2700.354</v>
      </c>
      <c r="D36" s="24">
        <f>'2011 полн.'!D16</f>
        <v>0</v>
      </c>
      <c r="E36" s="12">
        <f>'2011 полн.'!U16</f>
        <v>2834.0099999999998</v>
      </c>
      <c r="F36" s="26">
        <f>'2011 полн.'!V16</f>
        <v>0</v>
      </c>
      <c r="G36" s="25">
        <f>'2011 полн.'!AF16</f>
        <v>2831.9700000000003</v>
      </c>
      <c r="H36" s="26">
        <f>'2011 полн.'!AG16</f>
        <v>2831.9700000000003</v>
      </c>
      <c r="I36" s="25">
        <f>'2011 полн.'!AK16</f>
        <v>232.49</v>
      </c>
      <c r="J36" s="12">
        <f>'2011 полн.'!AL16</f>
        <v>69.4</v>
      </c>
      <c r="K36" s="12">
        <f>'2011 полн.'!AM16+'2011 полн.'!AN16+'2011 полн.'!AO16+'2011 полн.'!AP16+'2011 полн.'!AQ16+'2011 полн.'!AR16+'2011 полн.'!AS16+'2011 полн.'!AT16+'2011 полн.'!AX16</f>
        <v>1297.78</v>
      </c>
      <c r="L36" s="27">
        <f>'2011 полн.'!AU16+'2011 полн.'!AV16+'2011 полн.'!AW16</f>
        <v>0</v>
      </c>
      <c r="M36" s="27">
        <f>'2011 полн.'!BA16</f>
        <v>0</v>
      </c>
      <c r="N36" s="26">
        <f t="shared" si="2"/>
        <v>1599.67</v>
      </c>
      <c r="O36" s="63">
        <f t="shared" si="3"/>
        <v>1232.3000000000002</v>
      </c>
      <c r="P36" s="63">
        <f>'2011 полн.'!BG16</f>
        <v>-2.039999999999509</v>
      </c>
      <c r="Q36" s="1"/>
      <c r="R36" s="1"/>
    </row>
    <row r="37" spans="1:18" ht="12.75">
      <c r="A37" s="9" t="s">
        <v>50</v>
      </c>
      <c r="B37" s="68">
        <f>'2011 полн.'!B17</f>
        <v>347</v>
      </c>
      <c r="C37" s="23">
        <f>'2011 полн.'!C17</f>
        <v>2700.354</v>
      </c>
      <c r="D37" s="24">
        <f>'2011 полн.'!D17</f>
        <v>0</v>
      </c>
      <c r="E37" s="12">
        <f>'2011 полн.'!U17</f>
        <v>2834.0099999999998</v>
      </c>
      <c r="F37" s="26">
        <f>'2011 полн.'!V17</f>
        <v>0</v>
      </c>
      <c r="G37" s="25">
        <f>'2011 полн.'!AF17</f>
        <v>2831.06</v>
      </c>
      <c r="H37" s="26">
        <f>'2011 полн.'!AG17</f>
        <v>2831.06</v>
      </c>
      <c r="I37" s="25">
        <f>'2011 полн.'!AK17</f>
        <v>232.49</v>
      </c>
      <c r="J37" s="12">
        <f>'2011 полн.'!AL17</f>
        <v>69.4</v>
      </c>
      <c r="K37" s="12">
        <f>'2011 полн.'!AM17+'2011 полн.'!AN17+'2011 полн.'!AO17+'2011 полн.'!AP17+'2011 полн.'!AQ17+'2011 полн.'!AR17+'2011 полн.'!AS17+'2011 полн.'!AT17+'2011 полн.'!AX17</f>
        <v>1297.78</v>
      </c>
      <c r="L37" s="27">
        <f>'2011 полн.'!AU17+'2011 полн.'!AV17+'2011 полн.'!AW17</f>
        <v>0</v>
      </c>
      <c r="M37" s="27">
        <v>0</v>
      </c>
      <c r="N37" s="26">
        <f t="shared" si="2"/>
        <v>1599.67</v>
      </c>
      <c r="O37" s="63">
        <f t="shared" si="3"/>
        <v>1231.3899999999999</v>
      </c>
      <c r="P37" s="63">
        <f>'2011 полн.'!BG17</f>
        <v>-2.949999999999818</v>
      </c>
      <c r="Q37" s="1"/>
      <c r="R37" s="1"/>
    </row>
    <row r="38" spans="1:18" ht="12.75">
      <c r="A38" s="9" t="s">
        <v>51</v>
      </c>
      <c r="B38" s="68">
        <f>'2011 полн.'!B18</f>
        <v>347</v>
      </c>
      <c r="C38" s="23">
        <f>'2011 полн.'!C18</f>
        <v>2700.354</v>
      </c>
      <c r="D38" s="24">
        <f>'2011 полн.'!D18</f>
        <v>0</v>
      </c>
      <c r="E38" s="12">
        <f>'2011 полн.'!U18</f>
        <v>2834.0099999999998</v>
      </c>
      <c r="F38" s="26">
        <f>'2011 полн.'!V18</f>
        <v>0</v>
      </c>
      <c r="G38" s="25">
        <f>'2011 полн.'!AF18</f>
        <v>2131.93</v>
      </c>
      <c r="H38" s="26">
        <f>'2011 полн.'!AG18</f>
        <v>2131.93</v>
      </c>
      <c r="I38" s="25">
        <f>'2011 полн.'!AK18</f>
        <v>232.49</v>
      </c>
      <c r="J38" s="12">
        <f>'2011 полн.'!AL18</f>
        <v>69.4</v>
      </c>
      <c r="K38" s="12">
        <f>'2011 полн.'!AM18+'2011 полн.'!AN18+'2011 полн.'!AO18+'2011 полн.'!AP18+'2011 полн.'!AQ18+'2011 полн.'!AR18+'2011 полн.'!AS18+'2011 полн.'!AT18+'2011 полн.'!AX18</f>
        <v>1297.78</v>
      </c>
      <c r="L38" s="27">
        <f>'2011 полн.'!AU18+'2011 полн.'!AV18+'2011 полн.'!AW18</f>
        <v>0</v>
      </c>
      <c r="M38" s="27">
        <f>'2011 полн.'!BA18</f>
        <v>0</v>
      </c>
      <c r="N38" s="26">
        <f t="shared" si="2"/>
        <v>1599.67</v>
      </c>
      <c r="O38" s="63">
        <f t="shared" si="3"/>
        <v>532.2599999999998</v>
      </c>
      <c r="P38" s="63">
        <f>'2011 полн.'!BG18</f>
        <v>-702.0799999999999</v>
      </c>
      <c r="Q38" s="1"/>
      <c r="R38" s="1"/>
    </row>
    <row r="39" spans="1:18" ht="12.75">
      <c r="A39" s="9" t="s">
        <v>52</v>
      </c>
      <c r="B39" s="68">
        <f>'2011 полн.'!B19</f>
        <v>347</v>
      </c>
      <c r="C39" s="23">
        <f>'2011 полн.'!C19</f>
        <v>2700.354</v>
      </c>
      <c r="D39" s="24">
        <f>'2011 полн.'!D19</f>
        <v>0</v>
      </c>
      <c r="E39" s="12">
        <f>'2011 полн.'!U19</f>
        <v>3017.1</v>
      </c>
      <c r="F39" s="26">
        <f>'2011 полн.'!V19</f>
        <v>0</v>
      </c>
      <c r="G39" s="25">
        <f>'2011 полн.'!AF19</f>
        <v>3247.37</v>
      </c>
      <c r="H39" s="26">
        <f>'2011 полн.'!AG19</f>
        <v>3247.37</v>
      </c>
      <c r="I39" s="25">
        <f>'2011 полн.'!AK19</f>
        <v>232.49</v>
      </c>
      <c r="J39" s="12">
        <f>'2011 полн.'!AL19</f>
        <v>69.4</v>
      </c>
      <c r="K39" s="12">
        <f>'2011 полн.'!AM19+'2011 полн.'!AN19+'2011 полн.'!AO19+'2011 полн.'!AP19+'2011 полн.'!AQ19+'2011 полн.'!AR19+'2011 полн.'!AS19+'2011 полн.'!AT19+'2011 полн.'!AX19</f>
        <v>1297.78</v>
      </c>
      <c r="L39" s="27">
        <f>'2011 полн.'!AU19+'2011 полн.'!AV19+'2011 полн.'!AW19</f>
        <v>0</v>
      </c>
      <c r="M39" s="27">
        <f>'2011 полн.'!BA19</f>
        <v>0</v>
      </c>
      <c r="N39" s="26">
        <f t="shared" si="2"/>
        <v>1599.67</v>
      </c>
      <c r="O39" s="63">
        <f t="shared" si="3"/>
        <v>1647.6999999999998</v>
      </c>
      <c r="P39" s="63">
        <f>'2011 полн.'!BG19</f>
        <v>230.26999999999998</v>
      </c>
      <c r="Q39" s="1"/>
      <c r="R39" s="1"/>
    </row>
    <row r="40" spans="1:18" ht="12.75">
      <c r="A40" s="9" t="s">
        <v>40</v>
      </c>
      <c r="B40" s="68">
        <f>'2011 полн.'!B20</f>
        <v>347</v>
      </c>
      <c r="C40" s="23">
        <f>'2011 полн.'!C20</f>
        <v>2966.85</v>
      </c>
      <c r="D40" s="24">
        <f>'2011 полн.'!D20</f>
        <v>0</v>
      </c>
      <c r="E40" s="12">
        <f>'2011 полн.'!U20</f>
        <v>3017.1</v>
      </c>
      <c r="F40" s="26">
        <f>'2011 полн.'!V20</f>
        <v>0</v>
      </c>
      <c r="G40" s="25">
        <f>'2011 полн.'!AF20</f>
        <v>3164.52</v>
      </c>
      <c r="H40" s="26">
        <f>'2011 полн.'!AG20</f>
        <v>3164.52</v>
      </c>
      <c r="I40" s="25">
        <f>'2011 полн.'!AK20</f>
        <v>232.49</v>
      </c>
      <c r="J40" s="12">
        <f>'2011 полн.'!AL20</f>
        <v>69.4</v>
      </c>
      <c r="K40" s="12">
        <f>'2011 полн.'!AM20+'2011 полн.'!AN20+'2011 полн.'!AO20+'2011 полн.'!AP20+'2011 полн.'!AQ20+'2011 полн.'!AR20+'2011 полн.'!AS20+'2011 полн.'!AT20+'2011 полн.'!AX20</f>
        <v>1297.78</v>
      </c>
      <c r="L40" s="27">
        <f>'2011 полн.'!AU20+'2011 полн.'!AV20+'2011 полн.'!AW20</f>
        <v>0</v>
      </c>
      <c r="M40" s="27">
        <f>'2011 полн.'!BA20</f>
        <v>0</v>
      </c>
      <c r="N40" s="26">
        <f t="shared" si="2"/>
        <v>1599.67</v>
      </c>
      <c r="O40" s="63">
        <f t="shared" si="3"/>
        <v>1564.85</v>
      </c>
      <c r="P40" s="63">
        <f>'2011 полн.'!BG20</f>
        <v>147.42000000000007</v>
      </c>
      <c r="Q40" s="1"/>
      <c r="R40" s="1"/>
    </row>
    <row r="41" spans="1:18" ht="12.75">
      <c r="A41" s="9" t="s">
        <v>41</v>
      </c>
      <c r="B41" s="68">
        <f>'2011 полн.'!B21</f>
        <v>347</v>
      </c>
      <c r="C41" s="23">
        <f>'2011 полн.'!C21</f>
        <v>2966.85</v>
      </c>
      <c r="D41" s="24">
        <f>'2011 полн.'!D21</f>
        <v>0</v>
      </c>
      <c r="E41" s="12">
        <f>'2011 полн.'!U21</f>
        <v>3017.08</v>
      </c>
      <c r="F41" s="26">
        <f>'2011 полн.'!V21</f>
        <v>0</v>
      </c>
      <c r="G41" s="25">
        <f>'2011 полн.'!AF21</f>
        <v>3019.21</v>
      </c>
      <c r="H41" s="26">
        <f>'2011 полн.'!AG21</f>
        <v>3019.21</v>
      </c>
      <c r="I41" s="25">
        <f>'2011 полн.'!AK21</f>
        <v>232.49</v>
      </c>
      <c r="J41" s="12">
        <f>'2011 полн.'!AL21</f>
        <v>69.4</v>
      </c>
      <c r="K41" s="12">
        <f>'2011 полн.'!AM21+'2011 полн.'!AN21+'2011 полн.'!AO21+'2011 полн.'!AP21+'2011 полн.'!AQ21+'2011 полн.'!AR21+'2011 полн.'!AS21+'2011 полн.'!AT21+'2011 полн.'!AX21</f>
        <v>1297.78</v>
      </c>
      <c r="L41" s="27">
        <f>'2011 полн.'!AU21+'2011 полн.'!AV21+'2011 полн.'!AW21</f>
        <v>0</v>
      </c>
      <c r="M41" s="27">
        <f>'2011 полн.'!BA21</f>
        <v>0</v>
      </c>
      <c r="N41" s="26">
        <f t="shared" si="2"/>
        <v>1599.67</v>
      </c>
      <c r="O41" s="63">
        <f t="shared" si="3"/>
        <v>1419.54</v>
      </c>
      <c r="P41" s="63">
        <f>'2011 полн.'!BG21</f>
        <v>2.130000000000109</v>
      </c>
      <c r="Q41" s="1"/>
      <c r="R41" s="1"/>
    </row>
    <row r="42" spans="1:18" ht="13.5" thickBot="1">
      <c r="A42" s="9" t="s">
        <v>42</v>
      </c>
      <c r="B42" s="68">
        <f>'2011 полн.'!B22</f>
        <v>347</v>
      </c>
      <c r="C42" s="23">
        <f>'2011 полн.'!C22</f>
        <v>2966.85</v>
      </c>
      <c r="D42" s="24">
        <f>'2011 полн.'!D22</f>
        <v>0</v>
      </c>
      <c r="E42" s="12">
        <f>'2011 полн.'!U22</f>
        <v>3017.1</v>
      </c>
      <c r="F42" s="26">
        <f>'2011 полн.'!V22</f>
        <v>0</v>
      </c>
      <c r="G42" s="25">
        <f>'2011 полн.'!AF22</f>
        <v>3017.23</v>
      </c>
      <c r="H42" s="26">
        <f>'2011 полн.'!AG22</f>
        <v>3017.23</v>
      </c>
      <c r="I42" s="25">
        <f>'2011 полн.'!AK22</f>
        <v>232.49</v>
      </c>
      <c r="J42" s="12">
        <f>'2011 полн.'!AL22</f>
        <v>69.4</v>
      </c>
      <c r="K42" s="12">
        <f>'2011 полн.'!AM22+'2011 полн.'!AN22+'2011 полн.'!AO22+'2011 полн.'!AP22+'2011 полн.'!AQ22+'2011 полн.'!AR22+'2011 полн.'!AS22+'2011 полн.'!AT22+'2011 полн.'!AX22</f>
        <v>1297.78</v>
      </c>
      <c r="L42" s="27">
        <f>'2011 полн.'!AU22+'2011 полн.'!AV22+'2011 полн.'!AW22</f>
        <v>0</v>
      </c>
      <c r="M42" s="27">
        <f>'2011 полн.'!BA22</f>
        <v>0</v>
      </c>
      <c r="N42" s="26">
        <f t="shared" si="2"/>
        <v>1599.67</v>
      </c>
      <c r="O42" s="63">
        <f t="shared" si="3"/>
        <v>1417.56</v>
      </c>
      <c r="P42" s="63">
        <f>'2011 полн.'!BG22</f>
        <v>0.13000000000010914</v>
      </c>
      <c r="Q42" s="1"/>
      <c r="R42" s="1"/>
    </row>
    <row r="43" spans="1:18" s="18" customFormat="1" ht="13.5" thickBot="1">
      <c r="A43" s="30" t="s">
        <v>5</v>
      </c>
      <c r="B43" s="31"/>
      <c r="C43" s="64">
        <f aca="true" t="shared" si="4" ref="C43:O43">SUM(C31:C42)</f>
        <v>33203.736</v>
      </c>
      <c r="D43" s="64">
        <f t="shared" si="4"/>
        <v>0</v>
      </c>
      <c r="E43" s="64">
        <f t="shared" si="4"/>
        <v>34721.37999999999</v>
      </c>
      <c r="F43" s="64">
        <f t="shared" si="4"/>
        <v>0</v>
      </c>
      <c r="G43" s="64">
        <f t="shared" si="4"/>
        <v>34012.600000000006</v>
      </c>
      <c r="H43" s="64">
        <f t="shared" si="4"/>
        <v>34012.600000000006</v>
      </c>
      <c r="I43" s="64">
        <f t="shared" si="4"/>
        <v>2789.879999999999</v>
      </c>
      <c r="J43" s="64">
        <f t="shared" si="4"/>
        <v>832.7999999999998</v>
      </c>
      <c r="K43" s="64">
        <f t="shared" si="4"/>
        <v>15663.360000000002</v>
      </c>
      <c r="L43" s="64">
        <f t="shared" si="4"/>
        <v>151</v>
      </c>
      <c r="M43" s="64">
        <v>0</v>
      </c>
      <c r="N43" s="64">
        <f>I43+J43+K43+L43</f>
        <v>19437.04</v>
      </c>
      <c r="O43" s="64">
        <f>H43-N43</f>
        <v>14575.560000000005</v>
      </c>
      <c r="P43" s="64">
        <f>SUM(P31:P42)</f>
        <v>-708.779999999997</v>
      </c>
      <c r="Q43" s="61"/>
      <c r="R43" s="61"/>
    </row>
    <row r="44" spans="1:18" ht="13.5" thickBot="1">
      <c r="A44" s="245" t="s">
        <v>69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65"/>
      <c r="Q44" s="1"/>
      <c r="R44" s="1"/>
    </row>
    <row r="45" spans="1:18" s="18" customFormat="1" ht="13.5" thickBot="1">
      <c r="A45" s="66" t="s">
        <v>53</v>
      </c>
      <c r="B45" s="33"/>
      <c r="C45" s="34">
        <f aca="true" t="shared" si="5" ref="C45:P45">C43+C29</f>
        <v>105240.93599999999</v>
      </c>
      <c r="D45" s="34">
        <f t="shared" si="5"/>
        <v>12971.224999999997</v>
      </c>
      <c r="E45" s="34">
        <f t="shared" si="5"/>
        <v>76858.23</v>
      </c>
      <c r="F45" s="34">
        <f t="shared" si="5"/>
        <v>15116.900000000001</v>
      </c>
      <c r="G45" s="34">
        <f t="shared" si="5"/>
        <v>74956.66</v>
      </c>
      <c r="H45" s="34">
        <f t="shared" si="5"/>
        <v>103044.785</v>
      </c>
      <c r="I45" s="34">
        <f t="shared" si="5"/>
        <v>7703.399999999999</v>
      </c>
      <c r="J45" s="34">
        <f t="shared" si="5"/>
        <v>2474.1666239999995</v>
      </c>
      <c r="K45" s="34">
        <f t="shared" si="5"/>
        <v>51864.945835534</v>
      </c>
      <c r="L45" s="34">
        <f t="shared" si="5"/>
        <v>2728.2</v>
      </c>
      <c r="M45" s="34">
        <f t="shared" si="5"/>
        <v>0</v>
      </c>
      <c r="N45" s="34">
        <f t="shared" si="5"/>
        <v>64770.712459534</v>
      </c>
      <c r="O45" s="34">
        <f>O43+O29</f>
        <v>38274.072540466004</v>
      </c>
      <c r="P45" s="34">
        <f t="shared" si="5"/>
        <v>-1901.5700000000052</v>
      </c>
      <c r="Q45" s="62"/>
      <c r="R45" s="61"/>
    </row>
    <row r="47" spans="1:18" ht="12.75">
      <c r="A47" s="18" t="s">
        <v>86</v>
      </c>
      <c r="D47" s="69" t="s">
        <v>115</v>
      </c>
      <c r="Q47" s="1"/>
      <c r="R47" s="1"/>
    </row>
    <row r="48" spans="1:18" ht="12.75">
      <c r="A48" s="19" t="s">
        <v>70</v>
      </c>
      <c r="B48" s="19" t="s">
        <v>71</v>
      </c>
      <c r="C48" s="321" t="s">
        <v>72</v>
      </c>
      <c r="D48" s="321"/>
      <c r="Q48" s="1"/>
      <c r="R48" s="1"/>
    </row>
    <row r="49" spans="1:18" ht="12.75">
      <c r="A49" s="163">
        <v>28778.74</v>
      </c>
      <c r="B49" s="110">
        <v>0</v>
      </c>
      <c r="C49" s="319">
        <f>A49-B49</f>
        <v>28778.74</v>
      </c>
      <c r="D49" s="320"/>
      <c r="Q49" s="1"/>
      <c r="R49" s="1"/>
    </row>
    <row r="50" spans="1:18" ht="12.75">
      <c r="A50" s="41"/>
      <c r="Q50" s="1"/>
      <c r="R50" s="1"/>
    </row>
    <row r="51" spans="1:18" ht="12.75">
      <c r="A51" s="2" t="s">
        <v>75</v>
      </c>
      <c r="G51" s="2" t="s">
        <v>76</v>
      </c>
      <c r="Q51" s="1"/>
      <c r="R51" s="1"/>
    </row>
    <row r="52" ht="12.75">
      <c r="A52" s="1"/>
    </row>
    <row r="53" ht="12.75">
      <c r="A53" s="69" t="s">
        <v>117</v>
      </c>
    </row>
    <row r="54" ht="12.75">
      <c r="A54" s="2" t="s">
        <v>77</v>
      </c>
    </row>
  </sheetData>
  <sheetProtection/>
  <mergeCells count="27">
    <mergeCell ref="C49:D49"/>
    <mergeCell ref="N11:N12"/>
    <mergeCell ref="A28:O28"/>
    <mergeCell ref="C48:D48"/>
    <mergeCell ref="O9:O12"/>
    <mergeCell ref="A9:A12"/>
    <mergeCell ref="B9:B12"/>
    <mergeCell ref="C9:C12"/>
    <mergeCell ref="D9:D12"/>
    <mergeCell ref="I9:N10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44:O44"/>
    <mergeCell ref="B1:H1"/>
    <mergeCell ref="B2:H2"/>
    <mergeCell ref="A8:D8"/>
    <mergeCell ref="E8:F8"/>
    <mergeCell ref="A5:O5"/>
    <mergeCell ref="A6:G6"/>
  </mergeCells>
  <printOptions/>
  <pageMargins left="0.25" right="0.17" top="0.25" bottom="0.22" header="0.3" footer="0.3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2011-07-28T09:45:22Z</cp:lastPrinted>
  <dcterms:created xsi:type="dcterms:W3CDTF">2010-04-02T05:03:24Z</dcterms:created>
  <dcterms:modified xsi:type="dcterms:W3CDTF">2012-03-26T02:55:32Z</dcterms:modified>
  <cp:category/>
  <cp:version/>
  <cp:contentType/>
  <cp:contentStatus/>
</cp:coreProperties>
</file>