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<sst xmlns="http://schemas.openxmlformats.org/spreadsheetml/2006/main" count="300" uniqueCount="123">
  <si>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</si>
  <si>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</si>
  <si>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</si>
  <si>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</si>
  <si>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</si>
  <si>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</si>
  <si>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</si>
  <si>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</si>
  <si>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</si>
  <si>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</si>
  <si>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</si>
  <si>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</si>
  <si>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</si>
  <si>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</si>
  <si>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</si>
  <si>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</si>
  <si>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</si>
  <si>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</si>
  <si>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</si>
  <si>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</si>
  <si>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</si>
  <si>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</si>
  <si>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</si>
  <si>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</si>
  <si>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</si>
  <si>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</si>
  <si>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</si>
  <si>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</si>
  <si>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</si>
  <si>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</si>
  <si>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</si>
  <si>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</si>
  <si>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</si>
  <si>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</si>
  <si>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</si>
  <si>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</si>
  <si>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</si>
  <si>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</si>
  <si>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</si>
  <si>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</si>
  <si>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</si>
  <si>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</si>
  <si>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</si>
  <si>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</si>
  <si>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</si>
  <si>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</si>
  <si>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</si>
  <si>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</si>
  <si>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</si>
  <si>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</si>
  <si>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</si>
  <si>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</si>
  <si>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</si>
  <si>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</si>
  <si>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</si>
  <si>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</si>
  <si>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</si>
  <si>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</si>
  <si>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</si>
  <si>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</si>
  <si>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</si>
  <si>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</si>
  <si>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</si>
  <si>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</si>
  <si>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</si>
  <si>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</si>
  <si>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</si>
  <si>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</si>
  <si>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</si>
  <si>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</si>
  <si>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</si>
  <si>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</si>
  <si>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</si>
  <si>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</si>
  <si>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</si>
  <si>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</si>
  <si>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</si>
  <si>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</si>
  <si>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</si>
  <si>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</si>
  <si>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</si>
  <si>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</si>
  <si>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</si>
  <si>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</si>
  <si>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</si>
  <si>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</si>
  <si>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</si>
  <si>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</si>
  <si>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</si>
  <si>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Выписка по лицевому счету по адресу г. Таштагол ул. Увальная, д.16</t>
  </si>
  <si>
    <t>Лицевой счет по адресу г. Таштагол, ул. Увальная, д.16</t>
  </si>
  <si>
    <t>2010 год</t>
  </si>
  <si>
    <t>*по состоянию на 01.01.2011 г.</t>
  </si>
  <si>
    <t>на 01.01.2011 г.</t>
  </si>
  <si>
    <t>на начало отчетного периода</t>
  </si>
  <si>
    <t>Лицевой счет по адресу г. Таштагол, ул. Увальная, д.12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</si>
  <si>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</si>
  <si>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</si>
  <si>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</si>
  <si>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</si>
  <si>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</si>
  <si>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</si>
  <si>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</si>
  <si>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</si>
  <si>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</si>
  <si>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</si>
  <si>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</si>
  <si>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</si>
  <si>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</si>
  <si>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</si>
  <si>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</si>
  <si>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</si>
  <si>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</si>
  <si>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</si>
  <si>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</si>
  <si>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</si>
  <si>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</si>
  <si>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</si>
  <si>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Услуга начисления</t>
  </si>
  <si>
    <t>*по состоянию на 01.01.2012 г.</t>
  </si>
  <si>
    <t>Исп. В.В. Колмогорова</t>
  </si>
  <si>
    <t>Выписка по лицевому счету по адресу г. Таштагол ул. Увальная, д. 16</t>
  </si>
  <si>
    <t>Тариф по содержанию и тек.ремонту 100 % (4,1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</si>
</sst>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36" borderId="34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0" fillId="36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38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35" borderId="37" xfId="0" applyFont="1" applyFill="1" applyBorder="1" applyAlignment="1">
      <alignment horizontal="center" textRotation="90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28" fillId="0" borderId="3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28" fillId="0" borderId="36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67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10" fillId="37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10" fillId="39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6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2" fontId="10" fillId="34" borderId="13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2" fontId="0" fillId="34" borderId="11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69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37" borderId="11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29" fillId="0" borderId="34" xfId="0" applyFont="1" applyBorder="1" applyAlignment="1">
      <alignment wrapText="1"/>
    </xf>
    <xf numFmtId="4" fontId="1" fillId="0" borderId="54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4" fontId="0" fillId="39" borderId="54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2" xfId="0" applyFont="1" applyFill="1" applyBorder="1" applyAlignment="1">
      <alignment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50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1" fillId="0" borderId="74" xfId="0" applyFont="1" applyFill="1" applyBorder="1" applyAlignment="1">
      <alignment horizontal="left"/>
    </xf>
    <xf numFmtId="4" fontId="1" fillId="0" borderId="45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" fontId="0" fillId="0" borderId="69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" fillId="0" borderId="58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4" fontId="0" fillId="34" borderId="70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2" fillId="34" borderId="70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14%20&#1089;%202011%20&#1075;&#1086;&#1076;&#1086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91;&#1074;&#1086;&#1088;&#1086;&#1074;&#1072;,%209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 полн"/>
      <sheetName val="2011 печать"/>
    </sheetNames>
    <sheetDataSet>
      <sheetData sheetId="0">
        <row r="42">
          <cell r="AO42">
            <v>0</v>
          </cell>
        </row>
      </sheetData>
      <sheetData sheetId="2">
        <row r="8">
          <cell r="BG8">
            <v>-13554.490000000002</v>
          </cell>
        </row>
        <row r="10">
          <cell r="B10">
            <v>739.7</v>
          </cell>
        </row>
        <row r="11">
          <cell r="B11">
            <v>739.7</v>
          </cell>
        </row>
        <row r="12">
          <cell r="B12">
            <v>739.7</v>
          </cell>
        </row>
        <row r="13">
          <cell r="B13">
            <v>739.7</v>
          </cell>
        </row>
        <row r="14">
          <cell r="B14">
            <v>739.7</v>
          </cell>
        </row>
        <row r="15">
          <cell r="B15">
            <v>739.7</v>
          </cell>
        </row>
        <row r="16">
          <cell r="B16">
            <v>739.7</v>
          </cell>
        </row>
        <row r="17">
          <cell r="B17">
            <v>739.7</v>
          </cell>
        </row>
        <row r="18">
          <cell r="B18">
            <v>739.7</v>
          </cell>
        </row>
        <row r="19">
          <cell r="B19">
            <v>739.7</v>
          </cell>
        </row>
        <row r="20">
          <cell r="B20">
            <v>739.7</v>
          </cell>
        </row>
        <row r="21">
          <cell r="B21">
            <v>739.7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AQ44">
            <v>0</v>
          </cell>
          <cell r="AR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51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52" t="s">
        <v>0</v>
      </c>
      <c r="B3" s="155" t="s">
        <v>1</v>
      </c>
      <c r="C3" s="155" t="s">
        <v>2</v>
      </c>
      <c r="D3" s="155" t="s">
        <v>3</v>
      </c>
      <c r="E3" s="158" t="s">
        <v>4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75" t="s">
        <v>5</v>
      </c>
      <c r="T3" s="175"/>
      <c r="U3" s="176" t="s">
        <v>6</v>
      </c>
      <c r="V3" s="176"/>
      <c r="W3" s="176"/>
      <c r="X3" s="176"/>
      <c r="Y3" s="176"/>
      <c r="Z3" s="176"/>
      <c r="AA3" s="176"/>
      <c r="AB3" s="176"/>
      <c r="AC3" s="178" t="s">
        <v>86</v>
      </c>
      <c r="AD3" s="178" t="s">
        <v>8</v>
      </c>
      <c r="AE3" s="181" t="s">
        <v>9</v>
      </c>
      <c r="AF3" s="188" t="s">
        <v>74</v>
      </c>
      <c r="AG3" s="191" t="s">
        <v>10</v>
      </c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67" t="s">
        <v>75</v>
      </c>
      <c r="BD3" s="172" t="s">
        <v>11</v>
      </c>
      <c r="BE3" s="160" t="s">
        <v>12</v>
      </c>
    </row>
    <row r="4" spans="1:57" ht="36" customHeight="1" thickBot="1">
      <c r="A4" s="153"/>
      <c r="B4" s="156"/>
      <c r="C4" s="156"/>
      <c r="D4" s="156"/>
      <c r="E4" s="159" t="s">
        <v>13</v>
      </c>
      <c r="F4" s="159"/>
      <c r="G4" s="159" t="s">
        <v>14</v>
      </c>
      <c r="H4" s="159"/>
      <c r="I4" s="159" t="s">
        <v>15</v>
      </c>
      <c r="J4" s="159"/>
      <c r="K4" s="159" t="s">
        <v>16</v>
      </c>
      <c r="L4" s="159"/>
      <c r="M4" s="159" t="s">
        <v>17</v>
      </c>
      <c r="N4" s="159"/>
      <c r="O4" s="159" t="s">
        <v>18</v>
      </c>
      <c r="P4" s="159"/>
      <c r="Q4" s="159" t="s">
        <v>19</v>
      </c>
      <c r="R4" s="159"/>
      <c r="S4" s="159"/>
      <c r="T4" s="159"/>
      <c r="U4" s="177"/>
      <c r="V4" s="177"/>
      <c r="W4" s="177"/>
      <c r="X4" s="177"/>
      <c r="Y4" s="177"/>
      <c r="Z4" s="177"/>
      <c r="AA4" s="177"/>
      <c r="AB4" s="177"/>
      <c r="AC4" s="179"/>
      <c r="AD4" s="179"/>
      <c r="AE4" s="182"/>
      <c r="AF4" s="189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8"/>
      <c r="BD4" s="173"/>
      <c r="BE4" s="161"/>
    </row>
    <row r="5" spans="1:57" ht="29.25" customHeight="1" thickBot="1">
      <c r="A5" s="153"/>
      <c r="B5" s="156"/>
      <c r="C5" s="156"/>
      <c r="D5" s="156"/>
      <c r="E5" s="170" t="s">
        <v>20</v>
      </c>
      <c r="F5" s="170" t="s">
        <v>21</v>
      </c>
      <c r="G5" s="170" t="s">
        <v>20</v>
      </c>
      <c r="H5" s="170" t="s">
        <v>21</v>
      </c>
      <c r="I5" s="170" t="s">
        <v>20</v>
      </c>
      <c r="J5" s="170" t="s">
        <v>21</v>
      </c>
      <c r="K5" s="170" t="s">
        <v>20</v>
      </c>
      <c r="L5" s="170" t="s">
        <v>21</v>
      </c>
      <c r="M5" s="170" t="s">
        <v>20</v>
      </c>
      <c r="N5" s="170" t="s">
        <v>21</v>
      </c>
      <c r="O5" s="170" t="s">
        <v>20</v>
      </c>
      <c r="P5" s="170" t="s">
        <v>21</v>
      </c>
      <c r="Q5" s="170" t="s">
        <v>20</v>
      </c>
      <c r="R5" s="170" t="s">
        <v>21</v>
      </c>
      <c r="S5" s="170" t="s">
        <v>20</v>
      </c>
      <c r="T5" s="170" t="s">
        <v>21</v>
      </c>
      <c r="U5" s="184" t="s">
        <v>22</v>
      </c>
      <c r="V5" s="184" t="s">
        <v>23</v>
      </c>
      <c r="W5" s="184" t="s">
        <v>24</v>
      </c>
      <c r="X5" s="184" t="s">
        <v>25</v>
      </c>
      <c r="Y5" s="184" t="s">
        <v>26</v>
      </c>
      <c r="Z5" s="184" t="s">
        <v>27</v>
      </c>
      <c r="AA5" s="184" t="s">
        <v>28</v>
      </c>
      <c r="AB5" s="184" t="s">
        <v>29</v>
      </c>
      <c r="AC5" s="179"/>
      <c r="AD5" s="179"/>
      <c r="AE5" s="182"/>
      <c r="AF5" s="189"/>
      <c r="AG5" s="163" t="s">
        <v>30</v>
      </c>
      <c r="AH5" s="163" t="s">
        <v>31</v>
      </c>
      <c r="AI5" s="163" t="s">
        <v>32</v>
      </c>
      <c r="AJ5" s="163" t="s">
        <v>33</v>
      </c>
      <c r="AK5" s="163" t="s">
        <v>34</v>
      </c>
      <c r="AL5" s="163" t="s">
        <v>33</v>
      </c>
      <c r="AM5" s="163" t="s">
        <v>35</v>
      </c>
      <c r="AN5" s="163" t="s">
        <v>33</v>
      </c>
      <c r="AO5" s="163" t="s">
        <v>36</v>
      </c>
      <c r="AP5" s="163" t="s">
        <v>33</v>
      </c>
      <c r="AQ5" s="195" t="s">
        <v>79</v>
      </c>
      <c r="AR5" s="197" t="s">
        <v>33</v>
      </c>
      <c r="AS5" s="165" t="s">
        <v>80</v>
      </c>
      <c r="AT5" s="186" t="s">
        <v>81</v>
      </c>
      <c r="AU5" s="186" t="s">
        <v>33</v>
      </c>
      <c r="AV5" s="192" t="s">
        <v>82</v>
      </c>
      <c r="AW5" s="193"/>
      <c r="AX5" s="194"/>
      <c r="AY5" s="163" t="s">
        <v>19</v>
      </c>
      <c r="AZ5" s="163" t="s">
        <v>38</v>
      </c>
      <c r="BA5" s="163" t="s">
        <v>33</v>
      </c>
      <c r="BB5" s="163" t="s">
        <v>39</v>
      </c>
      <c r="BC5" s="168"/>
      <c r="BD5" s="173"/>
      <c r="BE5" s="161"/>
    </row>
    <row r="6" spans="1:57" ht="54" customHeight="1" thickBot="1">
      <c r="A6" s="154"/>
      <c r="B6" s="157"/>
      <c r="C6" s="157"/>
      <c r="D6" s="157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85"/>
      <c r="V6" s="185"/>
      <c r="W6" s="185"/>
      <c r="X6" s="185"/>
      <c r="Y6" s="185"/>
      <c r="Z6" s="185"/>
      <c r="AA6" s="185"/>
      <c r="AB6" s="185"/>
      <c r="AC6" s="180"/>
      <c r="AD6" s="180"/>
      <c r="AE6" s="183"/>
      <c r="AF6" s="190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96"/>
      <c r="AR6" s="198"/>
      <c r="AS6" s="166"/>
      <c r="AT6" s="187"/>
      <c r="AU6" s="187"/>
      <c r="AV6" s="113" t="s">
        <v>83</v>
      </c>
      <c r="AW6" s="113" t="s">
        <v>84</v>
      </c>
      <c r="AX6" s="113" t="s">
        <v>85</v>
      </c>
      <c r="AY6" s="164"/>
      <c r="AZ6" s="164"/>
      <c r="BA6" s="164"/>
      <c r="BB6" s="164"/>
      <c r="BC6" s="169"/>
      <c r="BD6" s="174"/>
      <c r="BE6" s="162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8">
        <v>377.7</v>
      </c>
      <c r="C9" s="99">
        <f>B9*8.65</f>
        <v>3267.105</v>
      </c>
      <c r="D9" s="100">
        <f>C9*0.24088</f>
        <v>786.9802524</v>
      </c>
      <c r="E9" s="101">
        <v>307.84</v>
      </c>
      <c r="F9" s="101">
        <v>24</v>
      </c>
      <c r="G9" s="101">
        <v>112.71</v>
      </c>
      <c r="H9" s="101">
        <v>8.7</v>
      </c>
      <c r="I9" s="101">
        <v>1000.46</v>
      </c>
      <c r="J9" s="101">
        <v>78</v>
      </c>
      <c r="K9" s="101">
        <v>692.62</v>
      </c>
      <c r="L9" s="101">
        <v>54</v>
      </c>
      <c r="M9" s="101">
        <v>246.27</v>
      </c>
      <c r="N9" s="101">
        <v>19.2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2359.9</v>
      </c>
      <c r="T9" s="102">
        <f>P9+N9+L9+J9+H9+F9+R9</f>
        <v>183.89999999999998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970.8802524</v>
      </c>
      <c r="AD9" s="105">
        <f>P9+Z9</f>
        <v>0</v>
      </c>
      <c r="AE9" s="96">
        <f>R9+AA9</f>
        <v>0</v>
      </c>
      <c r="AF9" s="96"/>
      <c r="AG9" s="16">
        <f>0.6*B9</f>
        <v>226.61999999999998</v>
      </c>
      <c r="AH9" s="16">
        <f>B9*0.2*1.05826</f>
        <v>79.94096040000001</v>
      </c>
      <c r="AI9" s="16">
        <f>0.8518*B9</f>
        <v>321.72486</v>
      </c>
      <c r="AJ9" s="16">
        <f>AI9*0.18</f>
        <v>57.910474799999996</v>
      </c>
      <c r="AK9" s="16">
        <f>1.04*B9*0.9531</f>
        <v>374.3853048</v>
      </c>
      <c r="AL9" s="16">
        <f>AK9*0.18</f>
        <v>67.389354864</v>
      </c>
      <c r="AM9" s="16">
        <f>(1.91)*B9*0.9531</f>
        <v>687.5730116999999</v>
      </c>
      <c r="AN9" s="16">
        <f>AM9*0.18</f>
        <v>123.76314210599999</v>
      </c>
      <c r="AO9" s="16"/>
      <c r="AP9" s="16">
        <f>AO9*0.18</f>
        <v>0</v>
      </c>
      <c r="AQ9" s="111"/>
      <c r="AR9" s="111"/>
      <c r="AS9" s="91"/>
      <c r="AT9" s="91"/>
      <c r="AU9" s="91">
        <f>(AS9+AT9)*0.18</f>
        <v>0</v>
      </c>
      <c r="AV9" s="112"/>
      <c r="AW9" s="127"/>
      <c r="AX9" s="16">
        <f>AV9*AW9*1.12*1.18</f>
        <v>0</v>
      </c>
      <c r="AY9" s="114"/>
      <c r="AZ9" s="115"/>
      <c r="BA9" s="115">
        <f>AZ9*0.18</f>
        <v>0</v>
      </c>
      <c r="BB9" s="115">
        <f>SUM(AG9:BA9)-AV9-AW9</f>
        <v>1939.3071086700002</v>
      </c>
      <c r="BC9" s="125"/>
      <c r="BD9" s="14">
        <f>AC9-BB9</f>
        <v>-968.4268562700001</v>
      </c>
      <c r="BE9" s="30">
        <f>AB9-S9</f>
        <v>-2359.9</v>
      </c>
    </row>
    <row r="10" spans="1:57" ht="12.75" hidden="1">
      <c r="A10" s="11" t="s">
        <v>42</v>
      </c>
      <c r="B10" s="98">
        <v>377.7</v>
      </c>
      <c r="C10" s="99">
        <f>B10*8.65</f>
        <v>3267.105</v>
      </c>
      <c r="D10" s="100">
        <f>C10*0.24088</f>
        <v>786.9802524</v>
      </c>
      <c r="E10" s="101">
        <v>307.84</v>
      </c>
      <c r="F10" s="101">
        <v>24</v>
      </c>
      <c r="G10" s="101">
        <v>112.71</v>
      </c>
      <c r="H10" s="101">
        <v>8.7</v>
      </c>
      <c r="I10" s="101">
        <v>1000.46</v>
      </c>
      <c r="J10" s="101">
        <v>78</v>
      </c>
      <c r="K10" s="101">
        <v>692.62</v>
      </c>
      <c r="L10" s="101">
        <v>54</v>
      </c>
      <c r="M10" s="101">
        <v>246.27</v>
      </c>
      <c r="N10" s="101">
        <v>19.2</v>
      </c>
      <c r="O10" s="101">
        <v>0</v>
      </c>
      <c r="P10" s="101">
        <v>0</v>
      </c>
      <c r="Q10" s="101">
        <v>0</v>
      </c>
      <c r="R10" s="101">
        <v>0</v>
      </c>
      <c r="S10" s="85">
        <f>E10+G10+I10+K10+M10+O10+Q10</f>
        <v>2359.9</v>
      </c>
      <c r="T10" s="102">
        <f>P10+N10+L10+J10+H10+F10+R10</f>
        <v>183.89999999999998</v>
      </c>
      <c r="U10" s="85">
        <v>222.47</v>
      </c>
      <c r="V10" s="85">
        <v>300.33</v>
      </c>
      <c r="W10" s="85">
        <v>723.03</v>
      </c>
      <c r="X10" s="85">
        <v>500.56</v>
      </c>
      <c r="Y10" s="85">
        <v>177.98</v>
      </c>
      <c r="Z10" s="103">
        <v>0</v>
      </c>
      <c r="AA10" s="103">
        <v>0</v>
      </c>
      <c r="AB10" s="106">
        <f>SUM(U10:AA10)</f>
        <v>1924.37</v>
      </c>
      <c r="AC10" s="107">
        <f>D10+T10+AB10</f>
        <v>2895.2502524</v>
      </c>
      <c r="AD10" s="96">
        <f>P10+Z10</f>
        <v>0</v>
      </c>
      <c r="AE10" s="96">
        <f>R10+AA10</f>
        <v>0</v>
      </c>
      <c r="AF10" s="96"/>
      <c r="AG10" s="16">
        <f>0.6*B10</f>
        <v>226.61999999999998</v>
      </c>
      <c r="AH10" s="16">
        <f>B10*0.201</f>
        <v>75.9177</v>
      </c>
      <c r="AI10" s="16">
        <f>0.8518*B10</f>
        <v>321.72486</v>
      </c>
      <c r="AJ10" s="16">
        <f>AI10*0.18</f>
        <v>57.910474799999996</v>
      </c>
      <c r="AK10" s="16">
        <f>1.04*B10*0.9531</f>
        <v>374.3853048</v>
      </c>
      <c r="AL10" s="16">
        <f>AK10*0.18</f>
        <v>67.389354864</v>
      </c>
      <c r="AM10" s="16">
        <f>(1.91)*B10*0.9531</f>
        <v>687.5730116999999</v>
      </c>
      <c r="AN10" s="16">
        <f>AM10*0.18</f>
        <v>123.76314210599999</v>
      </c>
      <c r="AO10" s="16"/>
      <c r="AP10" s="16">
        <f>AO10*0.18</f>
        <v>0</v>
      </c>
      <c r="AQ10" s="111"/>
      <c r="AR10" s="111"/>
      <c r="AS10" s="91"/>
      <c r="AT10" s="91"/>
      <c r="AU10" s="91">
        <f>(AS10+AT10)*0.18</f>
        <v>0</v>
      </c>
      <c r="AV10" s="112"/>
      <c r="AW10" s="127"/>
      <c r="AX10" s="16">
        <f>AV10*AW10*1.12*1.18</f>
        <v>0</v>
      </c>
      <c r="AY10" s="114"/>
      <c r="AZ10" s="115"/>
      <c r="BA10" s="115">
        <f>AZ10*0.18</f>
        <v>0</v>
      </c>
      <c r="BB10" s="115">
        <f>SUM(AG10:BA10)-AV10-AW10</f>
        <v>1935.28384827</v>
      </c>
      <c r="BC10" s="125"/>
      <c r="BD10" s="14">
        <f>AC10-BB10</f>
        <v>959.9664041300002</v>
      </c>
      <c r="BE10" s="30">
        <f>AB10-S10</f>
        <v>-435.5300000000002</v>
      </c>
    </row>
    <row r="11" spans="1:57" ht="12.75" hidden="1">
      <c r="A11" s="11" t="s">
        <v>43</v>
      </c>
      <c r="B11" s="98">
        <v>377.7</v>
      </c>
      <c r="C11" s="99">
        <f>B11*8.65</f>
        <v>3267.105</v>
      </c>
      <c r="D11" s="100">
        <f>C11*0.24035</f>
        <v>785.24868675</v>
      </c>
      <c r="E11" s="101">
        <v>319.39</v>
      </c>
      <c r="F11" s="101">
        <v>17.27</v>
      </c>
      <c r="G11" s="101">
        <v>117.09</v>
      </c>
      <c r="H11" s="101">
        <v>6.26</v>
      </c>
      <c r="I11" s="101">
        <v>1038.06</v>
      </c>
      <c r="J11" s="101">
        <v>56.11</v>
      </c>
      <c r="K11" s="101">
        <v>718.67</v>
      </c>
      <c r="L11" s="101">
        <v>38.84</v>
      </c>
      <c r="M11" s="101">
        <v>255.52</v>
      </c>
      <c r="N11" s="101">
        <v>13.81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2448.73</v>
      </c>
      <c r="T11" s="102">
        <f>P11+N11+L11+J11+H11+F11+R11</f>
        <v>132.29000000000002</v>
      </c>
      <c r="U11" s="85">
        <v>225.08</v>
      </c>
      <c r="V11" s="85">
        <v>82.51</v>
      </c>
      <c r="W11" s="85">
        <v>731.47</v>
      </c>
      <c r="X11" s="85">
        <v>506.4</v>
      </c>
      <c r="Y11" s="85">
        <v>180.05</v>
      </c>
      <c r="Z11" s="103">
        <v>0</v>
      </c>
      <c r="AA11" s="103">
        <v>0</v>
      </c>
      <c r="AB11" s="106">
        <f>SUM(U11:AA11)</f>
        <v>1725.51</v>
      </c>
      <c r="AC11" s="107">
        <f>D11+T11+AB11</f>
        <v>2643.0486867500003</v>
      </c>
      <c r="AD11" s="96">
        <f>P11+Z11</f>
        <v>0</v>
      </c>
      <c r="AE11" s="96">
        <f>R11+AA11</f>
        <v>0</v>
      </c>
      <c r="AF11" s="96"/>
      <c r="AG11" s="16">
        <f>0.6*B11</f>
        <v>226.61999999999998</v>
      </c>
      <c r="AH11" s="16">
        <f>B11*0.2*1.02524</f>
        <v>77.4466296</v>
      </c>
      <c r="AI11" s="16">
        <f>0.84932*B11</f>
        <v>320.788164</v>
      </c>
      <c r="AJ11" s="16">
        <f>AI11*0.18</f>
        <v>57.741869519999995</v>
      </c>
      <c r="AK11" s="16">
        <f>1.04*B11*0.95033</f>
        <v>373.29722664</v>
      </c>
      <c r="AL11" s="16">
        <f>AK11*0.18</f>
        <v>67.1935007952</v>
      </c>
      <c r="AM11" s="16">
        <f>(1.91)*B11*0.95033</f>
        <v>685.57471431</v>
      </c>
      <c r="AN11" s="16">
        <f>AM11*0.18</f>
        <v>123.4034485758</v>
      </c>
      <c r="AO11" s="16"/>
      <c r="AP11" s="16">
        <f>AO11*0.18</f>
        <v>0</v>
      </c>
      <c r="AQ11" s="111"/>
      <c r="AR11" s="111"/>
      <c r="AS11" s="91"/>
      <c r="AT11" s="91"/>
      <c r="AU11" s="91">
        <f>(AS11+AT11)*0.18</f>
        <v>0</v>
      </c>
      <c r="AV11" s="112"/>
      <c r="AW11" s="127"/>
      <c r="AX11" s="16">
        <f>AV11*AW11*1.12*1.18</f>
        <v>0</v>
      </c>
      <c r="AY11" s="16"/>
      <c r="AZ11" s="115"/>
      <c r="BA11" s="115">
        <f>AZ11*0.18</f>
        <v>0</v>
      </c>
      <c r="BB11" s="115">
        <f>SUM(AG11:BA11)-AV11-AW11</f>
        <v>1932.065553441</v>
      </c>
      <c r="BC11" s="125"/>
      <c r="BD11" s="14">
        <f>AC11-BB11</f>
        <v>710.9831333090003</v>
      </c>
      <c r="BE11" s="30">
        <f>AB11-S11</f>
        <v>-723.22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9801.315</v>
      </c>
      <c r="D12" s="60">
        <f t="shared" si="0"/>
        <v>2359.20919155</v>
      </c>
      <c r="E12" s="57">
        <f>SUM(E9:E11)</f>
        <v>935.0699999999999</v>
      </c>
      <c r="F12" s="57">
        <f t="shared" si="0"/>
        <v>65.27</v>
      </c>
      <c r="G12" s="57">
        <f t="shared" si="0"/>
        <v>342.51</v>
      </c>
      <c r="H12" s="57">
        <f t="shared" si="0"/>
        <v>23.659999999999997</v>
      </c>
      <c r="I12" s="57">
        <f t="shared" si="0"/>
        <v>3038.98</v>
      </c>
      <c r="J12" s="57">
        <f t="shared" si="0"/>
        <v>212.11</v>
      </c>
      <c r="K12" s="57">
        <f t="shared" si="0"/>
        <v>2103.91</v>
      </c>
      <c r="L12" s="57">
        <f t="shared" si="0"/>
        <v>146.84</v>
      </c>
      <c r="M12" s="57">
        <f t="shared" si="0"/>
        <v>748.0600000000001</v>
      </c>
      <c r="N12" s="57">
        <f t="shared" si="0"/>
        <v>52.21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7168.530000000001</v>
      </c>
      <c r="T12" s="57">
        <f t="shared" si="0"/>
        <v>500.09</v>
      </c>
      <c r="U12" s="61">
        <f t="shared" si="0"/>
        <v>447.55</v>
      </c>
      <c r="V12" s="61">
        <f t="shared" si="0"/>
        <v>382.84</v>
      </c>
      <c r="W12" s="61">
        <f t="shared" si="0"/>
        <v>1454.5</v>
      </c>
      <c r="X12" s="61">
        <f t="shared" si="0"/>
        <v>1006.96</v>
      </c>
      <c r="Y12" s="61">
        <f t="shared" si="0"/>
        <v>358.03</v>
      </c>
      <c r="Z12" s="61">
        <f t="shared" si="0"/>
        <v>0</v>
      </c>
      <c r="AA12" s="61">
        <f t="shared" si="0"/>
        <v>0</v>
      </c>
      <c r="AB12" s="61">
        <f t="shared" si="0"/>
        <v>3649.88</v>
      </c>
      <c r="AC12" s="61">
        <f t="shared" si="0"/>
        <v>6509.179191550001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679.8599999999999</v>
      </c>
      <c r="AH12" s="18">
        <f t="shared" si="0"/>
        <v>233.30529</v>
      </c>
      <c r="AI12" s="18">
        <f t="shared" si="0"/>
        <v>964.2378839999999</v>
      </c>
      <c r="AJ12" s="18">
        <f t="shared" si="0"/>
        <v>173.56281911999997</v>
      </c>
      <c r="AK12" s="18">
        <f t="shared" si="0"/>
        <v>1122.06783624</v>
      </c>
      <c r="AL12" s="18">
        <f t="shared" si="0"/>
        <v>201.97221052319998</v>
      </c>
      <c r="AM12" s="18">
        <f>SUM(AM9:AM11)</f>
        <v>2060.72073771</v>
      </c>
      <c r="AN12" s="18">
        <f>SUM(AN9:AN11)</f>
        <v>370.9297327878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0</v>
      </c>
      <c r="AT12" s="18">
        <f>SUM(AT9:AT11)</f>
        <v>0</v>
      </c>
      <c r="AU12" s="18">
        <f>SUM(AU9:AU11)</f>
        <v>0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5806.656510381</v>
      </c>
      <c r="BC12" s="18">
        <f t="shared" si="0"/>
        <v>0</v>
      </c>
      <c r="BD12" s="18">
        <f t="shared" si="0"/>
        <v>702.5226811690004</v>
      </c>
      <c r="BE12" s="19">
        <f t="shared" si="0"/>
        <v>-3518.6500000000005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09">
        <v>377.7</v>
      </c>
      <c r="C14" s="99">
        <f aca="true" t="shared" si="1" ref="C14:C19">B14*8.65</f>
        <v>3267.105</v>
      </c>
      <c r="D14" s="100">
        <f>C14*0.125</f>
        <v>408.388125</v>
      </c>
      <c r="E14" s="101">
        <v>320.1</v>
      </c>
      <c r="F14" s="101">
        <v>16.8</v>
      </c>
      <c r="G14" s="101">
        <v>117.35</v>
      </c>
      <c r="H14" s="101">
        <v>6.09</v>
      </c>
      <c r="I14" s="101">
        <v>1040.33</v>
      </c>
      <c r="J14" s="101">
        <v>54.6</v>
      </c>
      <c r="K14" s="101">
        <v>720.22</v>
      </c>
      <c r="L14" s="101">
        <v>37.8</v>
      </c>
      <c r="M14" s="101">
        <v>256.08</v>
      </c>
      <c r="N14" s="101">
        <v>13.44</v>
      </c>
      <c r="O14" s="101">
        <v>0</v>
      </c>
      <c r="P14" s="108">
        <v>0</v>
      </c>
      <c r="Q14" s="101">
        <v>0</v>
      </c>
      <c r="R14" s="108">
        <v>0</v>
      </c>
      <c r="S14" s="86">
        <f aca="true" t="shared" si="2" ref="S14:S25">E14+G14+I14+K14+M14+O14+Q14</f>
        <v>2454.08</v>
      </c>
      <c r="T14" s="129">
        <f aca="true" t="shared" si="3" ref="T14:T25">P14+N14+L14+J14+H14+F14+R14</f>
        <v>128.73000000000002</v>
      </c>
      <c r="U14" s="85">
        <v>236.59</v>
      </c>
      <c r="V14" s="85">
        <v>86.81</v>
      </c>
      <c r="W14" s="85">
        <v>768.97</v>
      </c>
      <c r="X14" s="85">
        <v>532.37</v>
      </c>
      <c r="Y14" s="85">
        <v>189.29</v>
      </c>
      <c r="Z14" s="103">
        <v>0</v>
      </c>
      <c r="AA14" s="103">
        <v>0</v>
      </c>
      <c r="AB14" s="110">
        <f aca="true" t="shared" si="4" ref="AB14:AB22">SUM(U14:AA14)</f>
        <v>1814.0299999999997</v>
      </c>
      <c r="AC14" s="130">
        <f aca="true" t="shared" si="5" ref="AC14:AC22">D14+T14+AB14</f>
        <v>2351.1481249999997</v>
      </c>
      <c r="AD14" s="131">
        <f aca="true" t="shared" si="6" ref="AD14:AD25">P14+Z14</f>
        <v>0</v>
      </c>
      <c r="AE14" s="131">
        <f aca="true" t="shared" si="7" ref="AE14:AE25">R14+AA14</f>
        <v>0</v>
      </c>
      <c r="AF14" s="131"/>
      <c r="AG14" s="16">
        <f>0.6*B14*0.9</f>
        <v>203.95799999999997</v>
      </c>
      <c r="AH14" s="16">
        <f>B14*0.2*0.891</f>
        <v>67.30614000000001</v>
      </c>
      <c r="AI14" s="16">
        <f>0.85*B14*0.867-0.02</f>
        <v>278.326015</v>
      </c>
      <c r="AJ14" s="117">
        <f aca="true" t="shared" si="8" ref="AJ14:AJ25">AI14*0.18</f>
        <v>50.0986827</v>
      </c>
      <c r="AK14" s="16">
        <f>0.83*B14*0.8686</f>
        <v>272.2982826</v>
      </c>
      <c r="AL14" s="117">
        <f aca="true" t="shared" si="9" ref="AL14:AL25">AK14*0.18</f>
        <v>49.013690868</v>
      </c>
      <c r="AM14" s="16">
        <f>1.91*B14*0.8686</f>
        <v>626.6141202</v>
      </c>
      <c r="AN14" s="117">
        <f aca="true" t="shared" si="10" ref="AN14:AN25">AM14*0.18</f>
        <v>112.790541636</v>
      </c>
      <c r="AO14" s="117"/>
      <c r="AP14" s="117">
        <f aca="true" t="shared" si="11" ref="AP14:AR25">AO14*0.18</f>
        <v>0</v>
      </c>
      <c r="AQ14" s="140"/>
      <c r="AR14" s="111">
        <f>AQ14*0.18</f>
        <v>0</v>
      </c>
      <c r="AS14" s="132"/>
      <c r="AT14" s="132"/>
      <c r="AU14" s="91">
        <f aca="true" t="shared" si="12" ref="AU14:AU25">(AS14+AT14)*0.18</f>
        <v>0</v>
      </c>
      <c r="AV14" s="133">
        <v>508</v>
      </c>
      <c r="AW14" s="138">
        <v>0.15</v>
      </c>
      <c r="AX14" s="117">
        <f aca="true" t="shared" si="13" ref="AX14:AX25">AV14*AW14*1.12*1.18</f>
        <v>100.70592</v>
      </c>
      <c r="AY14" s="117"/>
      <c r="AZ14" s="134"/>
      <c r="BA14" s="134">
        <f>AZ14*0.18</f>
        <v>0</v>
      </c>
      <c r="BB14" s="115">
        <f>SUM(AG14:AU14)</f>
        <v>1660.405473004</v>
      </c>
      <c r="BC14" s="135"/>
      <c r="BD14" s="14">
        <f>AC14+AF14-BB14-BC14</f>
        <v>690.7426519959997</v>
      </c>
      <c r="BE14" s="30">
        <f>AB14-S14</f>
        <v>-640.0500000000002</v>
      </c>
    </row>
    <row r="15" spans="1:57" ht="12.75" hidden="1">
      <c r="A15" s="11" t="s">
        <v>46</v>
      </c>
      <c r="B15" s="109">
        <v>377.7</v>
      </c>
      <c r="C15" s="99">
        <f t="shared" si="1"/>
        <v>3267.105</v>
      </c>
      <c r="D15" s="100">
        <f>C15*0.125</f>
        <v>408.388125</v>
      </c>
      <c r="E15" s="101">
        <v>320.04</v>
      </c>
      <c r="F15" s="101">
        <v>16.8</v>
      </c>
      <c r="G15" s="101">
        <v>117.33</v>
      </c>
      <c r="H15" s="101">
        <v>6.09</v>
      </c>
      <c r="I15" s="101">
        <v>1040.1</v>
      </c>
      <c r="J15" s="101">
        <v>54.6</v>
      </c>
      <c r="K15" s="101">
        <v>720.09</v>
      </c>
      <c r="L15" s="101">
        <v>37.8</v>
      </c>
      <c r="M15" s="101">
        <v>256.03</v>
      </c>
      <c r="N15" s="101">
        <v>13.44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2453.59</v>
      </c>
      <c r="T15" s="102">
        <f t="shared" si="3"/>
        <v>128.73000000000002</v>
      </c>
      <c r="U15" s="85">
        <v>237.23</v>
      </c>
      <c r="V15" s="85">
        <v>87.02</v>
      </c>
      <c r="W15" s="85">
        <v>771.02</v>
      </c>
      <c r="X15" s="85">
        <v>533.78</v>
      </c>
      <c r="Y15" s="85">
        <v>189.78</v>
      </c>
      <c r="Z15" s="103">
        <v>0</v>
      </c>
      <c r="AA15" s="103">
        <v>0</v>
      </c>
      <c r="AB15" s="106">
        <f t="shared" si="4"/>
        <v>1818.83</v>
      </c>
      <c r="AC15" s="107">
        <f t="shared" si="5"/>
        <v>2355.948125</v>
      </c>
      <c r="AD15" s="96">
        <f t="shared" si="6"/>
        <v>0</v>
      </c>
      <c r="AE15" s="96">
        <f t="shared" si="7"/>
        <v>0</v>
      </c>
      <c r="AF15" s="96"/>
      <c r="AG15" s="16">
        <f>0.6*B15*0.9</f>
        <v>203.95799999999997</v>
      </c>
      <c r="AH15" s="16">
        <f>B15*0.2*0.9153</f>
        <v>69.141762</v>
      </c>
      <c r="AI15" s="16">
        <f>0.85*B15*0.866</f>
        <v>278.02496999999994</v>
      </c>
      <c r="AJ15" s="16">
        <f t="shared" si="8"/>
        <v>50.044494599999986</v>
      </c>
      <c r="AK15" s="16">
        <f>0.83*B15*0.8685</f>
        <v>272.2669335</v>
      </c>
      <c r="AL15" s="16">
        <f t="shared" si="9"/>
        <v>49.00804803</v>
      </c>
      <c r="AM15" s="16">
        <f>(1.91)*B15*0.8684</f>
        <v>626.4698387999999</v>
      </c>
      <c r="AN15" s="16">
        <f t="shared" si="10"/>
        <v>112.76457098399999</v>
      </c>
      <c r="AO15" s="16"/>
      <c r="AP15" s="16">
        <f t="shared" si="11"/>
        <v>0</v>
      </c>
      <c r="AQ15" s="140"/>
      <c r="AR15" s="111">
        <f>AQ15*0.18</f>
        <v>0</v>
      </c>
      <c r="AS15" s="91"/>
      <c r="AT15" s="132"/>
      <c r="AU15" s="91">
        <f t="shared" si="12"/>
        <v>0</v>
      </c>
      <c r="AV15" s="112">
        <v>407</v>
      </c>
      <c r="AW15" s="127">
        <v>0.15</v>
      </c>
      <c r="AX15" s="16">
        <f t="shared" si="13"/>
        <v>80.68368</v>
      </c>
      <c r="AY15" s="16"/>
      <c r="AZ15" s="115"/>
      <c r="BA15" s="115">
        <f>AZ15*0.18</f>
        <v>0</v>
      </c>
      <c r="BB15" s="115">
        <f>SUM(AG15:AU15)+AY15</f>
        <v>1661.678617914</v>
      </c>
      <c r="BC15" s="121"/>
      <c r="BD15" s="14">
        <f aca="true" t="shared" si="14" ref="BD15:BD22">AC15+AF15-BB15-BC15</f>
        <v>694.269507086</v>
      </c>
      <c r="BE15" s="30">
        <f aca="true" t="shared" si="15" ref="BE15:BE20">AB15-S15</f>
        <v>-634.7600000000002</v>
      </c>
    </row>
    <row r="16" spans="1:57" ht="12.75" hidden="1">
      <c r="A16" s="11" t="s">
        <v>47</v>
      </c>
      <c r="B16" s="122">
        <v>377.7</v>
      </c>
      <c r="C16" s="99">
        <f t="shared" si="1"/>
        <v>3267.105</v>
      </c>
      <c r="D16" s="100">
        <f>C16*0.125</f>
        <v>408.388125</v>
      </c>
      <c r="E16" s="101">
        <v>320.1</v>
      </c>
      <c r="F16" s="101">
        <v>16.8</v>
      </c>
      <c r="G16" s="101">
        <v>117.35</v>
      </c>
      <c r="H16" s="101">
        <v>6.09</v>
      </c>
      <c r="I16" s="101">
        <v>1040.33</v>
      </c>
      <c r="J16" s="101">
        <v>54.6</v>
      </c>
      <c r="K16" s="101">
        <v>720.23</v>
      </c>
      <c r="L16" s="101">
        <v>37.8</v>
      </c>
      <c r="M16" s="101">
        <v>256.08</v>
      </c>
      <c r="N16" s="101">
        <v>13.44</v>
      </c>
      <c r="O16" s="101">
        <v>0</v>
      </c>
      <c r="P16" s="108">
        <v>0</v>
      </c>
      <c r="Q16" s="101">
        <v>0</v>
      </c>
      <c r="R16" s="108">
        <v>0</v>
      </c>
      <c r="S16" s="86">
        <f t="shared" si="2"/>
        <v>2454.09</v>
      </c>
      <c r="T16" s="129">
        <f t="shared" si="3"/>
        <v>128.73000000000002</v>
      </c>
      <c r="U16" s="86">
        <v>236.59</v>
      </c>
      <c r="V16" s="86">
        <v>86.81</v>
      </c>
      <c r="W16" s="86">
        <v>768.87</v>
      </c>
      <c r="X16" s="86">
        <v>532.31</v>
      </c>
      <c r="Y16" s="86">
        <v>189.27</v>
      </c>
      <c r="Z16" s="116">
        <v>0</v>
      </c>
      <c r="AA16" s="116">
        <v>0</v>
      </c>
      <c r="AB16" s="110">
        <f t="shared" si="4"/>
        <v>1813.85</v>
      </c>
      <c r="AC16" s="130">
        <f t="shared" si="5"/>
        <v>2350.968125</v>
      </c>
      <c r="AD16" s="131">
        <f t="shared" si="6"/>
        <v>0</v>
      </c>
      <c r="AE16" s="131">
        <f t="shared" si="7"/>
        <v>0</v>
      </c>
      <c r="AF16" s="96"/>
      <c r="AG16" s="117">
        <f>0.6*B16*0.9</f>
        <v>203.95799999999997</v>
      </c>
      <c r="AH16" s="117">
        <f>B16*0.2*0.9082-0.01</f>
        <v>68.595428</v>
      </c>
      <c r="AI16" s="16">
        <f>0.85*B16*0.8675+0.01</f>
        <v>278.51653749999997</v>
      </c>
      <c r="AJ16" s="117">
        <f t="shared" si="8"/>
        <v>50.13297674999999</v>
      </c>
      <c r="AK16" s="117">
        <f>0.83*B16*0.838</f>
        <v>262.70545799999996</v>
      </c>
      <c r="AL16" s="117">
        <f t="shared" si="9"/>
        <v>47.28698243999999</v>
      </c>
      <c r="AM16" s="16">
        <f>1.91*B16*0.838</f>
        <v>604.5390659999999</v>
      </c>
      <c r="AN16" s="117">
        <f t="shared" si="10"/>
        <v>108.81703187999999</v>
      </c>
      <c r="AO16" s="117"/>
      <c r="AP16" s="117">
        <f t="shared" si="11"/>
        <v>0</v>
      </c>
      <c r="AQ16" s="140"/>
      <c r="AR16" s="111">
        <f>AQ16*0.18</f>
        <v>0</v>
      </c>
      <c r="AS16" s="132"/>
      <c r="AT16" s="132"/>
      <c r="AU16" s="91">
        <f t="shared" si="12"/>
        <v>0</v>
      </c>
      <c r="AV16" s="112">
        <v>383</v>
      </c>
      <c r="AW16" s="127">
        <v>0.15</v>
      </c>
      <c r="AX16" s="117">
        <f t="shared" si="13"/>
        <v>75.92592</v>
      </c>
      <c r="AY16" s="117"/>
      <c r="AZ16" s="134"/>
      <c r="BA16" s="134">
        <f>AZ16*0.18</f>
        <v>0</v>
      </c>
      <c r="BB16" s="115">
        <f>SUM(AG16:AU16)</f>
        <v>1624.5514805699997</v>
      </c>
      <c r="BC16" s="121"/>
      <c r="BD16" s="14">
        <f t="shared" si="14"/>
        <v>726.4166444300001</v>
      </c>
      <c r="BE16" s="30">
        <f t="shared" si="15"/>
        <v>-640.2400000000002</v>
      </c>
    </row>
    <row r="17" spans="1:57" ht="12.75" hidden="1">
      <c r="A17" s="11" t="s">
        <v>48</v>
      </c>
      <c r="B17" s="118">
        <v>377.7</v>
      </c>
      <c r="C17" s="99">
        <f t="shared" si="1"/>
        <v>3267.105</v>
      </c>
      <c r="D17" s="100">
        <f>C17*0.125</f>
        <v>408.388125</v>
      </c>
      <c r="E17" s="119">
        <v>320.1</v>
      </c>
      <c r="F17" s="119">
        <v>16.8</v>
      </c>
      <c r="G17" s="119">
        <v>117.35</v>
      </c>
      <c r="H17" s="119">
        <v>6.09</v>
      </c>
      <c r="I17" s="119">
        <v>1040.33</v>
      </c>
      <c r="J17" s="119">
        <v>54.6</v>
      </c>
      <c r="K17" s="119">
        <v>720.23</v>
      </c>
      <c r="L17" s="119">
        <v>37.8</v>
      </c>
      <c r="M17" s="119">
        <v>256.08</v>
      </c>
      <c r="N17" s="119">
        <v>13.44</v>
      </c>
      <c r="O17" s="119">
        <v>0</v>
      </c>
      <c r="P17" s="120">
        <v>0</v>
      </c>
      <c r="Q17" s="119">
        <v>0</v>
      </c>
      <c r="R17" s="120">
        <v>0</v>
      </c>
      <c r="S17" s="86">
        <f t="shared" si="2"/>
        <v>2454.09</v>
      </c>
      <c r="T17" s="129">
        <f t="shared" si="3"/>
        <v>128.73000000000002</v>
      </c>
      <c r="U17" s="85">
        <v>760.46</v>
      </c>
      <c r="V17" s="85">
        <v>359.89</v>
      </c>
      <c r="W17" s="85">
        <v>2471.5</v>
      </c>
      <c r="X17" s="85">
        <v>1711.04</v>
      </c>
      <c r="Y17" s="85">
        <v>608.37</v>
      </c>
      <c r="Z17" s="85">
        <v>0</v>
      </c>
      <c r="AA17" s="85">
        <v>0</v>
      </c>
      <c r="AB17" s="110">
        <f t="shared" si="4"/>
        <v>5911.259999999999</v>
      </c>
      <c r="AC17" s="130">
        <f t="shared" si="5"/>
        <v>6448.378124999999</v>
      </c>
      <c r="AD17" s="131">
        <f t="shared" si="6"/>
        <v>0</v>
      </c>
      <c r="AE17" s="131">
        <f t="shared" si="7"/>
        <v>0</v>
      </c>
      <c r="AF17" s="96"/>
      <c r="AG17" s="16">
        <f>0.6*B17*0.9</f>
        <v>203.95799999999997</v>
      </c>
      <c r="AH17" s="117">
        <f>B17*0.2*0.9234</f>
        <v>69.753636</v>
      </c>
      <c r="AI17" s="16">
        <f>0.85*B17*0.8934</f>
        <v>286.821603</v>
      </c>
      <c r="AJ17" s="16">
        <f t="shared" si="8"/>
        <v>51.627888539999994</v>
      </c>
      <c r="AK17" s="16">
        <f>0.83*B17*0.8498</f>
        <v>266.4046518</v>
      </c>
      <c r="AL17" s="16">
        <f t="shared" si="9"/>
        <v>47.952837324</v>
      </c>
      <c r="AM17" s="16">
        <f>(1.91)*B17*0.8498</f>
        <v>613.0516686</v>
      </c>
      <c r="AN17" s="16">
        <f t="shared" si="10"/>
        <v>110.34930034799999</v>
      </c>
      <c r="AO17" s="16"/>
      <c r="AP17" s="16">
        <f t="shared" si="11"/>
        <v>0</v>
      </c>
      <c r="AQ17" s="111"/>
      <c r="AR17" s="111">
        <f t="shared" si="11"/>
        <v>0</v>
      </c>
      <c r="AS17" s="91">
        <v>0</v>
      </c>
      <c r="AT17" s="91"/>
      <c r="AU17" s="91">
        <f t="shared" si="12"/>
        <v>0</v>
      </c>
      <c r="AV17" s="112">
        <v>307</v>
      </c>
      <c r="AW17" s="127">
        <v>0.15</v>
      </c>
      <c r="AX17" s="16">
        <f t="shared" si="13"/>
        <v>60.85968</v>
      </c>
      <c r="AY17" s="139"/>
      <c r="AZ17" s="114"/>
      <c r="BA17" s="134">
        <f aca="true" t="shared" si="16" ref="BA17:BA25">AZ17*0.18</f>
        <v>0</v>
      </c>
      <c r="BB17" s="115">
        <f>SUM(AG17:AU17)+AX17+AX14+AX15+AX16</f>
        <v>1968.0947856120001</v>
      </c>
      <c r="BC17" s="121"/>
      <c r="BD17" s="14">
        <f>AC17+AF17-BB17-BC17</f>
        <v>4480.283339387999</v>
      </c>
      <c r="BE17" s="30">
        <f t="shared" si="15"/>
        <v>3457.169999999999</v>
      </c>
    </row>
    <row r="18" spans="1:57" ht="12.75" hidden="1">
      <c r="A18" s="11" t="s">
        <v>49</v>
      </c>
      <c r="B18" s="122">
        <v>377.7</v>
      </c>
      <c r="C18" s="99">
        <f t="shared" si="1"/>
        <v>3267.105</v>
      </c>
      <c r="D18" s="123">
        <f aca="true" t="shared" si="17" ref="D18:D25">C18-E18-F18-G18-H18-I18-J18-K18-L18-M18-N18</f>
        <v>523.1249999999999</v>
      </c>
      <c r="E18" s="119">
        <v>338.4</v>
      </c>
      <c r="F18" s="119">
        <v>18.9</v>
      </c>
      <c r="G18" s="119">
        <v>126.5</v>
      </c>
      <c r="H18" s="119">
        <v>7.14</v>
      </c>
      <c r="I18" s="119">
        <v>1100.72</v>
      </c>
      <c r="J18" s="119">
        <v>61.53</v>
      </c>
      <c r="K18" s="119">
        <v>762.32</v>
      </c>
      <c r="L18" s="119">
        <v>42.63</v>
      </c>
      <c r="M18" s="119">
        <v>270.72</v>
      </c>
      <c r="N18" s="119">
        <v>15.12</v>
      </c>
      <c r="O18" s="119">
        <v>0</v>
      </c>
      <c r="P18" s="120">
        <v>0</v>
      </c>
      <c r="Q18" s="119">
        <v>0</v>
      </c>
      <c r="R18" s="120">
        <v>0</v>
      </c>
      <c r="S18" s="86">
        <f t="shared" si="2"/>
        <v>2598.66</v>
      </c>
      <c r="T18" s="129">
        <f t="shared" si="3"/>
        <v>145.32</v>
      </c>
      <c r="U18" s="86">
        <v>237.26</v>
      </c>
      <c r="V18" s="86">
        <v>87.06</v>
      </c>
      <c r="W18" s="86">
        <v>771.13</v>
      </c>
      <c r="X18" s="86">
        <v>533.86</v>
      </c>
      <c r="Y18" s="86">
        <v>189.82</v>
      </c>
      <c r="Z18" s="116">
        <v>0</v>
      </c>
      <c r="AA18" s="116">
        <v>0</v>
      </c>
      <c r="AB18" s="110">
        <f t="shared" si="4"/>
        <v>1819.1299999999999</v>
      </c>
      <c r="AC18" s="130">
        <f t="shared" si="5"/>
        <v>2487.575</v>
      </c>
      <c r="AD18" s="131">
        <f t="shared" si="6"/>
        <v>0</v>
      </c>
      <c r="AE18" s="131">
        <f t="shared" si="7"/>
        <v>0</v>
      </c>
      <c r="AF18" s="96"/>
      <c r="AG18" s="117">
        <f aca="true" t="shared" si="18" ref="AG18:AG25">0.6*B18</f>
        <v>226.61999999999998</v>
      </c>
      <c r="AH18" s="16">
        <f>B18*0.2*1.01</f>
        <v>76.2954</v>
      </c>
      <c r="AI18" s="16">
        <f>0.85*B18</f>
        <v>321.04499999999996</v>
      </c>
      <c r="AJ18" s="117">
        <f t="shared" si="8"/>
        <v>57.78809999999999</v>
      </c>
      <c r="AK18" s="117">
        <f>0.83*B18</f>
        <v>313.491</v>
      </c>
      <c r="AL18" s="117">
        <f t="shared" si="9"/>
        <v>56.42838</v>
      </c>
      <c r="AM18" s="16">
        <f>(1.91)*B18</f>
        <v>721.4069999999999</v>
      </c>
      <c r="AN18" s="117">
        <f t="shared" si="10"/>
        <v>129.85325999999998</v>
      </c>
      <c r="AO18" s="117"/>
      <c r="AP18" s="117">
        <f t="shared" si="11"/>
        <v>0</v>
      </c>
      <c r="AQ18" s="111"/>
      <c r="AR18" s="111">
        <f t="shared" si="11"/>
        <v>0</v>
      </c>
      <c r="AS18" s="132"/>
      <c r="AT18" s="132"/>
      <c r="AU18" s="91">
        <f t="shared" si="12"/>
        <v>0</v>
      </c>
      <c r="AV18" s="133">
        <v>263</v>
      </c>
      <c r="AW18" s="138">
        <v>0.15</v>
      </c>
      <c r="AX18" s="117">
        <f t="shared" si="13"/>
        <v>52.137119999999996</v>
      </c>
      <c r="AY18" s="117"/>
      <c r="AZ18" s="134"/>
      <c r="BA18" s="134">
        <f t="shared" si="16"/>
        <v>0</v>
      </c>
      <c r="BB18" s="134">
        <f>SUM(AG18:BA18)-AV18-AW18</f>
        <v>1955.0652599999999</v>
      </c>
      <c r="BC18" s="136"/>
      <c r="BD18" s="14">
        <f t="shared" si="14"/>
        <v>532.50974</v>
      </c>
      <c r="BE18" s="30">
        <f t="shared" si="15"/>
        <v>-779.53</v>
      </c>
    </row>
    <row r="19" spans="1:57" ht="12.75" hidden="1">
      <c r="A19" s="11" t="s">
        <v>50</v>
      </c>
      <c r="B19" s="122">
        <v>377.7</v>
      </c>
      <c r="C19" s="99">
        <f t="shared" si="1"/>
        <v>3267.105</v>
      </c>
      <c r="D19" s="123">
        <f t="shared" si="17"/>
        <v>523.1249999999999</v>
      </c>
      <c r="E19" s="119">
        <v>338.4</v>
      </c>
      <c r="F19" s="119">
        <v>18.9</v>
      </c>
      <c r="G19" s="119">
        <v>126.5</v>
      </c>
      <c r="H19" s="119">
        <v>7.14</v>
      </c>
      <c r="I19" s="119">
        <v>1100.72</v>
      </c>
      <c r="J19" s="119">
        <v>61.53</v>
      </c>
      <c r="K19" s="119">
        <v>762.32</v>
      </c>
      <c r="L19" s="119">
        <v>42.63</v>
      </c>
      <c r="M19" s="119">
        <v>270.72</v>
      </c>
      <c r="N19" s="119">
        <v>15.12</v>
      </c>
      <c r="O19" s="119">
        <v>0</v>
      </c>
      <c r="P19" s="120">
        <v>0</v>
      </c>
      <c r="Q19" s="119">
        <v>0</v>
      </c>
      <c r="R19" s="120">
        <v>0</v>
      </c>
      <c r="S19" s="85">
        <f t="shared" si="2"/>
        <v>2598.66</v>
      </c>
      <c r="T19" s="102">
        <f t="shared" si="3"/>
        <v>145.32</v>
      </c>
      <c r="U19" s="86">
        <v>249.59</v>
      </c>
      <c r="V19" s="86">
        <v>93.21</v>
      </c>
      <c r="W19" s="86">
        <v>811.78</v>
      </c>
      <c r="X19" s="86">
        <v>562.19</v>
      </c>
      <c r="Y19" s="86">
        <v>199.67</v>
      </c>
      <c r="Z19" s="116">
        <v>0</v>
      </c>
      <c r="AA19" s="116">
        <v>0</v>
      </c>
      <c r="AB19" s="110">
        <f t="shared" si="4"/>
        <v>1916.44</v>
      </c>
      <c r="AC19" s="130">
        <f t="shared" si="5"/>
        <v>2584.885</v>
      </c>
      <c r="AD19" s="131">
        <f t="shared" si="6"/>
        <v>0</v>
      </c>
      <c r="AE19" s="131">
        <f t="shared" si="7"/>
        <v>0</v>
      </c>
      <c r="AF19" s="96"/>
      <c r="AG19" s="16">
        <f t="shared" si="18"/>
        <v>226.61999999999998</v>
      </c>
      <c r="AH19" s="16">
        <f>B19*0.2*1.01045</f>
        <v>76.32939300000001</v>
      </c>
      <c r="AI19" s="16">
        <f>0.85*B19</f>
        <v>321.04499999999996</v>
      </c>
      <c r="AJ19" s="16">
        <f t="shared" si="8"/>
        <v>57.78809999999999</v>
      </c>
      <c r="AK19" s="16">
        <f>0.83*B19</f>
        <v>313.491</v>
      </c>
      <c r="AL19" s="16">
        <f t="shared" si="9"/>
        <v>56.42838</v>
      </c>
      <c r="AM19" s="16">
        <f>(1.91)*B19</f>
        <v>721.4069999999999</v>
      </c>
      <c r="AN19" s="117">
        <f t="shared" si="10"/>
        <v>129.85325999999998</v>
      </c>
      <c r="AO19" s="117"/>
      <c r="AP19" s="117">
        <f t="shared" si="11"/>
        <v>0</v>
      </c>
      <c r="AQ19" s="111"/>
      <c r="AR19" s="111">
        <f t="shared" si="11"/>
        <v>0</v>
      </c>
      <c r="AS19" s="132"/>
      <c r="AT19" s="132"/>
      <c r="AU19" s="91">
        <f t="shared" si="12"/>
        <v>0</v>
      </c>
      <c r="AV19" s="133">
        <v>233</v>
      </c>
      <c r="AW19" s="138">
        <v>0.15</v>
      </c>
      <c r="AX19" s="117">
        <f t="shared" si="13"/>
        <v>46.189919999999994</v>
      </c>
      <c r="AY19" s="114"/>
      <c r="AZ19" s="115"/>
      <c r="BA19" s="115">
        <f t="shared" si="16"/>
        <v>0</v>
      </c>
      <c r="BB19" s="115">
        <f>SUM(AG19:BA19)-AV19-AW19</f>
        <v>1949.1520529999998</v>
      </c>
      <c r="BC19" s="136"/>
      <c r="BD19" s="14">
        <f t="shared" si="14"/>
        <v>635.7329470000004</v>
      </c>
      <c r="BE19" s="30">
        <f t="shared" si="15"/>
        <v>-682.2199999999998</v>
      </c>
    </row>
    <row r="20" spans="1:57" ht="12.75" hidden="1">
      <c r="A20" s="11" t="s">
        <v>51</v>
      </c>
      <c r="B20" s="137">
        <v>377.7</v>
      </c>
      <c r="C20" s="99">
        <f aca="true" t="shared" si="19" ref="C20:C25">B20*8.65</f>
        <v>3267.105</v>
      </c>
      <c r="D20" s="123">
        <f t="shared" si="17"/>
        <v>523.1249999999999</v>
      </c>
      <c r="E20" s="119">
        <v>338.4</v>
      </c>
      <c r="F20" s="119">
        <v>18.9</v>
      </c>
      <c r="G20" s="119">
        <v>126.5</v>
      </c>
      <c r="H20" s="119">
        <v>7.14</v>
      </c>
      <c r="I20" s="119">
        <v>1100.72</v>
      </c>
      <c r="J20" s="119">
        <v>61.53</v>
      </c>
      <c r="K20" s="119">
        <v>762.32</v>
      </c>
      <c r="L20" s="119">
        <v>42.63</v>
      </c>
      <c r="M20" s="119">
        <v>270.72</v>
      </c>
      <c r="N20" s="119">
        <v>15.12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2598.66</v>
      </c>
      <c r="T20" s="129">
        <f t="shared" si="3"/>
        <v>145.32</v>
      </c>
      <c r="U20" s="86">
        <v>346.22</v>
      </c>
      <c r="V20" s="86">
        <v>129.22</v>
      </c>
      <c r="W20" s="86">
        <v>1126.09</v>
      </c>
      <c r="X20" s="86">
        <v>779.87</v>
      </c>
      <c r="Y20" s="86">
        <v>276.97</v>
      </c>
      <c r="Z20" s="116">
        <v>0</v>
      </c>
      <c r="AA20" s="116">
        <v>0</v>
      </c>
      <c r="AB20" s="110">
        <f t="shared" si="4"/>
        <v>2658.37</v>
      </c>
      <c r="AC20" s="130">
        <f t="shared" si="5"/>
        <v>3326.8149999999996</v>
      </c>
      <c r="AD20" s="131">
        <f t="shared" si="6"/>
        <v>0</v>
      </c>
      <c r="AE20" s="131">
        <f t="shared" si="7"/>
        <v>0</v>
      </c>
      <c r="AF20" s="131"/>
      <c r="AG20" s="117">
        <f t="shared" si="18"/>
        <v>226.61999999999998</v>
      </c>
      <c r="AH20" s="16">
        <f>B20*0.2*0.99425</f>
        <v>75.10564500000001</v>
      </c>
      <c r="AI20" s="117">
        <f>0.85*B20*0.9858</f>
        <v>316.486161</v>
      </c>
      <c r="AJ20" s="117">
        <f t="shared" si="8"/>
        <v>56.96750898</v>
      </c>
      <c r="AK20" s="117">
        <f>0.83*B20*0.9905</f>
        <v>310.5128355</v>
      </c>
      <c r="AL20" s="117">
        <f t="shared" si="9"/>
        <v>55.89231039</v>
      </c>
      <c r="AM20" s="117">
        <f>(1.91)*B20*0.9904</f>
        <v>714.4814927999998</v>
      </c>
      <c r="AN20" s="117">
        <f t="shared" si="10"/>
        <v>128.60666870399996</v>
      </c>
      <c r="AO20" s="117"/>
      <c r="AP20" s="117">
        <f t="shared" si="11"/>
        <v>0</v>
      </c>
      <c r="AQ20" s="111"/>
      <c r="AR20" s="111">
        <f t="shared" si="11"/>
        <v>0</v>
      </c>
      <c r="AS20" s="132"/>
      <c r="AT20" s="91"/>
      <c r="AU20" s="91">
        <f t="shared" si="12"/>
        <v>0</v>
      </c>
      <c r="AV20" s="133">
        <v>248</v>
      </c>
      <c r="AW20" s="138">
        <v>0.15</v>
      </c>
      <c r="AX20" s="117">
        <f t="shared" si="13"/>
        <v>49.16352</v>
      </c>
      <c r="AY20" s="117"/>
      <c r="AZ20" s="134"/>
      <c r="BA20" s="134">
        <f t="shared" si="16"/>
        <v>0</v>
      </c>
      <c r="BB20" s="134">
        <f>SUM(AG20:BA20)-AV20-AW20</f>
        <v>1933.8361423739998</v>
      </c>
      <c r="BC20" s="136"/>
      <c r="BD20" s="14">
        <f t="shared" si="14"/>
        <v>1392.9788576259998</v>
      </c>
      <c r="BE20" s="30">
        <f t="shared" si="15"/>
        <v>59.710000000000036</v>
      </c>
    </row>
    <row r="21" spans="1:57" ht="12.75" hidden="1">
      <c r="A21" s="11" t="s">
        <v>52</v>
      </c>
      <c r="B21" s="109">
        <v>377.7</v>
      </c>
      <c r="C21" s="99">
        <f t="shared" si="19"/>
        <v>3267.105</v>
      </c>
      <c r="D21" s="123">
        <f t="shared" si="17"/>
        <v>523.1249999999999</v>
      </c>
      <c r="E21" s="119">
        <v>338.4</v>
      </c>
      <c r="F21" s="119">
        <v>18.9</v>
      </c>
      <c r="G21" s="119">
        <v>126.5</v>
      </c>
      <c r="H21" s="119">
        <v>7.14</v>
      </c>
      <c r="I21" s="119">
        <v>1100.72</v>
      </c>
      <c r="J21" s="119">
        <v>61.53</v>
      </c>
      <c r="K21" s="119">
        <v>762.32</v>
      </c>
      <c r="L21" s="119">
        <v>42.63</v>
      </c>
      <c r="M21" s="119">
        <v>270.72</v>
      </c>
      <c r="N21" s="119">
        <v>15.12</v>
      </c>
      <c r="O21" s="119">
        <v>0</v>
      </c>
      <c r="P21" s="120">
        <v>0</v>
      </c>
      <c r="Q21" s="86">
        <v>0</v>
      </c>
      <c r="R21" s="86">
        <v>0</v>
      </c>
      <c r="S21" s="85">
        <f t="shared" si="2"/>
        <v>2598.66</v>
      </c>
      <c r="T21" s="102">
        <f t="shared" si="3"/>
        <v>145.32</v>
      </c>
      <c r="U21" s="86">
        <v>177.72</v>
      </c>
      <c r="V21" s="86">
        <v>66.48</v>
      </c>
      <c r="W21" s="86">
        <v>578.12</v>
      </c>
      <c r="X21" s="86">
        <v>400.38</v>
      </c>
      <c r="Y21" s="86">
        <v>142.19</v>
      </c>
      <c r="Z21" s="116">
        <v>0</v>
      </c>
      <c r="AA21" s="116">
        <v>0</v>
      </c>
      <c r="AB21" s="110">
        <f t="shared" si="4"/>
        <v>1364.8899999999999</v>
      </c>
      <c r="AC21" s="107">
        <f t="shared" si="5"/>
        <v>2033.3349999999998</v>
      </c>
      <c r="AD21" s="131">
        <f t="shared" si="6"/>
        <v>0</v>
      </c>
      <c r="AE21" s="131">
        <f t="shared" si="7"/>
        <v>0</v>
      </c>
      <c r="AF21" s="131"/>
      <c r="AG21" s="16">
        <f t="shared" si="18"/>
        <v>226.61999999999998</v>
      </c>
      <c r="AH21" s="16">
        <f>B21*0.2*0.99876</f>
        <v>75.44633040000001</v>
      </c>
      <c r="AI21" s="16">
        <f>0.85*B21*0.98525</f>
        <v>316.30958624999994</v>
      </c>
      <c r="AJ21" s="16">
        <f t="shared" si="8"/>
        <v>56.93572552499999</v>
      </c>
      <c r="AK21" s="16">
        <f>0.83*B21*0.99</f>
        <v>310.35609</v>
      </c>
      <c r="AL21" s="16">
        <f t="shared" si="9"/>
        <v>55.8640962</v>
      </c>
      <c r="AM21" s="16">
        <f>(1.91)*B21*0.9899</f>
        <v>714.1207893</v>
      </c>
      <c r="AN21" s="117">
        <f t="shared" si="10"/>
        <v>128.54174207399998</v>
      </c>
      <c r="AO21" s="117"/>
      <c r="AP21" s="117">
        <f t="shared" si="11"/>
        <v>0</v>
      </c>
      <c r="AQ21" s="111"/>
      <c r="AR21" s="111">
        <f t="shared" si="11"/>
        <v>0</v>
      </c>
      <c r="AS21" s="132"/>
      <c r="AT21" s="91"/>
      <c r="AU21" s="91">
        <f t="shared" si="12"/>
        <v>0</v>
      </c>
      <c r="AV21" s="133">
        <v>293</v>
      </c>
      <c r="AW21" s="138">
        <v>0.15</v>
      </c>
      <c r="AX21" s="117">
        <f t="shared" si="13"/>
        <v>58.08431999999999</v>
      </c>
      <c r="AY21" s="114"/>
      <c r="AZ21" s="115"/>
      <c r="BA21" s="115">
        <f t="shared" si="16"/>
        <v>0</v>
      </c>
      <c r="BB21" s="115">
        <f>SUM(AG21:BA21)-AV21-AW21</f>
        <v>1942.2786797489998</v>
      </c>
      <c r="BC21" s="136"/>
      <c r="BD21" s="14">
        <f t="shared" si="14"/>
        <v>91.05632025099999</v>
      </c>
      <c r="BE21" s="30">
        <f>AB21-S21</f>
        <v>-1233.77</v>
      </c>
    </row>
    <row r="22" spans="1:57" ht="12.75" hidden="1">
      <c r="A22" s="11" t="s">
        <v>53</v>
      </c>
      <c r="B22" s="98">
        <v>377.7</v>
      </c>
      <c r="C22" s="99">
        <f t="shared" si="19"/>
        <v>3267.105</v>
      </c>
      <c r="D22" s="123">
        <f t="shared" si="17"/>
        <v>538.125</v>
      </c>
      <c r="E22" s="101">
        <v>336.4</v>
      </c>
      <c r="F22" s="101">
        <v>18.9</v>
      </c>
      <c r="G22" s="101">
        <v>125.9</v>
      </c>
      <c r="H22" s="101">
        <v>7.14</v>
      </c>
      <c r="I22" s="101">
        <v>1094.32</v>
      </c>
      <c r="J22" s="101">
        <v>61.53</v>
      </c>
      <c r="K22" s="101">
        <v>757.92</v>
      </c>
      <c r="L22" s="101">
        <v>42.63</v>
      </c>
      <c r="M22" s="101">
        <v>269.12</v>
      </c>
      <c r="N22" s="101">
        <v>15.12</v>
      </c>
      <c r="O22" s="119">
        <v>0</v>
      </c>
      <c r="P22" s="120">
        <v>0</v>
      </c>
      <c r="Q22" s="86">
        <v>0</v>
      </c>
      <c r="R22" s="86">
        <v>0</v>
      </c>
      <c r="S22" s="85">
        <f t="shared" si="2"/>
        <v>2583.66</v>
      </c>
      <c r="T22" s="102">
        <f t="shared" si="3"/>
        <v>145.32</v>
      </c>
      <c r="U22" s="85">
        <v>289.86</v>
      </c>
      <c r="V22" s="85">
        <v>108.2</v>
      </c>
      <c r="W22" s="85">
        <v>942.68</v>
      </c>
      <c r="X22" s="85">
        <v>652.82</v>
      </c>
      <c r="Y22" s="85">
        <v>231.88</v>
      </c>
      <c r="Z22" s="103">
        <v>0</v>
      </c>
      <c r="AA22" s="103">
        <v>0</v>
      </c>
      <c r="AB22" s="110">
        <f t="shared" si="4"/>
        <v>2225.44</v>
      </c>
      <c r="AC22" s="107">
        <f t="shared" si="5"/>
        <v>2908.885</v>
      </c>
      <c r="AD22" s="131">
        <f t="shared" si="6"/>
        <v>0</v>
      </c>
      <c r="AE22" s="131">
        <f t="shared" si="7"/>
        <v>0</v>
      </c>
      <c r="AF22" s="131"/>
      <c r="AG22" s="16">
        <f t="shared" si="18"/>
        <v>226.61999999999998</v>
      </c>
      <c r="AH22" s="16">
        <f>B22*0.2*0.9996</f>
        <v>75.50978400000001</v>
      </c>
      <c r="AI22" s="16">
        <f>0.85*B22*0.98508</f>
        <v>316.25500859999994</v>
      </c>
      <c r="AJ22" s="16">
        <f t="shared" si="8"/>
        <v>56.925901547999985</v>
      </c>
      <c r="AK22" s="16">
        <f>0.83*B22*0.98981</f>
        <v>310.29652670999997</v>
      </c>
      <c r="AL22" s="16">
        <f t="shared" si="9"/>
        <v>55.853374807799995</v>
      </c>
      <c r="AM22" s="16">
        <f>(1.91)*B22*0.98981</f>
        <v>714.0558626699999</v>
      </c>
      <c r="AN22" s="117">
        <f t="shared" si="10"/>
        <v>128.53005528059998</v>
      </c>
      <c r="AO22" s="117"/>
      <c r="AP22" s="117">
        <f t="shared" si="11"/>
        <v>0</v>
      </c>
      <c r="AQ22" s="111"/>
      <c r="AR22" s="111">
        <f t="shared" si="11"/>
        <v>0</v>
      </c>
      <c r="AS22" s="132"/>
      <c r="AT22" s="91"/>
      <c r="AU22" s="91">
        <f t="shared" si="12"/>
        <v>0</v>
      </c>
      <c r="AV22" s="133">
        <v>349</v>
      </c>
      <c r="AW22" s="138">
        <v>0.15</v>
      </c>
      <c r="AX22" s="117">
        <f t="shared" si="13"/>
        <v>69.18576</v>
      </c>
      <c r="AY22" s="114"/>
      <c r="AZ22" s="115"/>
      <c r="BA22" s="115">
        <f t="shared" si="16"/>
        <v>0</v>
      </c>
      <c r="BB22" s="115">
        <f>SUM(AG22:BA22)-AV22-AW22</f>
        <v>1953.2322736163992</v>
      </c>
      <c r="BC22" s="136"/>
      <c r="BD22" s="14">
        <f t="shared" si="14"/>
        <v>955.652726383601</v>
      </c>
      <c r="BE22" s="30">
        <f>AB22-S22</f>
        <v>-358.2199999999998</v>
      </c>
    </row>
    <row r="23" spans="1:57" ht="12.75" hidden="1">
      <c r="A23" s="11" t="s">
        <v>41</v>
      </c>
      <c r="B23" s="98">
        <v>377.7</v>
      </c>
      <c r="C23" s="124">
        <f t="shared" si="19"/>
        <v>3267.105</v>
      </c>
      <c r="D23" s="123">
        <f t="shared" si="17"/>
        <v>538.125</v>
      </c>
      <c r="E23" s="87">
        <v>336.4</v>
      </c>
      <c r="F23" s="85">
        <v>18.9</v>
      </c>
      <c r="G23" s="85">
        <v>125.9</v>
      </c>
      <c r="H23" s="85">
        <v>7.14</v>
      </c>
      <c r="I23" s="85">
        <v>1094.32</v>
      </c>
      <c r="J23" s="85">
        <v>61.53</v>
      </c>
      <c r="K23" s="85">
        <v>757.92</v>
      </c>
      <c r="L23" s="85">
        <v>42.63</v>
      </c>
      <c r="M23" s="85">
        <v>269.12</v>
      </c>
      <c r="N23" s="85">
        <v>15.12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2583.66</v>
      </c>
      <c r="T23" s="102">
        <f t="shared" si="3"/>
        <v>145.32</v>
      </c>
      <c r="U23" s="88">
        <v>279.14</v>
      </c>
      <c r="V23" s="85">
        <v>104.35</v>
      </c>
      <c r="W23" s="85">
        <v>907.98</v>
      </c>
      <c r="X23" s="85">
        <v>628.84</v>
      </c>
      <c r="Y23" s="85">
        <v>223.31</v>
      </c>
      <c r="Z23" s="103">
        <v>0</v>
      </c>
      <c r="AA23" s="103">
        <v>0</v>
      </c>
      <c r="AB23" s="103">
        <f>SUM(U23:AA23)</f>
        <v>2143.62</v>
      </c>
      <c r="AC23" s="107">
        <f>AB23+T23+D23</f>
        <v>2827.065</v>
      </c>
      <c r="AD23" s="96">
        <f t="shared" si="6"/>
        <v>0</v>
      </c>
      <c r="AE23" s="96">
        <f t="shared" si="7"/>
        <v>0</v>
      </c>
      <c r="AF23" s="96"/>
      <c r="AG23" s="16">
        <f t="shared" si="18"/>
        <v>226.61999999999998</v>
      </c>
      <c r="AH23" s="16">
        <f>B23*0.2</f>
        <v>75.54</v>
      </c>
      <c r="AI23" s="16">
        <f>(0.847*B23)</f>
        <v>319.9119</v>
      </c>
      <c r="AJ23" s="16">
        <f t="shared" si="8"/>
        <v>57.584142</v>
      </c>
      <c r="AK23" s="16">
        <f>0.83*B23</f>
        <v>313.491</v>
      </c>
      <c r="AL23" s="16">
        <f t="shared" si="9"/>
        <v>56.42838</v>
      </c>
      <c r="AM23" s="16">
        <f>(2.25/1.18)*B23</f>
        <v>720.1906779661017</v>
      </c>
      <c r="AN23" s="16">
        <f t="shared" si="10"/>
        <v>129.63432203389831</v>
      </c>
      <c r="AO23" s="16"/>
      <c r="AP23" s="16">
        <f t="shared" si="11"/>
        <v>0</v>
      </c>
      <c r="AQ23" s="111"/>
      <c r="AR23" s="111">
        <f t="shared" si="11"/>
        <v>0</v>
      </c>
      <c r="AS23" s="91">
        <v>0</v>
      </c>
      <c r="AT23" s="132"/>
      <c r="AU23" s="91">
        <f t="shared" si="12"/>
        <v>0</v>
      </c>
      <c r="AV23" s="112">
        <v>425</v>
      </c>
      <c r="AW23" s="127">
        <v>0.15</v>
      </c>
      <c r="AX23" s="16">
        <f t="shared" si="13"/>
        <v>84.252</v>
      </c>
      <c r="AY23" s="114"/>
      <c r="AZ23" s="128"/>
      <c r="BA23" s="115">
        <f t="shared" si="16"/>
        <v>0</v>
      </c>
      <c r="BB23" s="115">
        <f>SUM(AG23:AU23)+AX23+AY23+AZ23+BA23</f>
        <v>1983.652422</v>
      </c>
      <c r="BC23" s="121"/>
      <c r="BD23" s="14">
        <f>AC23+AF23-BB23-BC23</f>
        <v>843.4125780000002</v>
      </c>
      <c r="BE23" s="30">
        <f>AB23-S23</f>
        <v>-440.03999999999996</v>
      </c>
    </row>
    <row r="24" spans="1:57" ht="12.75" hidden="1">
      <c r="A24" s="11" t="s">
        <v>42</v>
      </c>
      <c r="B24" s="109">
        <v>377.7</v>
      </c>
      <c r="C24" s="124">
        <f t="shared" si="19"/>
        <v>3267.105</v>
      </c>
      <c r="D24" s="123">
        <f t="shared" si="17"/>
        <v>538.125</v>
      </c>
      <c r="E24" s="101">
        <v>336.4</v>
      </c>
      <c r="F24" s="101">
        <v>18.9</v>
      </c>
      <c r="G24" s="101">
        <v>125.9</v>
      </c>
      <c r="H24" s="101">
        <v>7.14</v>
      </c>
      <c r="I24" s="101">
        <v>1094.32</v>
      </c>
      <c r="J24" s="101">
        <v>61.53</v>
      </c>
      <c r="K24" s="101">
        <v>757.92</v>
      </c>
      <c r="L24" s="101">
        <v>42.63</v>
      </c>
      <c r="M24" s="101">
        <v>269.12</v>
      </c>
      <c r="N24" s="101">
        <v>15.12</v>
      </c>
      <c r="O24" s="101">
        <v>0</v>
      </c>
      <c r="P24" s="108">
        <v>0</v>
      </c>
      <c r="Q24" s="108">
        <v>0</v>
      </c>
      <c r="R24" s="108">
        <v>0</v>
      </c>
      <c r="S24" s="85">
        <f t="shared" si="2"/>
        <v>2583.66</v>
      </c>
      <c r="T24" s="102">
        <f t="shared" si="3"/>
        <v>145.32</v>
      </c>
      <c r="U24" s="85">
        <v>1104.65</v>
      </c>
      <c r="V24" s="85">
        <v>413.61</v>
      </c>
      <c r="W24" s="85">
        <v>3593.66</v>
      </c>
      <c r="X24" s="85">
        <v>2489.03</v>
      </c>
      <c r="Y24" s="85">
        <v>883.7</v>
      </c>
      <c r="Z24" s="103">
        <v>0</v>
      </c>
      <c r="AA24" s="103">
        <v>0</v>
      </c>
      <c r="AB24" s="103">
        <f>SUM(U24:AA24)</f>
        <v>8484.650000000001</v>
      </c>
      <c r="AC24" s="107">
        <f>D24+T24+AB24</f>
        <v>9168.095000000001</v>
      </c>
      <c r="AD24" s="96">
        <f t="shared" si="6"/>
        <v>0</v>
      </c>
      <c r="AE24" s="96">
        <f t="shared" si="7"/>
        <v>0</v>
      </c>
      <c r="AF24" s="96"/>
      <c r="AG24" s="16">
        <f t="shared" si="18"/>
        <v>226.61999999999998</v>
      </c>
      <c r="AH24" s="16">
        <f>B24*0.2</f>
        <v>75.54</v>
      </c>
      <c r="AI24" s="16">
        <f>0.85*B24</f>
        <v>321.04499999999996</v>
      </c>
      <c r="AJ24" s="16">
        <f t="shared" si="8"/>
        <v>57.78809999999999</v>
      </c>
      <c r="AK24" s="16">
        <f>0.83*B24</f>
        <v>313.491</v>
      </c>
      <c r="AL24" s="16">
        <f t="shared" si="9"/>
        <v>56.42838</v>
      </c>
      <c r="AM24" s="16">
        <f>(1.91)*B24</f>
        <v>721.4069999999999</v>
      </c>
      <c r="AN24" s="16">
        <f t="shared" si="10"/>
        <v>129.85325999999998</v>
      </c>
      <c r="AO24" s="16"/>
      <c r="AP24" s="16">
        <f t="shared" si="11"/>
        <v>0</v>
      </c>
      <c r="AQ24" s="111"/>
      <c r="AR24" s="111">
        <f t="shared" si="11"/>
        <v>0</v>
      </c>
      <c r="AS24" s="91">
        <v>0</v>
      </c>
      <c r="AT24" s="132"/>
      <c r="AU24" s="91">
        <f t="shared" si="12"/>
        <v>0</v>
      </c>
      <c r="AV24" s="112">
        <v>470</v>
      </c>
      <c r="AW24" s="127">
        <v>0.15</v>
      </c>
      <c r="AX24" s="16">
        <f t="shared" si="13"/>
        <v>93.17280000000001</v>
      </c>
      <c r="AY24" s="114"/>
      <c r="AZ24" s="115"/>
      <c r="BA24" s="115">
        <f t="shared" si="16"/>
        <v>0</v>
      </c>
      <c r="BB24" s="115">
        <f>SUM(AG24:AU24)+AX24+AY24+AZ24+BA24</f>
        <v>1995.34554</v>
      </c>
      <c r="BC24" s="125"/>
      <c r="BD24" s="14">
        <f>AC24+AF24-BB24-BC24</f>
        <v>7172.749460000001</v>
      </c>
      <c r="BE24" s="30">
        <f>AB24-S24</f>
        <v>5900.990000000002</v>
      </c>
    </row>
    <row r="25" spans="1:57" ht="12.75" hidden="1">
      <c r="A25" s="11" t="s">
        <v>43</v>
      </c>
      <c r="B25" s="98">
        <v>377.7</v>
      </c>
      <c r="C25" s="124">
        <f t="shared" si="19"/>
        <v>3267.105</v>
      </c>
      <c r="D25" s="123">
        <f t="shared" si="17"/>
        <v>548.6049999999994</v>
      </c>
      <c r="E25" s="101">
        <v>328.73</v>
      </c>
      <c r="F25" s="101">
        <v>25.17</v>
      </c>
      <c r="G25" s="101">
        <v>123.11</v>
      </c>
      <c r="H25" s="101">
        <v>9.51</v>
      </c>
      <c r="I25" s="101">
        <v>1069.45</v>
      </c>
      <c r="J25" s="101">
        <v>81.94</v>
      </c>
      <c r="K25" s="101">
        <v>740.69</v>
      </c>
      <c r="L25" s="101">
        <v>56.78</v>
      </c>
      <c r="M25" s="101">
        <v>262.99</v>
      </c>
      <c r="N25" s="101">
        <v>20.13</v>
      </c>
      <c r="O25" s="101">
        <v>0</v>
      </c>
      <c r="P25" s="108">
        <v>0</v>
      </c>
      <c r="Q25" s="108"/>
      <c r="R25" s="108"/>
      <c r="S25" s="85">
        <f t="shared" si="2"/>
        <v>2524.9700000000003</v>
      </c>
      <c r="T25" s="102">
        <f t="shared" si="3"/>
        <v>193.52999999999997</v>
      </c>
      <c r="U25" s="85">
        <v>250.16</v>
      </c>
      <c r="V25" s="85">
        <v>93.57</v>
      </c>
      <c r="W25" s="85">
        <v>813.74</v>
      </c>
      <c r="X25" s="85">
        <v>563.59</v>
      </c>
      <c r="Y25" s="85">
        <v>200.14</v>
      </c>
      <c r="Z25" s="103">
        <v>0</v>
      </c>
      <c r="AA25" s="103">
        <v>0</v>
      </c>
      <c r="AB25" s="103">
        <f>SUM(U25:AA25)</f>
        <v>1921.1999999999998</v>
      </c>
      <c r="AC25" s="107">
        <f>D25+T25+AB25</f>
        <v>2663.334999999999</v>
      </c>
      <c r="AD25" s="96">
        <f t="shared" si="6"/>
        <v>0</v>
      </c>
      <c r="AE25" s="96">
        <f t="shared" si="7"/>
        <v>0</v>
      </c>
      <c r="AF25" s="96"/>
      <c r="AG25" s="16">
        <f t="shared" si="18"/>
        <v>226.61999999999998</v>
      </c>
      <c r="AH25" s="16">
        <f>B25*0.2</f>
        <v>75.54</v>
      </c>
      <c r="AI25" s="16">
        <f>0.85*B25</f>
        <v>321.04499999999996</v>
      </c>
      <c r="AJ25" s="16">
        <f t="shared" si="8"/>
        <v>57.78809999999999</v>
      </c>
      <c r="AK25" s="16">
        <f>0.83*B25</f>
        <v>313.491</v>
      </c>
      <c r="AL25" s="16">
        <f t="shared" si="9"/>
        <v>56.42838</v>
      </c>
      <c r="AM25" s="16">
        <f>(1.91)*B25</f>
        <v>721.4069999999999</v>
      </c>
      <c r="AN25" s="16">
        <f t="shared" si="10"/>
        <v>129.85325999999998</v>
      </c>
      <c r="AO25" s="16"/>
      <c r="AP25" s="16">
        <f t="shared" si="11"/>
        <v>0</v>
      </c>
      <c r="AQ25" s="111"/>
      <c r="AR25" s="111">
        <f t="shared" si="11"/>
        <v>0</v>
      </c>
      <c r="AS25" s="91">
        <v>0</v>
      </c>
      <c r="AT25" s="132"/>
      <c r="AU25" s="91">
        <f t="shared" si="12"/>
        <v>0</v>
      </c>
      <c r="AV25" s="112">
        <v>514</v>
      </c>
      <c r="AW25" s="127">
        <v>0.15</v>
      </c>
      <c r="AX25" s="16">
        <f t="shared" si="13"/>
        <v>101.89536</v>
      </c>
      <c r="AY25" s="114"/>
      <c r="AZ25" s="115"/>
      <c r="BA25" s="115">
        <f t="shared" si="16"/>
        <v>0</v>
      </c>
      <c r="BB25" s="115">
        <f>SUM(AG25:BA25)-AV25-AW25</f>
        <v>2004.0681</v>
      </c>
      <c r="BC25" s="125"/>
      <c r="BD25" s="14">
        <f>AC25+AF25-BB25-BC25</f>
        <v>659.2668999999992</v>
      </c>
      <c r="BE25" s="30">
        <f>AB25-S25</f>
        <v>-603.7700000000004</v>
      </c>
    </row>
    <row r="26" spans="1:57" s="20" customFormat="1" ht="12.75" hidden="1">
      <c r="A26" s="17" t="s">
        <v>5</v>
      </c>
      <c r="B26" s="60"/>
      <c r="C26" s="60">
        <f aca="true" t="shared" si="20" ref="C26:BC26">SUM(C14:C25)</f>
        <v>39205.26</v>
      </c>
      <c r="D26" s="60">
        <f t="shared" si="20"/>
        <v>5889.032499999999</v>
      </c>
      <c r="E26" s="57">
        <f t="shared" si="20"/>
        <v>3971.870000000001</v>
      </c>
      <c r="F26" s="57">
        <f t="shared" si="20"/>
        <v>224.67000000000002</v>
      </c>
      <c r="G26" s="57">
        <f t="shared" si="20"/>
        <v>1476.19</v>
      </c>
      <c r="H26" s="57">
        <f t="shared" si="20"/>
        <v>83.85000000000001</v>
      </c>
      <c r="I26" s="57">
        <f t="shared" si="20"/>
        <v>12916.380000000001</v>
      </c>
      <c r="J26" s="57">
        <f t="shared" si="20"/>
        <v>731.05</v>
      </c>
      <c r="K26" s="57">
        <f t="shared" si="20"/>
        <v>8944.5</v>
      </c>
      <c r="L26" s="57">
        <f t="shared" si="20"/>
        <v>506.39</v>
      </c>
      <c r="M26" s="57">
        <f t="shared" si="20"/>
        <v>3177.499999999999</v>
      </c>
      <c r="N26" s="57">
        <f t="shared" si="20"/>
        <v>179.73000000000002</v>
      </c>
      <c r="O26" s="57">
        <f t="shared" si="20"/>
        <v>0</v>
      </c>
      <c r="P26" s="57">
        <f t="shared" si="20"/>
        <v>0</v>
      </c>
      <c r="Q26" s="57">
        <f t="shared" si="20"/>
        <v>0</v>
      </c>
      <c r="R26" s="57">
        <f t="shared" si="20"/>
        <v>0</v>
      </c>
      <c r="S26" s="57">
        <f t="shared" si="20"/>
        <v>30486.440000000002</v>
      </c>
      <c r="T26" s="57">
        <f t="shared" si="20"/>
        <v>1725.6899999999996</v>
      </c>
      <c r="U26" s="61">
        <f t="shared" si="20"/>
        <v>4405.469999999999</v>
      </c>
      <c r="V26" s="61">
        <f t="shared" si="20"/>
        <v>1716.2299999999998</v>
      </c>
      <c r="W26" s="61">
        <f t="shared" si="20"/>
        <v>14325.539999999999</v>
      </c>
      <c r="X26" s="61">
        <f t="shared" si="20"/>
        <v>9920.08</v>
      </c>
      <c r="Y26" s="61">
        <f t="shared" si="20"/>
        <v>3524.39</v>
      </c>
      <c r="Z26" s="61">
        <f t="shared" si="20"/>
        <v>0</v>
      </c>
      <c r="AA26" s="61">
        <f t="shared" si="20"/>
        <v>0</v>
      </c>
      <c r="AB26" s="61">
        <f t="shared" si="20"/>
        <v>33891.70999999999</v>
      </c>
      <c r="AC26" s="61">
        <f t="shared" si="20"/>
        <v>41506.43249999999</v>
      </c>
      <c r="AD26" s="61">
        <f t="shared" si="20"/>
        <v>0</v>
      </c>
      <c r="AE26" s="94">
        <f t="shared" si="20"/>
        <v>0</v>
      </c>
      <c r="AF26" s="94">
        <f t="shared" si="20"/>
        <v>0</v>
      </c>
      <c r="AG26" s="18">
        <f t="shared" si="20"/>
        <v>2628.791999999999</v>
      </c>
      <c r="AH26" s="18">
        <f t="shared" si="20"/>
        <v>880.1035183999998</v>
      </c>
      <c r="AI26" s="18">
        <f t="shared" si="20"/>
        <v>3674.8317813500003</v>
      </c>
      <c r="AJ26" s="18">
        <f t="shared" si="20"/>
        <v>661.469720643</v>
      </c>
      <c r="AK26" s="18">
        <f t="shared" si="20"/>
        <v>3572.2957781099994</v>
      </c>
      <c r="AL26" s="18">
        <f t="shared" si="20"/>
        <v>643.0132400597998</v>
      </c>
      <c r="AM26" s="18">
        <f t="shared" si="20"/>
        <v>8219.151516336102</v>
      </c>
      <c r="AN26" s="18">
        <f t="shared" si="20"/>
        <v>1479.4472729404984</v>
      </c>
      <c r="AO26" s="18">
        <f t="shared" si="20"/>
        <v>0</v>
      </c>
      <c r="AP26" s="18">
        <f t="shared" si="20"/>
        <v>0</v>
      </c>
      <c r="AQ26" s="18">
        <f>SUM(AQ14:AQ25)</f>
        <v>0</v>
      </c>
      <c r="AR26" s="18">
        <f>SUM(AR14:AR25)</f>
        <v>0</v>
      </c>
      <c r="AS26" s="18">
        <f>SUM(AS14:AS25)</f>
        <v>0</v>
      </c>
      <c r="AT26" s="18">
        <f>SUM(AT14:AT25)</f>
        <v>0</v>
      </c>
      <c r="AU26" s="18">
        <f>SUM(AU14:AU25)</f>
        <v>0</v>
      </c>
      <c r="AV26" s="18"/>
      <c r="AW26" s="18"/>
      <c r="AX26" s="18">
        <f t="shared" si="20"/>
        <v>872.256</v>
      </c>
      <c r="AY26" s="18">
        <f t="shared" si="20"/>
        <v>0</v>
      </c>
      <c r="AZ26" s="18">
        <f t="shared" si="20"/>
        <v>0</v>
      </c>
      <c r="BA26" s="18">
        <f t="shared" si="20"/>
        <v>0</v>
      </c>
      <c r="BB26" s="18">
        <f t="shared" si="20"/>
        <v>22631.360827839395</v>
      </c>
      <c r="BC26" s="18">
        <f t="shared" si="20"/>
        <v>0</v>
      </c>
      <c r="BD26" s="18">
        <f>SUM(BD14:BD25)</f>
        <v>18875.0716721606</v>
      </c>
      <c r="BE26" s="19">
        <f>SUM(BE14:BE25)</f>
        <v>3405.2700000000004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49006.575000000004</v>
      </c>
      <c r="D28" s="23">
        <f>D12+D26</f>
        <v>8248.24169155</v>
      </c>
      <c r="E28" s="50">
        <f aca="true" t="shared" si="21" ref="E28:BC28">E12+E26</f>
        <v>4906.9400000000005</v>
      </c>
      <c r="F28" s="50">
        <f t="shared" si="21"/>
        <v>289.94</v>
      </c>
      <c r="G28" s="50">
        <f t="shared" si="21"/>
        <v>1818.7</v>
      </c>
      <c r="H28" s="50">
        <f t="shared" si="21"/>
        <v>107.51</v>
      </c>
      <c r="I28" s="50">
        <f t="shared" si="21"/>
        <v>15955.36</v>
      </c>
      <c r="J28" s="50">
        <f t="shared" si="21"/>
        <v>943.16</v>
      </c>
      <c r="K28" s="50">
        <f t="shared" si="21"/>
        <v>11048.41</v>
      </c>
      <c r="L28" s="50">
        <f t="shared" si="21"/>
        <v>653.23</v>
      </c>
      <c r="M28" s="50">
        <f t="shared" si="21"/>
        <v>3925.559999999999</v>
      </c>
      <c r="N28" s="50">
        <f>N12+N26</f>
        <v>231.94000000000003</v>
      </c>
      <c r="O28" s="50">
        <f t="shared" si="21"/>
        <v>0</v>
      </c>
      <c r="P28" s="50">
        <f t="shared" si="21"/>
        <v>0</v>
      </c>
      <c r="Q28" s="50">
        <f t="shared" si="21"/>
        <v>0</v>
      </c>
      <c r="R28" s="50">
        <f t="shared" si="21"/>
        <v>0</v>
      </c>
      <c r="S28" s="50">
        <f t="shared" si="21"/>
        <v>37654.97</v>
      </c>
      <c r="T28" s="50">
        <f t="shared" si="21"/>
        <v>2225.7799999999997</v>
      </c>
      <c r="U28" s="53">
        <f t="shared" si="21"/>
        <v>4853.0199999999995</v>
      </c>
      <c r="V28" s="53">
        <f t="shared" si="21"/>
        <v>2099.0699999999997</v>
      </c>
      <c r="W28" s="53">
        <f t="shared" si="21"/>
        <v>15780.039999999999</v>
      </c>
      <c r="X28" s="53">
        <f t="shared" si="21"/>
        <v>10927.04</v>
      </c>
      <c r="Y28" s="53">
        <f t="shared" si="21"/>
        <v>3882.42</v>
      </c>
      <c r="Z28" s="53">
        <f t="shared" si="21"/>
        <v>0</v>
      </c>
      <c r="AA28" s="53">
        <f t="shared" si="21"/>
        <v>0</v>
      </c>
      <c r="AB28" s="53">
        <f t="shared" si="21"/>
        <v>37541.58999999999</v>
      </c>
      <c r="AC28" s="53">
        <f t="shared" si="21"/>
        <v>48015.61169154999</v>
      </c>
      <c r="AD28" s="53">
        <f t="shared" si="21"/>
        <v>0</v>
      </c>
      <c r="AE28" s="53">
        <f>AE12+AE26</f>
        <v>0</v>
      </c>
      <c r="AF28" s="53">
        <f t="shared" si="21"/>
        <v>0</v>
      </c>
      <c r="AG28" s="23">
        <f t="shared" si="21"/>
        <v>3308.651999999999</v>
      </c>
      <c r="AH28" s="23">
        <f t="shared" si="21"/>
        <v>1113.4088083999998</v>
      </c>
      <c r="AI28" s="23">
        <f t="shared" si="21"/>
        <v>4639.06966535</v>
      </c>
      <c r="AJ28" s="23">
        <f t="shared" si="21"/>
        <v>835.0325397629999</v>
      </c>
      <c r="AK28" s="23">
        <f t="shared" si="21"/>
        <v>4694.363614349999</v>
      </c>
      <c r="AL28" s="23">
        <f t="shared" si="21"/>
        <v>844.9854505829999</v>
      </c>
      <c r="AM28" s="23">
        <f t="shared" si="21"/>
        <v>10279.872254046102</v>
      </c>
      <c r="AN28" s="23">
        <f t="shared" si="21"/>
        <v>1850.3770057282984</v>
      </c>
      <c r="AO28" s="23">
        <f t="shared" si="21"/>
        <v>0</v>
      </c>
      <c r="AP28" s="23">
        <f t="shared" si="21"/>
        <v>0</v>
      </c>
      <c r="AQ28" s="23">
        <f t="shared" si="21"/>
        <v>0</v>
      </c>
      <c r="AR28" s="23">
        <f t="shared" si="21"/>
        <v>0</v>
      </c>
      <c r="AS28" s="23">
        <f t="shared" si="21"/>
        <v>0</v>
      </c>
      <c r="AT28" s="23">
        <f t="shared" si="21"/>
        <v>0</v>
      </c>
      <c r="AU28" s="23">
        <f t="shared" si="21"/>
        <v>0</v>
      </c>
      <c r="AV28" s="23"/>
      <c r="AW28" s="23"/>
      <c r="AX28" s="23">
        <f t="shared" si="21"/>
        <v>872.256</v>
      </c>
      <c r="AY28" s="23">
        <f t="shared" si="21"/>
        <v>0</v>
      </c>
      <c r="AZ28" s="23">
        <f t="shared" si="21"/>
        <v>0</v>
      </c>
      <c r="BA28" s="23">
        <f t="shared" si="21"/>
        <v>0</v>
      </c>
      <c r="BB28" s="23">
        <f t="shared" si="21"/>
        <v>28438.017338220394</v>
      </c>
      <c r="BC28" s="23">
        <f t="shared" si="21"/>
        <v>0</v>
      </c>
      <c r="BD28" s="23">
        <f>BD12+BD26</f>
        <v>19577.5943533296</v>
      </c>
      <c r="BE28" s="24">
        <f>BE12+BE26</f>
        <v>-113.38000000000011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8">
        <v>377.7</v>
      </c>
      <c r="C30" s="124">
        <f aca="true" t="shared" si="22" ref="C30:C41">B30*8.65</f>
        <v>3267.105</v>
      </c>
      <c r="D30" s="123">
        <f aca="true" t="shared" si="23" ref="D30:D35">C30-E30-F30-G30-H30-I30-J30-K30-L30-M30-N30</f>
        <v>551.6350000000001</v>
      </c>
      <c r="E30" s="101">
        <v>326.5</v>
      </c>
      <c r="F30" s="101">
        <v>27</v>
      </c>
      <c r="G30" s="101">
        <v>122.29</v>
      </c>
      <c r="H30" s="101">
        <v>10.2</v>
      </c>
      <c r="I30" s="101">
        <v>1062.19</v>
      </c>
      <c r="J30" s="101">
        <v>87.9</v>
      </c>
      <c r="K30" s="101">
        <v>735.69</v>
      </c>
      <c r="L30" s="101">
        <v>60.9</v>
      </c>
      <c r="M30" s="101">
        <v>261.2</v>
      </c>
      <c r="N30" s="101">
        <v>21.6</v>
      </c>
      <c r="O30" s="101">
        <v>0</v>
      </c>
      <c r="P30" s="108">
        <v>0</v>
      </c>
      <c r="Q30" s="108"/>
      <c r="R30" s="108"/>
      <c r="S30" s="85">
        <f aca="true" t="shared" si="24" ref="S30:S41">E30+G30+I30+K30+M30+O30+Q30</f>
        <v>2507.87</v>
      </c>
      <c r="T30" s="102">
        <f aca="true" t="shared" si="25" ref="T30:T41">P30+N30+L30+J30+H30+F30+R30</f>
        <v>207.6</v>
      </c>
      <c r="U30" s="85">
        <v>254.14</v>
      </c>
      <c r="V30" s="85">
        <v>95.11</v>
      </c>
      <c r="W30" s="85">
        <v>826.77</v>
      </c>
      <c r="X30" s="85">
        <v>572.57</v>
      </c>
      <c r="Y30" s="85">
        <v>203.31</v>
      </c>
      <c r="Z30" s="103">
        <v>0</v>
      </c>
      <c r="AA30" s="103">
        <v>0</v>
      </c>
      <c r="AB30" s="103">
        <f>SUM(U30:AA30)</f>
        <v>1951.9</v>
      </c>
      <c r="AC30" s="107">
        <f aca="true" t="shared" si="26" ref="AC30:AC41">D30+T30+AB30</f>
        <v>2711.135</v>
      </c>
      <c r="AD30" s="96">
        <f aca="true" t="shared" si="27" ref="AD30:AD41">P30+Z30</f>
        <v>0</v>
      </c>
      <c r="AE30" s="96">
        <f aca="true" t="shared" si="28" ref="AE30:AE41">R30+AA30</f>
        <v>0</v>
      </c>
      <c r="AF30" s="96"/>
      <c r="AG30" s="16">
        <f aca="true" t="shared" si="29" ref="AG30:AG41">0.6*B30</f>
        <v>226.61999999999998</v>
      </c>
      <c r="AH30" s="16">
        <f aca="true" t="shared" si="30" ref="AH30:AH41">B30*0.2</f>
        <v>75.54</v>
      </c>
      <c r="AI30" s="16">
        <f aca="true" t="shared" si="31" ref="AI30:AI41">1*B30</f>
        <v>377.7</v>
      </c>
      <c r="AJ30" s="16">
        <v>0</v>
      </c>
      <c r="AK30" s="16">
        <f aca="true" t="shared" si="32" ref="AK30:AK36">0.98*B30</f>
        <v>370.14599999999996</v>
      </c>
      <c r="AL30" s="16">
        <v>0</v>
      </c>
      <c r="AM30" s="16">
        <f aca="true" t="shared" si="33" ref="AM30:AM41">2.25*B30</f>
        <v>849.8249999999999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 aca="true" t="shared" si="34" ref="AU30:AU41">AT30*0.18</f>
        <v>0</v>
      </c>
      <c r="AV30" s="112">
        <v>508</v>
      </c>
      <c r="AW30" s="127">
        <v>0.15</v>
      </c>
      <c r="AX30" s="141">
        <f aca="true" t="shared" si="35" ref="AX30:AX41">AV30*AW30*1.4</f>
        <v>106.67999999999999</v>
      </c>
      <c r="AY30" s="114"/>
      <c r="AZ30" s="115"/>
      <c r="BA30" s="115">
        <f aca="true" t="shared" si="36" ref="BA30:BA41">AZ30*0.18</f>
        <v>0</v>
      </c>
      <c r="BB30" s="115">
        <f aca="true" t="shared" si="37" ref="BB30:BB41">SUM(AG30:BA30)-AV30-AW30</f>
        <v>2006.5109999999995</v>
      </c>
      <c r="BC30" s="125"/>
      <c r="BD30" s="14">
        <f>AC30+AF30-BB30-BC30</f>
        <v>704.6240000000007</v>
      </c>
      <c r="BE30" s="30">
        <f>AB30-S30</f>
        <v>-555.9699999999998</v>
      </c>
    </row>
    <row r="31" spans="1:57" ht="12.75" hidden="1">
      <c r="A31" s="11" t="s">
        <v>46</v>
      </c>
      <c r="B31" s="109">
        <v>377.7</v>
      </c>
      <c r="C31" s="124">
        <f t="shared" si="22"/>
        <v>3267.105</v>
      </c>
      <c r="D31" s="123">
        <f t="shared" si="23"/>
        <v>551.6249999999999</v>
      </c>
      <c r="E31" s="142">
        <v>326.5</v>
      </c>
      <c r="F31" s="143">
        <v>27</v>
      </c>
      <c r="G31" s="143">
        <v>122.3</v>
      </c>
      <c r="H31" s="143">
        <v>10.2</v>
      </c>
      <c r="I31" s="143">
        <v>1062.19</v>
      </c>
      <c r="J31" s="143">
        <v>87.9</v>
      </c>
      <c r="K31" s="143">
        <v>735.69</v>
      </c>
      <c r="L31" s="143">
        <v>60.9</v>
      </c>
      <c r="M31" s="143">
        <v>261.2</v>
      </c>
      <c r="N31" s="143">
        <v>21.6</v>
      </c>
      <c r="O31" s="143">
        <v>0</v>
      </c>
      <c r="P31" s="144">
        <v>0</v>
      </c>
      <c r="Q31" s="144">
        <v>0</v>
      </c>
      <c r="R31" s="144">
        <v>0</v>
      </c>
      <c r="S31" s="85">
        <f t="shared" si="24"/>
        <v>2507.88</v>
      </c>
      <c r="T31" s="102">
        <f t="shared" si="25"/>
        <v>207.6</v>
      </c>
      <c r="U31" s="85">
        <v>365.78</v>
      </c>
      <c r="V31" s="85">
        <v>136.98</v>
      </c>
      <c r="W31" s="85">
        <v>1189.93</v>
      </c>
      <c r="X31" s="85">
        <v>824.19</v>
      </c>
      <c r="Y31" s="85">
        <v>292.62</v>
      </c>
      <c r="Z31" s="103">
        <v>0</v>
      </c>
      <c r="AA31" s="103">
        <v>0</v>
      </c>
      <c r="AB31" s="103">
        <f>SUM(U31:AA31)</f>
        <v>2809.5</v>
      </c>
      <c r="AC31" s="107">
        <f t="shared" si="26"/>
        <v>3568.725</v>
      </c>
      <c r="AD31" s="96">
        <f t="shared" si="27"/>
        <v>0</v>
      </c>
      <c r="AE31" s="96">
        <f t="shared" si="28"/>
        <v>0</v>
      </c>
      <c r="AF31" s="96"/>
      <c r="AG31" s="16">
        <f t="shared" si="29"/>
        <v>226.61999999999998</v>
      </c>
      <c r="AH31" s="16">
        <f t="shared" si="30"/>
        <v>75.54</v>
      </c>
      <c r="AI31" s="16">
        <f t="shared" si="31"/>
        <v>377.7</v>
      </c>
      <c r="AJ31" s="16">
        <v>0</v>
      </c>
      <c r="AK31" s="16">
        <f t="shared" si="32"/>
        <v>370.14599999999996</v>
      </c>
      <c r="AL31" s="16">
        <v>0</v>
      </c>
      <c r="AM31" s="16">
        <f t="shared" si="33"/>
        <v>849.8249999999999</v>
      </c>
      <c r="AN31" s="16">
        <v>0</v>
      </c>
      <c r="AO31" s="16"/>
      <c r="AP31" s="16"/>
      <c r="AQ31" s="111"/>
      <c r="AR31" s="111"/>
      <c r="AS31" s="91"/>
      <c r="AT31" s="91"/>
      <c r="AU31" s="91">
        <f t="shared" si="34"/>
        <v>0</v>
      </c>
      <c r="AV31" s="112">
        <v>407</v>
      </c>
      <c r="AW31" s="127">
        <v>0.15</v>
      </c>
      <c r="AX31" s="16">
        <f t="shared" si="35"/>
        <v>85.46999999999998</v>
      </c>
      <c r="AY31" s="114"/>
      <c r="AZ31" s="115"/>
      <c r="BA31" s="115">
        <f t="shared" si="36"/>
        <v>0</v>
      </c>
      <c r="BB31" s="115">
        <f t="shared" si="37"/>
        <v>1985.3009999999995</v>
      </c>
      <c r="BC31" s="125"/>
      <c r="BD31" s="14">
        <f aca="true" t="shared" si="38" ref="BD31:BD41">AC31+AF31-BB31-BC31</f>
        <v>1583.4240000000004</v>
      </c>
      <c r="BE31" s="30">
        <f aca="true" t="shared" si="39" ref="BE31:BE41">AB31-S31</f>
        <v>301.6199999999999</v>
      </c>
    </row>
    <row r="32" spans="1:57" ht="12.75" hidden="1">
      <c r="A32" s="11" t="s">
        <v>47</v>
      </c>
      <c r="B32" s="98">
        <v>377.7</v>
      </c>
      <c r="C32" s="124">
        <f t="shared" si="22"/>
        <v>3267.105</v>
      </c>
      <c r="D32" s="123">
        <f t="shared" si="23"/>
        <v>551.6249999999999</v>
      </c>
      <c r="E32" s="101">
        <v>326.5</v>
      </c>
      <c r="F32" s="101">
        <v>27</v>
      </c>
      <c r="G32" s="101">
        <v>122.3</v>
      </c>
      <c r="H32" s="101">
        <v>10.2</v>
      </c>
      <c r="I32" s="101">
        <v>1062.19</v>
      </c>
      <c r="J32" s="101">
        <v>87.9</v>
      </c>
      <c r="K32" s="101">
        <v>735.69</v>
      </c>
      <c r="L32" s="101">
        <v>60.9</v>
      </c>
      <c r="M32" s="101">
        <v>261.2</v>
      </c>
      <c r="N32" s="101">
        <v>21.6</v>
      </c>
      <c r="O32" s="101">
        <v>0</v>
      </c>
      <c r="P32" s="108">
        <v>0</v>
      </c>
      <c r="Q32" s="108">
        <v>0</v>
      </c>
      <c r="R32" s="108">
        <v>0</v>
      </c>
      <c r="S32" s="85">
        <f t="shared" si="24"/>
        <v>2507.88</v>
      </c>
      <c r="T32" s="102">
        <f t="shared" si="25"/>
        <v>207.6</v>
      </c>
      <c r="U32" s="85">
        <v>241.91</v>
      </c>
      <c r="V32" s="85">
        <v>90.59</v>
      </c>
      <c r="W32" s="85">
        <v>787.02</v>
      </c>
      <c r="X32" s="85">
        <v>545.08</v>
      </c>
      <c r="Y32" s="85">
        <v>193.54</v>
      </c>
      <c r="Z32" s="103">
        <v>0</v>
      </c>
      <c r="AA32" s="103">
        <v>0</v>
      </c>
      <c r="AB32" s="103">
        <f>SUM(U32:AA32)</f>
        <v>1858.1399999999999</v>
      </c>
      <c r="AC32" s="107">
        <f t="shared" si="26"/>
        <v>2617.365</v>
      </c>
      <c r="AD32" s="96">
        <f t="shared" si="27"/>
        <v>0</v>
      </c>
      <c r="AE32" s="96">
        <f t="shared" si="28"/>
        <v>0</v>
      </c>
      <c r="AF32" s="96"/>
      <c r="AG32" s="16">
        <f t="shared" si="29"/>
        <v>226.61999999999998</v>
      </c>
      <c r="AH32" s="16">
        <f t="shared" si="30"/>
        <v>75.54</v>
      </c>
      <c r="AI32" s="16">
        <f t="shared" si="31"/>
        <v>377.7</v>
      </c>
      <c r="AJ32" s="16">
        <v>0</v>
      </c>
      <c r="AK32" s="16">
        <f t="shared" si="32"/>
        <v>370.14599999999996</v>
      </c>
      <c r="AL32" s="16">
        <v>0</v>
      </c>
      <c r="AM32" s="16">
        <f t="shared" si="33"/>
        <v>849.8249999999999</v>
      </c>
      <c r="AN32" s="16">
        <v>0</v>
      </c>
      <c r="AO32" s="16"/>
      <c r="AP32" s="16"/>
      <c r="AQ32" s="111"/>
      <c r="AR32" s="111"/>
      <c r="AS32" s="91"/>
      <c r="AT32" s="91"/>
      <c r="AU32" s="91">
        <f t="shared" si="34"/>
        <v>0</v>
      </c>
      <c r="AV32" s="112">
        <v>383</v>
      </c>
      <c r="AW32" s="127">
        <v>0.15</v>
      </c>
      <c r="AX32" s="16">
        <f t="shared" si="35"/>
        <v>80.42999999999999</v>
      </c>
      <c r="AY32" s="114"/>
      <c r="AZ32" s="115"/>
      <c r="BA32" s="115">
        <f t="shared" si="36"/>
        <v>0</v>
      </c>
      <c r="BB32" s="115">
        <f t="shared" si="37"/>
        <v>1980.2609999999995</v>
      </c>
      <c r="BC32" s="125"/>
      <c r="BD32" s="14">
        <f t="shared" si="38"/>
        <v>637.1040000000003</v>
      </c>
      <c r="BE32" s="30">
        <f t="shared" si="39"/>
        <v>-649.7400000000002</v>
      </c>
    </row>
    <row r="33" spans="1:57" ht="12.75" hidden="1">
      <c r="A33" s="11" t="s">
        <v>48</v>
      </c>
      <c r="B33" s="98">
        <v>377.7</v>
      </c>
      <c r="C33" s="124">
        <f t="shared" si="22"/>
        <v>3267.105</v>
      </c>
      <c r="D33" s="123">
        <f t="shared" si="23"/>
        <v>551.6249999999999</v>
      </c>
      <c r="E33" s="101">
        <v>326.5</v>
      </c>
      <c r="F33" s="101">
        <v>27</v>
      </c>
      <c r="G33" s="101">
        <v>122.3</v>
      </c>
      <c r="H33" s="101">
        <v>10.2</v>
      </c>
      <c r="I33" s="101">
        <v>1062.19</v>
      </c>
      <c r="J33" s="101">
        <v>87.9</v>
      </c>
      <c r="K33" s="101">
        <v>735.69</v>
      </c>
      <c r="L33" s="101">
        <v>60.9</v>
      </c>
      <c r="M33" s="101">
        <v>261.2</v>
      </c>
      <c r="N33" s="101">
        <v>21.6</v>
      </c>
      <c r="O33" s="101">
        <v>0</v>
      </c>
      <c r="P33" s="108">
        <v>0</v>
      </c>
      <c r="Q33" s="108"/>
      <c r="R33" s="108"/>
      <c r="S33" s="85">
        <f t="shared" si="24"/>
        <v>2507.88</v>
      </c>
      <c r="T33" s="102">
        <f t="shared" si="25"/>
        <v>207.6</v>
      </c>
      <c r="U33" s="85">
        <v>760.46</v>
      </c>
      <c r="V33" s="85">
        <v>359.89</v>
      </c>
      <c r="W33" s="85">
        <v>2471.5</v>
      </c>
      <c r="X33" s="85">
        <v>1711.04</v>
      </c>
      <c r="Y33" s="85">
        <v>608.37</v>
      </c>
      <c r="Z33" s="103">
        <v>0</v>
      </c>
      <c r="AA33" s="103">
        <v>0</v>
      </c>
      <c r="AB33" s="103">
        <f>SUM(U33:AA33)</f>
        <v>5911.259999999999</v>
      </c>
      <c r="AC33" s="107">
        <f t="shared" si="26"/>
        <v>6670.484999999999</v>
      </c>
      <c r="AD33" s="96">
        <f t="shared" si="27"/>
        <v>0</v>
      </c>
      <c r="AE33" s="96">
        <f t="shared" si="28"/>
        <v>0</v>
      </c>
      <c r="AF33" s="96"/>
      <c r="AG33" s="16">
        <f t="shared" si="29"/>
        <v>226.61999999999998</v>
      </c>
      <c r="AH33" s="16">
        <f t="shared" si="30"/>
        <v>75.54</v>
      </c>
      <c r="AI33" s="16">
        <f t="shared" si="31"/>
        <v>377.7</v>
      </c>
      <c r="AJ33" s="16">
        <v>0</v>
      </c>
      <c r="AK33" s="16">
        <f t="shared" si="32"/>
        <v>370.14599999999996</v>
      </c>
      <c r="AL33" s="16">
        <v>0</v>
      </c>
      <c r="AM33" s="16">
        <f t="shared" si="33"/>
        <v>849.8249999999999</v>
      </c>
      <c r="AN33" s="16">
        <v>0</v>
      </c>
      <c r="AO33" s="16"/>
      <c r="AP33" s="16"/>
      <c r="AQ33" s="111"/>
      <c r="AR33" s="111"/>
      <c r="AS33" s="91"/>
      <c r="AT33" s="91">
        <f>500</f>
        <v>500</v>
      </c>
      <c r="AU33" s="91"/>
      <c r="AV33" s="112">
        <v>307</v>
      </c>
      <c r="AW33" s="127">
        <v>0.15</v>
      </c>
      <c r="AX33" s="16">
        <f t="shared" si="35"/>
        <v>64.47</v>
      </c>
      <c r="AY33" s="114"/>
      <c r="AZ33" s="115"/>
      <c r="BA33" s="115">
        <f t="shared" si="36"/>
        <v>0</v>
      </c>
      <c r="BB33" s="115">
        <f t="shared" si="37"/>
        <v>2464.3009999999995</v>
      </c>
      <c r="BC33" s="125"/>
      <c r="BD33" s="14">
        <f t="shared" si="38"/>
        <v>4206.183999999999</v>
      </c>
      <c r="BE33" s="30">
        <f t="shared" si="39"/>
        <v>3403.379999999999</v>
      </c>
    </row>
    <row r="34" spans="1:57" ht="12.75" hidden="1">
      <c r="A34" s="11" t="s">
        <v>49</v>
      </c>
      <c r="B34" s="98">
        <v>377.7</v>
      </c>
      <c r="C34" s="124">
        <f t="shared" si="22"/>
        <v>3267.105</v>
      </c>
      <c r="D34" s="123">
        <f t="shared" si="23"/>
        <v>551.6249999999999</v>
      </c>
      <c r="E34" s="101">
        <v>326.5</v>
      </c>
      <c r="F34" s="101">
        <v>27</v>
      </c>
      <c r="G34" s="101">
        <v>122.3</v>
      </c>
      <c r="H34" s="101">
        <v>10.2</v>
      </c>
      <c r="I34" s="101">
        <v>1062.19</v>
      </c>
      <c r="J34" s="101">
        <v>87.9</v>
      </c>
      <c r="K34" s="101">
        <v>735.69</v>
      </c>
      <c r="L34" s="101">
        <v>60.9</v>
      </c>
      <c r="M34" s="101">
        <v>261.2</v>
      </c>
      <c r="N34" s="101">
        <v>21.6</v>
      </c>
      <c r="O34" s="101">
        <v>0</v>
      </c>
      <c r="P34" s="108">
        <v>0</v>
      </c>
      <c r="Q34" s="108"/>
      <c r="R34" s="108"/>
      <c r="S34" s="85">
        <f t="shared" si="24"/>
        <v>2507.88</v>
      </c>
      <c r="T34" s="102">
        <f t="shared" si="25"/>
        <v>207.6</v>
      </c>
      <c r="U34" s="145">
        <v>237.7</v>
      </c>
      <c r="V34" s="145">
        <v>89.02</v>
      </c>
      <c r="W34" s="145">
        <v>773.27</v>
      </c>
      <c r="X34" s="145">
        <v>535.55</v>
      </c>
      <c r="Y34" s="145">
        <v>190.15</v>
      </c>
      <c r="Z34" s="146">
        <v>0</v>
      </c>
      <c r="AA34" s="146">
        <v>0</v>
      </c>
      <c r="AB34" s="103">
        <f aca="true" t="shared" si="40" ref="AB34:AB41">SUM(U34:AA34)</f>
        <v>1825.69</v>
      </c>
      <c r="AC34" s="107">
        <f t="shared" si="26"/>
        <v>2584.915</v>
      </c>
      <c r="AD34" s="96">
        <f t="shared" si="27"/>
        <v>0</v>
      </c>
      <c r="AE34" s="96">
        <f t="shared" si="28"/>
        <v>0</v>
      </c>
      <c r="AF34" s="96"/>
      <c r="AG34" s="16">
        <f t="shared" si="29"/>
        <v>226.61999999999998</v>
      </c>
      <c r="AH34" s="16">
        <f t="shared" si="30"/>
        <v>75.54</v>
      </c>
      <c r="AI34" s="16">
        <f t="shared" si="31"/>
        <v>377.7</v>
      </c>
      <c r="AJ34" s="16">
        <v>0</v>
      </c>
      <c r="AK34" s="16">
        <f t="shared" si="32"/>
        <v>370.14599999999996</v>
      </c>
      <c r="AL34" s="16">
        <v>0</v>
      </c>
      <c r="AM34" s="16">
        <f t="shared" si="33"/>
        <v>849.8249999999999</v>
      </c>
      <c r="AN34" s="16">
        <v>0</v>
      </c>
      <c r="AO34" s="16"/>
      <c r="AP34" s="16"/>
      <c r="AQ34" s="111"/>
      <c r="AR34" s="111"/>
      <c r="AS34" s="91">
        <v>281</v>
      </c>
      <c r="AT34" s="91"/>
      <c r="AU34" s="91">
        <f t="shared" si="34"/>
        <v>0</v>
      </c>
      <c r="AV34" s="112">
        <v>263</v>
      </c>
      <c r="AW34" s="127">
        <v>0.15</v>
      </c>
      <c r="AX34" s="16">
        <f t="shared" si="35"/>
        <v>55.22999999999999</v>
      </c>
      <c r="AY34" s="114"/>
      <c r="AZ34" s="115"/>
      <c r="BA34" s="115">
        <f t="shared" si="36"/>
        <v>0</v>
      </c>
      <c r="BB34" s="115">
        <f t="shared" si="37"/>
        <v>2236.0609999999997</v>
      </c>
      <c r="BC34" s="125"/>
      <c r="BD34" s="14">
        <f t="shared" si="38"/>
        <v>348.85400000000027</v>
      </c>
      <c r="BE34" s="30">
        <f t="shared" si="39"/>
        <v>-682.19</v>
      </c>
    </row>
    <row r="35" spans="1:57" ht="12.75" hidden="1">
      <c r="A35" s="11" t="s">
        <v>50</v>
      </c>
      <c r="B35" s="98">
        <v>377.7</v>
      </c>
      <c r="C35" s="124">
        <f t="shared" si="22"/>
        <v>3267.105</v>
      </c>
      <c r="D35" s="123">
        <f t="shared" si="23"/>
        <v>551.6249999999999</v>
      </c>
      <c r="E35" s="101">
        <v>326.5</v>
      </c>
      <c r="F35" s="101">
        <v>27</v>
      </c>
      <c r="G35" s="101">
        <v>122.3</v>
      </c>
      <c r="H35" s="101">
        <v>10.2</v>
      </c>
      <c r="I35" s="101">
        <v>1062.19</v>
      </c>
      <c r="J35" s="101">
        <v>87.9</v>
      </c>
      <c r="K35" s="101">
        <v>735.69</v>
      </c>
      <c r="L35" s="101">
        <v>60.9</v>
      </c>
      <c r="M35" s="101">
        <v>261.2</v>
      </c>
      <c r="N35" s="101">
        <v>21.6</v>
      </c>
      <c r="O35" s="101">
        <v>0</v>
      </c>
      <c r="P35" s="108">
        <v>0</v>
      </c>
      <c r="Q35" s="101">
        <v>0</v>
      </c>
      <c r="R35" s="108">
        <v>0</v>
      </c>
      <c r="S35" s="85">
        <f t="shared" si="24"/>
        <v>2507.88</v>
      </c>
      <c r="T35" s="102">
        <f t="shared" si="25"/>
        <v>207.6</v>
      </c>
      <c r="U35" s="85">
        <v>237.73</v>
      </c>
      <c r="V35" s="85">
        <v>89.03</v>
      </c>
      <c r="W35" s="85">
        <v>773.4</v>
      </c>
      <c r="X35" s="85">
        <v>535.68</v>
      </c>
      <c r="Y35" s="85">
        <v>190.19</v>
      </c>
      <c r="Z35" s="103">
        <v>0</v>
      </c>
      <c r="AA35" s="103">
        <v>0</v>
      </c>
      <c r="AB35" s="103">
        <f t="shared" si="40"/>
        <v>1826.0299999999997</v>
      </c>
      <c r="AC35" s="107">
        <f t="shared" si="26"/>
        <v>2585.2549999999997</v>
      </c>
      <c r="AD35" s="96">
        <f t="shared" si="27"/>
        <v>0</v>
      </c>
      <c r="AE35" s="96">
        <f t="shared" si="28"/>
        <v>0</v>
      </c>
      <c r="AF35" s="96"/>
      <c r="AG35" s="16">
        <f t="shared" si="29"/>
        <v>226.61999999999998</v>
      </c>
      <c r="AH35" s="16">
        <f t="shared" si="30"/>
        <v>75.54</v>
      </c>
      <c r="AI35" s="16">
        <f t="shared" si="31"/>
        <v>377.7</v>
      </c>
      <c r="AJ35" s="16">
        <v>0</v>
      </c>
      <c r="AK35" s="16">
        <f t="shared" si="32"/>
        <v>370.14599999999996</v>
      </c>
      <c r="AL35" s="16">
        <v>0</v>
      </c>
      <c r="AM35" s="16">
        <f t="shared" si="33"/>
        <v>849.8249999999999</v>
      </c>
      <c r="AN35" s="16">
        <v>0</v>
      </c>
      <c r="AO35" s="16"/>
      <c r="AP35" s="16"/>
      <c r="AQ35" s="111"/>
      <c r="AR35" s="111"/>
      <c r="AS35" s="91">
        <v>6548</v>
      </c>
      <c r="AT35" s="91"/>
      <c r="AU35" s="91">
        <f t="shared" si="34"/>
        <v>0</v>
      </c>
      <c r="AV35" s="112">
        <v>233</v>
      </c>
      <c r="AW35" s="127">
        <v>0.15</v>
      </c>
      <c r="AX35" s="16">
        <f t="shared" si="35"/>
        <v>48.92999999999999</v>
      </c>
      <c r="AY35" s="114"/>
      <c r="AZ35" s="115"/>
      <c r="BA35" s="115">
        <f t="shared" si="36"/>
        <v>0</v>
      </c>
      <c r="BB35" s="115">
        <f t="shared" si="37"/>
        <v>8496.761</v>
      </c>
      <c r="BC35" s="125"/>
      <c r="BD35" s="14">
        <f t="shared" si="38"/>
        <v>-5911.506000000001</v>
      </c>
      <c r="BE35" s="30">
        <f t="shared" si="39"/>
        <v>-681.8500000000004</v>
      </c>
    </row>
    <row r="36" spans="1:57" ht="12.75" hidden="1">
      <c r="A36" s="11" t="s">
        <v>51</v>
      </c>
      <c r="B36" s="98">
        <v>377.7</v>
      </c>
      <c r="C36" s="124">
        <f t="shared" si="22"/>
        <v>3267.105</v>
      </c>
      <c r="D36" s="123">
        <f aca="true" t="shared" si="41" ref="D36:D41">C36-E36-F36-G36-H36-I36-J36-K36-L36-M36-N36</f>
        <v>551.625</v>
      </c>
      <c r="E36" s="147">
        <v>353.5</v>
      </c>
      <c r="F36" s="101">
        <v>0</v>
      </c>
      <c r="G36" s="101">
        <v>132.5</v>
      </c>
      <c r="H36" s="101">
        <v>0</v>
      </c>
      <c r="I36" s="101">
        <v>1150.09</v>
      </c>
      <c r="J36" s="101">
        <v>0</v>
      </c>
      <c r="K36" s="101">
        <v>796.59</v>
      </c>
      <c r="L36" s="101">
        <v>0</v>
      </c>
      <c r="M36" s="101">
        <v>282.8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4"/>
        <v>2715.48</v>
      </c>
      <c r="T36" s="102">
        <f t="shared" si="25"/>
        <v>0</v>
      </c>
      <c r="U36" s="87">
        <v>237.66</v>
      </c>
      <c r="V36" s="85">
        <v>89</v>
      </c>
      <c r="W36" s="85">
        <v>773.16</v>
      </c>
      <c r="X36" s="85">
        <v>535.49</v>
      </c>
      <c r="Y36" s="85">
        <v>190.12</v>
      </c>
      <c r="Z36" s="103">
        <v>0</v>
      </c>
      <c r="AA36" s="103">
        <v>0</v>
      </c>
      <c r="AB36" s="103">
        <f t="shared" si="40"/>
        <v>1825.4299999999998</v>
      </c>
      <c r="AC36" s="107">
        <f t="shared" si="26"/>
        <v>2377.055</v>
      </c>
      <c r="AD36" s="96">
        <f t="shared" si="27"/>
        <v>0</v>
      </c>
      <c r="AE36" s="96">
        <f t="shared" si="28"/>
        <v>0</v>
      </c>
      <c r="AF36" s="96"/>
      <c r="AG36" s="16">
        <f t="shared" si="29"/>
        <v>226.61999999999998</v>
      </c>
      <c r="AH36" s="16">
        <f t="shared" si="30"/>
        <v>75.54</v>
      </c>
      <c r="AI36" s="16">
        <f t="shared" si="31"/>
        <v>377.7</v>
      </c>
      <c r="AJ36" s="16">
        <v>0</v>
      </c>
      <c r="AK36" s="16">
        <f t="shared" si="32"/>
        <v>370.14599999999996</v>
      </c>
      <c r="AL36" s="16">
        <v>0</v>
      </c>
      <c r="AM36" s="16">
        <f t="shared" si="33"/>
        <v>849.8249999999999</v>
      </c>
      <c r="AN36" s="16">
        <v>0</v>
      </c>
      <c r="AO36" s="16"/>
      <c r="AP36" s="16"/>
      <c r="AQ36" s="111"/>
      <c r="AR36" s="111"/>
      <c r="AS36" s="91"/>
      <c r="AT36" s="91"/>
      <c r="AU36" s="91">
        <f t="shared" si="34"/>
        <v>0</v>
      </c>
      <c r="AV36" s="112">
        <v>248</v>
      </c>
      <c r="AW36" s="127">
        <v>0.15</v>
      </c>
      <c r="AX36" s="16">
        <f t="shared" si="35"/>
        <v>52.07999999999999</v>
      </c>
      <c r="AY36" s="114"/>
      <c r="AZ36" s="115"/>
      <c r="BA36" s="115">
        <f t="shared" si="36"/>
        <v>0</v>
      </c>
      <c r="BB36" s="115">
        <f t="shared" si="37"/>
        <v>1951.9109999999996</v>
      </c>
      <c r="BC36" s="125"/>
      <c r="BD36" s="14">
        <f t="shared" si="38"/>
        <v>425.14400000000023</v>
      </c>
      <c r="BE36" s="30">
        <f t="shared" si="39"/>
        <v>-890.0500000000002</v>
      </c>
    </row>
    <row r="37" spans="1:57" ht="12.75" hidden="1">
      <c r="A37" s="11" t="s">
        <v>52</v>
      </c>
      <c r="B37" s="98">
        <v>377.7</v>
      </c>
      <c r="C37" s="124">
        <f t="shared" si="22"/>
        <v>3267.105</v>
      </c>
      <c r="D37" s="123">
        <f t="shared" si="41"/>
        <v>551.625</v>
      </c>
      <c r="E37" s="147">
        <v>353.5</v>
      </c>
      <c r="F37" s="101">
        <v>0</v>
      </c>
      <c r="G37" s="101">
        <v>132.5</v>
      </c>
      <c r="H37" s="101">
        <v>0</v>
      </c>
      <c r="I37" s="101">
        <v>1150.09</v>
      </c>
      <c r="J37" s="101">
        <v>0</v>
      </c>
      <c r="K37" s="101">
        <v>796.59</v>
      </c>
      <c r="L37" s="101">
        <v>0</v>
      </c>
      <c r="M37" s="101">
        <v>282.8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4"/>
        <v>2715.48</v>
      </c>
      <c r="T37" s="102">
        <f t="shared" si="25"/>
        <v>0</v>
      </c>
      <c r="U37" s="145">
        <v>284.46</v>
      </c>
      <c r="V37" s="145">
        <v>106.65</v>
      </c>
      <c r="W37" s="145">
        <v>925.46</v>
      </c>
      <c r="X37" s="145">
        <v>641.03</v>
      </c>
      <c r="Y37" s="145">
        <v>227.58</v>
      </c>
      <c r="Z37" s="146">
        <v>0</v>
      </c>
      <c r="AA37" s="146">
        <v>0</v>
      </c>
      <c r="AB37" s="103">
        <f t="shared" si="40"/>
        <v>2185.1800000000003</v>
      </c>
      <c r="AC37" s="107">
        <f t="shared" si="26"/>
        <v>2736.8050000000003</v>
      </c>
      <c r="AD37" s="96">
        <f t="shared" si="27"/>
        <v>0</v>
      </c>
      <c r="AE37" s="96">
        <f t="shared" si="28"/>
        <v>0</v>
      </c>
      <c r="AF37" s="96"/>
      <c r="AG37" s="16">
        <f t="shared" si="29"/>
        <v>226.61999999999998</v>
      </c>
      <c r="AH37" s="16">
        <f t="shared" si="30"/>
        <v>75.54</v>
      </c>
      <c r="AI37" s="16">
        <f t="shared" si="31"/>
        <v>377.7</v>
      </c>
      <c r="AJ37" s="16">
        <v>0</v>
      </c>
      <c r="AK37" s="16">
        <f>0.98*B37</f>
        <v>370.14599999999996</v>
      </c>
      <c r="AL37" s="16">
        <v>0</v>
      </c>
      <c r="AM37" s="16">
        <f t="shared" si="33"/>
        <v>849.8249999999999</v>
      </c>
      <c r="AN37" s="16">
        <v>0</v>
      </c>
      <c r="AO37" s="16"/>
      <c r="AP37" s="16"/>
      <c r="AQ37" s="111"/>
      <c r="AR37" s="111"/>
      <c r="AS37" s="91"/>
      <c r="AT37" s="91">
        <f>47.8</f>
        <v>47.8</v>
      </c>
      <c r="AU37" s="91"/>
      <c r="AV37" s="112">
        <v>293</v>
      </c>
      <c r="AW37" s="127">
        <v>0.15</v>
      </c>
      <c r="AX37" s="16">
        <f t="shared" si="35"/>
        <v>61.52999999999999</v>
      </c>
      <c r="AY37" s="114"/>
      <c r="AZ37" s="115"/>
      <c r="BA37" s="115">
        <f t="shared" si="36"/>
        <v>0</v>
      </c>
      <c r="BB37" s="115">
        <f t="shared" si="37"/>
        <v>2009.1609999999996</v>
      </c>
      <c r="BC37" s="125"/>
      <c r="BD37" s="14">
        <f t="shared" si="38"/>
        <v>727.6440000000007</v>
      </c>
      <c r="BE37" s="30">
        <f t="shared" si="39"/>
        <v>-530.2999999999997</v>
      </c>
    </row>
    <row r="38" spans="1:57" ht="12.75" hidden="1">
      <c r="A38" s="11" t="s">
        <v>53</v>
      </c>
      <c r="B38" s="98">
        <v>377.7</v>
      </c>
      <c r="C38" s="124">
        <f t="shared" si="22"/>
        <v>3267.105</v>
      </c>
      <c r="D38" s="123">
        <f t="shared" si="41"/>
        <v>551.625</v>
      </c>
      <c r="E38" s="101">
        <v>353.5</v>
      </c>
      <c r="F38" s="101">
        <v>0</v>
      </c>
      <c r="G38" s="101">
        <v>132.5</v>
      </c>
      <c r="H38" s="101">
        <v>0</v>
      </c>
      <c r="I38" s="101">
        <v>1150.09</v>
      </c>
      <c r="J38" s="101">
        <v>0</v>
      </c>
      <c r="K38" s="101">
        <v>796.59</v>
      </c>
      <c r="L38" s="101">
        <v>0</v>
      </c>
      <c r="M38" s="101">
        <v>282.8</v>
      </c>
      <c r="N38" s="101">
        <v>0</v>
      </c>
      <c r="O38" s="101">
        <v>0</v>
      </c>
      <c r="P38" s="108">
        <v>0</v>
      </c>
      <c r="Q38" s="108"/>
      <c r="R38" s="108"/>
      <c r="S38" s="85">
        <f t="shared" si="24"/>
        <v>2715.48</v>
      </c>
      <c r="T38" s="102">
        <f t="shared" si="25"/>
        <v>0</v>
      </c>
      <c r="U38" s="85">
        <v>441.92</v>
      </c>
      <c r="V38" s="85">
        <v>165.66</v>
      </c>
      <c r="W38" s="85">
        <v>1437.78</v>
      </c>
      <c r="X38" s="85">
        <v>995.83</v>
      </c>
      <c r="Y38" s="85">
        <v>353.52</v>
      </c>
      <c r="Z38" s="103">
        <v>0</v>
      </c>
      <c r="AA38" s="103">
        <v>0</v>
      </c>
      <c r="AB38" s="103">
        <f t="shared" si="40"/>
        <v>3394.71</v>
      </c>
      <c r="AC38" s="107">
        <f t="shared" si="26"/>
        <v>3946.335</v>
      </c>
      <c r="AD38" s="96">
        <f t="shared" si="27"/>
        <v>0</v>
      </c>
      <c r="AE38" s="96">
        <f t="shared" si="28"/>
        <v>0</v>
      </c>
      <c r="AF38" s="96"/>
      <c r="AG38" s="16">
        <f t="shared" si="29"/>
        <v>226.61999999999998</v>
      </c>
      <c r="AH38" s="16">
        <f t="shared" si="30"/>
        <v>75.54</v>
      </c>
      <c r="AI38" s="16">
        <f t="shared" si="31"/>
        <v>377.7</v>
      </c>
      <c r="AJ38" s="16">
        <v>0</v>
      </c>
      <c r="AK38" s="16">
        <f>0.98*B38</f>
        <v>370.14599999999996</v>
      </c>
      <c r="AL38" s="16">
        <v>0</v>
      </c>
      <c r="AM38" s="16">
        <f t="shared" si="33"/>
        <v>849.8249999999999</v>
      </c>
      <c r="AN38" s="16">
        <v>0</v>
      </c>
      <c r="AO38" s="16"/>
      <c r="AP38" s="16"/>
      <c r="AQ38" s="111"/>
      <c r="AR38" s="111"/>
      <c r="AS38" s="91"/>
      <c r="AT38" s="91"/>
      <c r="AU38" s="148">
        <f t="shared" si="34"/>
        <v>0</v>
      </c>
      <c r="AV38" s="112">
        <v>349</v>
      </c>
      <c r="AW38" s="127">
        <v>0.15</v>
      </c>
      <c r="AX38" s="16">
        <f t="shared" si="35"/>
        <v>73.28999999999999</v>
      </c>
      <c r="AY38" s="114"/>
      <c r="AZ38" s="115"/>
      <c r="BA38" s="115">
        <f t="shared" si="36"/>
        <v>0</v>
      </c>
      <c r="BB38" s="115">
        <f t="shared" si="37"/>
        <v>1973.1209999999996</v>
      </c>
      <c r="BC38" s="125"/>
      <c r="BD38" s="14">
        <f t="shared" si="38"/>
        <v>1973.2140000000004</v>
      </c>
      <c r="BE38" s="30">
        <f t="shared" si="39"/>
        <v>679.23</v>
      </c>
    </row>
    <row r="39" spans="1:57" ht="12.75" hidden="1">
      <c r="A39" s="11" t="s">
        <v>41</v>
      </c>
      <c r="B39" s="98">
        <v>377.7</v>
      </c>
      <c r="C39" s="124">
        <f t="shared" si="22"/>
        <v>3267.105</v>
      </c>
      <c r="D39" s="123">
        <f t="shared" si="41"/>
        <v>551.625</v>
      </c>
      <c r="E39" s="119">
        <v>353.5</v>
      </c>
      <c r="F39" s="119">
        <v>0</v>
      </c>
      <c r="G39" s="119">
        <v>132.5</v>
      </c>
      <c r="H39" s="119">
        <v>0</v>
      </c>
      <c r="I39" s="119">
        <v>1150.09</v>
      </c>
      <c r="J39" s="119">
        <v>0</v>
      </c>
      <c r="K39" s="119">
        <v>796.59</v>
      </c>
      <c r="L39" s="119">
        <v>0</v>
      </c>
      <c r="M39" s="119">
        <v>282.8</v>
      </c>
      <c r="N39" s="119">
        <v>0</v>
      </c>
      <c r="O39" s="119">
        <v>0</v>
      </c>
      <c r="P39" s="120">
        <v>0</v>
      </c>
      <c r="Q39" s="120"/>
      <c r="R39" s="120"/>
      <c r="S39" s="85">
        <f t="shared" si="24"/>
        <v>2715.48</v>
      </c>
      <c r="T39" s="102">
        <f t="shared" si="25"/>
        <v>0</v>
      </c>
      <c r="U39" s="85">
        <v>270.63</v>
      </c>
      <c r="V39" s="85">
        <v>101.44</v>
      </c>
      <c r="W39" s="85">
        <v>880.49</v>
      </c>
      <c r="X39" s="85">
        <v>609.86</v>
      </c>
      <c r="Y39" s="85">
        <v>216.51</v>
      </c>
      <c r="Z39" s="103">
        <v>0</v>
      </c>
      <c r="AA39" s="103">
        <v>0</v>
      </c>
      <c r="AB39" s="103">
        <f t="shared" si="40"/>
        <v>2078.9300000000003</v>
      </c>
      <c r="AC39" s="107">
        <f t="shared" si="26"/>
        <v>2630.5550000000003</v>
      </c>
      <c r="AD39" s="96">
        <f t="shared" si="27"/>
        <v>0</v>
      </c>
      <c r="AE39" s="96">
        <f t="shared" si="28"/>
        <v>0</v>
      </c>
      <c r="AF39" s="96"/>
      <c r="AG39" s="16">
        <f t="shared" si="29"/>
        <v>226.61999999999998</v>
      </c>
      <c r="AH39" s="16">
        <f t="shared" si="30"/>
        <v>75.54</v>
      </c>
      <c r="AI39" s="16">
        <f t="shared" si="31"/>
        <v>377.7</v>
      </c>
      <c r="AJ39" s="16">
        <v>0</v>
      </c>
      <c r="AK39" s="16">
        <f>0.98*B39</f>
        <v>370.14599999999996</v>
      </c>
      <c r="AL39" s="16">
        <v>0</v>
      </c>
      <c r="AM39" s="16">
        <f t="shared" si="33"/>
        <v>849.8249999999999</v>
      </c>
      <c r="AN39" s="16">
        <v>0</v>
      </c>
      <c r="AO39" s="16"/>
      <c r="AP39" s="16"/>
      <c r="AQ39" s="111"/>
      <c r="AR39" s="111"/>
      <c r="AS39" s="91"/>
      <c r="AT39" s="91"/>
      <c r="AU39" s="91">
        <f t="shared" si="34"/>
        <v>0</v>
      </c>
      <c r="AV39" s="112">
        <v>425</v>
      </c>
      <c r="AW39" s="127">
        <v>0.15</v>
      </c>
      <c r="AX39" s="16">
        <f t="shared" si="35"/>
        <v>89.25</v>
      </c>
      <c r="AY39" s="114"/>
      <c r="AZ39" s="115"/>
      <c r="BA39" s="115">
        <f t="shared" si="36"/>
        <v>0</v>
      </c>
      <c r="BB39" s="115">
        <f t="shared" si="37"/>
        <v>1989.0809999999997</v>
      </c>
      <c r="BC39" s="125"/>
      <c r="BD39" s="14">
        <f t="shared" si="38"/>
        <v>641.4740000000006</v>
      </c>
      <c r="BE39" s="30">
        <f t="shared" si="39"/>
        <v>-636.5499999999997</v>
      </c>
    </row>
    <row r="40" spans="1:57" ht="12.75" hidden="1">
      <c r="A40" s="11" t="s">
        <v>42</v>
      </c>
      <c r="B40" s="98">
        <v>377.7</v>
      </c>
      <c r="C40" s="124">
        <f t="shared" si="22"/>
        <v>3267.105</v>
      </c>
      <c r="D40" s="123">
        <f t="shared" si="41"/>
        <v>551.625</v>
      </c>
      <c r="E40" s="101">
        <v>353.5</v>
      </c>
      <c r="F40" s="101">
        <v>0</v>
      </c>
      <c r="G40" s="101">
        <v>132.5</v>
      </c>
      <c r="H40" s="101">
        <v>0</v>
      </c>
      <c r="I40" s="101">
        <v>1150.09</v>
      </c>
      <c r="J40" s="101">
        <v>0</v>
      </c>
      <c r="K40" s="101">
        <v>796.59</v>
      </c>
      <c r="L40" s="101">
        <v>0</v>
      </c>
      <c r="M40" s="101">
        <v>282.8</v>
      </c>
      <c r="N40" s="101">
        <v>0</v>
      </c>
      <c r="O40" s="101">
        <v>0</v>
      </c>
      <c r="P40" s="108">
        <v>0</v>
      </c>
      <c r="Q40" s="108"/>
      <c r="R40" s="108"/>
      <c r="S40" s="85">
        <f t="shared" si="24"/>
        <v>2715.48</v>
      </c>
      <c r="T40" s="102">
        <f t="shared" si="25"/>
        <v>0</v>
      </c>
      <c r="U40" s="87">
        <v>790.01</v>
      </c>
      <c r="V40" s="85">
        <v>296.11</v>
      </c>
      <c r="W40" s="85">
        <v>2570.23</v>
      </c>
      <c r="X40" s="85">
        <v>1780.2</v>
      </c>
      <c r="Y40" s="85">
        <v>632.01</v>
      </c>
      <c r="Z40" s="103">
        <v>0</v>
      </c>
      <c r="AA40" s="103">
        <v>0</v>
      </c>
      <c r="AB40" s="103">
        <f t="shared" si="40"/>
        <v>6068.56</v>
      </c>
      <c r="AC40" s="107">
        <f t="shared" si="26"/>
        <v>6620.185</v>
      </c>
      <c r="AD40" s="96">
        <f t="shared" si="27"/>
        <v>0</v>
      </c>
      <c r="AE40" s="96">
        <f t="shared" si="28"/>
        <v>0</v>
      </c>
      <c r="AF40" s="96"/>
      <c r="AG40" s="16">
        <f t="shared" si="29"/>
        <v>226.61999999999998</v>
      </c>
      <c r="AH40" s="16">
        <f t="shared" si="30"/>
        <v>75.54</v>
      </c>
      <c r="AI40" s="16">
        <f t="shared" si="31"/>
        <v>377.7</v>
      </c>
      <c r="AJ40" s="16">
        <v>0</v>
      </c>
      <c r="AK40" s="16">
        <f>0.98*B40</f>
        <v>370.14599999999996</v>
      </c>
      <c r="AL40" s="16">
        <v>0</v>
      </c>
      <c r="AM40" s="16">
        <f t="shared" si="33"/>
        <v>849.8249999999999</v>
      </c>
      <c r="AN40" s="16">
        <v>0</v>
      </c>
      <c r="AO40" s="16"/>
      <c r="AP40" s="16"/>
      <c r="AQ40" s="111"/>
      <c r="AR40" s="111"/>
      <c r="AS40" s="91"/>
      <c r="AT40" s="91"/>
      <c r="AU40" s="91">
        <f t="shared" si="34"/>
        <v>0</v>
      </c>
      <c r="AV40" s="112">
        <v>470</v>
      </c>
      <c r="AW40" s="127">
        <v>0.15</v>
      </c>
      <c r="AX40" s="16">
        <f t="shared" si="35"/>
        <v>98.69999999999999</v>
      </c>
      <c r="AY40" s="114"/>
      <c r="AZ40" s="115"/>
      <c r="BA40" s="115">
        <f t="shared" si="36"/>
        <v>0</v>
      </c>
      <c r="BB40" s="115">
        <f t="shared" si="37"/>
        <v>1998.5309999999995</v>
      </c>
      <c r="BC40" s="125"/>
      <c r="BD40" s="14">
        <f t="shared" si="38"/>
        <v>4621.654</v>
      </c>
      <c r="BE40" s="30">
        <f t="shared" si="39"/>
        <v>3353.0800000000004</v>
      </c>
    </row>
    <row r="41" spans="1:57" ht="12.75" hidden="1">
      <c r="A41" s="11" t="s">
        <v>43</v>
      </c>
      <c r="B41" s="98">
        <v>377.7</v>
      </c>
      <c r="C41" s="124">
        <f t="shared" si="22"/>
        <v>3267.105</v>
      </c>
      <c r="D41" s="123">
        <f t="shared" si="41"/>
        <v>551.625</v>
      </c>
      <c r="E41" s="101">
        <v>353.5</v>
      </c>
      <c r="F41" s="101">
        <v>0</v>
      </c>
      <c r="G41" s="101">
        <v>132.5</v>
      </c>
      <c r="H41" s="101">
        <v>0</v>
      </c>
      <c r="I41" s="101">
        <v>1150.09</v>
      </c>
      <c r="J41" s="101">
        <v>0</v>
      </c>
      <c r="K41" s="101">
        <v>796.59</v>
      </c>
      <c r="L41" s="101">
        <v>0</v>
      </c>
      <c r="M41" s="101">
        <v>282.8</v>
      </c>
      <c r="N41" s="101">
        <v>0</v>
      </c>
      <c r="O41" s="101">
        <v>0</v>
      </c>
      <c r="P41" s="108">
        <v>0</v>
      </c>
      <c r="Q41" s="108"/>
      <c r="R41" s="108"/>
      <c r="S41" s="85">
        <f t="shared" si="24"/>
        <v>2715.48</v>
      </c>
      <c r="T41" s="102">
        <f t="shared" si="25"/>
        <v>0</v>
      </c>
      <c r="U41" s="85">
        <v>264.69</v>
      </c>
      <c r="V41" s="85">
        <v>99.21</v>
      </c>
      <c r="W41" s="85">
        <v>861.16</v>
      </c>
      <c r="X41" s="85">
        <v>596.48</v>
      </c>
      <c r="Y41" s="85">
        <v>211.76</v>
      </c>
      <c r="Z41" s="103">
        <v>0</v>
      </c>
      <c r="AA41" s="103">
        <v>0</v>
      </c>
      <c r="AB41" s="103">
        <f t="shared" si="40"/>
        <v>2033.3</v>
      </c>
      <c r="AC41" s="107">
        <f t="shared" si="26"/>
        <v>2584.925</v>
      </c>
      <c r="AD41" s="96">
        <f t="shared" si="27"/>
        <v>0</v>
      </c>
      <c r="AE41" s="96">
        <f t="shared" si="28"/>
        <v>0</v>
      </c>
      <c r="AF41" s="96"/>
      <c r="AG41" s="16">
        <f t="shared" si="29"/>
        <v>226.61999999999998</v>
      </c>
      <c r="AH41" s="16">
        <f t="shared" si="30"/>
        <v>75.54</v>
      </c>
      <c r="AI41" s="16">
        <f t="shared" si="31"/>
        <v>377.7</v>
      </c>
      <c r="AJ41" s="16">
        <v>0</v>
      </c>
      <c r="AK41" s="16">
        <f>0.98*B41</f>
        <v>370.14599999999996</v>
      </c>
      <c r="AL41" s="16">
        <v>0</v>
      </c>
      <c r="AM41" s="16">
        <f t="shared" si="33"/>
        <v>849.8249999999999</v>
      </c>
      <c r="AN41" s="16">
        <v>0</v>
      </c>
      <c r="AO41" s="16"/>
      <c r="AP41" s="16"/>
      <c r="AQ41" s="111"/>
      <c r="AR41" s="111"/>
      <c r="AS41" s="91"/>
      <c r="AT41" s="91"/>
      <c r="AU41" s="91">
        <f t="shared" si="34"/>
        <v>0</v>
      </c>
      <c r="AV41" s="112">
        <v>514</v>
      </c>
      <c r="AW41" s="127">
        <v>0.15</v>
      </c>
      <c r="AX41" s="16">
        <f t="shared" si="35"/>
        <v>107.93999999999998</v>
      </c>
      <c r="AY41" s="114"/>
      <c r="AZ41" s="115"/>
      <c r="BA41" s="115">
        <f t="shared" si="36"/>
        <v>0</v>
      </c>
      <c r="BB41" s="115">
        <f t="shared" si="37"/>
        <v>2007.7709999999997</v>
      </c>
      <c r="BC41" s="125"/>
      <c r="BD41" s="14">
        <f t="shared" si="38"/>
        <v>577.1540000000005</v>
      </c>
      <c r="BE41" s="30">
        <f t="shared" si="39"/>
        <v>-682.1800000000001</v>
      </c>
    </row>
    <row r="42" spans="1:57" s="20" customFormat="1" ht="12.75" hidden="1">
      <c r="A42" s="17" t="s">
        <v>5</v>
      </c>
      <c r="B42" s="60"/>
      <c r="C42" s="60">
        <f aca="true" t="shared" si="42" ref="C42:AU42">SUM(C30:C41)</f>
        <v>39205.26</v>
      </c>
      <c r="D42" s="60">
        <f t="shared" si="42"/>
        <v>6619.51</v>
      </c>
      <c r="E42" s="57">
        <f t="shared" si="42"/>
        <v>4080</v>
      </c>
      <c r="F42" s="57">
        <f t="shared" si="42"/>
        <v>162</v>
      </c>
      <c r="G42" s="57">
        <f t="shared" si="42"/>
        <v>1528.79</v>
      </c>
      <c r="H42" s="57">
        <f t="shared" si="42"/>
        <v>61.2</v>
      </c>
      <c r="I42" s="57">
        <f t="shared" si="42"/>
        <v>13273.680000000002</v>
      </c>
      <c r="J42" s="57">
        <f t="shared" si="42"/>
        <v>527.4</v>
      </c>
      <c r="K42" s="57">
        <f t="shared" si="42"/>
        <v>9193.68</v>
      </c>
      <c r="L42" s="57">
        <f t="shared" si="42"/>
        <v>365.4</v>
      </c>
      <c r="M42" s="57">
        <f t="shared" si="42"/>
        <v>3264.000000000001</v>
      </c>
      <c r="N42" s="57">
        <f t="shared" si="42"/>
        <v>129.6</v>
      </c>
      <c r="O42" s="57">
        <f t="shared" si="42"/>
        <v>0</v>
      </c>
      <c r="P42" s="57">
        <f t="shared" si="42"/>
        <v>0</v>
      </c>
      <c r="Q42" s="57">
        <f t="shared" si="42"/>
        <v>0</v>
      </c>
      <c r="R42" s="57">
        <f t="shared" si="42"/>
        <v>0</v>
      </c>
      <c r="S42" s="57">
        <f t="shared" si="42"/>
        <v>31340.149999999998</v>
      </c>
      <c r="T42" s="57">
        <f t="shared" si="42"/>
        <v>1245.6</v>
      </c>
      <c r="U42" s="61">
        <f t="shared" si="42"/>
        <v>4387.089999999999</v>
      </c>
      <c r="V42" s="61">
        <f t="shared" si="42"/>
        <v>1718.69</v>
      </c>
      <c r="W42" s="61">
        <f t="shared" si="42"/>
        <v>14270.169999999998</v>
      </c>
      <c r="X42" s="61">
        <f t="shared" si="42"/>
        <v>9883</v>
      </c>
      <c r="Y42" s="61">
        <f t="shared" si="42"/>
        <v>3509.6800000000003</v>
      </c>
      <c r="Z42" s="61">
        <f t="shared" si="42"/>
        <v>0</v>
      </c>
      <c r="AA42" s="61">
        <f t="shared" si="42"/>
        <v>0</v>
      </c>
      <c r="AB42" s="61">
        <f t="shared" si="42"/>
        <v>33768.630000000005</v>
      </c>
      <c r="AC42" s="61">
        <f t="shared" si="42"/>
        <v>41633.740000000005</v>
      </c>
      <c r="AD42" s="61">
        <f t="shared" si="42"/>
        <v>0</v>
      </c>
      <c r="AE42" s="94">
        <f t="shared" si="42"/>
        <v>0</v>
      </c>
      <c r="AF42" s="94">
        <f t="shared" si="42"/>
        <v>0</v>
      </c>
      <c r="AG42" s="18">
        <f t="shared" si="42"/>
        <v>2719.439999999999</v>
      </c>
      <c r="AH42" s="18">
        <f t="shared" si="42"/>
        <v>906.4799999999999</v>
      </c>
      <c r="AI42" s="18">
        <f t="shared" si="42"/>
        <v>4532.399999999999</v>
      </c>
      <c r="AJ42" s="18">
        <f t="shared" si="42"/>
        <v>0</v>
      </c>
      <c r="AK42" s="18">
        <f t="shared" si="42"/>
        <v>4441.751999999999</v>
      </c>
      <c r="AL42" s="18">
        <f t="shared" si="42"/>
        <v>0</v>
      </c>
      <c r="AM42" s="18">
        <f t="shared" si="42"/>
        <v>10197.900000000001</v>
      </c>
      <c r="AN42" s="18">
        <f t="shared" si="42"/>
        <v>0</v>
      </c>
      <c r="AO42" s="18">
        <f t="shared" si="42"/>
        <v>0</v>
      </c>
      <c r="AP42" s="18">
        <f t="shared" si="42"/>
        <v>0</v>
      </c>
      <c r="AQ42" s="18">
        <f t="shared" si="42"/>
        <v>0</v>
      </c>
      <c r="AR42" s="18">
        <f t="shared" si="42"/>
        <v>0</v>
      </c>
      <c r="AS42" s="18">
        <f t="shared" si="42"/>
        <v>6829</v>
      </c>
      <c r="AT42" s="18">
        <f t="shared" si="42"/>
        <v>547.8</v>
      </c>
      <c r="AU42" s="18">
        <f t="shared" si="42"/>
        <v>0</v>
      </c>
      <c r="AV42" s="18"/>
      <c r="AW42" s="18"/>
      <c r="AX42" s="18">
        <f aca="true" t="shared" si="43" ref="AX42:BE42">SUM(AX30:AX41)</f>
        <v>923.9999999999999</v>
      </c>
      <c r="AY42" s="18">
        <f t="shared" si="43"/>
        <v>0</v>
      </c>
      <c r="AZ42" s="18">
        <f t="shared" si="43"/>
        <v>0</v>
      </c>
      <c r="BA42" s="18">
        <f t="shared" si="43"/>
        <v>0</v>
      </c>
      <c r="BB42" s="18">
        <f t="shared" si="43"/>
        <v>31098.771999999994</v>
      </c>
      <c r="BC42" s="18">
        <f t="shared" si="43"/>
        <v>0</v>
      </c>
      <c r="BD42" s="18">
        <f t="shared" si="43"/>
        <v>10534.968000000003</v>
      </c>
      <c r="BE42" s="19">
        <f t="shared" si="43"/>
        <v>2428.4799999999996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4" ref="C44:AU44">C28+C42</f>
        <v>88211.835</v>
      </c>
      <c r="D44" s="23">
        <f t="shared" si="44"/>
        <v>14867.75169155</v>
      </c>
      <c r="E44" s="50">
        <f t="shared" si="44"/>
        <v>8986.94</v>
      </c>
      <c r="F44" s="50">
        <f t="shared" si="44"/>
        <v>451.94</v>
      </c>
      <c r="G44" s="50">
        <f t="shared" si="44"/>
        <v>3347.49</v>
      </c>
      <c r="H44" s="50">
        <f t="shared" si="44"/>
        <v>168.71</v>
      </c>
      <c r="I44" s="50">
        <f t="shared" si="44"/>
        <v>29229.04</v>
      </c>
      <c r="J44" s="50">
        <f t="shared" si="44"/>
        <v>1470.56</v>
      </c>
      <c r="K44" s="50">
        <f t="shared" si="44"/>
        <v>20242.09</v>
      </c>
      <c r="L44" s="50">
        <f t="shared" si="44"/>
        <v>1018.63</v>
      </c>
      <c r="M44" s="50">
        <f t="shared" si="44"/>
        <v>7189.5599999999995</v>
      </c>
      <c r="N44" s="50">
        <f t="shared" si="44"/>
        <v>361.54</v>
      </c>
      <c r="O44" s="50">
        <f t="shared" si="44"/>
        <v>0</v>
      </c>
      <c r="P44" s="50">
        <f t="shared" si="44"/>
        <v>0</v>
      </c>
      <c r="Q44" s="50">
        <f t="shared" si="44"/>
        <v>0</v>
      </c>
      <c r="R44" s="50">
        <f t="shared" si="44"/>
        <v>0</v>
      </c>
      <c r="S44" s="50">
        <f t="shared" si="44"/>
        <v>68995.12</v>
      </c>
      <c r="T44" s="50">
        <f t="shared" si="44"/>
        <v>3471.3799999999997</v>
      </c>
      <c r="U44" s="53">
        <f t="shared" si="44"/>
        <v>9240.109999999999</v>
      </c>
      <c r="V44" s="53">
        <f t="shared" si="44"/>
        <v>3817.7599999999998</v>
      </c>
      <c r="W44" s="53">
        <f t="shared" si="44"/>
        <v>30050.21</v>
      </c>
      <c r="X44" s="53">
        <f t="shared" si="44"/>
        <v>20810.04</v>
      </c>
      <c r="Y44" s="53">
        <f t="shared" si="44"/>
        <v>7392.1</v>
      </c>
      <c r="Z44" s="53">
        <f t="shared" si="44"/>
        <v>0</v>
      </c>
      <c r="AA44" s="53">
        <f t="shared" si="44"/>
        <v>0</v>
      </c>
      <c r="AB44" s="53">
        <f t="shared" si="44"/>
        <v>71310.22</v>
      </c>
      <c r="AC44" s="53">
        <f t="shared" si="44"/>
        <v>89649.35169155</v>
      </c>
      <c r="AD44" s="53">
        <f t="shared" si="44"/>
        <v>0</v>
      </c>
      <c r="AE44" s="53">
        <f t="shared" si="44"/>
        <v>0</v>
      </c>
      <c r="AF44" s="53">
        <f t="shared" si="44"/>
        <v>0</v>
      </c>
      <c r="AG44" s="23">
        <f t="shared" si="44"/>
        <v>6028.091999999999</v>
      </c>
      <c r="AH44" s="23">
        <f t="shared" si="44"/>
        <v>2019.8888083999996</v>
      </c>
      <c r="AI44" s="23">
        <f t="shared" si="44"/>
        <v>9171.46966535</v>
      </c>
      <c r="AJ44" s="23">
        <f t="shared" si="44"/>
        <v>835.0325397629999</v>
      </c>
      <c r="AK44" s="23">
        <f t="shared" si="44"/>
        <v>9136.115614349997</v>
      </c>
      <c r="AL44" s="23">
        <f t="shared" si="44"/>
        <v>844.9854505829999</v>
      </c>
      <c r="AM44" s="23">
        <f t="shared" si="44"/>
        <v>20477.772254046104</v>
      </c>
      <c r="AN44" s="23">
        <f t="shared" si="44"/>
        <v>1850.3770057282984</v>
      </c>
      <c r="AO44" s="23">
        <f t="shared" si="44"/>
        <v>0</v>
      </c>
      <c r="AP44" s="23">
        <f t="shared" si="44"/>
        <v>0</v>
      </c>
      <c r="AQ44" s="23">
        <f t="shared" si="44"/>
        <v>0</v>
      </c>
      <c r="AR44" s="23">
        <f t="shared" si="44"/>
        <v>0</v>
      </c>
      <c r="AS44" s="23">
        <f t="shared" si="44"/>
        <v>6829</v>
      </c>
      <c r="AT44" s="23">
        <f t="shared" si="44"/>
        <v>547.8</v>
      </c>
      <c r="AU44" s="23">
        <f t="shared" si="44"/>
        <v>0</v>
      </c>
      <c r="AV44" s="23"/>
      <c r="AW44" s="23"/>
      <c r="AX44" s="23">
        <f aca="true" t="shared" si="45" ref="AX44:BE44">AX28+AX42</f>
        <v>1796.2559999999999</v>
      </c>
      <c r="AY44" s="23">
        <f t="shared" si="45"/>
        <v>0</v>
      </c>
      <c r="AZ44" s="23">
        <f t="shared" si="45"/>
        <v>0</v>
      </c>
      <c r="BA44" s="23">
        <f t="shared" si="45"/>
        <v>0</v>
      </c>
      <c r="BB44" s="23">
        <f t="shared" si="45"/>
        <v>59536.78933822039</v>
      </c>
      <c r="BC44" s="23">
        <f t="shared" si="45"/>
        <v>0</v>
      </c>
      <c r="BD44" s="23">
        <f t="shared" si="45"/>
        <v>30112.562353329602</v>
      </c>
      <c r="BE44" s="24">
        <f t="shared" si="45"/>
        <v>2315.0999999999995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7">
      <selection activeCell="H53" sqref="H53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03" t="s">
        <v>55</v>
      </c>
      <c r="C1" s="203"/>
      <c r="D1" s="203"/>
      <c r="E1" s="203"/>
      <c r="F1" s="203"/>
      <c r="G1" s="203"/>
      <c r="H1" s="203"/>
    </row>
    <row r="2" spans="2:8" ht="21" customHeight="1">
      <c r="B2" s="203" t="s">
        <v>56</v>
      </c>
      <c r="C2" s="203"/>
      <c r="D2" s="203"/>
      <c r="E2" s="203"/>
      <c r="F2" s="203"/>
      <c r="G2" s="203"/>
      <c r="H2" s="203"/>
    </row>
    <row r="5" spans="1:15" ht="12.75">
      <c r="A5" s="205" t="s">
        <v>89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5" ht="12.75">
      <c r="A6" s="206" t="s">
        <v>93</v>
      </c>
      <c r="B6" s="206"/>
      <c r="C6" s="206"/>
      <c r="D6" s="206"/>
      <c r="E6" s="206"/>
      <c r="F6" s="206"/>
      <c r="G6" s="206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04" t="s">
        <v>57</v>
      </c>
      <c r="B8" s="204"/>
      <c r="C8" s="204"/>
      <c r="D8" s="204"/>
      <c r="E8" s="204">
        <v>8.65</v>
      </c>
      <c r="F8" s="204"/>
    </row>
    <row r="9" spans="1:16" ht="12.75" customHeight="1">
      <c r="A9" s="152" t="s">
        <v>58</v>
      </c>
      <c r="B9" s="232" t="s">
        <v>1</v>
      </c>
      <c r="C9" s="235" t="s">
        <v>59</v>
      </c>
      <c r="D9" s="238" t="s">
        <v>3</v>
      </c>
      <c r="E9" s="218" t="s">
        <v>60</v>
      </c>
      <c r="F9" s="219"/>
      <c r="G9" s="222" t="s">
        <v>61</v>
      </c>
      <c r="H9" s="223"/>
      <c r="I9" s="199" t="s">
        <v>10</v>
      </c>
      <c r="J9" s="191"/>
      <c r="K9" s="191"/>
      <c r="L9" s="191"/>
      <c r="M9" s="191"/>
      <c r="N9" s="200"/>
      <c r="O9" s="207" t="s">
        <v>62</v>
      </c>
      <c r="P9" s="207" t="s">
        <v>12</v>
      </c>
    </row>
    <row r="10" spans="1:16" ht="12.75">
      <c r="A10" s="153"/>
      <c r="B10" s="233"/>
      <c r="C10" s="236"/>
      <c r="D10" s="239"/>
      <c r="E10" s="220"/>
      <c r="F10" s="221"/>
      <c r="G10" s="224"/>
      <c r="H10" s="225"/>
      <c r="I10" s="201"/>
      <c r="J10" s="163"/>
      <c r="K10" s="163"/>
      <c r="L10" s="163"/>
      <c r="M10" s="163"/>
      <c r="N10" s="202"/>
      <c r="O10" s="208"/>
      <c r="P10" s="208"/>
    </row>
    <row r="11" spans="1:16" ht="26.25" customHeight="1">
      <c r="A11" s="153"/>
      <c r="B11" s="233"/>
      <c r="C11" s="236"/>
      <c r="D11" s="239"/>
      <c r="E11" s="210" t="s">
        <v>63</v>
      </c>
      <c r="F11" s="211"/>
      <c r="G11" s="84" t="s">
        <v>64</v>
      </c>
      <c r="H11" s="212" t="s">
        <v>7</v>
      </c>
      <c r="I11" s="214" t="s">
        <v>65</v>
      </c>
      <c r="J11" s="216" t="s">
        <v>32</v>
      </c>
      <c r="K11" s="216" t="s">
        <v>66</v>
      </c>
      <c r="L11" s="216" t="s">
        <v>37</v>
      </c>
      <c r="M11" s="216" t="s">
        <v>67</v>
      </c>
      <c r="N11" s="212" t="s">
        <v>39</v>
      </c>
      <c r="O11" s="208"/>
      <c r="P11" s="208"/>
    </row>
    <row r="12" spans="1:16" ht="66.75" customHeight="1" thickBot="1">
      <c r="A12" s="231"/>
      <c r="B12" s="234"/>
      <c r="C12" s="237"/>
      <c r="D12" s="240"/>
      <c r="E12" s="63" t="s">
        <v>68</v>
      </c>
      <c r="F12" s="66" t="s">
        <v>21</v>
      </c>
      <c r="G12" s="81" t="s">
        <v>69</v>
      </c>
      <c r="H12" s="213"/>
      <c r="I12" s="215"/>
      <c r="J12" s="217"/>
      <c r="K12" s="217"/>
      <c r="L12" s="217"/>
      <c r="M12" s="217"/>
      <c r="N12" s="213"/>
      <c r="O12" s="209"/>
      <c r="P12" s="209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377.7</v>
      </c>
      <c r="C15" s="27">
        <f>B15*8.65</f>
        <v>3267.105</v>
      </c>
      <c r="D15" s="28">
        <f>Лист1!D9</f>
        <v>786.9802524</v>
      </c>
      <c r="E15" s="14">
        <f>Лист1!S9</f>
        <v>2359.9</v>
      </c>
      <c r="F15" s="30">
        <f>Лист1!T9</f>
        <v>183.89999999999998</v>
      </c>
      <c r="G15" s="29">
        <f>Лист1!AB9</f>
        <v>0</v>
      </c>
      <c r="H15" s="30">
        <f>Лист1!AC9</f>
        <v>970.8802524</v>
      </c>
      <c r="I15" s="29">
        <f>Лист1!AG9</f>
        <v>226.61999999999998</v>
      </c>
      <c r="J15" s="14">
        <f>Лист1!AI9+Лист1!AJ9</f>
        <v>379.63533479999995</v>
      </c>
      <c r="K15" s="14">
        <f>Лист1!AH9+Лист1!AK9+Лист1!AL9+Лист1!AM9+Лист1!AN9+Лист1!AO9+Лист1!AP9</f>
        <v>1333.05177387</v>
      </c>
      <c r="L15" s="31">
        <f>Лист1!AS9+Лист1!AU9</f>
        <v>0</v>
      </c>
      <c r="M15" s="31">
        <f>Лист1!AX9</f>
        <v>0</v>
      </c>
      <c r="N15" s="30">
        <f>Лист1!BB9</f>
        <v>1939.3071086700002</v>
      </c>
      <c r="O15" s="74">
        <f>Лист1!BD9</f>
        <v>-968.4268562700001</v>
      </c>
      <c r="P15" s="74">
        <f>Лист1!BE9</f>
        <v>-2359.9</v>
      </c>
    </row>
    <row r="16" spans="1:16" ht="12.75" hidden="1">
      <c r="A16" s="11" t="s">
        <v>42</v>
      </c>
      <c r="B16" s="82">
        <f>Лист1!B10</f>
        <v>377.7</v>
      </c>
      <c r="C16" s="27">
        <f aca="true" t="shared" si="0" ref="C16:C31">B16*8.65</f>
        <v>3267.105</v>
      </c>
      <c r="D16" s="28">
        <f>Лист1!D10</f>
        <v>786.9802524</v>
      </c>
      <c r="E16" s="14">
        <f>Лист1!S10</f>
        <v>2359.9</v>
      </c>
      <c r="F16" s="30">
        <f>Лист1!T10</f>
        <v>183.89999999999998</v>
      </c>
      <c r="G16" s="29">
        <f>Лист1!AB10</f>
        <v>1924.37</v>
      </c>
      <c r="H16" s="30">
        <f>Лист1!AC10</f>
        <v>2895.2502524</v>
      </c>
      <c r="I16" s="29">
        <f>Лист1!AG10</f>
        <v>226.61999999999998</v>
      </c>
      <c r="J16" s="14">
        <f>Лист1!AI10+Лист1!AJ10</f>
        <v>379.63533479999995</v>
      </c>
      <c r="K16" s="14">
        <f>Лист1!AH10+Лист1!AK10+Лист1!AL10+Лист1!AM10+Лист1!AN10+Лист1!AO10+Лист1!AP10</f>
        <v>1329.0285134699998</v>
      </c>
      <c r="L16" s="31">
        <f>Лист1!AS10+Лист1!AU10</f>
        <v>0</v>
      </c>
      <c r="M16" s="31">
        <f>Лист1!AX10</f>
        <v>0</v>
      </c>
      <c r="N16" s="30">
        <f>Лист1!BB10</f>
        <v>1935.28384827</v>
      </c>
      <c r="O16" s="74">
        <f>Лист1!BD10</f>
        <v>959.9664041300002</v>
      </c>
      <c r="P16" s="74">
        <f>Лист1!BE10</f>
        <v>-435.5300000000002</v>
      </c>
    </row>
    <row r="17" spans="1:18" ht="13.5" hidden="1" thickBot="1">
      <c r="A17" s="32" t="s">
        <v>43</v>
      </c>
      <c r="B17" s="82">
        <f>Лист1!B11</f>
        <v>377.7</v>
      </c>
      <c r="C17" s="33">
        <f t="shared" si="0"/>
        <v>3267.105</v>
      </c>
      <c r="D17" s="28">
        <f>Лист1!D11</f>
        <v>785.24868675</v>
      </c>
      <c r="E17" s="14">
        <f>Лист1!S11</f>
        <v>2448.73</v>
      </c>
      <c r="F17" s="30">
        <f>Лист1!T11</f>
        <v>132.29000000000002</v>
      </c>
      <c r="G17" s="29">
        <f>Лист1!AB11</f>
        <v>1725.51</v>
      </c>
      <c r="H17" s="30">
        <f>Лист1!AC11</f>
        <v>2643.0486867500003</v>
      </c>
      <c r="I17" s="29">
        <f>Лист1!AG11</f>
        <v>226.61999999999998</v>
      </c>
      <c r="J17" s="14">
        <f>Лист1!AI11+Лист1!AJ11</f>
        <v>378.53003351999996</v>
      </c>
      <c r="K17" s="14">
        <f>Лист1!AH11+Лист1!AK11+Лист1!AL11+Лист1!AM11+Лист1!AN11+Лист1!AO11+Лист1!AP11</f>
        <v>1326.915519921</v>
      </c>
      <c r="L17" s="31">
        <f>Лист1!AS11+Лист1!AU11</f>
        <v>0</v>
      </c>
      <c r="M17" s="31">
        <f>Лист1!AX11</f>
        <v>0</v>
      </c>
      <c r="N17" s="30">
        <f>Лист1!BB11</f>
        <v>1932.065553441</v>
      </c>
      <c r="O17" s="74">
        <f>Лист1!BD11</f>
        <v>710.9831333090003</v>
      </c>
      <c r="P17" s="74">
        <f>Лист1!BE11</f>
        <v>-723.22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9801.315</v>
      </c>
      <c r="D18" s="67">
        <f aca="true" t="shared" si="1" ref="D18:I18">SUM(D15:D17)</f>
        <v>2359.20919155</v>
      </c>
      <c r="E18" s="36">
        <f t="shared" si="1"/>
        <v>7168.530000000001</v>
      </c>
      <c r="F18" s="68">
        <f t="shared" si="1"/>
        <v>500.09</v>
      </c>
      <c r="G18" s="67">
        <f t="shared" si="1"/>
        <v>3649.88</v>
      </c>
      <c r="H18" s="68">
        <f t="shared" si="1"/>
        <v>6509.179191550001</v>
      </c>
      <c r="I18" s="67">
        <f t="shared" si="1"/>
        <v>679.8599999999999</v>
      </c>
      <c r="J18" s="36">
        <f aca="true" t="shared" si="2" ref="J18:P18">SUM(J15:J17)</f>
        <v>1137.80070312</v>
      </c>
      <c r="K18" s="36">
        <f t="shared" si="2"/>
        <v>3988.9958072609998</v>
      </c>
      <c r="L18" s="36">
        <f t="shared" si="2"/>
        <v>0</v>
      </c>
      <c r="M18" s="36">
        <f t="shared" si="2"/>
        <v>0</v>
      </c>
      <c r="N18" s="68">
        <f t="shared" si="2"/>
        <v>5806.656510381</v>
      </c>
      <c r="O18" s="75">
        <f t="shared" si="2"/>
        <v>702.5226811690004</v>
      </c>
      <c r="P18" s="75">
        <f t="shared" si="2"/>
        <v>-3518.6500000000005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377.7</v>
      </c>
      <c r="C20" s="27">
        <f t="shared" si="0"/>
        <v>3267.105</v>
      </c>
      <c r="D20" s="28">
        <f>Лист1!D14</f>
        <v>408.388125</v>
      </c>
      <c r="E20" s="14">
        <f>Лист1!S14</f>
        <v>2454.08</v>
      </c>
      <c r="F20" s="30">
        <f>Лист1!T14</f>
        <v>128.73000000000002</v>
      </c>
      <c r="G20" s="29">
        <f>Лист1!AB14</f>
        <v>1814.0299999999997</v>
      </c>
      <c r="H20" s="30">
        <f>Лист1!AC14</f>
        <v>2351.1481249999997</v>
      </c>
      <c r="I20" s="29">
        <f>Лист1!AG14</f>
        <v>203.95799999999997</v>
      </c>
      <c r="J20" s="14">
        <f>Лист1!AI14+Лист1!AJ14</f>
        <v>328.42469769999997</v>
      </c>
      <c r="K20" s="14">
        <f>Лист1!AH14+Лист1!AK14+Лист1!AL14+Лист1!AM14+Лист1!AN14+Лист1!AO14+Лист1!AP14+Лист1!AQ14+Лист1!AR14</f>
        <v>1128.022775304</v>
      </c>
      <c r="L20" s="31">
        <f>Лист1!AS14+Лист1!AT14+Лист1!AU14+Лист1!AZ14+Лист1!BA14</f>
        <v>0</v>
      </c>
      <c r="M20" s="31">
        <f>Лист1!AX14</f>
        <v>100.70592</v>
      </c>
      <c r="N20" s="30">
        <f>Лист1!BB14</f>
        <v>1660.405473004</v>
      </c>
      <c r="O20" s="74">
        <f>Лист1!BD14</f>
        <v>690.7426519959997</v>
      </c>
      <c r="P20" s="74">
        <f>Лист1!BE14</f>
        <v>-640.0500000000002</v>
      </c>
      <c r="Q20" s="1"/>
      <c r="R20" s="1"/>
    </row>
    <row r="21" spans="1:18" ht="12.75" hidden="1">
      <c r="A21" s="11" t="s">
        <v>46</v>
      </c>
      <c r="B21" s="82">
        <f>Лист1!B15</f>
        <v>377.7</v>
      </c>
      <c r="C21" s="27">
        <f t="shared" si="0"/>
        <v>3267.105</v>
      </c>
      <c r="D21" s="28">
        <f>Лист1!D15</f>
        <v>408.388125</v>
      </c>
      <c r="E21" s="14">
        <f>Лист1!S15</f>
        <v>2453.59</v>
      </c>
      <c r="F21" s="30">
        <f>Лист1!T15</f>
        <v>128.73000000000002</v>
      </c>
      <c r="G21" s="29">
        <f>Лист1!AB15</f>
        <v>1818.83</v>
      </c>
      <c r="H21" s="30">
        <f>Лист1!AC15</f>
        <v>2355.948125</v>
      </c>
      <c r="I21" s="29">
        <f>Лист1!AG15</f>
        <v>203.95799999999997</v>
      </c>
      <c r="J21" s="14">
        <f>Лист1!AI15+Лист1!AJ15</f>
        <v>328.06946459999995</v>
      </c>
      <c r="K21" s="14">
        <f>Лист1!AH15+Лист1!AK15+Лист1!AL15+Лист1!AM15+Лист1!AN15+Лист1!AO15+Лист1!AP15+Лист1!AQ15+Лист1!AR15</f>
        <v>1129.651153314</v>
      </c>
      <c r="L21" s="31">
        <f>Лист1!AS15+Лист1!AT15+Лист1!AU15+Лист1!AZ15+Лист1!BA15</f>
        <v>0</v>
      </c>
      <c r="M21" s="31">
        <f>Лист1!AX15</f>
        <v>80.68368</v>
      </c>
      <c r="N21" s="30">
        <f>Лист1!BB15</f>
        <v>1661.678617914</v>
      </c>
      <c r="O21" s="74">
        <f>Лист1!BD15</f>
        <v>694.269507086</v>
      </c>
      <c r="P21" s="74">
        <f>Лист1!BE15</f>
        <v>-634.7600000000002</v>
      </c>
      <c r="Q21" s="1"/>
      <c r="R21" s="1"/>
    </row>
    <row r="22" spans="1:18" ht="12.75" hidden="1">
      <c r="A22" s="11" t="s">
        <v>47</v>
      </c>
      <c r="B22" s="82">
        <f>Лист1!B16</f>
        <v>377.7</v>
      </c>
      <c r="C22" s="27">
        <f t="shared" si="0"/>
        <v>3267.105</v>
      </c>
      <c r="D22" s="28">
        <f>Лист1!D16</f>
        <v>408.388125</v>
      </c>
      <c r="E22" s="14">
        <f>Лист1!S16</f>
        <v>2454.09</v>
      </c>
      <c r="F22" s="30">
        <f>Лист1!T16</f>
        <v>128.73000000000002</v>
      </c>
      <c r="G22" s="29">
        <f>Лист1!AB16</f>
        <v>1813.85</v>
      </c>
      <c r="H22" s="30">
        <f>Лист1!AC16</f>
        <v>2350.968125</v>
      </c>
      <c r="I22" s="29">
        <f>Лист1!AG16</f>
        <v>203.95799999999997</v>
      </c>
      <c r="J22" s="14">
        <f>Лист1!AI16+Лист1!AJ16</f>
        <v>328.64951425</v>
      </c>
      <c r="K22" s="14">
        <f>Лист1!AH16+Лист1!AK16+Лист1!AL16+Лист1!AM16+Лист1!AN16+Лист1!AO16+Лист1!AP16+Лист1!AQ16+Лист1!AR16</f>
        <v>1091.9439663199998</v>
      </c>
      <c r="L22" s="31">
        <f>Лист1!AS16+Лист1!AT16+Лист1!AU16+Лист1!AZ16+Лист1!BA16</f>
        <v>0</v>
      </c>
      <c r="M22" s="31">
        <f>Лист1!AX16</f>
        <v>75.92592</v>
      </c>
      <c r="N22" s="30">
        <f>Лист1!BB16</f>
        <v>1624.5514805699997</v>
      </c>
      <c r="O22" s="74">
        <f>Лист1!BD16</f>
        <v>726.4166444300001</v>
      </c>
      <c r="P22" s="74">
        <f>Лист1!BE16</f>
        <v>-640.2400000000002</v>
      </c>
      <c r="Q22" s="1"/>
      <c r="R22" s="1"/>
    </row>
    <row r="23" spans="1:18" ht="12.75" hidden="1">
      <c r="A23" s="11" t="s">
        <v>48</v>
      </c>
      <c r="B23" s="82">
        <f>Лист1!B17</f>
        <v>377.7</v>
      </c>
      <c r="C23" s="27">
        <f t="shared" si="0"/>
        <v>3267.105</v>
      </c>
      <c r="D23" s="28">
        <f>Лист1!D17</f>
        <v>408.388125</v>
      </c>
      <c r="E23" s="14">
        <f>Лист1!S17</f>
        <v>2454.09</v>
      </c>
      <c r="F23" s="30">
        <f>Лист1!T17</f>
        <v>128.73000000000002</v>
      </c>
      <c r="G23" s="29">
        <f>Лист1!AB17</f>
        <v>5911.259999999999</v>
      </c>
      <c r="H23" s="30">
        <f>Лист1!AC17</f>
        <v>6448.378124999999</v>
      </c>
      <c r="I23" s="29">
        <f>Лист1!AG17</f>
        <v>203.95799999999997</v>
      </c>
      <c r="J23" s="14">
        <f>Лист1!AI17+Лист1!AJ17</f>
        <v>338.44949154</v>
      </c>
      <c r="K23" s="14">
        <f>Лист1!AH17+Лист1!AK17+Лист1!AL17+Лист1!AM17+Лист1!AN17+Лист1!AO17+Лист1!AP17+Лист1!AQ17+Лист1!AR17</f>
        <v>1107.512094072</v>
      </c>
      <c r="L23" s="31">
        <f>Лист1!AS17+Лист1!AT17+Лист1!AU17+Лист1!AY17+Лист1!AZ17</f>
        <v>0</v>
      </c>
      <c r="M23" s="31">
        <f>Лист1!AX17</f>
        <v>60.85968</v>
      </c>
      <c r="N23" s="30">
        <f>Лист1!BB17</f>
        <v>1968.0947856120001</v>
      </c>
      <c r="O23" s="74">
        <f>Лист1!BD17</f>
        <v>4480.283339387999</v>
      </c>
      <c r="P23" s="74">
        <f>Лист1!BE17</f>
        <v>3457.169999999999</v>
      </c>
      <c r="Q23" s="1"/>
      <c r="R23" s="1"/>
    </row>
    <row r="24" spans="1:18" ht="12.75" hidden="1">
      <c r="A24" s="11" t="s">
        <v>49</v>
      </c>
      <c r="B24" s="82">
        <f>Лист1!B18</f>
        <v>377.7</v>
      </c>
      <c r="C24" s="27">
        <f t="shared" si="0"/>
        <v>3267.105</v>
      </c>
      <c r="D24" s="28">
        <f>Лист1!D18</f>
        <v>523.1249999999999</v>
      </c>
      <c r="E24" s="14">
        <f>Лист1!S18</f>
        <v>2598.66</v>
      </c>
      <c r="F24" s="30">
        <f>Лист1!T18</f>
        <v>145.32</v>
      </c>
      <c r="G24" s="29">
        <f>Лист1!AB18</f>
        <v>1819.1299999999999</v>
      </c>
      <c r="H24" s="30">
        <f>Лист1!AC18</f>
        <v>2487.575</v>
      </c>
      <c r="I24" s="29">
        <f>Лист1!AG18</f>
        <v>226.61999999999998</v>
      </c>
      <c r="J24" s="14">
        <f>Лист1!AI18+Лист1!AJ18</f>
        <v>378.83309999999994</v>
      </c>
      <c r="K24" s="14">
        <f>Лист1!AH18+Лист1!AK18+Лист1!AL18+Лист1!AM18+Лист1!AN18+Лист1!AO18+Лист1!AP18+Лист1!AQ18+Лист1!AR18</f>
        <v>1297.4750399999998</v>
      </c>
      <c r="L24" s="31">
        <f>Лист1!AS18+Лист1!AT18+Лист1!AU18+Лист1!AZ18+Лист1!BA18</f>
        <v>0</v>
      </c>
      <c r="M24" s="31">
        <f>Лист1!AX18</f>
        <v>52.137119999999996</v>
      </c>
      <c r="N24" s="30">
        <f>Лист1!BB18</f>
        <v>1955.0652599999999</v>
      </c>
      <c r="O24" s="74">
        <f>Лист1!BD18</f>
        <v>532.50974</v>
      </c>
      <c r="P24" s="74">
        <f>Лист1!BE18</f>
        <v>-779.53</v>
      </c>
      <c r="Q24" s="1"/>
      <c r="R24" s="1"/>
    </row>
    <row r="25" spans="1:18" ht="12.75" hidden="1">
      <c r="A25" s="11" t="s">
        <v>50</v>
      </c>
      <c r="B25" s="82">
        <f>Лист1!B19</f>
        <v>377.7</v>
      </c>
      <c r="C25" s="27">
        <f t="shared" si="0"/>
        <v>3267.105</v>
      </c>
      <c r="D25" s="28">
        <f>Лист1!D19</f>
        <v>523.1249999999999</v>
      </c>
      <c r="E25" s="14">
        <f>Лист1!S19</f>
        <v>2598.66</v>
      </c>
      <c r="F25" s="30">
        <f>Лист1!T19</f>
        <v>145.32</v>
      </c>
      <c r="G25" s="29">
        <f>Лист1!AB19</f>
        <v>1916.44</v>
      </c>
      <c r="H25" s="30">
        <f>Лист1!AC19</f>
        <v>2584.885</v>
      </c>
      <c r="I25" s="29">
        <f>Лист1!AG19</f>
        <v>226.61999999999998</v>
      </c>
      <c r="J25" s="14">
        <f>Лист1!AI19+Лист1!AJ19</f>
        <v>378.83309999999994</v>
      </c>
      <c r="K25" s="14">
        <f>Лист1!AH19+Лист1!AK19+Лист1!AL19+Лист1!AM19+Лист1!AN19+Лист1!AO19+Лист1!AP19+Лист1!AQ19+Лист1!AR19</f>
        <v>1297.5090329999998</v>
      </c>
      <c r="L25" s="31">
        <f>Лист1!AS19+Лист1!AT19+Лист1!AU19+Лист1!AZ19+Лист1!BA19</f>
        <v>0</v>
      </c>
      <c r="M25" s="31">
        <f>Лист1!AX19</f>
        <v>46.189919999999994</v>
      </c>
      <c r="N25" s="30">
        <f>Лист1!BB19</f>
        <v>1949.1520529999998</v>
      </c>
      <c r="O25" s="74">
        <f>Лист1!BD19</f>
        <v>635.7329470000004</v>
      </c>
      <c r="P25" s="74">
        <f>Лист1!BE19</f>
        <v>-682.2199999999998</v>
      </c>
      <c r="Q25" s="1"/>
      <c r="R25" s="1"/>
    </row>
    <row r="26" spans="1:18" ht="12.75" hidden="1">
      <c r="A26" s="11" t="s">
        <v>51</v>
      </c>
      <c r="B26" s="82">
        <f>Лист1!B20</f>
        <v>377.7</v>
      </c>
      <c r="C26" s="27">
        <f t="shared" si="0"/>
        <v>3267.105</v>
      </c>
      <c r="D26" s="28">
        <f>Лист1!D20</f>
        <v>523.1249999999999</v>
      </c>
      <c r="E26" s="14">
        <f>Лист1!S20</f>
        <v>2598.66</v>
      </c>
      <c r="F26" s="30">
        <f>Лист1!T20</f>
        <v>145.32</v>
      </c>
      <c r="G26" s="29">
        <f>Лист1!AB20</f>
        <v>2658.37</v>
      </c>
      <c r="H26" s="30">
        <f>Лист1!AC20</f>
        <v>3326.8149999999996</v>
      </c>
      <c r="I26" s="29">
        <f>Лист1!AG20</f>
        <v>226.61999999999998</v>
      </c>
      <c r="J26" s="14">
        <f>Лист1!AI20+Лист1!AJ20</f>
        <v>373.45366998</v>
      </c>
      <c r="K26" s="14">
        <f>Лист1!AH20+Лист1!AK20+Лист1!AL20+Лист1!AM20+Лист1!AN20+Лист1!AO20+Лист1!AP20+Лист1!AQ20+Лист1!AR20</f>
        <v>1284.5989523939998</v>
      </c>
      <c r="L26" s="31">
        <f>Лист1!AS20+Лист1!AT20+Лист1!AU20+Лист1!AZ20+Лист1!BA20</f>
        <v>0</v>
      </c>
      <c r="M26" s="31">
        <f>Лист1!AX20</f>
        <v>49.16352</v>
      </c>
      <c r="N26" s="30">
        <f>Лист1!BB20</f>
        <v>1933.8361423739998</v>
      </c>
      <c r="O26" s="74">
        <f>Лист1!BD20</f>
        <v>1392.9788576259998</v>
      </c>
      <c r="P26" s="74">
        <f>Лист1!BE20</f>
        <v>59.710000000000036</v>
      </c>
      <c r="Q26" s="1"/>
      <c r="R26" s="1"/>
    </row>
    <row r="27" spans="1:18" ht="12.75" hidden="1">
      <c r="A27" s="11" t="s">
        <v>52</v>
      </c>
      <c r="B27" s="82">
        <f>Лист1!B21</f>
        <v>377.7</v>
      </c>
      <c r="C27" s="27">
        <f t="shared" si="0"/>
        <v>3267.105</v>
      </c>
      <c r="D27" s="28">
        <f>Лист1!D21</f>
        <v>523.1249999999999</v>
      </c>
      <c r="E27" s="14">
        <f>Лист1!S21</f>
        <v>2598.66</v>
      </c>
      <c r="F27" s="30">
        <f>Лист1!T21</f>
        <v>145.32</v>
      </c>
      <c r="G27" s="29">
        <f>Лист1!AB21</f>
        <v>1364.8899999999999</v>
      </c>
      <c r="H27" s="30">
        <f>Лист1!AC21</f>
        <v>2033.3349999999998</v>
      </c>
      <c r="I27" s="29">
        <f>Лист1!AG21</f>
        <v>226.61999999999998</v>
      </c>
      <c r="J27" s="14">
        <f>Лист1!AI21+Лист1!AJ21</f>
        <v>373.24531177499995</v>
      </c>
      <c r="K27" s="14">
        <f>Лист1!AH21+Лист1!AK21+Лист1!AL21+Лист1!AM21+Лист1!AN21+Лист1!AO21+Лист1!AP21+Лист1!AQ21+Лист1!AR21</f>
        <v>1284.3290479739999</v>
      </c>
      <c r="L27" s="31">
        <f>Лист1!AS21+Лист1!AT21+Лист1!AU21+Лист1!AZ21+Лист1!BA21</f>
        <v>0</v>
      </c>
      <c r="M27" s="31">
        <f>Лист1!AX21</f>
        <v>58.08431999999999</v>
      </c>
      <c r="N27" s="30">
        <f>Лист1!BB21</f>
        <v>1942.2786797489998</v>
      </c>
      <c r="O27" s="74">
        <f>Лист1!BD21</f>
        <v>91.05632025099999</v>
      </c>
      <c r="P27" s="74">
        <f>Лист1!BE21</f>
        <v>-1233.77</v>
      </c>
      <c r="Q27" s="1"/>
      <c r="R27" s="1"/>
    </row>
    <row r="28" spans="1:18" ht="12.75" hidden="1">
      <c r="A28" s="11" t="s">
        <v>53</v>
      </c>
      <c r="B28" s="82">
        <f>Лист1!B22</f>
        <v>377.7</v>
      </c>
      <c r="C28" s="27">
        <f t="shared" si="0"/>
        <v>3267.105</v>
      </c>
      <c r="D28" s="28">
        <f>Лист1!D22</f>
        <v>538.125</v>
      </c>
      <c r="E28" s="14">
        <f>Лист1!S22</f>
        <v>2583.66</v>
      </c>
      <c r="F28" s="30">
        <f>Лист1!T22</f>
        <v>145.32</v>
      </c>
      <c r="G28" s="29">
        <f>Лист1!AB22</f>
        <v>2225.44</v>
      </c>
      <c r="H28" s="30">
        <f>Лист1!AC22</f>
        <v>2908.885</v>
      </c>
      <c r="I28" s="29">
        <f>Лист1!AG22</f>
        <v>226.61999999999998</v>
      </c>
      <c r="J28" s="14">
        <f>Лист1!AI22+Лист1!AJ22</f>
        <v>373.18091014799995</v>
      </c>
      <c r="K28" s="14">
        <f>Лист1!AH22+Лист1!AK22+Лист1!AL22+Лист1!AM22+Лист1!AN22+Лист1!AO22+Лист1!AP22+Лист1!AQ22+Лист1!AR22</f>
        <v>1284.2456034683998</v>
      </c>
      <c r="L28" s="31">
        <f>Лист1!AS22+Лист1!AT22+Лист1!AU22+Лист1!AZ22+Лист1!BA22</f>
        <v>0</v>
      </c>
      <c r="M28" s="31">
        <f>Лист1!AX22</f>
        <v>69.18576</v>
      </c>
      <c r="N28" s="30">
        <f>Лист1!BB22</f>
        <v>1953.2322736163992</v>
      </c>
      <c r="O28" s="74">
        <f>Лист1!BD22</f>
        <v>955.652726383601</v>
      </c>
      <c r="P28" s="74">
        <f>Лист1!BE22</f>
        <v>-358.2199999999998</v>
      </c>
      <c r="Q28" s="1"/>
      <c r="R28" s="1"/>
    </row>
    <row r="29" spans="1:18" ht="12.75" hidden="1">
      <c r="A29" s="11" t="s">
        <v>41</v>
      </c>
      <c r="B29" s="82">
        <f>Лист1!B23</f>
        <v>377.7</v>
      </c>
      <c r="C29" s="27">
        <f>B29*8.65</f>
        <v>3267.105</v>
      </c>
      <c r="D29" s="28">
        <f>Лист1!D23</f>
        <v>538.125</v>
      </c>
      <c r="E29" s="14">
        <f>Лист1!S23</f>
        <v>2583.66</v>
      </c>
      <c r="F29" s="30">
        <f>Лист1!T23</f>
        <v>145.32</v>
      </c>
      <c r="G29" s="29">
        <f>Лист1!AB23</f>
        <v>2143.62</v>
      </c>
      <c r="H29" s="30">
        <f>Лист1!AC23</f>
        <v>2827.065</v>
      </c>
      <c r="I29" s="29">
        <f>Лист1!AG23</f>
        <v>226.61999999999998</v>
      </c>
      <c r="J29" s="14">
        <f>Лист1!AI23+Лист1!AJ23</f>
        <v>377.496042</v>
      </c>
      <c r="K29" s="14">
        <f>Лист1!AH23+Лист1!AK23+Лист1!AL23+Лист1!AM23+Лист1!AN23+Лист1!AO23+Лист1!AP23+Лист1!AQ23+Лист1!AR23</f>
        <v>1295.28438</v>
      </c>
      <c r="L29" s="31">
        <f>Лист1!AS23+Лист1!AT23+Лист1!AU23+Лист1!AZ23+Лист1!BA23</f>
        <v>0</v>
      </c>
      <c r="M29" s="31">
        <f>Лист1!AX23</f>
        <v>84.252</v>
      </c>
      <c r="N29" s="30">
        <f>Лист1!BB23</f>
        <v>1983.652422</v>
      </c>
      <c r="O29" s="74">
        <f>Лист1!BD23</f>
        <v>843.4125780000002</v>
      </c>
      <c r="P29" s="74">
        <f>Лист1!BE23</f>
        <v>-440.03999999999996</v>
      </c>
      <c r="Q29" s="1"/>
      <c r="R29" s="1"/>
    </row>
    <row r="30" spans="1:18" ht="12.75" hidden="1">
      <c r="A30" s="11" t="s">
        <v>42</v>
      </c>
      <c r="B30" s="82">
        <f>Лист1!B24</f>
        <v>377.7</v>
      </c>
      <c r="C30" s="27">
        <f t="shared" si="0"/>
        <v>3267.105</v>
      </c>
      <c r="D30" s="28">
        <f>Лист1!D24</f>
        <v>538.125</v>
      </c>
      <c r="E30" s="14">
        <f>Лист1!S24</f>
        <v>2583.66</v>
      </c>
      <c r="F30" s="30">
        <f>Лист1!T24</f>
        <v>145.32</v>
      </c>
      <c r="G30" s="29">
        <f>Лист1!AB24</f>
        <v>8484.650000000001</v>
      </c>
      <c r="H30" s="30">
        <f>Лист1!AC24</f>
        <v>9168.095000000001</v>
      </c>
      <c r="I30" s="29">
        <f>Лист1!AG24</f>
        <v>226.61999999999998</v>
      </c>
      <c r="J30" s="14">
        <f>Лист1!AI24+Лист1!AJ24</f>
        <v>378.83309999999994</v>
      </c>
      <c r="K30" s="14">
        <f>Лист1!AH24+Лист1!AK24+Лист1!AL24+Лист1!AM24+Лист1!AN24+Лист1!AO24+Лист1!AP24+Лист1!AQ24+Лист1!AR24</f>
        <v>1296.7196399999998</v>
      </c>
      <c r="L30" s="31">
        <f>Лист1!AS24+Лист1!AT24+Лист1!AU24+Лист1!AZ24+Лист1!BA24</f>
        <v>0</v>
      </c>
      <c r="M30" s="31">
        <f>Лист1!AX24</f>
        <v>93.17280000000001</v>
      </c>
      <c r="N30" s="30">
        <f>Лист1!BB24</f>
        <v>1995.34554</v>
      </c>
      <c r="O30" s="74">
        <f>Лист1!BD24</f>
        <v>7172.749460000001</v>
      </c>
      <c r="P30" s="74">
        <f>Лист1!BE24</f>
        <v>5900.990000000002</v>
      </c>
      <c r="Q30" s="1"/>
      <c r="R30" s="1"/>
    </row>
    <row r="31" spans="1:18" ht="13.5" hidden="1" thickBot="1">
      <c r="A31" s="32" t="s">
        <v>43</v>
      </c>
      <c r="B31" s="82">
        <f>Лист1!B25</f>
        <v>377.7</v>
      </c>
      <c r="C31" s="33">
        <f t="shared" si="0"/>
        <v>3267.105</v>
      </c>
      <c r="D31" s="28">
        <f>Лист1!D25</f>
        <v>548.6049999999994</v>
      </c>
      <c r="E31" s="14">
        <f>Лист1!S25</f>
        <v>2524.9700000000003</v>
      </c>
      <c r="F31" s="30">
        <f>Лист1!T25</f>
        <v>193.52999999999997</v>
      </c>
      <c r="G31" s="29">
        <f>Лист1!AB25</f>
        <v>1921.1999999999998</v>
      </c>
      <c r="H31" s="30">
        <f>Лист1!AC25</f>
        <v>2663.334999999999</v>
      </c>
      <c r="I31" s="29">
        <f>Лист1!AG25</f>
        <v>226.61999999999998</v>
      </c>
      <c r="J31" s="14">
        <f>Лист1!AI25+Лист1!AJ25</f>
        <v>378.83309999999994</v>
      </c>
      <c r="K31" s="14">
        <f>Лист1!AH25+Лист1!AK25+Лист1!AL25+Лист1!AM25+Лист1!AN25+Лист1!AO25+Лист1!AP25+Лист1!AQ25+Лист1!AR25</f>
        <v>1296.7196399999998</v>
      </c>
      <c r="L31" s="31">
        <f>Лист1!AS25+Лист1!AT25+Лист1!AU25+Лист1!AZ25+Лист1!BA25</f>
        <v>0</v>
      </c>
      <c r="M31" s="31">
        <f>Лист1!AX25</f>
        <v>101.89536</v>
      </c>
      <c r="N31" s="30">
        <f>Лист1!BB25</f>
        <v>2004.0681</v>
      </c>
      <c r="O31" s="74">
        <f>Лист1!BD25</f>
        <v>659.2668999999992</v>
      </c>
      <c r="P31" s="74">
        <f>Лист1!BE25</f>
        <v>-603.7700000000004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39205.26</v>
      </c>
      <c r="D32" s="67">
        <f t="shared" si="3"/>
        <v>5889.032499999999</v>
      </c>
      <c r="E32" s="36">
        <f t="shared" si="3"/>
        <v>30486.440000000002</v>
      </c>
      <c r="F32" s="68">
        <f t="shared" si="3"/>
        <v>1725.6899999999996</v>
      </c>
      <c r="G32" s="67">
        <f t="shared" si="3"/>
        <v>33891.70999999999</v>
      </c>
      <c r="H32" s="68">
        <f t="shared" si="3"/>
        <v>41506.43249999999</v>
      </c>
      <c r="I32" s="67">
        <f t="shared" si="3"/>
        <v>2628.791999999999</v>
      </c>
      <c r="J32" s="36">
        <f t="shared" si="3"/>
        <v>4336.301501993</v>
      </c>
      <c r="K32" s="36">
        <f t="shared" si="3"/>
        <v>14794.011325846397</v>
      </c>
      <c r="L32" s="36">
        <f>SUM(L20:L31)</f>
        <v>0</v>
      </c>
      <c r="M32" s="36">
        <f t="shared" si="3"/>
        <v>872.256</v>
      </c>
      <c r="N32" s="68">
        <f t="shared" si="3"/>
        <v>22631.360827839395</v>
      </c>
      <c r="O32" s="75">
        <f t="shared" si="3"/>
        <v>18875.0716721606</v>
      </c>
      <c r="P32" s="75">
        <f t="shared" si="3"/>
        <v>3405.2700000000004</v>
      </c>
      <c r="Q32" s="71"/>
      <c r="R32" s="71"/>
    </row>
    <row r="33" spans="1:18" ht="13.5" thickBot="1">
      <c r="A33" s="226" t="s">
        <v>94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49006.575000000004</v>
      </c>
      <c r="D34" s="37">
        <f aca="true" t="shared" si="4" ref="D34:P34">D18+D32</f>
        <v>8248.24169155</v>
      </c>
      <c r="E34" s="38">
        <f t="shared" si="4"/>
        <v>37654.97</v>
      </c>
      <c r="F34" s="39">
        <f t="shared" si="4"/>
        <v>2225.7799999999997</v>
      </c>
      <c r="G34" s="37">
        <f t="shared" si="4"/>
        <v>37541.58999999999</v>
      </c>
      <c r="H34" s="39">
        <f t="shared" si="4"/>
        <v>48015.61169154999</v>
      </c>
      <c r="I34" s="37">
        <f t="shared" si="4"/>
        <v>3308.651999999999</v>
      </c>
      <c r="J34" s="38">
        <f t="shared" si="4"/>
        <v>5474.102205113</v>
      </c>
      <c r="K34" s="38">
        <f t="shared" si="4"/>
        <v>18783.007133107396</v>
      </c>
      <c r="L34" s="38">
        <f t="shared" si="4"/>
        <v>0</v>
      </c>
      <c r="M34" s="38">
        <f t="shared" si="4"/>
        <v>872.256</v>
      </c>
      <c r="N34" s="78">
        <f t="shared" si="4"/>
        <v>28438.017338220394</v>
      </c>
      <c r="O34" s="77">
        <f>O18+O32</f>
        <v>19577.5943533296</v>
      </c>
      <c r="P34" s="77">
        <f t="shared" si="4"/>
        <v>-113.38000000000011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377.7</v>
      </c>
      <c r="C36" s="27">
        <f aca="true" t="shared" si="5" ref="C36:C47">B36*8.65</f>
        <v>3267.105</v>
      </c>
      <c r="D36" s="28">
        <f>Лист1!D30</f>
        <v>551.6350000000001</v>
      </c>
      <c r="E36" s="14">
        <f>Лист1!S30</f>
        <v>2507.87</v>
      </c>
      <c r="F36" s="30">
        <f>Лист1!T30</f>
        <v>207.6</v>
      </c>
      <c r="G36" s="29">
        <f>Лист1!AB30</f>
        <v>1951.9</v>
      </c>
      <c r="H36" s="30">
        <f>Лист1!AC30</f>
        <v>2711.135</v>
      </c>
      <c r="I36" s="29">
        <f>Лист1!AH30+Лист1!AG30</f>
        <v>302.15999999999997</v>
      </c>
      <c r="J36" s="14">
        <f>Лист1!AI30+Лист1!AJ30</f>
        <v>377.7</v>
      </c>
      <c r="K36" s="14">
        <f>Лист1!AK30+Лист1!AL30+Лист1!AM30+Лист1!AN30+Лист1!AO30+Лист1!AP30+Лист1!AQ30+Лист1!AR30</f>
        <v>1219.971</v>
      </c>
      <c r="L36" s="31">
        <f>Лист1!AS30+Лист1!AT30+Лист1!AU30+Лист1!AZ30+Лист1!BA30</f>
        <v>0</v>
      </c>
      <c r="M36" s="31">
        <f>Лист1!AX30</f>
        <v>106.67999999999999</v>
      </c>
      <c r="N36" s="30">
        <f>Лист1!BB30</f>
        <v>2006.5109999999995</v>
      </c>
      <c r="O36" s="74">
        <f>Лист1!BD30</f>
        <v>704.6240000000007</v>
      </c>
      <c r="P36" s="74">
        <f>Лист1!BE30</f>
        <v>-555.9699999999998</v>
      </c>
      <c r="Q36" s="1"/>
      <c r="R36" s="1"/>
    </row>
    <row r="37" spans="1:18" ht="12.75">
      <c r="A37" s="11" t="s">
        <v>46</v>
      </c>
      <c r="B37" s="82">
        <f>Лист1!B31</f>
        <v>377.7</v>
      </c>
      <c r="C37" s="27">
        <f t="shared" si="5"/>
        <v>3267.105</v>
      </c>
      <c r="D37" s="28">
        <f>Лист1!D31</f>
        <v>551.6249999999999</v>
      </c>
      <c r="E37" s="14">
        <f>Лист1!S31</f>
        <v>2507.88</v>
      </c>
      <c r="F37" s="30">
        <f>Лист1!T31</f>
        <v>207.6</v>
      </c>
      <c r="G37" s="29">
        <f>Лист1!AB31</f>
        <v>2809.5</v>
      </c>
      <c r="H37" s="30">
        <f>Лист1!AC31</f>
        <v>3568.725</v>
      </c>
      <c r="I37" s="29">
        <f>Лист1!AH31+Лист1!AG31</f>
        <v>302.15999999999997</v>
      </c>
      <c r="J37" s="14">
        <f>Лист1!AI31+Лист1!AJ31</f>
        <v>377.7</v>
      </c>
      <c r="K37" s="14">
        <f>Лист1!AK31+Лист1!AL31+Лист1!AM31+Лист1!AN31+Лист1!AO31+Лист1!AP31+Лист1!AQ31+Лист1!AR31</f>
        <v>1219.971</v>
      </c>
      <c r="L37" s="31">
        <f>Лист1!AS31+Лист1!AT31+Лист1!AU31+Лист1!AZ31+Лист1!BA31</f>
        <v>0</v>
      </c>
      <c r="M37" s="31">
        <f>Лист1!AX31</f>
        <v>85.46999999999998</v>
      </c>
      <c r="N37" s="30">
        <f>Лист1!BB31</f>
        <v>1985.3009999999995</v>
      </c>
      <c r="O37" s="74">
        <f>Лист1!BD31</f>
        <v>1583.4240000000004</v>
      </c>
      <c r="P37" s="74">
        <f>Лист1!BE31</f>
        <v>301.6199999999999</v>
      </c>
      <c r="Q37" s="1"/>
      <c r="R37" s="1"/>
    </row>
    <row r="38" spans="1:18" ht="12.75">
      <c r="A38" s="11" t="s">
        <v>47</v>
      </c>
      <c r="B38" s="82">
        <f>Лист1!B32</f>
        <v>377.7</v>
      </c>
      <c r="C38" s="27">
        <f t="shared" si="5"/>
        <v>3267.105</v>
      </c>
      <c r="D38" s="28">
        <f>Лист1!D32</f>
        <v>551.6249999999999</v>
      </c>
      <c r="E38" s="14">
        <f>Лист1!S32</f>
        <v>2507.88</v>
      </c>
      <c r="F38" s="30">
        <f>Лист1!T32</f>
        <v>207.6</v>
      </c>
      <c r="G38" s="29">
        <f>Лист1!AB32</f>
        <v>1858.1399999999999</v>
      </c>
      <c r="H38" s="30">
        <f>Лист1!AC32</f>
        <v>2617.365</v>
      </c>
      <c r="I38" s="29">
        <f>Лист1!AH32+Лист1!AG32</f>
        <v>302.15999999999997</v>
      </c>
      <c r="J38" s="14">
        <f>Лист1!AI32+Лист1!AJ32</f>
        <v>377.7</v>
      </c>
      <c r="K38" s="14">
        <f>Лист1!AK32+Лист1!AL32+Лист1!AM32+Лист1!AN32+Лист1!AO32+Лист1!AP32+Лист1!AQ32+Лист1!AR32</f>
        <v>1219.971</v>
      </c>
      <c r="L38" s="31">
        <f>Лист1!AS32+Лист1!AT32+Лист1!AU32+Лист1!AZ32+Лист1!BA32</f>
        <v>0</v>
      </c>
      <c r="M38" s="31">
        <f>Лист1!AX32</f>
        <v>80.42999999999999</v>
      </c>
      <c r="N38" s="30">
        <f>Лист1!BB32</f>
        <v>1980.2609999999995</v>
      </c>
      <c r="O38" s="74">
        <f>Лист1!BD32</f>
        <v>637.1040000000003</v>
      </c>
      <c r="P38" s="74">
        <f>Лист1!BE32</f>
        <v>-649.7400000000002</v>
      </c>
      <c r="Q38" s="1"/>
      <c r="R38" s="1"/>
    </row>
    <row r="39" spans="1:18" ht="12.75">
      <c r="A39" s="11" t="s">
        <v>48</v>
      </c>
      <c r="B39" s="82">
        <f>Лист1!B33</f>
        <v>377.7</v>
      </c>
      <c r="C39" s="27">
        <f t="shared" si="5"/>
        <v>3267.105</v>
      </c>
      <c r="D39" s="28">
        <f>Лист1!D33</f>
        <v>551.6249999999999</v>
      </c>
      <c r="E39" s="14">
        <f>Лист1!S33</f>
        <v>2507.88</v>
      </c>
      <c r="F39" s="30">
        <f>Лист1!T33</f>
        <v>207.6</v>
      </c>
      <c r="G39" s="29">
        <f>Лист1!AB33</f>
        <v>5911.259999999999</v>
      </c>
      <c r="H39" s="30">
        <f>Лист1!AC33</f>
        <v>6670.484999999999</v>
      </c>
      <c r="I39" s="29">
        <f>Лист1!AH33+Лист1!AG33</f>
        <v>302.15999999999997</v>
      </c>
      <c r="J39" s="14">
        <f>Лист1!AI33+Лист1!AJ33</f>
        <v>377.7</v>
      </c>
      <c r="K39" s="14">
        <f>Лист1!AK33+Лист1!AL33+Лист1!AM33+Лист1!AN33+Лист1!AO33+Лист1!AP33+Лист1!AQ33+Лист1!AR33</f>
        <v>1219.971</v>
      </c>
      <c r="L39" s="31">
        <f>Лист1!AS33+Лист1!AT33+Лист1!AU33+Лист1!AY33+Лист1!AZ33</f>
        <v>500</v>
      </c>
      <c r="M39" s="31">
        <f>Лист1!AX33</f>
        <v>64.47</v>
      </c>
      <c r="N39" s="30">
        <f>Лист1!BB33</f>
        <v>2464.3009999999995</v>
      </c>
      <c r="O39" s="74">
        <f>Лист1!BD33</f>
        <v>4206.183999999999</v>
      </c>
      <c r="P39" s="74">
        <f>Лист1!BE33</f>
        <v>3403.379999999999</v>
      </c>
      <c r="Q39" s="1"/>
      <c r="R39" s="1"/>
    </row>
    <row r="40" spans="1:18" ht="12.75">
      <c r="A40" s="11" t="s">
        <v>49</v>
      </c>
      <c r="B40" s="82">
        <f>Лист1!B34</f>
        <v>377.7</v>
      </c>
      <c r="C40" s="27">
        <f t="shared" si="5"/>
        <v>3267.105</v>
      </c>
      <c r="D40" s="28">
        <f>Лист1!D34</f>
        <v>551.6249999999999</v>
      </c>
      <c r="E40" s="14">
        <f>Лист1!S34</f>
        <v>2507.88</v>
      </c>
      <c r="F40" s="30">
        <f>Лист1!T34</f>
        <v>207.6</v>
      </c>
      <c r="G40" s="29">
        <f>Лист1!AB34</f>
        <v>1825.69</v>
      </c>
      <c r="H40" s="30">
        <f>Лист1!AC34</f>
        <v>2584.915</v>
      </c>
      <c r="I40" s="29">
        <f>Лист1!AH34+Лист1!AG34</f>
        <v>302.15999999999997</v>
      </c>
      <c r="J40" s="14">
        <f>Лист1!AI34+Лист1!AJ34</f>
        <v>377.7</v>
      </c>
      <c r="K40" s="14">
        <f>Лист1!AK34+Лист1!AL34+Лист1!AM34+Лист1!AN34+Лист1!AO34+Лист1!AP34+Лист1!AQ34+Лист1!AR34</f>
        <v>1219.971</v>
      </c>
      <c r="L40" s="31">
        <f>Лист1!AS34+Лист1!AT34+Лист1!AU34+Лист1!AZ34+Лист1!BA34</f>
        <v>281</v>
      </c>
      <c r="M40" s="31">
        <f>Лист1!AX34</f>
        <v>55.22999999999999</v>
      </c>
      <c r="N40" s="30">
        <f>Лист1!BB34</f>
        <v>2236.0609999999997</v>
      </c>
      <c r="O40" s="74">
        <f>Лист1!BD34</f>
        <v>348.85400000000027</v>
      </c>
      <c r="P40" s="74">
        <f>Лист1!BE34</f>
        <v>-682.19</v>
      </c>
      <c r="Q40" s="1"/>
      <c r="R40" s="1"/>
    </row>
    <row r="41" spans="1:18" ht="12.75">
      <c r="A41" s="11" t="s">
        <v>50</v>
      </c>
      <c r="B41" s="82">
        <f>Лист1!B35</f>
        <v>377.7</v>
      </c>
      <c r="C41" s="27">
        <f t="shared" si="5"/>
        <v>3267.105</v>
      </c>
      <c r="D41" s="28">
        <f>Лист1!D35</f>
        <v>551.6249999999999</v>
      </c>
      <c r="E41" s="14">
        <f>Лист1!S35</f>
        <v>2507.88</v>
      </c>
      <c r="F41" s="30">
        <f>Лист1!T35</f>
        <v>207.6</v>
      </c>
      <c r="G41" s="29">
        <f>Лист1!AB35</f>
        <v>1826.0299999999997</v>
      </c>
      <c r="H41" s="30">
        <f>Лист1!AC35</f>
        <v>2585.2549999999997</v>
      </c>
      <c r="I41" s="29">
        <f>Лист1!AH35+Лист1!AG35</f>
        <v>302.15999999999997</v>
      </c>
      <c r="J41" s="14">
        <f>Лист1!AI35+Лист1!AJ35</f>
        <v>377.7</v>
      </c>
      <c r="K41" s="14">
        <f>Лист1!AK35+Лист1!AL35+Лист1!AM35+Лист1!AN35+Лист1!AO35+Лист1!AP35+Лист1!AQ35+Лист1!AR35</f>
        <v>1219.971</v>
      </c>
      <c r="L41" s="31">
        <f>Лист1!AS35+Лист1!AT35+Лист1!AU35+Лист1!AZ35+Лист1!BA35</f>
        <v>6548</v>
      </c>
      <c r="M41" s="31">
        <f>Лист1!AX35</f>
        <v>48.92999999999999</v>
      </c>
      <c r="N41" s="30">
        <f>Лист1!BB35</f>
        <v>8496.761</v>
      </c>
      <c r="O41" s="74">
        <f>Лист1!BD35</f>
        <v>-5911.506000000001</v>
      </c>
      <c r="P41" s="74">
        <f>Лист1!BE35</f>
        <v>-681.8500000000004</v>
      </c>
      <c r="Q41" s="1"/>
      <c r="R41" s="1"/>
    </row>
    <row r="42" spans="1:18" ht="12.75">
      <c r="A42" s="11" t="s">
        <v>51</v>
      </c>
      <c r="B42" s="82">
        <f>Лист1!B36</f>
        <v>377.7</v>
      </c>
      <c r="C42" s="27">
        <f t="shared" si="5"/>
        <v>3267.105</v>
      </c>
      <c r="D42" s="28">
        <f>Лист1!D36</f>
        <v>551.625</v>
      </c>
      <c r="E42" s="14">
        <f>Лист1!S36</f>
        <v>2715.48</v>
      </c>
      <c r="F42" s="30">
        <f>Лист1!T36</f>
        <v>0</v>
      </c>
      <c r="G42" s="29">
        <f>Лист1!AB36</f>
        <v>1825.4299999999998</v>
      </c>
      <c r="H42" s="30">
        <f>Лист1!AC36</f>
        <v>2377.055</v>
      </c>
      <c r="I42" s="29">
        <f>Лист1!AH36+Лист1!AG36</f>
        <v>302.15999999999997</v>
      </c>
      <c r="J42" s="14">
        <f>Лист1!AI36+Лист1!AJ36</f>
        <v>377.7</v>
      </c>
      <c r="K42" s="14">
        <f>Лист1!AK36+Лист1!AL36+Лист1!AM36+Лист1!AN36+Лист1!AO36+Лист1!AP36+Лист1!AQ36+Лист1!AR36</f>
        <v>1219.971</v>
      </c>
      <c r="L42" s="31">
        <f>Лист1!AS36+Лист1!AT36+Лист1!AU36+Лист1!AZ36+Лист1!BA36</f>
        <v>0</v>
      </c>
      <c r="M42" s="31">
        <f>Лист1!AX36</f>
        <v>52.07999999999999</v>
      </c>
      <c r="N42" s="30">
        <f>Лист1!BB36</f>
        <v>1951.9109999999996</v>
      </c>
      <c r="O42" s="74">
        <f>Лист1!BD36</f>
        <v>425.14400000000023</v>
      </c>
      <c r="P42" s="74">
        <f>Лист1!BE36</f>
        <v>-890.0500000000002</v>
      </c>
      <c r="Q42" s="1"/>
      <c r="R42" s="1"/>
    </row>
    <row r="43" spans="1:18" ht="12.75">
      <c r="A43" s="11" t="s">
        <v>52</v>
      </c>
      <c r="B43" s="82">
        <f>Лист1!B37</f>
        <v>377.7</v>
      </c>
      <c r="C43" s="27">
        <f t="shared" si="5"/>
        <v>3267.105</v>
      </c>
      <c r="D43" s="28">
        <f>Лист1!D37</f>
        <v>551.625</v>
      </c>
      <c r="E43" s="14">
        <f>Лист1!S37</f>
        <v>2715.48</v>
      </c>
      <c r="F43" s="30">
        <f>Лист1!T37</f>
        <v>0</v>
      </c>
      <c r="G43" s="29">
        <f>Лист1!AB37</f>
        <v>2185.1800000000003</v>
      </c>
      <c r="H43" s="30">
        <f>Лист1!AC37</f>
        <v>2736.8050000000003</v>
      </c>
      <c r="I43" s="29">
        <f>Лист1!AH37+Лист1!AG37</f>
        <v>302.15999999999997</v>
      </c>
      <c r="J43" s="14">
        <f>Лист1!AI37+Лист1!AJ37</f>
        <v>377.7</v>
      </c>
      <c r="K43" s="14">
        <f>Лист1!AK37+Лист1!AL37+Лист1!AM37+Лист1!AN37+Лист1!AO37+Лист1!AP37+Лист1!AQ37+Лист1!AR37</f>
        <v>1219.971</v>
      </c>
      <c r="L43" s="31">
        <f>Лист1!AS37+Лист1!AT37+Лист1!AU37+Лист1!AZ37+Лист1!BA37</f>
        <v>47.8</v>
      </c>
      <c r="M43" s="31">
        <f>Лист1!AX37</f>
        <v>61.52999999999999</v>
      </c>
      <c r="N43" s="30">
        <f>Лист1!BB37</f>
        <v>2009.1609999999996</v>
      </c>
      <c r="O43" s="74">
        <f>Лист1!BD37</f>
        <v>727.6440000000007</v>
      </c>
      <c r="P43" s="74">
        <f>Лист1!BE37</f>
        <v>-530.2999999999997</v>
      </c>
      <c r="Q43" s="1"/>
      <c r="R43" s="1"/>
    </row>
    <row r="44" spans="1:18" ht="12.75">
      <c r="A44" s="11" t="s">
        <v>53</v>
      </c>
      <c r="B44" s="82">
        <f>Лист1!B38</f>
        <v>377.7</v>
      </c>
      <c r="C44" s="27">
        <f t="shared" si="5"/>
        <v>3267.105</v>
      </c>
      <c r="D44" s="28">
        <f>Лист1!D38</f>
        <v>551.625</v>
      </c>
      <c r="E44" s="14">
        <f>Лист1!S38</f>
        <v>2715.48</v>
      </c>
      <c r="F44" s="30">
        <f>Лист1!T38</f>
        <v>0</v>
      </c>
      <c r="G44" s="29">
        <f>Лист1!AB38</f>
        <v>3394.71</v>
      </c>
      <c r="H44" s="30">
        <f>Лист1!AC38</f>
        <v>3946.335</v>
      </c>
      <c r="I44" s="29">
        <f>Лист1!AH38+Лист1!AG38</f>
        <v>302.15999999999997</v>
      </c>
      <c r="J44" s="14">
        <f>Лист1!AI38+Лист1!AJ38</f>
        <v>377.7</v>
      </c>
      <c r="K44" s="14">
        <f>Лист1!AK38+Лист1!AL38+Лист1!AM38+Лист1!AN38+Лист1!AO38+Лист1!AP38+Лист1!AQ38+Лист1!AR38</f>
        <v>1219.971</v>
      </c>
      <c r="L44" s="31">
        <f>Лист1!AS38+Лист1!AT38+Лист1!AU38+Лист1!AZ38+Лист1!BA38</f>
        <v>0</v>
      </c>
      <c r="M44" s="31">
        <f>Лист1!AX38</f>
        <v>73.28999999999999</v>
      </c>
      <c r="N44" s="30">
        <f>Лист1!BB38</f>
        <v>1973.1209999999996</v>
      </c>
      <c r="O44" s="74">
        <f>Лист1!BD38</f>
        <v>1973.2140000000004</v>
      </c>
      <c r="P44" s="74">
        <f>Лист1!BE38</f>
        <v>679.23</v>
      </c>
      <c r="Q44" s="1"/>
      <c r="R44" s="1"/>
    </row>
    <row r="45" spans="1:18" ht="12.75">
      <c r="A45" s="11" t="s">
        <v>41</v>
      </c>
      <c r="B45" s="82">
        <f>Лист1!B39</f>
        <v>377.7</v>
      </c>
      <c r="C45" s="27">
        <f>B45*8.65</f>
        <v>3267.105</v>
      </c>
      <c r="D45" s="28">
        <f>Лист1!D39</f>
        <v>551.625</v>
      </c>
      <c r="E45" s="14">
        <f>Лист1!S39</f>
        <v>2715.48</v>
      </c>
      <c r="F45" s="30">
        <f>Лист1!T39</f>
        <v>0</v>
      </c>
      <c r="G45" s="29">
        <f>Лист1!AB39</f>
        <v>2078.9300000000003</v>
      </c>
      <c r="H45" s="30">
        <f>Лист1!AC39</f>
        <v>2630.5550000000003</v>
      </c>
      <c r="I45" s="29">
        <f>Лист1!AH39+Лист1!AG39</f>
        <v>302.15999999999997</v>
      </c>
      <c r="J45" s="14">
        <f>Лист1!AI39+Лист1!AJ39</f>
        <v>377.7</v>
      </c>
      <c r="K45" s="14">
        <f>Лист1!AK39+Лист1!AL39+Лист1!AM39+Лист1!AN39+Лист1!AO39+Лист1!AP39+Лист1!AQ39+Лист1!AR39</f>
        <v>1219.971</v>
      </c>
      <c r="L45" s="31">
        <f>Лист1!AS39+Лист1!AT39+Лист1!AU39+Лист1!AZ39+Лист1!BA39</f>
        <v>0</v>
      </c>
      <c r="M45" s="31">
        <f>Лист1!AX39</f>
        <v>89.25</v>
      </c>
      <c r="N45" s="30">
        <f>Лист1!BB39</f>
        <v>1989.0809999999997</v>
      </c>
      <c r="O45" s="74">
        <f>Лист1!BD39</f>
        <v>641.4740000000006</v>
      </c>
      <c r="P45" s="74">
        <f>Лист1!BE39</f>
        <v>-636.5499999999997</v>
      </c>
      <c r="Q45" s="1"/>
      <c r="R45" s="1"/>
    </row>
    <row r="46" spans="1:18" ht="12.75">
      <c r="A46" s="11" t="s">
        <v>42</v>
      </c>
      <c r="B46" s="82">
        <f>Лист1!B40</f>
        <v>377.7</v>
      </c>
      <c r="C46" s="27">
        <f t="shared" si="5"/>
        <v>3267.105</v>
      </c>
      <c r="D46" s="28">
        <f>Лист1!D40</f>
        <v>551.625</v>
      </c>
      <c r="E46" s="14">
        <f>Лист1!S40</f>
        <v>2715.48</v>
      </c>
      <c r="F46" s="30">
        <f>Лист1!T40</f>
        <v>0</v>
      </c>
      <c r="G46" s="29">
        <f>Лист1!AB40</f>
        <v>6068.56</v>
      </c>
      <c r="H46" s="30">
        <f>Лист1!AC40</f>
        <v>6620.185</v>
      </c>
      <c r="I46" s="29">
        <f>Лист1!AH40+Лист1!AG40</f>
        <v>302.15999999999997</v>
      </c>
      <c r="J46" s="14">
        <f>Лист1!AI40+Лист1!AJ40</f>
        <v>377.7</v>
      </c>
      <c r="K46" s="14">
        <f>Лист1!AK40+Лист1!AL40+Лист1!AM40+Лист1!AN40+Лист1!AO40+Лист1!AP40+Лист1!AQ40+Лист1!AR40</f>
        <v>1219.971</v>
      </c>
      <c r="L46" s="31">
        <f>Лист1!AS40+Лист1!AT40+Лист1!AU40+Лист1!AZ40+Лист1!BA40</f>
        <v>0</v>
      </c>
      <c r="M46" s="31">
        <f>Лист1!AX40</f>
        <v>98.69999999999999</v>
      </c>
      <c r="N46" s="30">
        <f>Лист1!BB40</f>
        <v>1998.5309999999995</v>
      </c>
      <c r="O46" s="74">
        <f>Лист1!BD40</f>
        <v>4621.654</v>
      </c>
      <c r="P46" s="74">
        <f>Лист1!BE40</f>
        <v>3353.0800000000004</v>
      </c>
      <c r="Q46" s="1"/>
      <c r="R46" s="1"/>
    </row>
    <row r="47" spans="1:18" ht="13.5" thickBot="1">
      <c r="A47" s="32" t="s">
        <v>43</v>
      </c>
      <c r="B47" s="82">
        <f>Лист1!B41</f>
        <v>377.7</v>
      </c>
      <c r="C47" s="33">
        <f t="shared" si="5"/>
        <v>3267.105</v>
      </c>
      <c r="D47" s="28">
        <f>Лист1!D41</f>
        <v>551.625</v>
      </c>
      <c r="E47" s="14">
        <f>Лист1!S41</f>
        <v>2715.48</v>
      </c>
      <c r="F47" s="30">
        <f>Лист1!T41</f>
        <v>0</v>
      </c>
      <c r="G47" s="29">
        <f>Лист1!AB41</f>
        <v>2033.3</v>
      </c>
      <c r="H47" s="30">
        <f>Лист1!AC41</f>
        <v>2584.925</v>
      </c>
      <c r="I47" s="29">
        <f>Лист1!AH41+Лист1!AG41</f>
        <v>302.15999999999997</v>
      </c>
      <c r="J47" s="14">
        <f>Лист1!AI41+Лист1!AJ41</f>
        <v>377.7</v>
      </c>
      <c r="K47" s="14">
        <f>Лист1!AK41+Лист1!AL41+Лист1!AM41+Лист1!AN41+Лист1!AO41+Лист1!AP41+Лист1!AQ41+Лист1!AR41</f>
        <v>1219.971</v>
      </c>
      <c r="L47" s="31">
        <f>Лист1!AS41+Лист1!AT41+Лист1!AU41+Лист1!AZ41+Лист1!BA41</f>
        <v>0</v>
      </c>
      <c r="M47" s="31">
        <f>Лист1!AX41</f>
        <v>107.93999999999998</v>
      </c>
      <c r="N47" s="30">
        <f>Лист1!BB41</f>
        <v>2007.7709999999997</v>
      </c>
      <c r="O47" s="74">
        <f>Лист1!BD41</f>
        <v>577.1540000000005</v>
      </c>
      <c r="P47" s="74">
        <f>Лист1!BE41</f>
        <v>-682.1800000000001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39205.26</v>
      </c>
      <c r="D48" s="67">
        <f t="shared" si="6"/>
        <v>6619.51</v>
      </c>
      <c r="E48" s="36">
        <f t="shared" si="6"/>
        <v>31340.149999999998</v>
      </c>
      <c r="F48" s="68">
        <f t="shared" si="6"/>
        <v>1245.6</v>
      </c>
      <c r="G48" s="67">
        <f t="shared" si="6"/>
        <v>33768.630000000005</v>
      </c>
      <c r="H48" s="68">
        <f t="shared" si="6"/>
        <v>41633.740000000005</v>
      </c>
      <c r="I48" s="67">
        <f t="shared" si="6"/>
        <v>3625.9199999999987</v>
      </c>
      <c r="J48" s="36">
        <f t="shared" si="6"/>
        <v>4532.399999999999</v>
      </c>
      <c r="K48" s="36">
        <f t="shared" si="6"/>
        <v>14639.651999999996</v>
      </c>
      <c r="L48" s="36">
        <f t="shared" si="6"/>
        <v>7376.8</v>
      </c>
      <c r="M48" s="36">
        <f t="shared" si="6"/>
        <v>923.9999999999999</v>
      </c>
      <c r="N48" s="68">
        <f t="shared" si="6"/>
        <v>31098.771999999994</v>
      </c>
      <c r="O48" s="75">
        <f t="shared" si="6"/>
        <v>10534.968000000003</v>
      </c>
      <c r="P48" s="75">
        <f t="shared" si="6"/>
        <v>2428.4799999999996</v>
      </c>
      <c r="Q48" s="71"/>
      <c r="R48" s="71"/>
    </row>
    <row r="49" spans="1:18" ht="13.5" thickBot="1">
      <c r="A49" s="226" t="s">
        <v>70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88211.835</v>
      </c>
      <c r="D50" s="37">
        <f aca="true" t="shared" si="7" ref="D50:N50">D34+D48</f>
        <v>14867.75169155</v>
      </c>
      <c r="E50" s="38">
        <f t="shared" si="7"/>
        <v>68995.12</v>
      </c>
      <c r="F50" s="39">
        <f t="shared" si="7"/>
        <v>3471.3799999999997</v>
      </c>
      <c r="G50" s="37">
        <f t="shared" si="7"/>
        <v>71310.22</v>
      </c>
      <c r="H50" s="39">
        <f t="shared" si="7"/>
        <v>89649.35169155</v>
      </c>
      <c r="I50" s="37">
        <f t="shared" si="7"/>
        <v>6934.571999999998</v>
      </c>
      <c r="J50" s="38">
        <f t="shared" si="7"/>
        <v>10006.502205113</v>
      </c>
      <c r="K50" s="38">
        <f t="shared" si="7"/>
        <v>33422.659133107394</v>
      </c>
      <c r="L50" s="38">
        <f t="shared" si="7"/>
        <v>7376.8</v>
      </c>
      <c r="M50" s="38">
        <f t="shared" si="7"/>
        <v>1796.2559999999999</v>
      </c>
      <c r="N50" s="78">
        <f t="shared" si="7"/>
        <v>59536.78933822039</v>
      </c>
      <c r="O50" s="77">
        <f>O34+O48</f>
        <v>30112.562353329602</v>
      </c>
      <c r="P50" s="77">
        <f>P34+P48</f>
        <v>2315.0999999999995</v>
      </c>
      <c r="Q50" s="72"/>
      <c r="R50" s="71"/>
    </row>
    <row r="52" spans="1:18" ht="12.75">
      <c r="A52" s="20" t="s">
        <v>88</v>
      </c>
      <c r="D52" s="83" t="s">
        <v>92</v>
      </c>
      <c r="Q52" s="1"/>
      <c r="R52" s="1"/>
    </row>
    <row r="53" spans="1:18" ht="12.75">
      <c r="A53" s="21" t="s">
        <v>71</v>
      </c>
      <c r="B53" s="21" t="s">
        <v>72</v>
      </c>
      <c r="C53" s="230" t="s">
        <v>73</v>
      </c>
      <c r="D53" s="230"/>
      <c r="Q53" s="1"/>
      <c r="R53" s="1"/>
    </row>
    <row r="54" spans="1:18" ht="12.75">
      <c r="A54" s="126">
        <v>23248.37</v>
      </c>
      <c r="B54" s="126">
        <v>0</v>
      </c>
      <c r="C54" s="228">
        <f>A54-B54</f>
        <v>23248.37</v>
      </c>
      <c r="D54" s="229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A49:O49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AZ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E22" sqref="AW22:BE22"/>
    </sheetView>
  </sheetViews>
  <sheetFormatPr defaultColWidth="9.00390625" defaultRowHeight="12.75"/>
  <cols>
    <col min="1" max="1" width="8.75390625" style="242" bestFit="1" customWidth="1"/>
    <col min="2" max="2" width="9.125" style="242" customWidth="1"/>
    <col min="3" max="3" width="11.375" style="242" customWidth="1"/>
    <col min="4" max="4" width="10.375" style="242" customWidth="1"/>
    <col min="5" max="5" width="10.125" style="242" bestFit="1" customWidth="1"/>
    <col min="6" max="6" width="9.125" style="242" customWidth="1"/>
    <col min="7" max="7" width="10.25390625" style="242" customWidth="1"/>
    <col min="8" max="8" width="9.125" style="242" customWidth="1"/>
    <col min="9" max="9" width="9.875" style="242" customWidth="1"/>
    <col min="10" max="10" width="9.125" style="242" customWidth="1"/>
    <col min="11" max="11" width="10.375" style="242" customWidth="1"/>
    <col min="12" max="12" width="9.125" style="242" customWidth="1"/>
    <col min="13" max="13" width="10.125" style="242" bestFit="1" customWidth="1"/>
    <col min="14" max="14" width="9.125" style="242" customWidth="1"/>
    <col min="15" max="15" width="10.125" style="242" bestFit="1" customWidth="1"/>
    <col min="16" max="18" width="9.125" style="242" customWidth="1"/>
    <col min="19" max="19" width="10.125" style="242" bestFit="1" customWidth="1"/>
    <col min="20" max="20" width="10.125" style="242" customWidth="1"/>
    <col min="21" max="21" width="10.125" style="242" bestFit="1" customWidth="1"/>
    <col min="22" max="22" width="10.25390625" style="242" customWidth="1"/>
    <col min="23" max="23" width="10.625" style="242" customWidth="1"/>
    <col min="24" max="24" width="10.125" style="242" customWidth="1"/>
    <col min="25" max="28" width="10.125" style="242" bestFit="1" customWidth="1"/>
    <col min="29" max="30" width="11.375" style="242" customWidth="1"/>
    <col min="31" max="31" width="9.25390625" style="242" bestFit="1" customWidth="1"/>
    <col min="32" max="32" width="10.125" style="242" bestFit="1" customWidth="1"/>
    <col min="33" max="33" width="12.00390625" style="242" customWidth="1"/>
    <col min="34" max="34" width="14.25390625" style="242" customWidth="1"/>
    <col min="35" max="35" width="9.25390625" style="242" bestFit="1" customWidth="1"/>
    <col min="36" max="36" width="12.625" style="242" customWidth="1"/>
    <col min="37" max="38" width="9.25390625" style="242" bestFit="1" customWidth="1"/>
    <col min="39" max="39" width="10.125" style="242" bestFit="1" customWidth="1"/>
    <col min="40" max="40" width="9.25390625" style="242" bestFit="1" customWidth="1"/>
    <col min="41" max="42" width="10.125" style="242" bestFit="1" customWidth="1"/>
    <col min="43" max="44" width="9.25390625" style="242" customWidth="1"/>
    <col min="45" max="45" width="10.125" style="242" bestFit="1" customWidth="1"/>
    <col min="46" max="46" width="11.625" style="242" customWidth="1"/>
    <col min="47" max="47" width="10.875" style="242" customWidth="1"/>
    <col min="48" max="48" width="10.625" style="242" customWidth="1"/>
    <col min="49" max="49" width="10.25390625" style="242" customWidth="1"/>
    <col min="50" max="50" width="10.625" style="242" customWidth="1"/>
    <col min="51" max="53" width="10.125" style="242" bestFit="1" customWidth="1"/>
    <col min="54" max="54" width="11.625" style="242" customWidth="1"/>
    <col min="55" max="55" width="11.75390625" style="242" customWidth="1"/>
    <col min="56" max="56" width="12.125" style="242" customWidth="1"/>
    <col min="57" max="57" width="13.625" style="242" customWidth="1"/>
    <col min="58" max="58" width="11.00390625" style="242" customWidth="1"/>
    <col min="59" max="59" width="11.375" style="242" customWidth="1"/>
    <col min="60" max="16384" width="9.125" style="242" customWidth="1"/>
  </cols>
  <sheetData>
    <row r="1" spans="1:18" ht="21" customHeight="1">
      <c r="A1" s="151" t="s">
        <v>95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241"/>
      <c r="P1" s="241"/>
      <c r="Q1" s="241"/>
      <c r="R1" s="241"/>
    </row>
    <row r="2" spans="1:18" ht="13.5" thickBot="1">
      <c r="A2" s="241"/>
      <c r="B2" s="243"/>
      <c r="C2" s="244"/>
      <c r="D2" s="244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59" ht="29.25" customHeight="1" thickBot="1">
      <c r="A3" s="245" t="s">
        <v>0</v>
      </c>
      <c r="B3" s="246" t="s">
        <v>1</v>
      </c>
      <c r="C3" s="247" t="s">
        <v>2</v>
      </c>
      <c r="D3" s="248" t="s">
        <v>3</v>
      </c>
      <c r="E3" s="245" t="s">
        <v>96</v>
      </c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19"/>
      <c r="S3" s="245"/>
      <c r="T3" s="249"/>
      <c r="U3" s="245" t="s">
        <v>5</v>
      </c>
      <c r="V3" s="249"/>
      <c r="W3" s="250" t="s">
        <v>6</v>
      </c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J3" s="253" t="s">
        <v>74</v>
      </c>
      <c r="AK3" s="254" t="s">
        <v>10</v>
      </c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6"/>
      <c r="BF3" s="257" t="s">
        <v>11</v>
      </c>
      <c r="BG3" s="258" t="s">
        <v>12</v>
      </c>
    </row>
    <row r="4" spans="1:59" ht="51.75" customHeight="1" hidden="1" thickBot="1">
      <c r="A4" s="259"/>
      <c r="B4" s="260"/>
      <c r="C4" s="261"/>
      <c r="D4" s="262"/>
      <c r="E4" s="259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11"/>
      <c r="S4" s="264"/>
      <c r="T4" s="265"/>
      <c r="U4" s="264"/>
      <c r="V4" s="265"/>
      <c r="W4" s="266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8"/>
      <c r="AJ4" s="269"/>
      <c r="AK4" s="270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2"/>
      <c r="BF4" s="273"/>
      <c r="BG4" s="274"/>
    </row>
    <row r="5" spans="1:61" ht="19.5" customHeight="1">
      <c r="A5" s="259"/>
      <c r="B5" s="260"/>
      <c r="C5" s="261"/>
      <c r="D5" s="262"/>
      <c r="E5" s="275" t="s">
        <v>13</v>
      </c>
      <c r="F5" s="276"/>
      <c r="G5" s="275" t="s">
        <v>97</v>
      </c>
      <c r="H5" s="276"/>
      <c r="I5" s="275" t="s">
        <v>14</v>
      </c>
      <c r="J5" s="276"/>
      <c r="K5" s="275" t="s">
        <v>16</v>
      </c>
      <c r="L5" s="276"/>
      <c r="M5" s="275" t="s">
        <v>15</v>
      </c>
      <c r="N5" s="276"/>
      <c r="O5" s="277" t="s">
        <v>17</v>
      </c>
      <c r="P5" s="277"/>
      <c r="Q5" s="275" t="s">
        <v>98</v>
      </c>
      <c r="R5" s="276"/>
      <c r="S5" s="277" t="s">
        <v>18</v>
      </c>
      <c r="T5" s="276"/>
      <c r="U5" s="278" t="s">
        <v>20</v>
      </c>
      <c r="V5" s="279" t="s">
        <v>21</v>
      </c>
      <c r="W5" s="280" t="s">
        <v>22</v>
      </c>
      <c r="X5" s="280" t="s">
        <v>99</v>
      </c>
      <c r="Y5" s="280" t="s">
        <v>23</v>
      </c>
      <c r="Z5" s="280" t="s">
        <v>25</v>
      </c>
      <c r="AA5" s="280" t="s">
        <v>24</v>
      </c>
      <c r="AB5" s="280" t="s">
        <v>26</v>
      </c>
      <c r="AC5" s="280" t="s">
        <v>27</v>
      </c>
      <c r="AD5" s="281" t="s">
        <v>28</v>
      </c>
      <c r="AE5" s="281" t="s">
        <v>100</v>
      </c>
      <c r="AF5" s="282" t="s">
        <v>29</v>
      </c>
      <c r="AG5" s="283" t="s">
        <v>86</v>
      </c>
      <c r="AH5" s="284" t="s">
        <v>8</v>
      </c>
      <c r="AI5" s="285" t="s">
        <v>9</v>
      </c>
      <c r="AJ5" s="269"/>
      <c r="AK5" s="286" t="s">
        <v>101</v>
      </c>
      <c r="AL5" s="287" t="s">
        <v>102</v>
      </c>
      <c r="AM5" s="287" t="s">
        <v>103</v>
      </c>
      <c r="AN5" s="288" t="s">
        <v>104</v>
      </c>
      <c r="AO5" s="287" t="s">
        <v>105</v>
      </c>
      <c r="AP5" s="288" t="s">
        <v>106</v>
      </c>
      <c r="AQ5" s="288" t="s">
        <v>107</v>
      </c>
      <c r="AR5" s="288" t="s">
        <v>108</v>
      </c>
      <c r="AS5" s="288" t="s">
        <v>109</v>
      </c>
      <c r="AT5" s="288" t="s">
        <v>36</v>
      </c>
      <c r="AU5" s="165" t="s">
        <v>110</v>
      </c>
      <c r="AV5" s="197" t="s">
        <v>111</v>
      </c>
      <c r="AW5" s="165" t="s">
        <v>112</v>
      </c>
      <c r="AX5" s="186" t="s">
        <v>113</v>
      </c>
      <c r="AY5" s="149"/>
      <c r="AZ5" s="289" t="s">
        <v>19</v>
      </c>
      <c r="BA5" s="288" t="s">
        <v>38</v>
      </c>
      <c r="BB5" s="288" t="s">
        <v>33</v>
      </c>
      <c r="BC5" s="290" t="s">
        <v>39</v>
      </c>
      <c r="BD5" s="291" t="s">
        <v>75</v>
      </c>
      <c r="BE5" s="288" t="s">
        <v>114</v>
      </c>
      <c r="BF5" s="273"/>
      <c r="BG5" s="274"/>
      <c r="BH5" s="292"/>
      <c r="BI5" s="293"/>
    </row>
    <row r="6" spans="1:61" ht="56.25" customHeight="1" thickBot="1">
      <c r="A6" s="259"/>
      <c r="B6" s="260"/>
      <c r="C6" s="261"/>
      <c r="D6" s="262"/>
      <c r="E6" s="294"/>
      <c r="F6" s="295"/>
      <c r="G6" s="294"/>
      <c r="H6" s="295"/>
      <c r="I6" s="294"/>
      <c r="J6" s="295"/>
      <c r="K6" s="294"/>
      <c r="L6" s="295"/>
      <c r="M6" s="294"/>
      <c r="N6" s="295"/>
      <c r="O6" s="296"/>
      <c r="P6" s="296"/>
      <c r="Q6" s="294"/>
      <c r="R6" s="295"/>
      <c r="S6" s="297"/>
      <c r="T6" s="295"/>
      <c r="U6" s="298"/>
      <c r="V6" s="299"/>
      <c r="W6" s="300"/>
      <c r="X6" s="300"/>
      <c r="Y6" s="300"/>
      <c r="Z6" s="300"/>
      <c r="AA6" s="300"/>
      <c r="AB6" s="300"/>
      <c r="AC6" s="300"/>
      <c r="AD6" s="301"/>
      <c r="AE6" s="301"/>
      <c r="AF6" s="302"/>
      <c r="AG6" s="303"/>
      <c r="AH6" s="304"/>
      <c r="AI6" s="305"/>
      <c r="AJ6" s="306"/>
      <c r="AK6" s="307"/>
      <c r="AL6" s="308"/>
      <c r="AM6" s="308"/>
      <c r="AN6" s="309"/>
      <c r="AO6" s="308"/>
      <c r="AP6" s="309"/>
      <c r="AQ6" s="309"/>
      <c r="AR6" s="309"/>
      <c r="AS6" s="309"/>
      <c r="AT6" s="309"/>
      <c r="AU6" s="166"/>
      <c r="AV6" s="198"/>
      <c r="AW6" s="166"/>
      <c r="AX6" s="187"/>
      <c r="AY6" s="150" t="s">
        <v>115</v>
      </c>
      <c r="AZ6" s="310"/>
      <c r="BA6" s="309"/>
      <c r="BB6" s="309"/>
      <c r="BC6" s="311"/>
      <c r="BD6" s="312"/>
      <c r="BE6" s="309"/>
      <c r="BF6" s="313"/>
      <c r="BG6" s="314"/>
      <c r="BH6" s="292"/>
      <c r="BI6" s="293"/>
    </row>
    <row r="7" spans="1:61" ht="19.5" customHeight="1" thickBot="1">
      <c r="A7" s="315">
        <v>1</v>
      </c>
      <c r="B7" s="316">
        <v>2</v>
      </c>
      <c r="C7" s="316">
        <v>3</v>
      </c>
      <c r="D7" s="315">
        <v>4</v>
      </c>
      <c r="E7" s="316">
        <v>5</v>
      </c>
      <c r="F7" s="316">
        <v>6</v>
      </c>
      <c r="G7" s="315">
        <v>7</v>
      </c>
      <c r="H7" s="316">
        <v>8</v>
      </c>
      <c r="I7" s="316">
        <v>9</v>
      </c>
      <c r="J7" s="315">
        <v>10</v>
      </c>
      <c r="K7" s="316">
        <v>11</v>
      </c>
      <c r="L7" s="316">
        <v>12</v>
      </c>
      <c r="M7" s="315">
        <v>13</v>
      </c>
      <c r="N7" s="316">
        <v>14</v>
      </c>
      <c r="O7" s="316">
        <v>15</v>
      </c>
      <c r="P7" s="315">
        <v>16</v>
      </c>
      <c r="Q7" s="316">
        <v>17</v>
      </c>
      <c r="R7" s="316">
        <v>18</v>
      </c>
      <c r="S7" s="315">
        <v>19</v>
      </c>
      <c r="T7" s="316">
        <v>20</v>
      </c>
      <c r="U7" s="316">
        <v>21</v>
      </c>
      <c r="V7" s="315">
        <v>22</v>
      </c>
      <c r="W7" s="316">
        <v>23</v>
      </c>
      <c r="X7" s="315">
        <v>24</v>
      </c>
      <c r="Y7" s="316">
        <v>25</v>
      </c>
      <c r="Z7" s="315">
        <v>26</v>
      </c>
      <c r="AA7" s="316">
        <v>27</v>
      </c>
      <c r="AB7" s="315">
        <v>28</v>
      </c>
      <c r="AC7" s="316">
        <v>29</v>
      </c>
      <c r="AD7" s="315">
        <v>30</v>
      </c>
      <c r="AE7" s="315">
        <v>31</v>
      </c>
      <c r="AF7" s="316">
        <v>32</v>
      </c>
      <c r="AG7" s="315">
        <v>33</v>
      </c>
      <c r="AH7" s="316">
        <v>34</v>
      </c>
      <c r="AI7" s="315">
        <v>35</v>
      </c>
      <c r="AJ7" s="316">
        <v>36</v>
      </c>
      <c r="AK7" s="315">
        <v>37</v>
      </c>
      <c r="AL7" s="316">
        <v>38</v>
      </c>
      <c r="AM7" s="315">
        <v>39</v>
      </c>
      <c r="AN7" s="315">
        <v>40</v>
      </c>
      <c r="AO7" s="316">
        <v>41</v>
      </c>
      <c r="AP7" s="315">
        <v>42</v>
      </c>
      <c r="AQ7" s="316">
        <v>43</v>
      </c>
      <c r="AR7" s="315"/>
      <c r="AS7" s="315">
        <v>44</v>
      </c>
      <c r="AT7" s="316">
        <v>45</v>
      </c>
      <c r="AU7" s="315">
        <v>46</v>
      </c>
      <c r="AV7" s="316">
        <v>47</v>
      </c>
      <c r="AW7" s="315">
        <v>48</v>
      </c>
      <c r="AX7" s="315">
        <v>49</v>
      </c>
      <c r="AY7" s="316"/>
      <c r="AZ7" s="316">
        <v>50</v>
      </c>
      <c r="BA7" s="316">
        <v>51</v>
      </c>
      <c r="BB7" s="316">
        <v>52</v>
      </c>
      <c r="BC7" s="316">
        <v>53</v>
      </c>
      <c r="BD7" s="316">
        <v>54</v>
      </c>
      <c r="BE7" s="316"/>
      <c r="BF7" s="316">
        <v>55</v>
      </c>
      <c r="BG7" s="316">
        <v>56</v>
      </c>
      <c r="BH7" s="293"/>
      <c r="BI7" s="293"/>
    </row>
    <row r="8" spans="1:59" s="20" customFormat="1" ht="13.5" thickBot="1">
      <c r="A8" s="22" t="s">
        <v>54</v>
      </c>
      <c r="B8" s="317">
        <f>'[1]ЛИЦ.СЧЕТ'!B42</f>
        <v>0</v>
      </c>
      <c r="C8" s="317">
        <f>Лист1!C44</f>
        <v>88211.835</v>
      </c>
      <c r="D8" s="317">
        <f>Лист1!D44</f>
        <v>14867.75169155</v>
      </c>
      <c r="E8" s="317">
        <f>Лист1!E44</f>
        <v>8986.94</v>
      </c>
      <c r="F8" s="317">
        <f>Лист1!F44</f>
        <v>451.94</v>
      </c>
      <c r="G8" s="317"/>
      <c r="H8" s="317"/>
      <c r="I8" s="317">
        <f>Лист1!G44</f>
        <v>3347.49</v>
      </c>
      <c r="J8" s="317">
        <f>Лист1!H44</f>
        <v>168.71</v>
      </c>
      <c r="K8" s="317">
        <f>Лист1!K44</f>
        <v>20242.09</v>
      </c>
      <c r="L8" s="317">
        <f>Лист1!L44</f>
        <v>1018.63</v>
      </c>
      <c r="M8" s="317">
        <f>Лист1!I44</f>
        <v>29229.04</v>
      </c>
      <c r="N8" s="317">
        <f>Лист1!J44</f>
        <v>1470.56</v>
      </c>
      <c r="O8" s="317">
        <f>Лист1!M44</f>
        <v>7189.5599999999995</v>
      </c>
      <c r="P8" s="317">
        <f>Лист1!N44</f>
        <v>361.54</v>
      </c>
      <c r="Q8" s="317">
        <f>'[3]Лист1'!O44</f>
        <v>0</v>
      </c>
      <c r="R8" s="317"/>
      <c r="S8" s="317">
        <f>'[3]Лист1'!O44</f>
        <v>0</v>
      </c>
      <c r="T8" s="317">
        <f>'[3]Лист1'!P44</f>
        <v>0</v>
      </c>
      <c r="U8" s="317">
        <f>Лист1!S44</f>
        <v>68995.12</v>
      </c>
      <c r="V8" s="317">
        <f>Лист1!T44</f>
        <v>3471.3799999999997</v>
      </c>
      <c r="W8" s="317">
        <f>Лист1!U44</f>
        <v>9240.109999999999</v>
      </c>
      <c r="X8" s="317"/>
      <c r="Y8" s="317">
        <f>Лист1!V44</f>
        <v>3817.7599999999998</v>
      </c>
      <c r="Z8" s="317">
        <f>Лист1!X44</f>
        <v>20810.04</v>
      </c>
      <c r="AA8" s="317">
        <f>Лист1!W44</f>
        <v>30050.21</v>
      </c>
      <c r="AB8" s="317">
        <f>Лист1!Y44</f>
        <v>7392.1</v>
      </c>
      <c r="AC8" s="317">
        <f>'[4]Лист1'!Z44</f>
        <v>0</v>
      </c>
      <c r="AD8" s="317"/>
      <c r="AE8" s="317"/>
      <c r="AF8" s="317">
        <f>Лист1!AB44</f>
        <v>71310.22</v>
      </c>
      <c r="AG8" s="317">
        <f>Лист1!AC44</f>
        <v>89649.35169155</v>
      </c>
      <c r="AH8" s="317"/>
      <c r="AI8" s="317"/>
      <c r="AJ8" s="317">
        <f>Лист1!AF44</f>
        <v>0</v>
      </c>
      <c r="AK8" s="317">
        <f>Лист1!AG44</f>
        <v>6028.091999999999</v>
      </c>
      <c r="AL8" s="317">
        <f>Лист1!AH44</f>
        <v>2019.8888083999996</v>
      </c>
      <c r="AM8" s="317">
        <f>Лист1!AI44+Лист1!AJ44</f>
        <v>10006.502205113</v>
      </c>
      <c r="AN8" s="317">
        <f>0</f>
        <v>0</v>
      </c>
      <c r="AO8" s="317">
        <f>Лист1!AK44+Лист1!AL44</f>
        <v>9981.101064932998</v>
      </c>
      <c r="AP8" s="317">
        <f>Лист1!AM44+Лист1!AN44</f>
        <v>22328.149259774404</v>
      </c>
      <c r="AQ8" s="317">
        <f>0</f>
        <v>0</v>
      </c>
      <c r="AR8" s="317">
        <f>0</f>
        <v>0</v>
      </c>
      <c r="AS8" s="317">
        <f>0</f>
        <v>0</v>
      </c>
      <c r="AT8" s="317">
        <f>'[2]Лист1'!AO42</f>
        <v>0</v>
      </c>
      <c r="AU8" s="317">
        <f>Лист1!AS44+Лист1!AU44</f>
        <v>6829</v>
      </c>
      <c r="AV8" s="317">
        <f>0</f>
        <v>0</v>
      </c>
      <c r="AW8" s="317">
        <f>Лист1!AT44</f>
        <v>547.8</v>
      </c>
      <c r="AX8" s="317">
        <f>'[3]Лист1'!AQ44+'[3]Лист1'!AR44</f>
        <v>0</v>
      </c>
      <c r="AY8" s="318">
        <f>Лист1!AX44</f>
        <v>1796.2559999999999</v>
      </c>
      <c r="AZ8" s="318"/>
      <c r="BA8" s="318"/>
      <c r="BB8" s="318"/>
      <c r="BC8" s="318">
        <f>Лист1!BB44</f>
        <v>59536.78933822039</v>
      </c>
      <c r="BD8" s="317">
        <f>0</f>
        <v>0</v>
      </c>
      <c r="BE8" s="317">
        <f>BC8</f>
        <v>59536.78933822039</v>
      </c>
      <c r="BF8" s="319">
        <f>Лист1!BD44</f>
        <v>30112.562353329602</v>
      </c>
      <c r="BG8" s="319">
        <f>Лист1!BE44</f>
        <v>2315.0999999999995</v>
      </c>
    </row>
    <row r="9" spans="1:59" ht="12.75">
      <c r="A9" s="5" t="s">
        <v>116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1"/>
      <c r="BF9" s="319"/>
      <c r="BG9" s="322"/>
    </row>
    <row r="10" spans="1:135" ht="12.75">
      <c r="A10" s="323" t="s">
        <v>45</v>
      </c>
      <c r="B10" s="324">
        <v>377.7</v>
      </c>
      <c r="C10" s="124">
        <f>(B10*0.87)+((B10*5.17*0.9)+(B10*2.51))</f>
        <v>3034.0641</v>
      </c>
      <c r="D10" s="100">
        <v>96.9892</v>
      </c>
      <c r="E10" s="325">
        <v>0</v>
      </c>
      <c r="F10" s="326">
        <v>0</v>
      </c>
      <c r="G10" s="325">
        <v>2030.05</v>
      </c>
      <c r="H10" s="325">
        <v>0</v>
      </c>
      <c r="I10" s="325">
        <v>0</v>
      </c>
      <c r="J10" s="325">
        <v>0</v>
      </c>
      <c r="K10" s="325">
        <v>0</v>
      </c>
      <c r="L10" s="325">
        <v>0</v>
      </c>
      <c r="M10" s="325">
        <v>986.02</v>
      </c>
      <c r="N10" s="325">
        <v>0</v>
      </c>
      <c r="O10" s="325">
        <v>342.18</v>
      </c>
      <c r="P10" s="326">
        <v>0</v>
      </c>
      <c r="Q10" s="327">
        <v>0</v>
      </c>
      <c r="R10" s="328">
        <v>0</v>
      </c>
      <c r="S10" s="329">
        <v>0</v>
      </c>
      <c r="T10" s="328">
        <v>0</v>
      </c>
      <c r="U10" s="330">
        <f aca="true" t="shared" si="0" ref="U10:V21">E10+G10+I10+K10+M10+O10+Q10+S10</f>
        <v>3358.2499999999995</v>
      </c>
      <c r="V10" s="331">
        <f t="shared" si="0"/>
        <v>0</v>
      </c>
      <c r="W10" s="332">
        <v>264.73</v>
      </c>
      <c r="X10" s="332"/>
      <c r="Y10" s="332">
        <v>99.24</v>
      </c>
      <c r="Z10" s="332">
        <v>596.56</v>
      </c>
      <c r="AA10" s="332">
        <v>861.28</v>
      </c>
      <c r="AB10" s="332">
        <v>211.77</v>
      </c>
      <c r="AC10" s="333">
        <v>0</v>
      </c>
      <c r="AD10" s="333">
        <v>0</v>
      </c>
      <c r="AE10" s="334">
        <v>0</v>
      </c>
      <c r="AF10" s="334">
        <f>SUM(W10:AE10)</f>
        <v>2033.58</v>
      </c>
      <c r="AG10" s="335">
        <f>AF10+V10+D10</f>
        <v>2130.5692</v>
      </c>
      <c r="AH10" s="350">
        <f aca="true" t="shared" si="1" ref="AH10:AI21">AC10</f>
        <v>0</v>
      </c>
      <c r="AI10" s="350">
        <f t="shared" si="1"/>
        <v>0</v>
      </c>
      <c r="AJ10" s="355"/>
      <c r="AK10" s="356">
        <f aca="true" t="shared" si="2" ref="AK10:AK21">0.67*B10</f>
        <v>253.059</v>
      </c>
      <c r="AL10" s="356">
        <f aca="true" t="shared" si="3" ref="AL10:AL21">B10*0.2</f>
        <v>75.54</v>
      </c>
      <c r="AM10" s="356">
        <f>B10*1</f>
        <v>377.7</v>
      </c>
      <c r="AN10" s="356">
        <f>B10*0.21</f>
        <v>79.317</v>
      </c>
      <c r="AO10" s="336">
        <v>0</v>
      </c>
      <c r="AP10" s="356">
        <f>B10*1.03</f>
        <v>389.031</v>
      </c>
      <c r="AQ10" s="356">
        <f>B10*0.75</f>
        <v>283.275</v>
      </c>
      <c r="AR10" s="356">
        <f>B10*0.75</f>
        <v>283.275</v>
      </c>
      <c r="AS10" s="336">
        <v>0</v>
      </c>
      <c r="AT10" s="356"/>
      <c r="AU10" s="357"/>
      <c r="AV10" s="358"/>
      <c r="AW10" s="357"/>
      <c r="AX10" s="357"/>
      <c r="AY10" s="357"/>
      <c r="AZ10" s="114"/>
      <c r="BA10" s="337"/>
      <c r="BB10" s="337">
        <f>BA10*0.18</f>
        <v>0</v>
      </c>
      <c r="BC10" s="337">
        <f>SUM(AK10:BB10)</f>
        <v>1741.1970000000001</v>
      </c>
      <c r="BD10" s="339"/>
      <c r="BE10" s="339">
        <f>BC10</f>
        <v>1741.1970000000001</v>
      </c>
      <c r="BF10" s="339">
        <f>AG10-BE10</f>
        <v>389.3721999999998</v>
      </c>
      <c r="BG10" s="339">
        <f aca="true" t="shared" si="4" ref="BG10:BG21">AF10-U10</f>
        <v>-1324.6699999999996</v>
      </c>
      <c r="BH10" s="340"/>
      <c r="BI10" s="341"/>
      <c r="BJ10" s="341"/>
      <c r="BK10" s="341"/>
      <c r="BL10" s="341"/>
      <c r="BM10" s="341"/>
      <c r="BN10" s="341"/>
      <c r="BO10" s="342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3"/>
      <c r="CD10" s="343"/>
      <c r="CE10" s="344"/>
      <c r="CF10" s="339"/>
      <c r="CG10" s="338"/>
      <c r="CH10" s="339"/>
      <c r="CI10" s="339"/>
      <c r="CJ10" s="339"/>
      <c r="CK10" s="339"/>
      <c r="CL10" s="339"/>
      <c r="CM10" s="339"/>
      <c r="CN10" s="339"/>
      <c r="CO10" s="338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8"/>
      <c r="DL10" s="338"/>
      <c r="DM10" s="338"/>
      <c r="DN10" s="338"/>
      <c r="DO10" s="338"/>
      <c r="DP10" s="338"/>
      <c r="DQ10" s="339"/>
      <c r="DR10" s="339"/>
      <c r="DS10" s="339"/>
      <c r="DT10" s="339"/>
      <c r="DU10" s="339"/>
      <c r="DV10" s="340"/>
      <c r="DW10" s="340"/>
      <c r="DX10" s="337"/>
      <c r="DY10" s="319"/>
      <c r="DZ10" s="319"/>
      <c r="EA10" s="322"/>
      <c r="EB10" s="345"/>
      <c r="EC10" s="346"/>
      <c r="ED10" s="347"/>
      <c r="EE10" s="348"/>
    </row>
    <row r="11" spans="1:133" ht="12.75">
      <c r="A11" s="323" t="s">
        <v>46</v>
      </c>
      <c r="B11" s="324">
        <v>377.7</v>
      </c>
      <c r="C11" s="124">
        <f>(B11*0.87)+((B11*5.17*0.9)+(B11*2.51))</f>
        <v>3034.0641</v>
      </c>
      <c r="D11" s="100">
        <v>96.9892</v>
      </c>
      <c r="E11" s="325">
        <v>-5.74</v>
      </c>
      <c r="F11" s="326">
        <v>0</v>
      </c>
      <c r="G11" s="325">
        <v>2008.45</v>
      </c>
      <c r="H11" s="325">
        <v>0</v>
      </c>
      <c r="I11" s="325">
        <v>-2.13</v>
      </c>
      <c r="J11" s="325">
        <v>0</v>
      </c>
      <c r="K11" s="325">
        <v>-12.92</v>
      </c>
      <c r="L11" s="325">
        <v>0</v>
      </c>
      <c r="M11" s="325">
        <v>967.37</v>
      </c>
      <c r="N11" s="325">
        <v>0</v>
      </c>
      <c r="O11" s="325">
        <v>337.59</v>
      </c>
      <c r="P11" s="325">
        <v>0</v>
      </c>
      <c r="Q11" s="326">
        <v>0</v>
      </c>
      <c r="R11" s="326">
        <v>0</v>
      </c>
      <c r="S11" s="333">
        <v>0</v>
      </c>
      <c r="T11" s="332">
        <v>0</v>
      </c>
      <c r="U11" s="349">
        <f t="shared" si="0"/>
        <v>3292.62</v>
      </c>
      <c r="V11" s="331">
        <f t="shared" si="0"/>
        <v>0</v>
      </c>
      <c r="W11" s="332">
        <v>0</v>
      </c>
      <c r="X11" s="333">
        <v>1416.18</v>
      </c>
      <c r="Y11" s="332">
        <v>0</v>
      </c>
      <c r="Z11" s="332">
        <v>0</v>
      </c>
      <c r="AA11" s="332">
        <v>687.77</v>
      </c>
      <c r="AB11" s="332">
        <v>238.69</v>
      </c>
      <c r="AC11" s="333">
        <v>0</v>
      </c>
      <c r="AD11" s="333">
        <v>0</v>
      </c>
      <c r="AE11" s="333">
        <v>0</v>
      </c>
      <c r="AF11" s="334">
        <f>SUM(W11:AE11)</f>
        <v>2342.64</v>
      </c>
      <c r="AG11" s="335">
        <f>AF11+V11+D11</f>
        <v>2439.6292</v>
      </c>
      <c r="AH11" s="350">
        <f t="shared" si="1"/>
        <v>0</v>
      </c>
      <c r="AI11" s="350">
        <f t="shared" si="1"/>
        <v>0</v>
      </c>
      <c r="AJ11" s="355"/>
      <c r="AK11" s="356">
        <f t="shared" si="2"/>
        <v>253.059</v>
      </c>
      <c r="AL11" s="356">
        <f t="shared" si="3"/>
        <v>75.54</v>
      </c>
      <c r="AM11" s="356">
        <f>B11*1</f>
        <v>377.7</v>
      </c>
      <c r="AN11" s="356">
        <f>B11*0.21</f>
        <v>79.317</v>
      </c>
      <c r="AO11" s="336">
        <v>0</v>
      </c>
      <c r="AP11" s="356">
        <f>B11*1.03</f>
        <v>389.031</v>
      </c>
      <c r="AQ11" s="356">
        <f>B11*0.75</f>
        <v>283.275</v>
      </c>
      <c r="AR11" s="356">
        <f>B11*0.75</f>
        <v>283.275</v>
      </c>
      <c r="AS11" s="336">
        <v>0</v>
      </c>
      <c r="AT11" s="356"/>
      <c r="AU11" s="357"/>
      <c r="AV11" s="358"/>
      <c r="AW11" s="357"/>
      <c r="AX11" s="357"/>
      <c r="AY11" s="357"/>
      <c r="AZ11" s="114"/>
      <c r="BA11" s="337"/>
      <c r="BB11" s="337">
        <f>BA11*0.18</f>
        <v>0</v>
      </c>
      <c r="BC11" s="337">
        <f>SUM(AK11:BB11)</f>
        <v>1741.1970000000001</v>
      </c>
      <c r="BD11" s="339"/>
      <c r="BE11" s="339">
        <f aca="true" t="shared" si="5" ref="BE11:BE21">BC11</f>
        <v>1741.1970000000001</v>
      </c>
      <c r="BF11" s="339">
        <f>AG11-BE11</f>
        <v>698.4321999999997</v>
      </c>
      <c r="BG11" s="339">
        <f t="shared" si="4"/>
        <v>-949.98</v>
      </c>
      <c r="BH11" s="340"/>
      <c r="BI11" s="341"/>
      <c r="BJ11" s="341"/>
      <c r="BK11" s="341"/>
      <c r="BL11" s="341"/>
      <c r="BM11" s="341"/>
      <c r="BN11" s="341"/>
      <c r="BO11" s="342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3"/>
      <c r="CD11" s="343"/>
      <c r="CE11" s="344"/>
      <c r="CF11" s="339"/>
      <c r="CG11" s="338"/>
      <c r="CH11" s="339"/>
      <c r="CI11" s="339"/>
      <c r="CJ11" s="339"/>
      <c r="CK11" s="339"/>
      <c r="CL11" s="339"/>
      <c r="CM11" s="339"/>
      <c r="CN11" s="339"/>
      <c r="CO11" s="338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8"/>
      <c r="DL11" s="338"/>
      <c r="DM11" s="338"/>
      <c r="DN11" s="338"/>
      <c r="DO11" s="338"/>
      <c r="DP11" s="338"/>
      <c r="DQ11" s="339"/>
      <c r="DR11" s="339"/>
      <c r="DS11" s="339"/>
      <c r="DT11" s="339"/>
      <c r="DU11" s="339"/>
      <c r="DV11" s="340"/>
      <c r="DW11" s="340"/>
      <c r="DX11" s="337"/>
      <c r="DY11" s="319"/>
      <c r="DZ11" s="319"/>
      <c r="EA11" s="322"/>
      <c r="EB11" s="346"/>
      <c r="EC11" s="351"/>
    </row>
    <row r="12" spans="1:134" ht="12.75">
      <c r="A12" s="323" t="s">
        <v>47</v>
      </c>
      <c r="B12" s="324">
        <v>377.7</v>
      </c>
      <c r="C12" s="124">
        <f>(B12*0.87)+((B12*5.17*0.9)+(B12*2.51))</f>
        <v>3034.0641</v>
      </c>
      <c r="D12" s="100">
        <v>96.9892</v>
      </c>
      <c r="E12" s="325">
        <v>0</v>
      </c>
      <c r="F12" s="326">
        <v>0</v>
      </c>
      <c r="G12" s="325">
        <v>2030.05</v>
      </c>
      <c r="H12" s="325">
        <v>0</v>
      </c>
      <c r="I12" s="325">
        <v>0</v>
      </c>
      <c r="J12" s="325">
        <v>0</v>
      </c>
      <c r="K12" s="325">
        <v>0</v>
      </c>
      <c r="L12" s="325">
        <v>0</v>
      </c>
      <c r="M12" s="325">
        <v>986.02</v>
      </c>
      <c r="N12" s="325">
        <v>0</v>
      </c>
      <c r="O12" s="325">
        <v>342.18</v>
      </c>
      <c r="P12" s="325">
        <v>0</v>
      </c>
      <c r="Q12" s="325">
        <v>0</v>
      </c>
      <c r="R12" s="325">
        <v>0</v>
      </c>
      <c r="S12" s="325">
        <v>0</v>
      </c>
      <c r="T12" s="332">
        <v>0</v>
      </c>
      <c r="U12" s="332">
        <f t="shared" si="0"/>
        <v>3358.2499999999995</v>
      </c>
      <c r="V12" s="352">
        <f t="shared" si="0"/>
        <v>0</v>
      </c>
      <c r="W12" s="353">
        <v>0</v>
      </c>
      <c r="X12" s="333">
        <v>1109.55</v>
      </c>
      <c r="Y12" s="332">
        <v>0</v>
      </c>
      <c r="Z12" s="332">
        <v>0</v>
      </c>
      <c r="AA12" s="332">
        <v>538.85</v>
      </c>
      <c r="AB12" s="332">
        <v>186.94</v>
      </c>
      <c r="AC12" s="333">
        <v>0</v>
      </c>
      <c r="AD12" s="333">
        <v>0</v>
      </c>
      <c r="AE12" s="332">
        <v>0</v>
      </c>
      <c r="AF12" s="354">
        <f>SUM(W12:AE12)</f>
        <v>1835.3400000000001</v>
      </c>
      <c r="AG12" s="335">
        <f>AF12+V12+D12</f>
        <v>1932.3292000000001</v>
      </c>
      <c r="AH12" s="350">
        <f t="shared" si="1"/>
        <v>0</v>
      </c>
      <c r="AI12" s="350">
        <f t="shared" si="1"/>
        <v>0</v>
      </c>
      <c r="AJ12" s="355"/>
      <c r="AK12" s="356">
        <f t="shared" si="2"/>
        <v>253.059</v>
      </c>
      <c r="AL12" s="356">
        <f t="shared" si="3"/>
        <v>75.54</v>
      </c>
      <c r="AM12" s="356">
        <f>B12*1</f>
        <v>377.7</v>
      </c>
      <c r="AN12" s="356">
        <f>B12*0.21</f>
        <v>79.317</v>
      </c>
      <c r="AO12" s="336">
        <v>0</v>
      </c>
      <c r="AP12" s="356">
        <f>B12*1.03</f>
        <v>389.031</v>
      </c>
      <c r="AQ12" s="356">
        <f>B12*0.75</f>
        <v>283.275</v>
      </c>
      <c r="AR12" s="356">
        <f>B12*0.75</f>
        <v>283.275</v>
      </c>
      <c r="AS12" s="336">
        <v>0</v>
      </c>
      <c r="AT12" s="356"/>
      <c r="AU12" s="357"/>
      <c r="AV12" s="358"/>
      <c r="AW12" s="357"/>
      <c r="AX12" s="357"/>
      <c r="AY12" s="357"/>
      <c r="AZ12" s="114"/>
      <c r="BA12" s="337"/>
      <c r="BB12" s="337">
        <f>BA12*0.18</f>
        <v>0</v>
      </c>
      <c r="BC12" s="337">
        <f>SUM(AK12:BB12)</f>
        <v>1741.1970000000001</v>
      </c>
      <c r="BD12" s="339"/>
      <c r="BE12" s="339">
        <f t="shared" si="5"/>
        <v>1741.1970000000001</v>
      </c>
      <c r="BF12" s="339">
        <f>AG12-BE12</f>
        <v>191.1322</v>
      </c>
      <c r="BG12" s="339">
        <f t="shared" si="4"/>
        <v>-1522.9099999999994</v>
      </c>
      <c r="BH12" s="340"/>
      <c r="BI12" s="341"/>
      <c r="BJ12" s="341"/>
      <c r="BK12" s="341"/>
      <c r="BL12" s="341"/>
      <c r="BM12" s="341"/>
      <c r="BN12" s="341"/>
      <c r="BO12" s="341"/>
      <c r="BP12" s="341"/>
      <c r="BQ12" s="342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3"/>
      <c r="CD12" s="343"/>
      <c r="CE12" s="344"/>
      <c r="CF12" s="339"/>
      <c r="CG12" s="339"/>
      <c r="CH12" s="339"/>
      <c r="CI12" s="338"/>
      <c r="CJ12" s="339"/>
      <c r="CK12" s="339"/>
      <c r="CL12" s="339"/>
      <c r="CM12" s="339"/>
      <c r="CN12" s="339"/>
      <c r="CO12" s="339"/>
      <c r="CP12" s="339"/>
      <c r="CQ12" s="338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8"/>
      <c r="DN12" s="338"/>
      <c r="DO12" s="338"/>
      <c r="DP12" s="338"/>
      <c r="DQ12" s="338"/>
      <c r="DR12" s="338"/>
      <c r="DS12" s="339"/>
      <c r="DT12" s="339"/>
      <c r="DU12" s="339"/>
      <c r="DV12" s="339"/>
      <c r="DW12" s="339"/>
      <c r="DX12" s="340"/>
      <c r="DY12" s="340"/>
      <c r="DZ12" s="337"/>
      <c r="EA12" s="319"/>
      <c r="EB12" s="319"/>
      <c r="EC12" s="346"/>
      <c r="ED12" s="351"/>
    </row>
    <row r="13" spans="1:134" ht="12.75">
      <c r="A13" s="323" t="s">
        <v>48</v>
      </c>
      <c r="B13" s="324">
        <v>377.7</v>
      </c>
      <c r="C13" s="124">
        <f>(B13*0.87)+((B13*5.17*0.9)+(B13*2.51))</f>
        <v>3034.0641</v>
      </c>
      <c r="D13" s="361">
        <v>96.9892</v>
      </c>
      <c r="E13" s="327">
        <v>0</v>
      </c>
      <c r="F13" s="325">
        <v>0</v>
      </c>
      <c r="G13" s="362">
        <v>1826.88</v>
      </c>
      <c r="H13" s="325">
        <v>0</v>
      </c>
      <c r="I13" s="325">
        <v>0</v>
      </c>
      <c r="J13" s="325">
        <v>0</v>
      </c>
      <c r="K13" s="325">
        <v>0</v>
      </c>
      <c r="L13" s="325">
        <v>0</v>
      </c>
      <c r="M13" s="325">
        <v>986.02</v>
      </c>
      <c r="N13" s="325">
        <v>0</v>
      </c>
      <c r="O13" s="325">
        <v>342.18</v>
      </c>
      <c r="P13" s="325">
        <v>0</v>
      </c>
      <c r="Q13" s="326">
        <v>0</v>
      </c>
      <c r="R13" s="326">
        <v>0</v>
      </c>
      <c r="S13" s="446">
        <v>0</v>
      </c>
      <c r="T13" s="447">
        <v>0</v>
      </c>
      <c r="U13" s="349">
        <f t="shared" si="0"/>
        <v>3155.08</v>
      </c>
      <c r="V13" s="352">
        <f t="shared" si="0"/>
        <v>0</v>
      </c>
      <c r="W13" s="332">
        <v>0</v>
      </c>
      <c r="X13" s="333">
        <v>1005.65</v>
      </c>
      <c r="Y13" s="332">
        <v>0</v>
      </c>
      <c r="Z13" s="332">
        <v>0</v>
      </c>
      <c r="AA13" s="332">
        <v>488.4</v>
      </c>
      <c r="AB13" s="333">
        <v>169.43</v>
      </c>
      <c r="AC13" s="332">
        <v>0</v>
      </c>
      <c r="AD13" s="333">
        <v>0</v>
      </c>
      <c r="AE13" s="333">
        <v>0</v>
      </c>
      <c r="AF13" s="334">
        <f>SUM(W13:AD13)</f>
        <v>1663.48</v>
      </c>
      <c r="AG13" s="366">
        <f>AF13+V13+D13</f>
        <v>1760.4692</v>
      </c>
      <c r="AH13" s="367">
        <f t="shared" si="1"/>
        <v>0</v>
      </c>
      <c r="AI13" s="367">
        <f t="shared" si="1"/>
        <v>0</v>
      </c>
      <c r="AJ13" s="368"/>
      <c r="AK13" s="356">
        <f t="shared" si="2"/>
        <v>253.059</v>
      </c>
      <c r="AL13" s="356">
        <f t="shared" si="3"/>
        <v>75.54</v>
      </c>
      <c r="AM13" s="356">
        <f>B13*1</f>
        <v>377.7</v>
      </c>
      <c r="AN13" s="356">
        <f>B13*0.21</f>
        <v>79.317</v>
      </c>
      <c r="AO13" s="356">
        <v>0</v>
      </c>
      <c r="AP13" s="356">
        <f>B13*1.03</f>
        <v>389.031</v>
      </c>
      <c r="AQ13" s="356">
        <f>B13*0.75</f>
        <v>283.275</v>
      </c>
      <c r="AR13" s="356">
        <f>B13*0.75</f>
        <v>283.275</v>
      </c>
      <c r="AS13" s="336"/>
      <c r="AT13" s="369"/>
      <c r="AU13" s="370"/>
      <c r="AV13" s="370"/>
      <c r="AW13" s="370"/>
      <c r="AX13" s="370"/>
      <c r="AY13" s="370"/>
      <c r="AZ13" s="114"/>
      <c r="BA13" s="369"/>
      <c r="BB13" s="369"/>
      <c r="BC13" s="325">
        <f>SUM(AK13:BB13)</f>
        <v>1741.1970000000001</v>
      </c>
      <c r="BD13" s="371"/>
      <c r="BE13" s="339">
        <f t="shared" si="5"/>
        <v>1741.1970000000001</v>
      </c>
      <c r="BF13" s="339">
        <f>AG13-BE13</f>
        <v>19.272199999999884</v>
      </c>
      <c r="BG13" s="339">
        <f t="shared" si="4"/>
        <v>-1491.6</v>
      </c>
      <c r="BH13" s="340"/>
      <c r="BI13" s="341"/>
      <c r="BJ13" s="341"/>
      <c r="BK13" s="341"/>
      <c r="BL13" s="341"/>
      <c r="BM13" s="341"/>
      <c r="BN13" s="341"/>
      <c r="BO13" s="342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3"/>
      <c r="CD13" s="343"/>
      <c r="CE13" s="344"/>
      <c r="CF13" s="339"/>
      <c r="CG13" s="338"/>
      <c r="CH13" s="339"/>
      <c r="CI13" s="339"/>
      <c r="CJ13" s="339"/>
      <c r="CK13" s="339"/>
      <c r="CL13" s="339"/>
      <c r="CM13" s="339"/>
      <c r="CN13" s="339"/>
      <c r="CO13" s="338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8"/>
      <c r="DL13" s="338"/>
      <c r="DM13" s="338"/>
      <c r="DN13" s="338"/>
      <c r="DO13" s="338"/>
      <c r="DP13" s="338"/>
      <c r="DQ13" s="339"/>
      <c r="DR13" s="339"/>
      <c r="DS13" s="339"/>
      <c r="DT13" s="339"/>
      <c r="DU13" s="339"/>
      <c r="DV13" s="340"/>
      <c r="DW13" s="340"/>
      <c r="DX13" s="337"/>
      <c r="DY13" s="319"/>
      <c r="DZ13" s="319"/>
      <c r="EA13" s="319"/>
      <c r="EB13" s="322"/>
      <c r="EC13" s="346"/>
      <c r="ED13" s="351"/>
    </row>
    <row r="14" spans="1:133" ht="12.75">
      <c r="A14" s="323" t="s">
        <v>49</v>
      </c>
      <c r="B14" s="360">
        <v>377.7</v>
      </c>
      <c r="C14" s="124">
        <f>(B14*0.87)+((B14*5.17*0.9)+(B14*2.51))</f>
        <v>3034.0641</v>
      </c>
      <c r="D14" s="361">
        <v>96.9892</v>
      </c>
      <c r="E14" s="362">
        <v>0</v>
      </c>
      <c r="F14" s="326">
        <v>0</v>
      </c>
      <c r="G14" s="325">
        <v>1826.88</v>
      </c>
      <c r="H14" s="325">
        <v>0</v>
      </c>
      <c r="I14" s="325">
        <v>0</v>
      </c>
      <c r="J14" s="325">
        <v>0</v>
      </c>
      <c r="K14" s="325">
        <v>0</v>
      </c>
      <c r="L14" s="325">
        <v>0</v>
      </c>
      <c r="M14" s="325">
        <v>986.02</v>
      </c>
      <c r="N14" s="325">
        <v>0</v>
      </c>
      <c r="O14" s="325">
        <v>342.18</v>
      </c>
      <c r="P14" s="325">
        <v>0</v>
      </c>
      <c r="Q14" s="326">
        <v>0</v>
      </c>
      <c r="R14" s="326">
        <v>0</v>
      </c>
      <c r="S14" s="325">
        <v>0</v>
      </c>
      <c r="T14" s="333">
        <v>0</v>
      </c>
      <c r="U14" s="363">
        <f t="shared" si="0"/>
        <v>3155.08</v>
      </c>
      <c r="V14" s="364">
        <f>F14+H14+J14+L14+N14++R14+T14</f>
        <v>0</v>
      </c>
      <c r="W14" s="332">
        <v>0</v>
      </c>
      <c r="X14" s="333">
        <v>904.89</v>
      </c>
      <c r="Y14" s="332">
        <v>0</v>
      </c>
      <c r="Z14" s="332">
        <v>0</v>
      </c>
      <c r="AA14" s="332">
        <v>488.42</v>
      </c>
      <c r="AB14" s="332">
        <v>169.44</v>
      </c>
      <c r="AC14" s="333">
        <v>0</v>
      </c>
      <c r="AD14" s="333">
        <v>0</v>
      </c>
      <c r="AE14" s="334">
        <v>0</v>
      </c>
      <c r="AF14" s="365">
        <f>SUM(W14:AE14)</f>
        <v>1562.75</v>
      </c>
      <c r="AG14" s="366">
        <f aca="true" t="shared" si="6" ref="AG14:AG21">D14+V14+AF14</f>
        <v>1659.7392</v>
      </c>
      <c r="AH14" s="367">
        <f t="shared" si="1"/>
        <v>0</v>
      </c>
      <c r="AI14" s="367">
        <f t="shared" si="1"/>
        <v>0</v>
      </c>
      <c r="AJ14" s="368"/>
      <c r="AK14" s="356">
        <f t="shared" si="2"/>
        <v>253.059</v>
      </c>
      <c r="AL14" s="356">
        <f t="shared" si="3"/>
        <v>75.54</v>
      </c>
      <c r="AM14" s="356">
        <f>B14*1</f>
        <v>377.7</v>
      </c>
      <c r="AN14" s="356">
        <f>B14*0.21</f>
        <v>79.317</v>
      </c>
      <c r="AO14" s="336">
        <v>0</v>
      </c>
      <c r="AP14" s="356">
        <f>B14*1.03</f>
        <v>389.031</v>
      </c>
      <c r="AQ14" s="356">
        <f>B14*0.75</f>
        <v>283.275</v>
      </c>
      <c r="AR14" s="356">
        <f>B14*0.75</f>
        <v>283.275</v>
      </c>
      <c r="AS14" s="336"/>
      <c r="AT14" s="369"/>
      <c r="AU14" s="370"/>
      <c r="AV14" s="370"/>
      <c r="AW14" s="370"/>
      <c r="AX14" s="370"/>
      <c r="AY14" s="370"/>
      <c r="AZ14" s="114"/>
      <c r="BA14" s="369"/>
      <c r="BB14" s="369"/>
      <c r="BC14" s="325">
        <f>SUM(AK14:BB14)</f>
        <v>1741.1970000000001</v>
      </c>
      <c r="BD14" s="371"/>
      <c r="BE14" s="339">
        <f t="shared" si="5"/>
        <v>1741.1970000000001</v>
      </c>
      <c r="BF14" s="339">
        <f>AG14-BE14</f>
        <v>-81.45780000000013</v>
      </c>
      <c r="BG14" s="339">
        <f t="shared" si="4"/>
        <v>-1592.33</v>
      </c>
      <c r="BH14" s="340"/>
      <c r="BI14" s="341"/>
      <c r="BJ14" s="341"/>
      <c r="BK14" s="341"/>
      <c r="BL14" s="341"/>
      <c r="BM14" s="341"/>
      <c r="BN14" s="341"/>
      <c r="BO14" s="342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3"/>
      <c r="CD14" s="343"/>
      <c r="CE14" s="344"/>
      <c r="CF14" s="339"/>
      <c r="CG14" s="338"/>
      <c r="CH14" s="339"/>
      <c r="CI14" s="339"/>
      <c r="CJ14" s="339"/>
      <c r="CK14" s="339"/>
      <c r="CL14" s="339"/>
      <c r="CM14" s="339"/>
      <c r="CN14" s="339"/>
      <c r="CO14" s="338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38"/>
      <c r="DL14" s="338"/>
      <c r="DM14" s="338"/>
      <c r="DN14" s="338"/>
      <c r="DO14" s="338"/>
      <c r="DP14" s="338"/>
      <c r="DQ14" s="339"/>
      <c r="DR14" s="339"/>
      <c r="DS14" s="339"/>
      <c r="DT14" s="339"/>
      <c r="DU14" s="339"/>
      <c r="DV14" s="340"/>
      <c r="DW14" s="340"/>
      <c r="DX14" s="337"/>
      <c r="DY14" s="319"/>
      <c r="DZ14" s="319"/>
      <c r="EA14" s="322"/>
      <c r="EB14" s="346"/>
      <c r="EC14" s="351"/>
    </row>
    <row r="15" spans="1:133" ht="13.5" thickBot="1">
      <c r="A15" s="323" t="s">
        <v>50</v>
      </c>
      <c r="B15" s="324">
        <v>377.7</v>
      </c>
      <c r="C15" s="124">
        <f>(B15*0.87)+((B15*5.17*0.9)+(B15*2.51))</f>
        <v>3034.0641</v>
      </c>
      <c r="D15" s="361">
        <v>96.9892</v>
      </c>
      <c r="E15" s="372">
        <v>0</v>
      </c>
      <c r="F15" s="372"/>
      <c r="G15" s="372">
        <v>1826.88</v>
      </c>
      <c r="H15" s="372"/>
      <c r="I15" s="373">
        <v>0</v>
      </c>
      <c r="J15" s="373"/>
      <c r="K15" s="373">
        <v>0</v>
      </c>
      <c r="L15" s="373"/>
      <c r="M15" s="373">
        <v>986.02</v>
      </c>
      <c r="N15" s="373"/>
      <c r="O15" s="373">
        <v>342.17</v>
      </c>
      <c r="P15" s="373"/>
      <c r="Q15" s="373">
        <v>0</v>
      </c>
      <c r="R15" s="374"/>
      <c r="S15" s="374">
        <v>0</v>
      </c>
      <c r="T15" s="373"/>
      <c r="U15" s="375">
        <f t="shared" si="0"/>
        <v>3155.07</v>
      </c>
      <c r="V15" s="376">
        <f t="shared" si="0"/>
        <v>0</v>
      </c>
      <c r="W15" s="377">
        <v>0</v>
      </c>
      <c r="X15" s="372">
        <v>1443.34</v>
      </c>
      <c r="Y15" s="372">
        <v>0</v>
      </c>
      <c r="Z15" s="372">
        <v>0</v>
      </c>
      <c r="AA15" s="372">
        <v>763.73</v>
      </c>
      <c r="AB15" s="372">
        <v>265.04</v>
      </c>
      <c r="AC15" s="372">
        <v>0</v>
      </c>
      <c r="AD15" s="372">
        <v>0</v>
      </c>
      <c r="AE15" s="378">
        <v>0</v>
      </c>
      <c r="AF15" s="379">
        <f aca="true" t="shared" si="7" ref="AF15:AF21">SUM(W15:AE15)</f>
        <v>2472.1099999999997</v>
      </c>
      <c r="AG15" s="366">
        <f t="shared" si="6"/>
        <v>2569.0991999999997</v>
      </c>
      <c r="AH15" s="367">
        <f t="shared" si="1"/>
        <v>0</v>
      </c>
      <c r="AI15" s="367">
        <f t="shared" si="1"/>
        <v>0</v>
      </c>
      <c r="AJ15" s="368"/>
      <c r="AK15" s="356">
        <f t="shared" si="2"/>
        <v>253.059</v>
      </c>
      <c r="AL15" s="356">
        <f t="shared" si="3"/>
        <v>75.54</v>
      </c>
      <c r="AM15" s="356">
        <f>B15*1</f>
        <v>377.7</v>
      </c>
      <c r="AN15" s="356">
        <f>B15*0.21</f>
        <v>79.317</v>
      </c>
      <c r="AO15" s="380">
        <v>0</v>
      </c>
      <c r="AP15" s="356">
        <f>B15*1.03</f>
        <v>389.031</v>
      </c>
      <c r="AQ15" s="356">
        <f>B15*0.75</f>
        <v>283.275</v>
      </c>
      <c r="AR15" s="356">
        <f>B15*0.75</f>
        <v>283.275</v>
      </c>
      <c r="AS15" s="356"/>
      <c r="AT15" s="369"/>
      <c r="AU15" s="370"/>
      <c r="AV15" s="370"/>
      <c r="AW15" s="370"/>
      <c r="AX15" s="370"/>
      <c r="AY15" s="370"/>
      <c r="AZ15" s="356"/>
      <c r="BA15" s="369"/>
      <c r="BB15" s="369"/>
      <c r="BC15" s="381">
        <f>SUM(AK15:BB15)</f>
        <v>1741.1970000000001</v>
      </c>
      <c r="BD15" s="371"/>
      <c r="BE15" s="339">
        <f t="shared" si="5"/>
        <v>1741.1970000000001</v>
      </c>
      <c r="BF15" s="339">
        <f>AG15-BE15</f>
        <v>827.9021999999995</v>
      </c>
      <c r="BG15" s="339">
        <f t="shared" si="4"/>
        <v>-682.9600000000005</v>
      </c>
      <c r="BH15" s="340"/>
      <c r="BI15" s="341"/>
      <c r="BJ15" s="341"/>
      <c r="BK15" s="341"/>
      <c r="BL15" s="341"/>
      <c r="BM15" s="341"/>
      <c r="BN15" s="341"/>
      <c r="BO15" s="342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3"/>
      <c r="CD15" s="343"/>
      <c r="CE15" s="344"/>
      <c r="CF15" s="339"/>
      <c r="CG15" s="338"/>
      <c r="CH15" s="339"/>
      <c r="CI15" s="339"/>
      <c r="CJ15" s="339"/>
      <c r="CK15" s="339"/>
      <c r="CL15" s="339"/>
      <c r="CM15" s="339"/>
      <c r="CN15" s="339"/>
      <c r="CO15" s="338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8"/>
      <c r="DL15" s="338"/>
      <c r="DM15" s="338"/>
      <c r="DN15" s="338"/>
      <c r="DO15" s="338"/>
      <c r="DP15" s="338"/>
      <c r="DQ15" s="339"/>
      <c r="DR15" s="339"/>
      <c r="DS15" s="339"/>
      <c r="DT15" s="339"/>
      <c r="DU15" s="339"/>
      <c r="DV15" s="340"/>
      <c r="DW15" s="340"/>
      <c r="DX15" s="337"/>
      <c r="DY15" s="319"/>
      <c r="DZ15" s="319"/>
      <c r="EA15" s="322"/>
      <c r="EB15" s="382"/>
      <c r="EC15" s="351"/>
    </row>
    <row r="16" spans="1:130" ht="12.75">
      <c r="A16" s="323" t="s">
        <v>51</v>
      </c>
      <c r="B16" s="324">
        <v>377.7</v>
      </c>
      <c r="C16" s="124">
        <f>(B16*0.87)+((B16*5.17*0.9)+(B16*2.51))</f>
        <v>3034.0641</v>
      </c>
      <c r="D16" s="361">
        <v>96.9892</v>
      </c>
      <c r="E16" s="383"/>
      <c r="F16" s="383"/>
      <c r="G16" s="383">
        <v>1826.88</v>
      </c>
      <c r="H16" s="383"/>
      <c r="I16" s="383"/>
      <c r="J16" s="383"/>
      <c r="K16" s="383"/>
      <c r="L16" s="383"/>
      <c r="M16" s="383">
        <v>986.02</v>
      </c>
      <c r="N16" s="383"/>
      <c r="O16" s="383">
        <v>342.18</v>
      </c>
      <c r="P16" s="383"/>
      <c r="Q16" s="383"/>
      <c r="R16" s="383"/>
      <c r="S16" s="384"/>
      <c r="T16" s="377"/>
      <c r="U16" s="385">
        <f t="shared" si="0"/>
        <v>3155.08</v>
      </c>
      <c r="V16" s="386">
        <f t="shared" si="0"/>
        <v>0</v>
      </c>
      <c r="W16" s="387">
        <v>0</v>
      </c>
      <c r="X16" s="383">
        <v>1460.31</v>
      </c>
      <c r="Y16" s="383">
        <v>0</v>
      </c>
      <c r="Z16" s="383">
        <v>0</v>
      </c>
      <c r="AA16" s="383">
        <v>776.32</v>
      </c>
      <c r="AB16" s="383">
        <v>269.41</v>
      </c>
      <c r="AC16" s="372"/>
      <c r="AD16" s="383"/>
      <c r="AE16" s="384"/>
      <c r="AF16" s="379">
        <f t="shared" si="7"/>
        <v>2506.04</v>
      </c>
      <c r="AG16" s="359">
        <f t="shared" si="6"/>
        <v>2603.0292</v>
      </c>
      <c r="AH16" s="367">
        <f t="shared" si="1"/>
        <v>0</v>
      </c>
      <c r="AI16" s="367">
        <f t="shared" si="1"/>
        <v>0</v>
      </c>
      <c r="AJ16" s="368"/>
      <c r="AK16" s="356">
        <f t="shared" si="2"/>
        <v>253.059</v>
      </c>
      <c r="AL16" s="356">
        <f t="shared" si="3"/>
        <v>75.54</v>
      </c>
      <c r="AM16" s="356">
        <f>B16*1</f>
        <v>377.7</v>
      </c>
      <c r="AN16" s="356">
        <f>B16*0.21</f>
        <v>79.317</v>
      </c>
      <c r="AO16" s="380">
        <v>0</v>
      </c>
      <c r="AP16" s="356">
        <f>B16*1.03</f>
        <v>389.031</v>
      </c>
      <c r="AQ16" s="356">
        <f>B16*0.75</f>
        <v>283.275</v>
      </c>
      <c r="AR16" s="356">
        <f>B16*0.75</f>
        <v>283.275</v>
      </c>
      <c r="AS16" s="336"/>
      <c r="AT16" s="369"/>
      <c r="AU16" s="370"/>
      <c r="AV16" s="370"/>
      <c r="AW16" s="370"/>
      <c r="AX16" s="370">
        <f>18.86</f>
        <v>18.86</v>
      </c>
      <c r="AY16" s="370"/>
      <c r="AZ16" s="114"/>
      <c r="BA16" s="369">
        <v>-542.71</v>
      </c>
      <c r="BB16" s="369"/>
      <c r="BC16" s="325">
        <f>SUM(AK16:BB16)</f>
        <v>1217.347</v>
      </c>
      <c r="BD16" s="371"/>
      <c r="BE16" s="339">
        <f t="shared" si="5"/>
        <v>1217.347</v>
      </c>
      <c r="BF16" s="339">
        <f>AG16-BE16</f>
        <v>1385.6822</v>
      </c>
      <c r="BG16" s="339">
        <f t="shared" si="4"/>
        <v>-649.04</v>
      </c>
      <c r="BH16" s="340"/>
      <c r="BI16" s="341"/>
      <c r="BJ16" s="341"/>
      <c r="BK16" s="341"/>
      <c r="BL16" s="341"/>
      <c r="BM16" s="341"/>
      <c r="BN16" s="341"/>
      <c r="BO16" s="342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3"/>
      <c r="CD16" s="343"/>
      <c r="CE16" s="344"/>
      <c r="CF16" s="339"/>
      <c r="CG16" s="338"/>
      <c r="CH16" s="339"/>
      <c r="CI16" s="339"/>
      <c r="CJ16" s="339"/>
      <c r="CK16" s="339"/>
      <c r="CL16" s="339"/>
      <c r="CM16" s="339"/>
      <c r="CN16" s="339"/>
      <c r="CO16" s="338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38"/>
      <c r="DL16" s="338"/>
      <c r="DM16" s="338"/>
      <c r="DN16" s="338"/>
      <c r="DO16" s="338"/>
      <c r="DP16" s="338"/>
      <c r="DQ16" s="339"/>
      <c r="DR16" s="339"/>
      <c r="DS16" s="339"/>
      <c r="DT16" s="339"/>
      <c r="DU16" s="339"/>
      <c r="DV16" s="340"/>
      <c r="DW16" s="340"/>
      <c r="DX16" s="337"/>
      <c r="DY16" s="319"/>
      <c r="DZ16" s="319"/>
    </row>
    <row r="17" spans="1:130" ht="12.75">
      <c r="A17" s="323" t="s">
        <v>52</v>
      </c>
      <c r="B17" s="324">
        <v>377.7</v>
      </c>
      <c r="C17" s="124">
        <f>(B17*0.87)+((B17*5.17*0.9)+(B17*2.51))</f>
        <v>3034.0641</v>
      </c>
      <c r="D17" s="361">
        <v>96.9892</v>
      </c>
      <c r="E17" s="448"/>
      <c r="F17" s="448"/>
      <c r="G17" s="448">
        <v>1826.88</v>
      </c>
      <c r="H17" s="448"/>
      <c r="I17" s="448"/>
      <c r="J17" s="448"/>
      <c r="K17" s="448"/>
      <c r="L17" s="448"/>
      <c r="M17" s="448">
        <v>986.02</v>
      </c>
      <c r="N17" s="448"/>
      <c r="O17" s="448">
        <v>342.18</v>
      </c>
      <c r="P17" s="448"/>
      <c r="Q17" s="448"/>
      <c r="R17" s="448"/>
      <c r="S17" s="449"/>
      <c r="T17" s="378"/>
      <c r="U17" s="450">
        <f t="shared" si="0"/>
        <v>3155.08</v>
      </c>
      <c r="V17" s="451">
        <f t="shared" si="0"/>
        <v>0</v>
      </c>
      <c r="W17" s="383">
        <v>0</v>
      </c>
      <c r="X17" s="383">
        <v>1470.37</v>
      </c>
      <c r="Y17" s="383">
        <v>0</v>
      </c>
      <c r="Z17" s="383">
        <v>0</v>
      </c>
      <c r="AA17" s="383">
        <v>784.63</v>
      </c>
      <c r="AB17" s="383">
        <v>272.3</v>
      </c>
      <c r="AC17" s="383"/>
      <c r="AD17" s="383"/>
      <c r="AE17" s="384"/>
      <c r="AF17" s="379">
        <f t="shared" si="7"/>
        <v>2527.3</v>
      </c>
      <c r="AG17" s="359">
        <f t="shared" si="6"/>
        <v>2624.2892</v>
      </c>
      <c r="AH17" s="367">
        <f t="shared" si="1"/>
        <v>0</v>
      </c>
      <c r="AI17" s="367">
        <f t="shared" si="1"/>
        <v>0</v>
      </c>
      <c r="AJ17" s="368"/>
      <c r="AK17" s="356">
        <f t="shared" si="2"/>
        <v>253.059</v>
      </c>
      <c r="AL17" s="356">
        <f t="shared" si="3"/>
        <v>75.54</v>
      </c>
      <c r="AM17" s="356">
        <f>B17*1</f>
        <v>377.7</v>
      </c>
      <c r="AN17" s="356">
        <f>B17*0.21</f>
        <v>79.317</v>
      </c>
      <c r="AO17" s="380">
        <v>0</v>
      </c>
      <c r="AP17" s="356">
        <f>B17*1.03</f>
        <v>389.031</v>
      </c>
      <c r="AQ17" s="356">
        <f>B17*0.75</f>
        <v>283.275</v>
      </c>
      <c r="AR17" s="356">
        <f>B17*0.75</f>
        <v>283.275</v>
      </c>
      <c r="AS17" s="336"/>
      <c r="AT17" s="369"/>
      <c r="AU17" s="370"/>
      <c r="AV17" s="370"/>
      <c r="AW17" s="370"/>
      <c r="AX17" s="370"/>
      <c r="AY17" s="370"/>
      <c r="AZ17" s="114"/>
      <c r="BA17" s="369"/>
      <c r="BB17" s="369"/>
      <c r="BC17" s="325">
        <f>SUM(AK17:BB17)</f>
        <v>1741.1970000000001</v>
      </c>
      <c r="BD17" s="371"/>
      <c r="BE17" s="339">
        <f t="shared" si="5"/>
        <v>1741.1970000000001</v>
      </c>
      <c r="BF17" s="339">
        <f>AG17-BE17</f>
        <v>883.0922</v>
      </c>
      <c r="BG17" s="339">
        <f t="shared" si="4"/>
        <v>-627.7799999999997</v>
      </c>
      <c r="BH17" s="340"/>
      <c r="BI17" s="341"/>
      <c r="BJ17" s="341"/>
      <c r="BK17" s="341"/>
      <c r="BL17" s="341"/>
      <c r="BM17" s="341"/>
      <c r="BN17" s="341"/>
      <c r="BO17" s="342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3"/>
      <c r="CD17" s="343"/>
      <c r="CE17" s="344"/>
      <c r="CF17" s="339"/>
      <c r="CG17" s="338"/>
      <c r="CH17" s="339"/>
      <c r="CI17" s="339"/>
      <c r="CJ17" s="339"/>
      <c r="CK17" s="339"/>
      <c r="CL17" s="339"/>
      <c r="CM17" s="339"/>
      <c r="CN17" s="339"/>
      <c r="CO17" s="338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39"/>
      <c r="DK17" s="338"/>
      <c r="DL17" s="338"/>
      <c r="DM17" s="338"/>
      <c r="DN17" s="338"/>
      <c r="DO17" s="338"/>
      <c r="DP17" s="338"/>
      <c r="DQ17" s="339"/>
      <c r="DR17" s="339"/>
      <c r="DS17" s="339"/>
      <c r="DT17" s="339"/>
      <c r="DU17" s="339"/>
      <c r="DV17" s="340"/>
      <c r="DW17" s="340"/>
      <c r="DX17" s="337"/>
      <c r="DY17" s="319"/>
      <c r="DZ17" s="319"/>
    </row>
    <row r="18" spans="1:130" ht="12.75">
      <c r="A18" s="323" t="s">
        <v>53</v>
      </c>
      <c r="B18" s="324">
        <v>377.7</v>
      </c>
      <c r="C18" s="124">
        <f>(B18*0.87)+((B18*5.17*0.9)+(B18*2.51))</f>
        <v>3034.0641</v>
      </c>
      <c r="D18" s="361">
        <v>96.9892</v>
      </c>
      <c r="E18" s="383"/>
      <c r="F18" s="383"/>
      <c r="G18" s="383">
        <v>2030.05</v>
      </c>
      <c r="H18" s="383"/>
      <c r="I18" s="383"/>
      <c r="J18" s="383"/>
      <c r="K18" s="383"/>
      <c r="L18" s="383"/>
      <c r="M18" s="383">
        <v>986.02</v>
      </c>
      <c r="N18" s="383"/>
      <c r="O18" s="383">
        <v>342.18</v>
      </c>
      <c r="P18" s="383"/>
      <c r="Q18" s="383"/>
      <c r="R18" s="383"/>
      <c r="S18" s="384"/>
      <c r="T18" s="452"/>
      <c r="U18" s="452">
        <f t="shared" si="0"/>
        <v>3358.2499999999995</v>
      </c>
      <c r="V18" s="453">
        <f t="shared" si="0"/>
        <v>0</v>
      </c>
      <c r="W18" s="383">
        <v>0</v>
      </c>
      <c r="X18" s="383">
        <v>2094.91</v>
      </c>
      <c r="Y18" s="383">
        <v>0</v>
      </c>
      <c r="Z18" s="383">
        <v>0</v>
      </c>
      <c r="AA18" s="383">
        <v>973.64</v>
      </c>
      <c r="AB18" s="383">
        <v>351.69</v>
      </c>
      <c r="AC18" s="383"/>
      <c r="AD18" s="383"/>
      <c r="AE18" s="384"/>
      <c r="AF18" s="379">
        <f t="shared" si="7"/>
        <v>3420.24</v>
      </c>
      <c r="AG18" s="359">
        <f t="shared" si="6"/>
        <v>3517.2291999999998</v>
      </c>
      <c r="AH18" s="367">
        <f t="shared" si="1"/>
        <v>0</v>
      </c>
      <c r="AI18" s="367">
        <f t="shared" si="1"/>
        <v>0</v>
      </c>
      <c r="AJ18" s="368"/>
      <c r="AK18" s="356">
        <f t="shared" si="2"/>
        <v>253.059</v>
      </c>
      <c r="AL18" s="356">
        <f t="shared" si="3"/>
        <v>75.54</v>
      </c>
      <c r="AM18" s="356">
        <f>B18*1</f>
        <v>377.7</v>
      </c>
      <c r="AN18" s="356">
        <f>B18*0.21</f>
        <v>79.317</v>
      </c>
      <c r="AO18" s="380">
        <v>0</v>
      </c>
      <c r="AP18" s="356">
        <f>B18*1.03</f>
        <v>389.031</v>
      </c>
      <c r="AQ18" s="356">
        <f>B18*0.75</f>
        <v>283.275</v>
      </c>
      <c r="AR18" s="356">
        <f>B18*0.75</f>
        <v>283.275</v>
      </c>
      <c r="AS18" s="336"/>
      <c r="AT18" s="369"/>
      <c r="AU18" s="370"/>
      <c r="AV18" s="370"/>
      <c r="AW18" s="370"/>
      <c r="AX18" s="370"/>
      <c r="AY18" s="370"/>
      <c r="AZ18" s="114"/>
      <c r="BA18" s="369"/>
      <c r="BB18" s="369"/>
      <c r="BC18" s="325">
        <f>SUM(AK18:BB18)</f>
        <v>1741.1970000000001</v>
      </c>
      <c r="BD18" s="371"/>
      <c r="BE18" s="339">
        <f t="shared" si="5"/>
        <v>1741.1970000000001</v>
      </c>
      <c r="BF18" s="339">
        <f>AG18-BE18</f>
        <v>1776.0321999999996</v>
      </c>
      <c r="BG18" s="339">
        <f t="shared" si="4"/>
        <v>61.99000000000024</v>
      </c>
      <c r="BH18" s="340"/>
      <c r="BI18" s="341"/>
      <c r="BJ18" s="341"/>
      <c r="BK18" s="341"/>
      <c r="BL18" s="341"/>
      <c r="BM18" s="341"/>
      <c r="BN18" s="341"/>
      <c r="BO18" s="342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3"/>
      <c r="CD18" s="343"/>
      <c r="CE18" s="344"/>
      <c r="CF18" s="339"/>
      <c r="CG18" s="338"/>
      <c r="CH18" s="339"/>
      <c r="CI18" s="339"/>
      <c r="CJ18" s="339"/>
      <c r="CK18" s="339"/>
      <c r="CL18" s="339"/>
      <c r="CM18" s="339"/>
      <c r="CN18" s="339"/>
      <c r="CO18" s="338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8"/>
      <c r="DL18" s="338"/>
      <c r="DM18" s="338"/>
      <c r="DN18" s="338"/>
      <c r="DO18" s="338"/>
      <c r="DP18" s="338"/>
      <c r="DQ18" s="339"/>
      <c r="DR18" s="339"/>
      <c r="DS18" s="339"/>
      <c r="DT18" s="339"/>
      <c r="DU18" s="339"/>
      <c r="DV18" s="340"/>
      <c r="DW18" s="340"/>
      <c r="DX18" s="337"/>
      <c r="DY18" s="388"/>
      <c r="DZ18" s="72"/>
    </row>
    <row r="19" spans="1:128" ht="12.75">
      <c r="A19" s="323" t="s">
        <v>41</v>
      </c>
      <c r="B19" s="324">
        <v>377.7</v>
      </c>
      <c r="C19" s="124">
        <f>(B19*0.87)+((B19*5.17*0.9)+(B19*2.51))</f>
        <v>3034.0641</v>
      </c>
      <c r="D19" s="454">
        <v>96.9892</v>
      </c>
      <c r="E19" s="372"/>
      <c r="F19" s="372"/>
      <c r="G19" s="372">
        <v>2026.67</v>
      </c>
      <c r="H19" s="372"/>
      <c r="I19" s="372"/>
      <c r="J19" s="372"/>
      <c r="K19" s="372"/>
      <c r="L19" s="372"/>
      <c r="M19" s="372">
        <v>984.36</v>
      </c>
      <c r="N19" s="372"/>
      <c r="O19" s="372">
        <v>341.58</v>
      </c>
      <c r="P19" s="372"/>
      <c r="Q19" s="372"/>
      <c r="R19" s="372"/>
      <c r="S19" s="378"/>
      <c r="T19" s="455"/>
      <c r="U19" s="456">
        <f t="shared" si="0"/>
        <v>3352.61</v>
      </c>
      <c r="V19" s="457">
        <f t="shared" si="0"/>
        <v>0</v>
      </c>
      <c r="W19" s="372">
        <v>0</v>
      </c>
      <c r="X19" s="372">
        <v>3051.47</v>
      </c>
      <c r="Y19" s="372">
        <v>0</v>
      </c>
      <c r="Z19" s="372">
        <v>0</v>
      </c>
      <c r="AA19" s="372">
        <v>1482.12</v>
      </c>
      <c r="AB19" s="372">
        <v>514.34</v>
      </c>
      <c r="AC19" s="372"/>
      <c r="AD19" s="372"/>
      <c r="AE19" s="378"/>
      <c r="AF19" s="379">
        <f t="shared" si="7"/>
        <v>5047.93</v>
      </c>
      <c r="AG19" s="359">
        <f t="shared" si="6"/>
        <v>5144.9192</v>
      </c>
      <c r="AH19" s="367">
        <f t="shared" si="1"/>
        <v>0</v>
      </c>
      <c r="AI19" s="367">
        <f t="shared" si="1"/>
        <v>0</v>
      </c>
      <c r="AJ19" s="368"/>
      <c r="AK19" s="356">
        <f t="shared" si="2"/>
        <v>253.059</v>
      </c>
      <c r="AL19" s="356">
        <f t="shared" si="3"/>
        <v>75.54</v>
      </c>
      <c r="AM19" s="356">
        <f>B19*1</f>
        <v>377.7</v>
      </c>
      <c r="AN19" s="356">
        <f>B19*0.21</f>
        <v>79.317</v>
      </c>
      <c r="AO19" s="380">
        <v>0</v>
      </c>
      <c r="AP19" s="356">
        <f>B19*1.03</f>
        <v>389.031</v>
      </c>
      <c r="AQ19" s="356">
        <f>B19*0.75</f>
        <v>283.275</v>
      </c>
      <c r="AR19" s="356">
        <f>B19*0.75</f>
        <v>283.275</v>
      </c>
      <c r="AS19" s="380">
        <v>0</v>
      </c>
      <c r="AT19" s="369"/>
      <c r="AU19" s="370"/>
      <c r="AV19" s="370"/>
      <c r="AW19" s="370"/>
      <c r="AX19" s="370"/>
      <c r="AY19" s="370"/>
      <c r="AZ19" s="114"/>
      <c r="BA19" s="369"/>
      <c r="BB19" s="369"/>
      <c r="BC19" s="381">
        <f>SUM(AK19:BB19)</f>
        <v>1741.1970000000001</v>
      </c>
      <c r="BD19" s="371"/>
      <c r="BE19" s="339">
        <f t="shared" si="5"/>
        <v>1741.1970000000001</v>
      </c>
      <c r="BF19" s="339">
        <f>AG19-BE19</f>
        <v>3403.7222</v>
      </c>
      <c r="BG19" s="339">
        <f t="shared" si="4"/>
        <v>1695.3200000000002</v>
      </c>
      <c r="BH19" s="340"/>
      <c r="BI19" s="341"/>
      <c r="BJ19" s="341"/>
      <c r="BK19" s="341"/>
      <c r="BL19" s="341"/>
      <c r="BM19" s="341"/>
      <c r="BN19" s="341"/>
      <c r="BO19" s="342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3"/>
      <c r="CD19" s="343"/>
      <c r="CE19" s="344"/>
      <c r="CF19" s="339"/>
      <c r="CG19" s="338"/>
      <c r="CH19" s="339"/>
      <c r="CI19" s="339"/>
      <c r="CJ19" s="339"/>
      <c r="CK19" s="339"/>
      <c r="CL19" s="339"/>
      <c r="CM19" s="339"/>
      <c r="CN19" s="339"/>
      <c r="CO19" s="338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8"/>
      <c r="DM19" s="338"/>
      <c r="DN19" s="338"/>
      <c r="DO19" s="338"/>
      <c r="DP19" s="338"/>
      <c r="DQ19" s="338"/>
      <c r="DR19" s="339"/>
      <c r="DS19" s="339"/>
      <c r="DT19" s="339"/>
      <c r="DU19" s="339"/>
      <c r="DV19" s="339"/>
      <c r="DW19" s="340"/>
      <c r="DX19" s="389"/>
    </row>
    <row r="20" spans="1:127" ht="12.75">
      <c r="A20" s="323" t="s">
        <v>42</v>
      </c>
      <c r="B20" s="324">
        <v>377.7</v>
      </c>
      <c r="C20" s="124">
        <f>(B20*0.87)+((B20*5.17*0.9)+(B20*2.51))</f>
        <v>3034.0641</v>
      </c>
      <c r="D20" s="458">
        <v>96.9892</v>
      </c>
      <c r="E20" s="372"/>
      <c r="F20" s="372"/>
      <c r="G20" s="372">
        <v>2022.02</v>
      </c>
      <c r="H20" s="372"/>
      <c r="I20" s="372"/>
      <c r="J20" s="372"/>
      <c r="K20" s="372"/>
      <c r="L20" s="372"/>
      <c r="M20" s="372">
        <v>982.07</v>
      </c>
      <c r="N20" s="372"/>
      <c r="O20" s="372">
        <v>340.77</v>
      </c>
      <c r="P20" s="372"/>
      <c r="Q20" s="372"/>
      <c r="R20" s="372"/>
      <c r="S20" s="378"/>
      <c r="T20" s="455"/>
      <c r="U20" s="456">
        <f t="shared" si="0"/>
        <v>3344.86</v>
      </c>
      <c r="V20" s="457">
        <f t="shared" si="0"/>
        <v>0</v>
      </c>
      <c r="W20" s="372">
        <v>0</v>
      </c>
      <c r="X20" s="372">
        <v>1518.78</v>
      </c>
      <c r="Y20" s="372">
        <v>0</v>
      </c>
      <c r="Z20" s="372">
        <v>0</v>
      </c>
      <c r="AA20" s="372">
        <v>737.65</v>
      </c>
      <c r="AB20" s="372">
        <v>255.97</v>
      </c>
      <c r="AC20" s="372"/>
      <c r="AD20" s="372"/>
      <c r="AE20" s="378"/>
      <c r="AF20" s="379">
        <f t="shared" si="7"/>
        <v>2512.3999999999996</v>
      </c>
      <c r="AG20" s="359">
        <f t="shared" si="6"/>
        <v>2609.3891999999996</v>
      </c>
      <c r="AH20" s="367">
        <f t="shared" si="1"/>
        <v>0</v>
      </c>
      <c r="AI20" s="367">
        <f t="shared" si="1"/>
        <v>0</v>
      </c>
      <c r="AJ20" s="368"/>
      <c r="AK20" s="356">
        <f t="shared" si="2"/>
        <v>253.059</v>
      </c>
      <c r="AL20" s="356">
        <f t="shared" si="3"/>
        <v>75.54</v>
      </c>
      <c r="AM20" s="356">
        <f>B20*1</f>
        <v>377.7</v>
      </c>
      <c r="AN20" s="356">
        <f>B20*0.21</f>
        <v>79.317</v>
      </c>
      <c r="AO20" s="380">
        <v>0</v>
      </c>
      <c r="AP20" s="356">
        <f>B20*1.03</f>
        <v>389.031</v>
      </c>
      <c r="AQ20" s="356">
        <f>B20*0.75</f>
        <v>283.275</v>
      </c>
      <c r="AR20" s="356">
        <f>B20*0.75</f>
        <v>283.275</v>
      </c>
      <c r="AS20" s="380">
        <v>0</v>
      </c>
      <c r="AT20" s="369"/>
      <c r="AU20" s="370"/>
      <c r="AV20" s="370"/>
      <c r="AW20" s="370"/>
      <c r="AX20" s="370"/>
      <c r="AY20" s="370"/>
      <c r="AZ20" s="114"/>
      <c r="BA20" s="369"/>
      <c r="BB20" s="369"/>
      <c r="BC20" s="325">
        <f>SUM(AK20:BB20)</f>
        <v>1741.1970000000001</v>
      </c>
      <c r="BD20" s="371"/>
      <c r="BE20" s="339">
        <f t="shared" si="5"/>
        <v>1741.1970000000001</v>
      </c>
      <c r="BF20" s="339">
        <f>AG20-BE20</f>
        <v>868.1921999999995</v>
      </c>
      <c r="BG20" s="339">
        <f t="shared" si="4"/>
        <v>-832.4600000000005</v>
      </c>
      <c r="BH20" s="340"/>
      <c r="BI20" s="341"/>
      <c r="BJ20" s="341"/>
      <c r="BK20" s="341"/>
      <c r="BL20" s="341"/>
      <c r="BM20" s="341"/>
      <c r="BN20" s="341"/>
      <c r="BO20" s="342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3"/>
      <c r="CD20" s="343"/>
      <c r="CE20" s="344"/>
      <c r="CF20" s="339"/>
      <c r="CG20" s="338"/>
      <c r="CH20" s="339"/>
      <c r="CI20" s="339"/>
      <c r="CJ20" s="339"/>
      <c r="CK20" s="339"/>
      <c r="CL20" s="339"/>
      <c r="CM20" s="339"/>
      <c r="CN20" s="339"/>
      <c r="CO20" s="338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  <c r="DD20" s="339"/>
      <c r="DE20" s="339"/>
      <c r="DF20" s="339"/>
      <c r="DG20" s="339"/>
      <c r="DH20" s="339"/>
      <c r="DI20" s="339"/>
      <c r="DJ20" s="339"/>
      <c r="DK20" s="338"/>
      <c r="DL20" s="338"/>
      <c r="DM20" s="338"/>
      <c r="DN20" s="338"/>
      <c r="DO20" s="338"/>
      <c r="DP20" s="338"/>
      <c r="DQ20" s="339"/>
      <c r="DR20" s="339"/>
      <c r="DS20" s="339"/>
      <c r="DT20" s="339"/>
      <c r="DU20" s="339"/>
      <c r="DV20" s="390"/>
      <c r="DW20" s="389"/>
    </row>
    <row r="21" spans="1:127" ht="13.5" thickBot="1">
      <c r="A21" s="323" t="s">
        <v>43</v>
      </c>
      <c r="B21" s="324">
        <v>377.7</v>
      </c>
      <c r="C21" s="124">
        <f>(B21*0.87)+((B21*5.17*0.9)+(B21*2.51))</f>
        <v>3034.0641</v>
      </c>
      <c r="D21" s="458">
        <v>96.9892</v>
      </c>
      <c r="E21" s="459"/>
      <c r="F21" s="459"/>
      <c r="G21" s="459">
        <v>2022.02</v>
      </c>
      <c r="H21" s="459"/>
      <c r="I21" s="459"/>
      <c r="J21" s="459"/>
      <c r="K21" s="459"/>
      <c r="L21" s="459"/>
      <c r="M21" s="459">
        <v>982.07</v>
      </c>
      <c r="N21" s="459"/>
      <c r="O21" s="459">
        <v>340.77</v>
      </c>
      <c r="P21" s="459"/>
      <c r="Q21" s="459"/>
      <c r="R21" s="459"/>
      <c r="S21" s="460"/>
      <c r="T21" s="461"/>
      <c r="U21" s="456">
        <f t="shared" si="0"/>
        <v>3344.86</v>
      </c>
      <c r="V21" s="457">
        <f t="shared" si="0"/>
        <v>0</v>
      </c>
      <c r="W21" s="372">
        <v>0</v>
      </c>
      <c r="X21" s="372">
        <v>1510.34</v>
      </c>
      <c r="Y21" s="372">
        <v>0</v>
      </c>
      <c r="Z21" s="372">
        <v>0</v>
      </c>
      <c r="AA21" s="372">
        <v>733.56</v>
      </c>
      <c r="AB21" s="372">
        <v>254.52</v>
      </c>
      <c r="AC21" s="372"/>
      <c r="AD21" s="372"/>
      <c r="AE21" s="378"/>
      <c r="AF21" s="379">
        <f t="shared" si="7"/>
        <v>2498.4199999999996</v>
      </c>
      <c r="AG21" s="359">
        <f t="shared" si="6"/>
        <v>2595.4091999999996</v>
      </c>
      <c r="AH21" s="367">
        <f t="shared" si="1"/>
        <v>0</v>
      </c>
      <c r="AI21" s="367">
        <f t="shared" si="1"/>
        <v>0</v>
      </c>
      <c r="AJ21" s="368"/>
      <c r="AK21" s="356">
        <f t="shared" si="2"/>
        <v>253.059</v>
      </c>
      <c r="AL21" s="356">
        <f t="shared" si="3"/>
        <v>75.54</v>
      </c>
      <c r="AM21" s="356">
        <f>B21*1</f>
        <v>377.7</v>
      </c>
      <c r="AN21" s="356">
        <f>B21*0.21</f>
        <v>79.317</v>
      </c>
      <c r="AO21" s="380">
        <v>0</v>
      </c>
      <c r="AP21" s="356">
        <f>B21*1.03</f>
        <v>389.031</v>
      </c>
      <c r="AQ21" s="356">
        <f>B21*0.75</f>
        <v>283.275</v>
      </c>
      <c r="AR21" s="356">
        <f>B21*0.75</f>
        <v>283.275</v>
      </c>
      <c r="AS21" s="380">
        <v>0</v>
      </c>
      <c r="AT21" s="369"/>
      <c r="AU21" s="370"/>
      <c r="AV21" s="370"/>
      <c r="AW21" s="370"/>
      <c r="AX21" s="370"/>
      <c r="AY21" s="370"/>
      <c r="AZ21" s="114"/>
      <c r="BA21" s="369"/>
      <c r="BB21" s="369"/>
      <c r="BC21" s="325">
        <f>SUM(AK21:BB21)</f>
        <v>1741.1970000000001</v>
      </c>
      <c r="BD21" s="371"/>
      <c r="BE21" s="339">
        <f t="shared" si="5"/>
        <v>1741.1970000000001</v>
      </c>
      <c r="BF21" s="339">
        <f>AG21-BE21</f>
        <v>854.2121999999995</v>
      </c>
      <c r="BG21" s="339">
        <f t="shared" si="4"/>
        <v>-846.4400000000005</v>
      </c>
      <c r="BH21" s="340"/>
      <c r="BI21" s="341"/>
      <c r="BJ21" s="341"/>
      <c r="BK21" s="341"/>
      <c r="BL21" s="341"/>
      <c r="BM21" s="341"/>
      <c r="BN21" s="341"/>
      <c r="BO21" s="342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3"/>
      <c r="CD21" s="343"/>
      <c r="CE21" s="344"/>
      <c r="CF21" s="339"/>
      <c r="CG21" s="338"/>
      <c r="CH21" s="339"/>
      <c r="CI21" s="339"/>
      <c r="CJ21" s="339"/>
      <c r="CK21" s="339"/>
      <c r="CL21" s="339"/>
      <c r="CM21" s="339"/>
      <c r="CN21" s="339"/>
      <c r="CO21" s="338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39"/>
      <c r="DJ21" s="339"/>
      <c r="DK21" s="338"/>
      <c r="DL21" s="338"/>
      <c r="DM21" s="338"/>
      <c r="DN21" s="338"/>
      <c r="DO21" s="338"/>
      <c r="DP21" s="338"/>
      <c r="DQ21" s="339"/>
      <c r="DR21" s="339"/>
      <c r="DS21" s="339"/>
      <c r="DT21" s="339"/>
      <c r="DU21" s="339"/>
      <c r="DV21" s="390"/>
      <c r="DW21" s="389"/>
    </row>
    <row r="22" spans="1:82" s="20" customFormat="1" ht="13.5" thickBot="1">
      <c r="A22" s="391" t="s">
        <v>5</v>
      </c>
      <c r="B22" s="392"/>
      <c r="C22" s="392">
        <f aca="true" t="shared" si="8" ref="C22:AX22">SUM(C10:C21)</f>
        <v>36408.7692</v>
      </c>
      <c r="D22" s="392">
        <f t="shared" si="8"/>
        <v>1163.8704</v>
      </c>
      <c r="E22" s="392">
        <f t="shared" si="8"/>
        <v>-5.74</v>
      </c>
      <c r="F22" s="392">
        <f t="shared" si="8"/>
        <v>0</v>
      </c>
      <c r="G22" s="392">
        <f t="shared" si="8"/>
        <v>23303.710000000006</v>
      </c>
      <c r="H22" s="392">
        <f t="shared" si="8"/>
        <v>0</v>
      </c>
      <c r="I22" s="392">
        <f t="shared" si="8"/>
        <v>-2.13</v>
      </c>
      <c r="J22" s="392">
        <f t="shared" si="8"/>
        <v>0</v>
      </c>
      <c r="K22" s="392">
        <f t="shared" si="8"/>
        <v>-12.92</v>
      </c>
      <c r="L22" s="392">
        <f t="shared" si="8"/>
        <v>0</v>
      </c>
      <c r="M22" s="392">
        <f t="shared" si="8"/>
        <v>11804.03</v>
      </c>
      <c r="N22" s="392">
        <f t="shared" si="8"/>
        <v>0</v>
      </c>
      <c r="O22" s="392">
        <f t="shared" si="8"/>
        <v>4098.139999999999</v>
      </c>
      <c r="P22" s="392">
        <f t="shared" si="8"/>
        <v>0</v>
      </c>
      <c r="Q22" s="392">
        <f t="shared" si="8"/>
        <v>0</v>
      </c>
      <c r="R22" s="392">
        <f t="shared" si="8"/>
        <v>0</v>
      </c>
      <c r="S22" s="392">
        <f t="shared" si="8"/>
        <v>0</v>
      </c>
      <c r="T22" s="392">
        <f t="shared" si="8"/>
        <v>0</v>
      </c>
      <c r="U22" s="392">
        <f t="shared" si="8"/>
        <v>39185.090000000004</v>
      </c>
      <c r="V22" s="392">
        <f t="shared" si="8"/>
        <v>0</v>
      </c>
      <c r="W22" s="392">
        <f t="shared" si="8"/>
        <v>264.73</v>
      </c>
      <c r="X22" s="392">
        <f t="shared" si="8"/>
        <v>16985.79</v>
      </c>
      <c r="Y22" s="392">
        <f t="shared" si="8"/>
        <v>99.24</v>
      </c>
      <c r="Z22" s="392">
        <f t="shared" si="8"/>
        <v>596.56</v>
      </c>
      <c r="AA22" s="392">
        <f t="shared" si="8"/>
        <v>9316.37</v>
      </c>
      <c r="AB22" s="392">
        <f t="shared" si="8"/>
        <v>3159.54</v>
      </c>
      <c r="AC22" s="392">
        <f t="shared" si="8"/>
        <v>0</v>
      </c>
      <c r="AD22" s="392">
        <f t="shared" si="8"/>
        <v>0</v>
      </c>
      <c r="AE22" s="392">
        <f t="shared" si="8"/>
        <v>0</v>
      </c>
      <c r="AF22" s="392">
        <f t="shared" si="8"/>
        <v>30422.229999999996</v>
      </c>
      <c r="AG22" s="392">
        <f t="shared" si="8"/>
        <v>31586.1004</v>
      </c>
      <c r="AH22" s="392">
        <f t="shared" si="8"/>
        <v>0</v>
      </c>
      <c r="AI22" s="392">
        <f t="shared" si="8"/>
        <v>0</v>
      </c>
      <c r="AJ22" s="392">
        <f t="shared" si="8"/>
        <v>0</v>
      </c>
      <c r="AK22" s="392">
        <f t="shared" si="8"/>
        <v>3036.7080000000005</v>
      </c>
      <c r="AL22" s="392">
        <f t="shared" si="8"/>
        <v>906.4799999999999</v>
      </c>
      <c r="AM22" s="392">
        <f t="shared" si="8"/>
        <v>4532.399999999999</v>
      </c>
      <c r="AN22" s="392">
        <f t="shared" si="8"/>
        <v>951.804</v>
      </c>
      <c r="AO22" s="392">
        <f t="shared" si="8"/>
        <v>0</v>
      </c>
      <c r="AP22" s="392">
        <f t="shared" si="8"/>
        <v>4668.372</v>
      </c>
      <c r="AQ22" s="392">
        <f t="shared" si="8"/>
        <v>3399.3000000000006</v>
      </c>
      <c r="AR22" s="392">
        <f t="shared" si="8"/>
        <v>3399.3000000000006</v>
      </c>
      <c r="AS22" s="392">
        <f t="shared" si="8"/>
        <v>0</v>
      </c>
      <c r="AT22" s="392">
        <f t="shared" si="8"/>
        <v>0</v>
      </c>
      <c r="AU22" s="392">
        <f t="shared" si="8"/>
        <v>0</v>
      </c>
      <c r="AV22" s="392">
        <f t="shared" si="8"/>
        <v>0</v>
      </c>
      <c r="AW22" s="392">
        <f>SUM(AW10:AW21)</f>
        <v>0</v>
      </c>
      <c r="AX22" s="392">
        <f>SUM(AX10:AX21)</f>
        <v>18.86</v>
      </c>
      <c r="AY22" s="392">
        <f>SUM(AY10:AY21)</f>
        <v>0</v>
      </c>
      <c r="AZ22" s="392">
        <f>SUM(AZ10:AZ21)</f>
        <v>0</v>
      </c>
      <c r="BA22" s="392">
        <f>SUM(BA10:BA21)</f>
        <v>-542.71</v>
      </c>
      <c r="BB22" s="392">
        <f>SUM(BB10:BB21)</f>
        <v>0</v>
      </c>
      <c r="BC22" s="392">
        <f>SUM(BC10:BC21)</f>
        <v>20370.514000000003</v>
      </c>
      <c r="BD22" s="392">
        <f>SUM(BD10:BD21)</f>
        <v>0</v>
      </c>
      <c r="BE22" s="392">
        <f aca="true" t="shared" si="9" ref="AZ22:BE22">SUM(BE10:BE21)</f>
        <v>20370.514000000003</v>
      </c>
      <c r="BF22" s="392">
        <f>SUM(BF10:BF21)</f>
        <v>11215.586399999998</v>
      </c>
      <c r="BG22" s="392">
        <f>SUM(BG10:BG21)</f>
        <v>-8762.859999999999</v>
      </c>
      <c r="BH22" s="393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71"/>
      <c r="CD22" s="71"/>
    </row>
    <row r="23" spans="1:61" s="20" customFormat="1" ht="13.5" thickBot="1">
      <c r="A23" s="395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6"/>
      <c r="AT23" s="396"/>
      <c r="AU23" s="396"/>
      <c r="AV23" s="396"/>
      <c r="AW23" s="396"/>
      <c r="AX23" s="396"/>
      <c r="AY23" s="396"/>
      <c r="AZ23" s="396"/>
      <c r="BA23" s="396"/>
      <c r="BB23" s="396"/>
      <c r="BC23" s="396"/>
      <c r="BD23" s="396"/>
      <c r="BE23" s="397"/>
      <c r="BF23" s="396"/>
      <c r="BG23" s="398"/>
      <c r="BI23" s="71"/>
    </row>
    <row r="24" spans="1:59" s="20" customFormat="1" ht="13.5" thickBot="1">
      <c r="A24" s="22" t="s">
        <v>54</v>
      </c>
      <c r="B24" s="396"/>
      <c r="C24" s="399">
        <f aca="true" t="shared" si="10" ref="C24:L24">C22+C8</f>
        <v>124620.6042</v>
      </c>
      <c r="D24" s="399">
        <f t="shared" si="10"/>
        <v>16031.62209155</v>
      </c>
      <c r="E24" s="399">
        <f t="shared" si="10"/>
        <v>8981.2</v>
      </c>
      <c r="F24" s="399">
        <f t="shared" si="10"/>
        <v>451.94</v>
      </c>
      <c r="G24" s="399">
        <f t="shared" si="10"/>
        <v>23303.710000000006</v>
      </c>
      <c r="H24" s="399">
        <f t="shared" si="10"/>
        <v>0</v>
      </c>
      <c r="I24" s="399">
        <f t="shared" si="10"/>
        <v>3345.3599999999997</v>
      </c>
      <c r="J24" s="399">
        <f t="shared" si="10"/>
        <v>168.71</v>
      </c>
      <c r="K24" s="399">
        <f t="shared" si="10"/>
        <v>20229.170000000002</v>
      </c>
      <c r="L24" s="399">
        <f t="shared" si="10"/>
        <v>1018.63</v>
      </c>
      <c r="M24" s="399" t="e">
        <f>#REF!</f>
        <v>#REF!</v>
      </c>
      <c r="N24" s="399">
        <f aca="true" t="shared" si="11" ref="N24:BG24">N22+N8</f>
        <v>1470.56</v>
      </c>
      <c r="O24" s="399">
        <f t="shared" si="11"/>
        <v>11287.699999999999</v>
      </c>
      <c r="P24" s="399">
        <f t="shared" si="11"/>
        <v>361.54</v>
      </c>
      <c r="Q24" s="399">
        <f t="shared" si="11"/>
        <v>0</v>
      </c>
      <c r="R24" s="399">
        <f t="shared" si="11"/>
        <v>0</v>
      </c>
      <c r="S24" s="399">
        <f t="shared" si="11"/>
        <v>0</v>
      </c>
      <c r="T24" s="399">
        <f t="shared" si="11"/>
        <v>0</v>
      </c>
      <c r="U24" s="399">
        <f t="shared" si="11"/>
        <v>108180.20999999999</v>
      </c>
      <c r="V24" s="399">
        <f t="shared" si="11"/>
        <v>3471.3799999999997</v>
      </c>
      <c r="W24" s="399">
        <f t="shared" si="11"/>
        <v>9504.839999999998</v>
      </c>
      <c r="X24" s="399">
        <f t="shared" si="11"/>
        <v>16985.79</v>
      </c>
      <c r="Y24" s="399">
        <f t="shared" si="11"/>
        <v>3916.9999999999995</v>
      </c>
      <c r="Z24" s="399">
        <f t="shared" si="11"/>
        <v>21406.600000000002</v>
      </c>
      <c r="AA24" s="399">
        <f t="shared" si="11"/>
        <v>39366.58</v>
      </c>
      <c r="AB24" s="399">
        <f t="shared" si="11"/>
        <v>10551.64</v>
      </c>
      <c r="AC24" s="399">
        <f t="shared" si="11"/>
        <v>0</v>
      </c>
      <c r="AD24" s="399">
        <f t="shared" si="11"/>
        <v>0</v>
      </c>
      <c r="AE24" s="399">
        <f t="shared" si="11"/>
        <v>0</v>
      </c>
      <c r="AF24" s="399">
        <f t="shared" si="11"/>
        <v>101732.45</v>
      </c>
      <c r="AG24" s="399">
        <f t="shared" si="11"/>
        <v>121235.45209154999</v>
      </c>
      <c r="AH24" s="399">
        <f t="shared" si="11"/>
        <v>0</v>
      </c>
      <c r="AI24" s="399">
        <f t="shared" si="11"/>
        <v>0</v>
      </c>
      <c r="AJ24" s="399">
        <f t="shared" si="11"/>
        <v>0</v>
      </c>
      <c r="AK24" s="399">
        <f t="shared" si="11"/>
        <v>9064.8</v>
      </c>
      <c r="AL24" s="399">
        <f t="shared" si="11"/>
        <v>2926.3688083999996</v>
      </c>
      <c r="AM24" s="399">
        <f t="shared" si="11"/>
        <v>14538.902205112998</v>
      </c>
      <c r="AN24" s="399">
        <f t="shared" si="11"/>
        <v>951.804</v>
      </c>
      <c r="AO24" s="399">
        <f t="shared" si="11"/>
        <v>9981.101064932998</v>
      </c>
      <c r="AP24" s="399">
        <f t="shared" si="11"/>
        <v>26996.521259774403</v>
      </c>
      <c r="AQ24" s="399">
        <f t="shared" si="11"/>
        <v>3399.3000000000006</v>
      </c>
      <c r="AR24" s="399">
        <f t="shared" si="11"/>
        <v>3399.3000000000006</v>
      </c>
      <c r="AS24" s="399">
        <f t="shared" si="11"/>
        <v>0</v>
      </c>
      <c r="AT24" s="399">
        <f t="shared" si="11"/>
        <v>0</v>
      </c>
      <c r="AU24" s="399">
        <f t="shared" si="11"/>
        <v>6829</v>
      </c>
      <c r="AV24" s="399">
        <f t="shared" si="11"/>
        <v>0</v>
      </c>
      <c r="AW24" s="400">
        <f t="shared" si="11"/>
        <v>547.8</v>
      </c>
      <c r="AX24" s="400">
        <f t="shared" si="11"/>
        <v>18.86</v>
      </c>
      <c r="AY24" s="400">
        <f t="shared" si="11"/>
        <v>1796.2559999999999</v>
      </c>
      <c r="AZ24" s="400">
        <f t="shared" si="11"/>
        <v>0</v>
      </c>
      <c r="BA24" s="400">
        <f t="shared" si="11"/>
        <v>-542.71</v>
      </c>
      <c r="BB24" s="400">
        <f t="shared" si="11"/>
        <v>0</v>
      </c>
      <c r="BC24" s="400">
        <f t="shared" si="11"/>
        <v>79907.3033382204</v>
      </c>
      <c r="BD24" s="400">
        <f t="shared" si="11"/>
        <v>0</v>
      </c>
      <c r="BE24" s="400">
        <f t="shared" si="11"/>
        <v>79907.3033382204</v>
      </c>
      <c r="BF24" s="400">
        <f>BF22+BF8</f>
        <v>41328.1487533296</v>
      </c>
      <c r="BG24" s="400">
        <f t="shared" si="11"/>
        <v>-6447.759999999999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10.00390625" style="242" customWidth="1"/>
    <col min="2" max="2" width="10.625" style="242" customWidth="1"/>
    <col min="3" max="3" width="11.875" style="242" customWidth="1"/>
    <col min="4" max="4" width="9.25390625" style="242" customWidth="1"/>
    <col min="5" max="5" width="10.875" style="242" customWidth="1"/>
    <col min="6" max="6" width="11.75390625" style="242" customWidth="1"/>
    <col min="7" max="7" width="11.00390625" style="242" customWidth="1"/>
    <col min="8" max="8" width="11.25390625" style="242" customWidth="1"/>
    <col min="9" max="9" width="10.625" style="242" customWidth="1"/>
    <col min="10" max="10" width="9.25390625" style="242" customWidth="1"/>
    <col min="11" max="11" width="11.25390625" style="242" customWidth="1"/>
    <col min="12" max="12" width="9.625" style="242" customWidth="1"/>
    <col min="13" max="13" width="11.25390625" style="242" customWidth="1"/>
    <col min="14" max="14" width="11.625" style="242" customWidth="1"/>
    <col min="15" max="15" width="13.625" style="242" customWidth="1"/>
    <col min="16" max="16384" width="9.125" style="242" customWidth="1"/>
  </cols>
  <sheetData>
    <row r="1" spans="2:8" ht="20.25" customHeight="1">
      <c r="B1" s="203" t="s">
        <v>55</v>
      </c>
      <c r="C1" s="203"/>
      <c r="D1" s="203"/>
      <c r="E1" s="203"/>
      <c r="F1" s="203"/>
      <c r="G1" s="203"/>
      <c r="H1" s="203"/>
    </row>
    <row r="2" spans="2:11" ht="21" customHeight="1">
      <c r="B2" s="203" t="s">
        <v>56</v>
      </c>
      <c r="C2" s="203"/>
      <c r="D2" s="203"/>
      <c r="E2" s="203"/>
      <c r="F2" s="203"/>
      <c r="G2" s="203"/>
      <c r="H2" s="203"/>
      <c r="J2" s="241"/>
      <c r="K2" s="241"/>
    </row>
    <row r="5" spans="1:12" ht="12.75">
      <c r="A5" s="205" t="s">
        <v>121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2.75">
      <c r="A6" s="206" t="s">
        <v>117</v>
      </c>
      <c r="B6" s="206"/>
      <c r="C6" s="206"/>
      <c r="D6" s="206"/>
      <c r="E6" s="206"/>
      <c r="F6" s="206"/>
      <c r="G6" s="206"/>
      <c r="H6" s="97"/>
      <c r="I6" s="97"/>
      <c r="J6" s="97"/>
      <c r="K6" s="97"/>
      <c r="L6" s="97"/>
    </row>
    <row r="7" spans="1:13" ht="13.5" thickBot="1">
      <c r="A7" s="401" t="s">
        <v>57</v>
      </c>
      <c r="B7" s="401"/>
      <c r="C7" s="401"/>
      <c r="D7" s="401"/>
      <c r="E7" s="402">
        <v>4.1</v>
      </c>
      <c r="F7" s="401"/>
      <c r="I7" s="403"/>
      <c r="J7" s="403"/>
      <c r="K7" s="403"/>
      <c r="L7" s="403"/>
      <c r="M7" s="403"/>
    </row>
    <row r="8" spans="1:15" ht="12.75" customHeight="1">
      <c r="A8" s="152" t="s">
        <v>58</v>
      </c>
      <c r="B8" s="232" t="s">
        <v>1</v>
      </c>
      <c r="C8" s="235" t="s">
        <v>122</v>
      </c>
      <c r="D8" s="238" t="s">
        <v>3</v>
      </c>
      <c r="E8" s="218" t="s">
        <v>60</v>
      </c>
      <c r="F8" s="219"/>
      <c r="G8" s="222" t="s">
        <v>61</v>
      </c>
      <c r="H8" s="223"/>
      <c r="I8" s="404" t="s">
        <v>10</v>
      </c>
      <c r="J8" s="405"/>
      <c r="K8" s="405"/>
      <c r="L8" s="405"/>
      <c r="M8" s="406"/>
      <c r="N8" s="407" t="s">
        <v>62</v>
      </c>
      <c r="O8" s="407" t="s">
        <v>12</v>
      </c>
    </row>
    <row r="9" spans="1:15" ht="12.75">
      <c r="A9" s="153"/>
      <c r="B9" s="233"/>
      <c r="C9" s="236"/>
      <c r="D9" s="239"/>
      <c r="E9" s="220"/>
      <c r="F9" s="221"/>
      <c r="G9" s="224"/>
      <c r="H9" s="225"/>
      <c r="I9" s="408"/>
      <c r="J9" s="409"/>
      <c r="K9" s="409"/>
      <c r="L9" s="409"/>
      <c r="M9" s="410"/>
      <c r="N9" s="411"/>
      <c r="O9" s="411"/>
    </row>
    <row r="10" spans="1:15" ht="26.25" customHeight="1">
      <c r="A10" s="153"/>
      <c r="B10" s="233"/>
      <c r="C10" s="236"/>
      <c r="D10" s="239"/>
      <c r="E10" s="210" t="s">
        <v>63</v>
      </c>
      <c r="F10" s="211"/>
      <c r="G10" s="84" t="s">
        <v>64</v>
      </c>
      <c r="H10" s="212" t="s">
        <v>7</v>
      </c>
      <c r="I10" s="214" t="s">
        <v>65</v>
      </c>
      <c r="J10" s="216" t="s">
        <v>118</v>
      </c>
      <c r="K10" s="216" t="s">
        <v>66</v>
      </c>
      <c r="L10" s="216" t="s">
        <v>37</v>
      </c>
      <c r="M10" s="213" t="s">
        <v>39</v>
      </c>
      <c r="N10" s="411"/>
      <c r="O10" s="411"/>
    </row>
    <row r="11" spans="1:15" ht="66.75" customHeight="1" thickBot="1">
      <c r="A11" s="231"/>
      <c r="B11" s="234"/>
      <c r="C11" s="237"/>
      <c r="D11" s="240"/>
      <c r="E11" s="63" t="s">
        <v>68</v>
      </c>
      <c r="F11" s="66" t="s">
        <v>21</v>
      </c>
      <c r="G11" s="81" t="s">
        <v>69</v>
      </c>
      <c r="H11" s="213"/>
      <c r="I11" s="215"/>
      <c r="J11" s="217"/>
      <c r="K11" s="217"/>
      <c r="L11" s="217"/>
      <c r="M11" s="412"/>
      <c r="N11" s="413"/>
      <c r="O11" s="413"/>
    </row>
    <row r="12" spans="1:15" ht="13.5" thickBot="1">
      <c r="A12" s="414">
        <v>1</v>
      </c>
      <c r="B12" s="415">
        <v>2</v>
      </c>
      <c r="C12" s="414">
        <v>3</v>
      </c>
      <c r="D12" s="415">
        <v>4</v>
      </c>
      <c r="E12" s="414">
        <v>5</v>
      </c>
      <c r="F12" s="415">
        <v>6</v>
      </c>
      <c r="G12" s="415">
        <v>7</v>
      </c>
      <c r="H12" s="414">
        <v>8</v>
      </c>
      <c r="I12" s="415">
        <v>9</v>
      </c>
      <c r="J12" s="415">
        <v>10</v>
      </c>
      <c r="K12" s="414">
        <v>11</v>
      </c>
      <c r="L12" s="415">
        <v>12</v>
      </c>
      <c r="M12" s="415">
        <v>13</v>
      </c>
      <c r="N12" s="414">
        <v>14</v>
      </c>
      <c r="O12" s="415">
        <v>15</v>
      </c>
    </row>
    <row r="13" spans="1:15" ht="13.5" thickBot="1">
      <c r="A13" s="64" t="s">
        <v>5</v>
      </c>
      <c r="B13" s="416"/>
      <c r="C13" s="416">
        <f>'2011 полн'!C8</f>
        <v>88211.835</v>
      </c>
      <c r="D13" s="416">
        <f>'2011 полн'!D8</f>
        <v>14867.75169155</v>
      </c>
      <c r="E13" s="416">
        <f>'2011 полн'!U8</f>
        <v>68995.12</v>
      </c>
      <c r="F13" s="416">
        <f>'2011 полн'!V8</f>
        <v>3471.3799999999997</v>
      </c>
      <c r="G13" s="416">
        <f>'2011 полн'!AF8</f>
        <v>71310.22</v>
      </c>
      <c r="H13" s="416">
        <f>'2011 полн'!AG8</f>
        <v>89649.35169155</v>
      </c>
      <c r="I13" s="416">
        <f>'2011 полн'!AK8</f>
        <v>6028.091999999999</v>
      </c>
      <c r="J13" s="416">
        <f>'2011 полн'!AL8</f>
        <v>2019.8888083999996</v>
      </c>
      <c r="K13" s="416">
        <f>'2011 полн'!AM8+'2011 полн'!AN8+'2011 полн'!AO8+'2011 полн'!AP8+'2011 полн'!AQ8+'2011 полн'!AX8+'2011 полн'!AY8+'2011 полн'!BA16</f>
        <v>43569.2985298204</v>
      </c>
      <c r="L13" s="416">
        <f>'2011 полн'!AU8+'2011 полн'!AV8+'2011 полн'!AW8</f>
        <v>7376.8</v>
      </c>
      <c r="M13" s="416">
        <f>I13+J13+K13+L13</f>
        <v>58994.0793382204</v>
      </c>
      <c r="N13" s="416">
        <f>H13-M13</f>
        <v>30655.272353329594</v>
      </c>
      <c r="O13" s="416">
        <f>'[2]2011 полн'!BG8</f>
        <v>-13554.490000000002</v>
      </c>
    </row>
    <row r="14" spans="1:15" ht="13.5" thickBot="1">
      <c r="A14" s="417"/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</row>
    <row r="15" spans="1:17" ht="13.5" thickBot="1">
      <c r="A15" s="64" t="s">
        <v>116</v>
      </c>
      <c r="B15" s="418"/>
      <c r="C15" s="419"/>
      <c r="D15" s="419"/>
      <c r="E15" s="420"/>
      <c r="F15" s="420"/>
      <c r="G15" s="420"/>
      <c r="H15" s="420"/>
      <c r="I15" s="420"/>
      <c r="J15" s="420"/>
      <c r="K15" s="420"/>
      <c r="L15" s="421"/>
      <c r="M15" s="420"/>
      <c r="N15" s="420"/>
      <c r="O15" s="422"/>
      <c r="P15" s="241"/>
      <c r="Q15" s="241"/>
    </row>
    <row r="16" spans="1:17" ht="12.75">
      <c r="A16" s="423" t="s">
        <v>45</v>
      </c>
      <c r="B16" s="424">
        <f>'[2]2011 полн'!B10</f>
        <v>739.7</v>
      </c>
      <c r="C16" s="424">
        <f>'2011 полн'!C10</f>
        <v>3034.0641</v>
      </c>
      <c r="D16" s="424">
        <f>'2011 полн'!D10</f>
        <v>96.9892</v>
      </c>
      <c r="E16" s="425">
        <f>'2011 полн'!U10</f>
        <v>3358.2499999999995</v>
      </c>
      <c r="F16" s="425">
        <f>'2011 полн'!V10</f>
        <v>0</v>
      </c>
      <c r="G16" s="426">
        <f>'2011 полн'!AF10</f>
        <v>2033.58</v>
      </c>
      <c r="H16" s="426">
        <f>'2011 полн'!AG10</f>
        <v>2130.5692</v>
      </c>
      <c r="I16" s="426">
        <f>'2011 полн'!AK10</f>
        <v>253.059</v>
      </c>
      <c r="J16" s="426">
        <f>'2011 полн'!AL10</f>
        <v>75.54</v>
      </c>
      <c r="K16" s="425">
        <f>'2011 полн'!AM10+'2011 полн'!AN10+'2011 полн'!AO10+'2011 полн'!AP10+'2011 полн'!AQ10+'2011 полн'!AR10+'2011 полн'!AX10</f>
        <v>1412.598</v>
      </c>
      <c r="L16" s="427">
        <f>'2011 полн'!AU10+'2011 полн'!AV10+'2011 полн'!AW10</f>
        <v>0</v>
      </c>
      <c r="M16" s="428">
        <f>SUM(I16:L16)</f>
        <v>1741.197</v>
      </c>
      <c r="N16" s="428">
        <f>H16-M16</f>
        <v>389.3722</v>
      </c>
      <c r="O16" s="428">
        <f>'2011 полн'!BG10</f>
        <v>-1324.6699999999996</v>
      </c>
      <c r="P16" s="241"/>
      <c r="Q16" s="241"/>
    </row>
    <row r="17" spans="1:17" ht="12.75">
      <c r="A17" s="323" t="s">
        <v>46</v>
      </c>
      <c r="B17" s="424">
        <f>'[2]2011 полн'!B11</f>
        <v>739.7</v>
      </c>
      <c r="C17" s="424">
        <f>'2011 полн'!C11</f>
        <v>3034.0641</v>
      </c>
      <c r="D17" s="424">
        <f>'2011 полн'!D11</f>
        <v>96.9892</v>
      </c>
      <c r="E17" s="425">
        <f>'2011 полн'!U11</f>
        <v>3292.62</v>
      </c>
      <c r="F17" s="425">
        <f>'2011 полн'!V11</f>
        <v>0</v>
      </c>
      <c r="G17" s="426">
        <f>'2011 полн'!AF11</f>
        <v>2342.64</v>
      </c>
      <c r="H17" s="426">
        <f>'2011 полн'!AG11</f>
        <v>2439.6292</v>
      </c>
      <c r="I17" s="426">
        <f>'2011 полн'!AK11</f>
        <v>253.059</v>
      </c>
      <c r="J17" s="426">
        <f>'2011 полн'!AL11</f>
        <v>75.54</v>
      </c>
      <c r="K17" s="425">
        <f>'2011 полн'!AM11+'2011 полн'!AN11+'2011 полн'!AO11+'2011 полн'!AP11+'2011 полн'!AQ11+'2011 полн'!AR11+'2011 полн'!AX11</f>
        <v>1412.598</v>
      </c>
      <c r="L17" s="427">
        <f>'2011 полн'!AU11+'2011 полн'!AV11+'2011 полн'!AW11</f>
        <v>0</v>
      </c>
      <c r="M17" s="428">
        <f aca="true" t="shared" si="0" ref="M17:M27">SUM(I17:L17)</f>
        <v>1741.197</v>
      </c>
      <c r="N17" s="428">
        <f aca="true" t="shared" si="1" ref="N17:N27">H17-M17</f>
        <v>698.4322</v>
      </c>
      <c r="O17" s="428">
        <f>'2011 полн'!BG11</f>
        <v>-949.98</v>
      </c>
      <c r="P17" s="241"/>
      <c r="Q17" s="241"/>
    </row>
    <row r="18" spans="1:17" ht="12.75">
      <c r="A18" s="323" t="s">
        <v>47</v>
      </c>
      <c r="B18" s="424">
        <f>'[2]2011 полн'!B12</f>
        <v>739.7</v>
      </c>
      <c r="C18" s="424">
        <f>'2011 полн'!C12</f>
        <v>3034.0641</v>
      </c>
      <c r="D18" s="424">
        <f>'2011 полн'!D12</f>
        <v>96.9892</v>
      </c>
      <c r="E18" s="425">
        <f>'2011 полн'!U12</f>
        <v>3358.2499999999995</v>
      </c>
      <c r="F18" s="425">
        <f>'2011 полн'!V12</f>
        <v>0</v>
      </c>
      <c r="G18" s="426">
        <f>'2011 полн'!AF12</f>
        <v>1835.3400000000001</v>
      </c>
      <c r="H18" s="426">
        <f>'2011 полн'!AG12</f>
        <v>1932.3292000000001</v>
      </c>
      <c r="I18" s="426">
        <f>'2011 полн'!AK12</f>
        <v>253.059</v>
      </c>
      <c r="J18" s="426">
        <f>'2011 полн'!AL12</f>
        <v>75.54</v>
      </c>
      <c r="K18" s="425">
        <f>'2011 полн'!AM12+'2011 полн'!AN12+'2011 полн'!AO12+'2011 полн'!AP12+'2011 полн'!AQ12+'2011 полн'!AR12+'2011 полн'!AX12</f>
        <v>1412.598</v>
      </c>
      <c r="L18" s="427">
        <f>'2011 полн'!AU12+'2011 полн'!AV12+'2011 полн'!AW12</f>
        <v>0</v>
      </c>
      <c r="M18" s="428">
        <f t="shared" si="0"/>
        <v>1741.197</v>
      </c>
      <c r="N18" s="428">
        <f t="shared" si="1"/>
        <v>191.13220000000024</v>
      </c>
      <c r="O18" s="428">
        <f>'2011 полн'!BG12</f>
        <v>-1522.9099999999994</v>
      </c>
      <c r="P18" s="241"/>
      <c r="Q18" s="241"/>
    </row>
    <row r="19" spans="1:17" ht="12.75">
      <c r="A19" s="323" t="s">
        <v>48</v>
      </c>
      <c r="B19" s="424">
        <f>'[2]2011 полн'!B13</f>
        <v>739.7</v>
      </c>
      <c r="C19" s="424">
        <f>'2011 полн'!C13</f>
        <v>3034.0641</v>
      </c>
      <c r="D19" s="424">
        <f>'2011 полн'!D13</f>
        <v>96.9892</v>
      </c>
      <c r="E19" s="425">
        <f>'2011 полн'!U13</f>
        <v>3155.08</v>
      </c>
      <c r="F19" s="425">
        <f>'2011 полн'!V13</f>
        <v>0</v>
      </c>
      <c r="G19" s="426">
        <f>'2011 полн'!AF13</f>
        <v>1663.48</v>
      </c>
      <c r="H19" s="426">
        <f>'2011 полн'!AG13</f>
        <v>1760.4692</v>
      </c>
      <c r="I19" s="426">
        <f>'2011 полн'!AK13</f>
        <v>253.059</v>
      </c>
      <c r="J19" s="426">
        <f>'2011 полн'!AL13</f>
        <v>75.54</v>
      </c>
      <c r="K19" s="425">
        <f>'2011 полн'!AM13+'2011 полн'!AN13+'2011 полн'!AO13+'2011 полн'!AP13+'2011 полн'!AQ13+'2011 полн'!AR13+'2011 полн'!AX13</f>
        <v>1412.598</v>
      </c>
      <c r="L19" s="427">
        <f>'2011 полн'!AU13+'2011 полн'!AV13+'2011 полн'!AW13</f>
        <v>0</v>
      </c>
      <c r="M19" s="428">
        <f t="shared" si="0"/>
        <v>1741.197</v>
      </c>
      <c r="N19" s="428">
        <f t="shared" si="1"/>
        <v>19.27220000000011</v>
      </c>
      <c r="O19" s="428">
        <f>'2011 полн'!BG13</f>
        <v>-1491.6</v>
      </c>
      <c r="P19" s="241"/>
      <c r="Q19" s="241"/>
    </row>
    <row r="20" spans="1:17" ht="12.75">
      <c r="A20" s="323" t="s">
        <v>49</v>
      </c>
      <c r="B20" s="424">
        <f>'[2]2011 полн'!B14</f>
        <v>739.7</v>
      </c>
      <c r="C20" s="424">
        <f>'2011 полн'!C14</f>
        <v>3034.0641</v>
      </c>
      <c r="D20" s="424">
        <f>'2011 полн'!D14</f>
        <v>96.9892</v>
      </c>
      <c r="E20" s="425">
        <f>'2011 полн'!U14</f>
        <v>3155.08</v>
      </c>
      <c r="F20" s="425">
        <f>'2011 полн'!V14</f>
        <v>0</v>
      </c>
      <c r="G20" s="426">
        <f>'2011 полн'!AF14</f>
        <v>1562.75</v>
      </c>
      <c r="H20" s="426">
        <f>'2011 полн'!AG14</f>
        <v>1659.7392</v>
      </c>
      <c r="I20" s="426">
        <f>'2011 полн'!AK14</f>
        <v>253.059</v>
      </c>
      <c r="J20" s="426">
        <f>'2011 полн'!AL14</f>
        <v>75.54</v>
      </c>
      <c r="K20" s="425">
        <f>'2011 полн'!AM14+'2011 полн'!AN14+'2011 полн'!AO14+'2011 полн'!AP14+'2011 полн'!AQ14+'2011 полн'!AR14+'2011 полн'!AX14</f>
        <v>1412.598</v>
      </c>
      <c r="L20" s="427">
        <f>'2011 полн'!AU14+'2011 полн'!AV14+'2011 полн'!AW14</f>
        <v>0</v>
      </c>
      <c r="M20" s="428">
        <f t="shared" si="0"/>
        <v>1741.197</v>
      </c>
      <c r="N20" s="428">
        <f t="shared" si="1"/>
        <v>-81.4577999999999</v>
      </c>
      <c r="O20" s="428">
        <f>'2011 полн'!BG14</f>
        <v>-1592.33</v>
      </c>
      <c r="P20" s="241"/>
      <c r="Q20" s="241"/>
    </row>
    <row r="21" spans="1:17" ht="12.75">
      <c r="A21" s="323" t="s">
        <v>50</v>
      </c>
      <c r="B21" s="424">
        <f>'[2]2011 полн'!B15</f>
        <v>739.7</v>
      </c>
      <c r="C21" s="424">
        <f>'2011 полн'!C15</f>
        <v>3034.0641</v>
      </c>
      <c r="D21" s="424">
        <f>'2011 полн'!D15</f>
        <v>96.9892</v>
      </c>
      <c r="E21" s="425">
        <f>'2011 полн'!U15</f>
        <v>3155.07</v>
      </c>
      <c r="F21" s="425">
        <f>'2011 полн'!V15</f>
        <v>0</v>
      </c>
      <c r="G21" s="426">
        <f>'2011 полн'!AF15</f>
        <v>2472.1099999999997</v>
      </c>
      <c r="H21" s="426">
        <f>'2011 полн'!AG15</f>
        <v>2569.0991999999997</v>
      </c>
      <c r="I21" s="426">
        <f>'2011 полн'!AK15</f>
        <v>253.059</v>
      </c>
      <c r="J21" s="426">
        <f>'2011 полн'!AL15</f>
        <v>75.54</v>
      </c>
      <c r="K21" s="425">
        <f>'2011 полн'!AM15+'2011 полн'!AN15+'2011 полн'!AO15+'2011 полн'!AP15+'2011 полн'!AQ15+'2011 полн'!AR15+'2011 полн'!AX15</f>
        <v>1412.598</v>
      </c>
      <c r="L21" s="427">
        <f>'2011 полн'!AU15+'2011 полн'!AV15+'2011 полн'!AW15</f>
        <v>0</v>
      </c>
      <c r="M21" s="428">
        <f t="shared" si="0"/>
        <v>1741.197</v>
      </c>
      <c r="N21" s="428">
        <f t="shared" si="1"/>
        <v>827.9021999999998</v>
      </c>
      <c r="O21" s="428">
        <f>'2011 полн'!BG15</f>
        <v>-682.9600000000005</v>
      </c>
      <c r="P21" s="241"/>
      <c r="Q21" s="241"/>
    </row>
    <row r="22" spans="1:15" ht="12.75">
      <c r="A22" s="323" t="s">
        <v>51</v>
      </c>
      <c r="B22" s="424">
        <f>'[2]2011 полн'!B16</f>
        <v>739.7</v>
      </c>
      <c r="C22" s="424">
        <f>'2011 полн'!C16</f>
        <v>3034.0641</v>
      </c>
      <c r="D22" s="424">
        <f>'2011 полн'!D16</f>
        <v>96.9892</v>
      </c>
      <c r="E22" s="425">
        <f>'2011 полн'!U16</f>
        <v>3155.08</v>
      </c>
      <c r="F22" s="425">
        <f>'2011 полн'!V16</f>
        <v>0</v>
      </c>
      <c r="G22" s="426">
        <f>'2011 полн'!AF16</f>
        <v>2506.04</v>
      </c>
      <c r="H22" s="426">
        <f>'2011 полн'!AG16</f>
        <v>2603.0292</v>
      </c>
      <c r="I22" s="426">
        <f>'2011 полн'!AK16</f>
        <v>253.059</v>
      </c>
      <c r="J22" s="426">
        <f>'2011 полн'!AL16</f>
        <v>75.54</v>
      </c>
      <c r="K22" s="425">
        <f>'2011 полн'!AM16+'2011 полн'!AN16+'2011 полн'!AO16+'2011 полн'!AP16+'2011 полн'!AQ16+'2011 полн'!AR16+'2011 полн'!AX16</f>
        <v>1431.4579999999999</v>
      </c>
      <c r="L22" s="427">
        <f>'2011 полн'!AU16+'2011 полн'!AV16+'2011 полн'!AW16</f>
        <v>0</v>
      </c>
      <c r="M22" s="428">
        <f t="shared" si="0"/>
        <v>1760.0569999999998</v>
      </c>
      <c r="N22" s="428">
        <f t="shared" si="1"/>
        <v>842.9722000000002</v>
      </c>
      <c r="O22" s="428">
        <f>'2011 полн'!BG16</f>
        <v>-649.04</v>
      </c>
    </row>
    <row r="23" spans="1:15" ht="12.75">
      <c r="A23" s="323" t="s">
        <v>52</v>
      </c>
      <c r="B23" s="424">
        <f>'[2]2011 полн'!B17</f>
        <v>739.7</v>
      </c>
      <c r="C23" s="424">
        <f>'2011 полн'!C17</f>
        <v>3034.0641</v>
      </c>
      <c r="D23" s="424">
        <f>'2011 полн'!D17</f>
        <v>96.9892</v>
      </c>
      <c r="E23" s="425">
        <f>'2011 полн'!U17</f>
        <v>3155.08</v>
      </c>
      <c r="F23" s="425">
        <f>'2011 полн'!V17</f>
        <v>0</v>
      </c>
      <c r="G23" s="426">
        <f>'2011 полн'!AF17</f>
        <v>2527.3</v>
      </c>
      <c r="H23" s="426">
        <f>'2011 полн'!AG17</f>
        <v>2624.2892</v>
      </c>
      <c r="I23" s="426">
        <f>'2011 полн'!AK17</f>
        <v>253.059</v>
      </c>
      <c r="J23" s="426">
        <f>'2011 полн'!AL17</f>
        <v>75.54</v>
      </c>
      <c r="K23" s="425">
        <f>'2011 полн'!AM17+'2011 полн'!AN17+'2011 полн'!AO17+'2011 полн'!AP17+'2011 полн'!AQ17+'2011 полн'!AR17+'2011 полн'!AX17</f>
        <v>1412.598</v>
      </c>
      <c r="L23" s="427">
        <f>'2011 полн'!AU17+'2011 полн'!AV17+'2011 полн'!AW17</f>
        <v>0</v>
      </c>
      <c r="M23" s="428">
        <f t="shared" si="0"/>
        <v>1741.197</v>
      </c>
      <c r="N23" s="428">
        <f t="shared" si="1"/>
        <v>883.0922000000003</v>
      </c>
      <c r="O23" s="428">
        <f>'2011 полн'!BG17</f>
        <v>-627.7799999999997</v>
      </c>
    </row>
    <row r="24" spans="1:15" ht="12.75">
      <c r="A24" s="323" t="s">
        <v>53</v>
      </c>
      <c r="B24" s="424">
        <f>'[2]2011 полн'!B18</f>
        <v>739.7</v>
      </c>
      <c r="C24" s="424">
        <f>'2011 полн'!C18</f>
        <v>3034.0641</v>
      </c>
      <c r="D24" s="424">
        <f>'2011 полн'!D18</f>
        <v>96.9892</v>
      </c>
      <c r="E24" s="425">
        <f>'2011 полн'!U18</f>
        <v>3358.2499999999995</v>
      </c>
      <c r="F24" s="425">
        <f>'2011 полн'!V18</f>
        <v>0</v>
      </c>
      <c r="G24" s="426">
        <f>'2011 полн'!AF18</f>
        <v>3420.24</v>
      </c>
      <c r="H24" s="426">
        <f>'2011 полн'!AG18</f>
        <v>3517.2291999999998</v>
      </c>
      <c r="I24" s="426">
        <f>'2011 полн'!AK18</f>
        <v>253.059</v>
      </c>
      <c r="J24" s="426">
        <f>'2011 полн'!AL18</f>
        <v>75.54</v>
      </c>
      <c r="K24" s="425">
        <f>'2011 полн'!AM18+'2011 полн'!AN18+'2011 полн'!AO18+'2011 полн'!AP18+'2011 полн'!AQ18+'2011 полн'!AR18+'2011 полн'!AX18</f>
        <v>1412.598</v>
      </c>
      <c r="L24" s="427">
        <f>'2011 полн'!AU18+'2011 полн'!AV18+'2011 полн'!AW18</f>
        <v>0</v>
      </c>
      <c r="M24" s="428">
        <f t="shared" si="0"/>
        <v>1741.197</v>
      </c>
      <c r="N24" s="428">
        <f t="shared" si="1"/>
        <v>1776.0321999999999</v>
      </c>
      <c r="O24" s="428">
        <f>'2011 полн'!BG18</f>
        <v>61.99000000000024</v>
      </c>
    </row>
    <row r="25" spans="1:15" ht="12.75">
      <c r="A25" s="323" t="s">
        <v>41</v>
      </c>
      <c r="B25" s="424">
        <f>'[2]2011 полн'!B19</f>
        <v>739.7</v>
      </c>
      <c r="C25" s="424">
        <f>'2011 полн'!C19</f>
        <v>3034.0641</v>
      </c>
      <c r="D25" s="424">
        <f>'2011 полн'!D19</f>
        <v>96.9892</v>
      </c>
      <c r="E25" s="425">
        <f>'2011 полн'!U19</f>
        <v>3352.61</v>
      </c>
      <c r="F25" s="425">
        <f>'2011 полн'!V19</f>
        <v>0</v>
      </c>
      <c r="G25" s="426">
        <f>'2011 полн'!AF19</f>
        <v>5047.93</v>
      </c>
      <c r="H25" s="426">
        <f>'2011 полн'!AG19</f>
        <v>5144.9192</v>
      </c>
      <c r="I25" s="426">
        <f>'2011 полн'!AK19</f>
        <v>253.059</v>
      </c>
      <c r="J25" s="426">
        <f>'2011 полн'!AL19</f>
        <v>75.54</v>
      </c>
      <c r="K25" s="425">
        <f>'2011 полн'!AM19+'2011 полн'!AN19+'2011 полн'!AO19+'2011 полн'!AP19+'2011 полн'!AQ19+'2011 полн'!AR19+'2011 полн'!AX19</f>
        <v>1412.598</v>
      </c>
      <c r="L25" s="427">
        <f>'2011 полн'!AU19+'2011 полн'!AV19+'2011 полн'!AW19</f>
        <v>0</v>
      </c>
      <c r="M25" s="428">
        <f t="shared" si="0"/>
        <v>1741.197</v>
      </c>
      <c r="N25" s="428">
        <f t="shared" si="1"/>
        <v>3403.7222</v>
      </c>
      <c r="O25" s="428">
        <f>'2011 полн'!BG19</f>
        <v>1695.3200000000002</v>
      </c>
    </row>
    <row r="26" spans="1:15" ht="12.75">
      <c r="A26" s="323" t="s">
        <v>42</v>
      </c>
      <c r="B26" s="424">
        <f>'[2]2011 полн'!B20</f>
        <v>739.7</v>
      </c>
      <c r="C26" s="424">
        <f>'2011 полн'!C20</f>
        <v>3034.0641</v>
      </c>
      <c r="D26" s="424">
        <f>'2011 полн'!D20</f>
        <v>96.9892</v>
      </c>
      <c r="E26" s="425">
        <f>'2011 полн'!U20</f>
        <v>3344.86</v>
      </c>
      <c r="F26" s="425">
        <f>'2011 полн'!V20</f>
        <v>0</v>
      </c>
      <c r="G26" s="426">
        <f>'2011 полн'!AF20</f>
        <v>2512.3999999999996</v>
      </c>
      <c r="H26" s="426">
        <f>'2011 полн'!AG20</f>
        <v>2609.3891999999996</v>
      </c>
      <c r="I26" s="426">
        <f>'2011 полн'!AK20</f>
        <v>253.059</v>
      </c>
      <c r="J26" s="426">
        <f>'2011 полн'!AL20</f>
        <v>75.54</v>
      </c>
      <c r="K26" s="425">
        <f>'2011 полн'!AM20+'2011 полн'!AN20+'2011 полн'!AO20+'2011 полн'!AP20+'2011 полн'!AQ20+'2011 полн'!AR20+'2011 полн'!AX20</f>
        <v>1412.598</v>
      </c>
      <c r="L26" s="427">
        <f>'2011 полн'!AU20+'2011 полн'!AV20+'2011 полн'!AW20</f>
        <v>0</v>
      </c>
      <c r="M26" s="428">
        <f t="shared" si="0"/>
        <v>1741.197</v>
      </c>
      <c r="N26" s="428">
        <f t="shared" si="1"/>
        <v>868.1921999999997</v>
      </c>
      <c r="O26" s="428">
        <f>'2011 полн'!BG20</f>
        <v>-832.4600000000005</v>
      </c>
    </row>
    <row r="27" spans="1:15" ht="13.5" thickBot="1">
      <c r="A27" s="429" t="s">
        <v>43</v>
      </c>
      <c r="B27" s="424">
        <f>'[2]2011 полн'!B21</f>
        <v>739.7</v>
      </c>
      <c r="C27" s="424">
        <f>'2011 полн'!C21</f>
        <v>3034.0641</v>
      </c>
      <c r="D27" s="424">
        <f>'2011 полн'!D21</f>
        <v>96.9892</v>
      </c>
      <c r="E27" s="425">
        <f>'2011 полн'!U21</f>
        <v>3344.86</v>
      </c>
      <c r="F27" s="425">
        <f>'2011 полн'!V21</f>
        <v>0</v>
      </c>
      <c r="G27" s="426">
        <f>'2011 полн'!AF21</f>
        <v>2498.4199999999996</v>
      </c>
      <c r="H27" s="426">
        <f>'2011 полн'!AG21</f>
        <v>2595.4091999999996</v>
      </c>
      <c r="I27" s="426">
        <f>'2011 полн'!AK21</f>
        <v>253.059</v>
      </c>
      <c r="J27" s="426">
        <f>'2011 полн'!AL21</f>
        <v>75.54</v>
      </c>
      <c r="K27" s="425">
        <f>'2011 полн'!AM21+'2011 полн'!AN21+'2011 полн'!AO21+'2011 полн'!AP21+'2011 полн'!AQ21+'2011 полн'!AR21+'2011 полн'!AX21</f>
        <v>1412.598</v>
      </c>
      <c r="L27" s="427">
        <f>'2011 полн'!AU21+'2011 полн'!AV21+'2011 полн'!AW21</f>
        <v>0</v>
      </c>
      <c r="M27" s="428">
        <f t="shared" si="0"/>
        <v>1741.197</v>
      </c>
      <c r="N27" s="428">
        <f t="shared" si="1"/>
        <v>854.2121999999997</v>
      </c>
      <c r="O27" s="428">
        <f>'2011 полн'!BG21</f>
        <v>-846.4400000000005</v>
      </c>
    </row>
    <row r="28" spans="1:15" ht="13.5" thickBot="1">
      <c r="A28" s="430" t="s">
        <v>5</v>
      </c>
      <c r="B28" s="431"/>
      <c r="C28" s="432">
        <f>SUM(C16:C27)</f>
        <v>36408.7692</v>
      </c>
      <c r="D28" s="432">
        <f aca="true" t="shared" si="2" ref="D28:O28">SUM(D16:D27)</f>
        <v>1163.8704</v>
      </c>
      <c r="E28" s="432">
        <f t="shared" si="2"/>
        <v>39185.090000000004</v>
      </c>
      <c r="F28" s="432">
        <f t="shared" si="2"/>
        <v>0</v>
      </c>
      <c r="G28" s="432">
        <f t="shared" si="2"/>
        <v>30422.229999999996</v>
      </c>
      <c r="H28" s="432">
        <f t="shared" si="2"/>
        <v>31586.1004</v>
      </c>
      <c r="I28" s="432">
        <f t="shared" si="2"/>
        <v>3036.7080000000005</v>
      </c>
      <c r="J28" s="432">
        <f t="shared" si="2"/>
        <v>906.4799999999999</v>
      </c>
      <c r="K28" s="432">
        <f t="shared" si="2"/>
        <v>16970.036</v>
      </c>
      <c r="L28" s="432">
        <f t="shared" si="2"/>
        <v>0</v>
      </c>
      <c r="M28" s="432">
        <f t="shared" si="2"/>
        <v>20913.224</v>
      </c>
      <c r="N28" s="432">
        <f t="shared" si="2"/>
        <v>10672.876400000001</v>
      </c>
      <c r="O28" s="432">
        <f t="shared" si="2"/>
        <v>-8762.859999999999</v>
      </c>
    </row>
    <row r="29" spans="1:15" ht="13.5" thickBot="1">
      <c r="A29" s="433" t="s">
        <v>70</v>
      </c>
      <c r="B29" s="434"/>
      <c r="C29" s="434"/>
      <c r="D29" s="434"/>
      <c r="E29" s="435"/>
      <c r="F29" s="435"/>
      <c r="G29" s="436"/>
      <c r="H29" s="435"/>
      <c r="I29" s="436"/>
      <c r="J29" s="435"/>
      <c r="K29" s="435"/>
      <c r="L29" s="435"/>
      <c r="M29" s="437"/>
      <c r="N29" s="438"/>
      <c r="O29" s="439"/>
    </row>
    <row r="30" spans="1:17" s="20" customFormat="1" ht="13.5" thickBot="1">
      <c r="A30" s="440" t="s">
        <v>54</v>
      </c>
      <c r="B30" s="441"/>
      <c r="C30" s="442">
        <f aca="true" t="shared" si="3" ref="C30:N30">C28+C13</f>
        <v>124620.6042</v>
      </c>
      <c r="D30" s="442">
        <f t="shared" si="3"/>
        <v>16031.62209155</v>
      </c>
      <c r="E30" s="442">
        <f t="shared" si="3"/>
        <v>108180.20999999999</v>
      </c>
      <c r="F30" s="442">
        <f t="shared" si="3"/>
        <v>3471.3799999999997</v>
      </c>
      <c r="G30" s="442">
        <f t="shared" si="3"/>
        <v>101732.45</v>
      </c>
      <c r="H30" s="442">
        <f t="shared" si="3"/>
        <v>121235.45209154999</v>
      </c>
      <c r="I30" s="442">
        <f t="shared" si="3"/>
        <v>9064.8</v>
      </c>
      <c r="J30" s="442">
        <f t="shared" si="3"/>
        <v>2926.3688083999996</v>
      </c>
      <c r="K30" s="442">
        <f t="shared" si="3"/>
        <v>60539.3345298204</v>
      </c>
      <c r="L30" s="442">
        <f t="shared" si="3"/>
        <v>7376.8</v>
      </c>
      <c r="M30" s="442">
        <f t="shared" si="3"/>
        <v>79907.3033382204</v>
      </c>
      <c r="N30" s="442">
        <f t="shared" si="3"/>
        <v>41328.148753329595</v>
      </c>
      <c r="O30" s="442">
        <f>O28+O13</f>
        <v>-22317.35</v>
      </c>
      <c r="P30" s="72"/>
      <c r="Q30" s="71"/>
    </row>
    <row r="32" spans="1:16" ht="12.75">
      <c r="A32" s="20" t="s">
        <v>88</v>
      </c>
      <c r="D32" s="83" t="s">
        <v>119</v>
      </c>
      <c r="O32" s="241"/>
      <c r="P32" s="241"/>
    </row>
    <row r="33" spans="1:16" ht="12.75">
      <c r="A33" s="320" t="s">
        <v>71</v>
      </c>
      <c r="B33" s="320" t="s">
        <v>72</v>
      </c>
      <c r="C33" s="443" t="s">
        <v>73</v>
      </c>
      <c r="D33" s="443"/>
      <c r="O33" s="241"/>
      <c r="P33" s="241"/>
    </row>
    <row r="34" spans="1:16" ht="12.75">
      <c r="A34" s="126">
        <v>29074.38</v>
      </c>
      <c r="B34" s="126">
        <v>0</v>
      </c>
      <c r="C34" s="444">
        <f>A34-B34</f>
        <v>29074.38</v>
      </c>
      <c r="D34" s="445"/>
      <c r="O34" s="241"/>
      <c r="P34" s="241"/>
    </row>
    <row r="35" spans="1:16" ht="12.75">
      <c r="A35" s="46"/>
      <c r="O35" s="241"/>
      <c r="P35" s="241"/>
    </row>
    <row r="36" spans="1:16" ht="12.75">
      <c r="A36" s="242" t="s">
        <v>76</v>
      </c>
      <c r="G36" s="242" t="s">
        <v>77</v>
      </c>
      <c r="O36" s="241"/>
      <c r="P36" s="241"/>
    </row>
    <row r="37" ht="12.75">
      <c r="A37" s="241"/>
    </row>
    <row r="38" ht="12.75">
      <c r="A38" s="83" t="s">
        <v>120</v>
      </c>
    </row>
    <row r="39" ht="12.75">
      <c r="A39" s="242" t="s">
        <v>78</v>
      </c>
    </row>
  </sheetData>
  <sheetProtection/>
  <mergeCells count="25">
    <mergeCell ref="A29:D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2012-05-28T09:45:35Z</dcterms:modified>
  <cp:category/>
  <cp:version/>
  <cp:contentType/>
  <cp:contentStatus/>
</cp:coreProperties>
</file>