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<sst xmlns="http://schemas.openxmlformats.org/spreadsheetml/2006/main" count="299" uniqueCount="123">
  <si>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</si>
  <si>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</si>
  <si>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</si>
  <si>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</si>
  <si>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</si>
  <si>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</si>
  <si>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</si>
  <si>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</si>
  <si>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</si>
  <si>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</si>
  <si>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</si>
  <si>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</si>
  <si>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</si>
  <si>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</si>
  <si>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</si>
  <si>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</si>
  <si>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</si>
  <si>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</si>
  <si>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</si>
  <si>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</si>
  <si>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</si>
  <si>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</si>
  <si>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</si>
  <si>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</si>
  <si>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</si>
  <si>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</si>
  <si>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</si>
  <si>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</si>
  <si>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</si>
  <si>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</si>
  <si>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</si>
  <si>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</si>
  <si>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</si>
  <si>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</si>
  <si>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</si>
  <si>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</si>
  <si>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</si>
  <si>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</si>
  <si>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</si>
  <si>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</si>
  <si>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</si>
  <si>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</si>
  <si>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</si>
  <si>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</si>
  <si>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</si>
  <si>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</si>
  <si>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</si>
  <si>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</si>
  <si>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</si>
  <si>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</si>
  <si>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</si>
  <si>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</si>
  <si>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</si>
  <si>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</si>
  <si>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</si>
  <si>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</si>
  <si>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</si>
  <si>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</si>
  <si>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</si>
  <si>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</si>
  <si>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</si>
  <si>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</si>
  <si>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</si>
  <si>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</si>
  <si>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</si>
  <si>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</si>
  <si>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</si>
  <si>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</si>
  <si>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</si>
  <si>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</si>
  <si>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</si>
  <si>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</si>
  <si>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</si>
  <si>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</si>
  <si>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</si>
  <si>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</si>
  <si>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</si>
  <si>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</si>
  <si>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</si>
  <si>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</si>
  <si>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</si>
  <si>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</si>
  <si>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</si>
  <si>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</si>
  <si>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</si>
  <si>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</si>
  <si>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</si>
  <si>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</si>
  <si>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</si>
  <si>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Увальная, д.14</t>
  </si>
  <si>
    <t>Лицевой счет по адресу г. Таштагол, ул. Увальная, д.14</t>
  </si>
  <si>
    <t>2010 год</t>
  </si>
  <si>
    <t>на 01.01.2011г.</t>
  </si>
  <si>
    <t>*по состоянию на 01.01.2011 г.</t>
  </si>
  <si>
    <t>на начало отчетного периода</t>
  </si>
  <si>
    <t>Лицевой счет по адресу г. Таштагол, ул. Увальная, д.12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</si>
  <si>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</si>
  <si>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</si>
  <si>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</si>
  <si>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</si>
  <si>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</si>
  <si>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</si>
  <si>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</si>
  <si>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</si>
  <si>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</si>
  <si>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</si>
  <si>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</si>
  <si>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</si>
  <si>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</si>
  <si>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</si>
  <si>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</si>
  <si>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</si>
  <si>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</si>
  <si>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</si>
  <si>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</si>
  <si>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</si>
  <si>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</si>
  <si>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</si>
  <si>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</si>
  <si>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*по состоянию на 01.01.2012 г.</t>
  </si>
  <si>
    <t>Исп. В.В. Колмогорова</t>
  </si>
  <si>
    <t>Выписка по лицевому счету по адресу г. Таштагол ул. Увальная, д. 14</t>
  </si>
  <si>
    <t>Тариф по содержанию и тек.ремонту 100 % (0,8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</si>
</sst>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37" borderId="1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36" xfId="0" applyNumberFormat="1" applyFont="1" applyFill="1" applyBorder="1" applyAlignment="1">
      <alignment horizontal="center"/>
    </xf>
    <xf numFmtId="4" fontId="10" fillId="0" borderId="15" xfId="0" applyNumberFormat="1" applyFont="1" applyBorder="1" applyAlignment="1">
      <alignment horizontal="center" wrapText="1"/>
    </xf>
    <xf numFmtId="4" fontId="11" fillId="0" borderId="33" xfId="34" applyNumberFormat="1" applyFont="1" applyFill="1" applyBorder="1" applyAlignment="1">
      <alignment horizontal="center" vertical="center" wrapText="1"/>
      <protection/>
    </xf>
    <xf numFmtId="4" fontId="11" fillId="34" borderId="13" xfId="34" applyNumberFormat="1" applyFont="1" applyFill="1" applyBorder="1" applyAlignment="1">
      <alignment horizontal="center" vertical="center" wrapText="1"/>
      <protection/>
    </xf>
    <xf numFmtId="4" fontId="10" fillId="0" borderId="11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35" borderId="15" xfId="0" applyNumberFormat="1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34" borderId="19" xfId="0" applyNumberFormat="1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center" wrapText="1"/>
    </xf>
    <xf numFmtId="4" fontId="10" fillId="37" borderId="11" xfId="0" applyNumberFormat="1" applyFont="1" applyFill="1" applyBorder="1" applyAlignment="1">
      <alignment/>
    </xf>
    <xf numFmtId="2" fontId="10" fillId="0" borderId="15" xfId="0" applyNumberFormat="1" applyFont="1" applyBorder="1" applyAlignment="1">
      <alignment horizontal="center"/>
    </xf>
    <xf numFmtId="4" fontId="11" fillId="34" borderId="11" xfId="34" applyNumberFormat="1" applyFont="1" applyFill="1" applyBorder="1" applyAlignment="1">
      <alignment horizontal="center" vertical="center" wrapText="1"/>
      <protection/>
    </xf>
    <xf numFmtId="4" fontId="11" fillId="0" borderId="34" xfId="34" applyNumberFormat="1" applyFont="1" applyFill="1" applyBorder="1" applyAlignment="1">
      <alignment horizontal="center" vertical="center" wrapText="1"/>
      <protection/>
    </xf>
    <xf numFmtId="4" fontId="10" fillId="0" borderId="3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11" fillId="0" borderId="11" xfId="0" applyNumberFormat="1" applyFont="1" applyFill="1" applyBorder="1" applyAlignment="1">
      <alignment horizontal="center"/>
    </xf>
    <xf numFmtId="4" fontId="11" fillId="0" borderId="36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33" borderId="2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34" borderId="1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36" borderId="34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8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58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textRotation="90"/>
    </xf>
    <xf numFmtId="0" fontId="1" fillId="35" borderId="38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30" fillId="0" borderId="38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35" borderId="35" xfId="0" applyFont="1" applyFill="1" applyBorder="1" applyAlignment="1">
      <alignment horizontal="center" textRotation="90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30" fillId="0" borderId="35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9" borderId="19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9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1" xfId="0" applyNumberFormat="1" applyFont="1" applyFill="1" applyBorder="1" applyAlignment="1">
      <alignment horizontal="center"/>
    </xf>
    <xf numFmtId="4" fontId="0" fillId="35" borderId="30" xfId="0" applyNumberFormat="1" applyFont="1" applyFill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35" borderId="30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1" fillId="0" borderId="42" xfId="0" applyNumberFormat="1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2" fillId="35" borderId="30" xfId="0" applyFont="1" applyFill="1" applyBorder="1" applyAlignment="1">
      <alignment/>
    </xf>
    <xf numFmtId="0" fontId="31" fillId="0" borderId="34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5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right" wrapText="1"/>
    </xf>
    <xf numFmtId="4" fontId="2" fillId="0" borderId="23" xfId="34" applyNumberFormat="1" applyFont="1" applyFill="1" applyBorder="1" applyAlignment="1">
      <alignment horizontal="right" vertical="center" wrapText="1"/>
      <protection/>
    </xf>
    <xf numFmtId="4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1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1" fillId="0" borderId="76" xfId="0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right"/>
    </xf>
    <xf numFmtId="4" fontId="1" fillId="0" borderId="7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/>
    </xf>
    <xf numFmtId="2" fontId="10" fillId="34" borderId="11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71" xfId="0" applyNumberFormat="1" applyFont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wrapText="1"/>
    </xf>
    <xf numFmtId="4" fontId="32" fillId="0" borderId="34" xfId="34" applyNumberFormat="1" applyFont="1" applyFill="1" applyBorder="1" applyAlignment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2" fillId="0" borderId="19" xfId="0" applyFont="1" applyBorder="1" applyAlignment="1">
      <alignment wrapText="1"/>
    </xf>
    <xf numFmtId="0" fontId="32" fillId="0" borderId="59" xfId="0" applyFont="1" applyBorder="1" applyAlignment="1">
      <alignment wrapText="1"/>
    </xf>
    <xf numFmtId="0" fontId="32" fillId="35" borderId="15" xfId="0" applyFont="1" applyFill="1" applyBorder="1" applyAlignment="1">
      <alignment/>
    </xf>
    <xf numFmtId="0" fontId="33" fillId="0" borderId="11" xfId="0" applyFont="1" applyBorder="1" applyAlignment="1">
      <alignment wrapText="1"/>
    </xf>
    <xf numFmtId="0" fontId="33" fillId="0" borderId="19" xfId="0" applyFont="1" applyBorder="1" applyAlignment="1">
      <alignment wrapText="1"/>
    </xf>
    <xf numFmtId="0" fontId="32" fillId="0" borderId="29" xfId="0" applyFont="1" applyBorder="1" applyAlignment="1">
      <alignment wrapText="1"/>
    </xf>
    <xf numFmtId="2" fontId="8" fillId="34" borderId="13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4" fontId="8" fillId="37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4" fontId="8" fillId="34" borderId="72" xfId="0" applyNumberFormat="1" applyFont="1" applyFill="1" applyBorder="1" applyAlignment="1">
      <alignment horizontal="right" wrapText="1"/>
    </xf>
    <xf numFmtId="0" fontId="32" fillId="0" borderId="11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35" borderId="15" xfId="0" applyFont="1" applyFill="1" applyBorder="1" applyAlignment="1">
      <alignment wrapText="1"/>
    </xf>
    <xf numFmtId="4" fontId="32" fillId="0" borderId="11" xfId="0" applyNumberFormat="1" applyFont="1" applyBorder="1" applyAlignment="1">
      <alignment wrapText="1"/>
    </xf>
    <xf numFmtId="4" fontId="32" fillId="0" borderId="19" xfId="0" applyNumberFormat="1" applyFont="1" applyBorder="1" applyAlignment="1">
      <alignment wrapText="1"/>
    </xf>
    <xf numFmtId="4" fontId="32" fillId="0" borderId="15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12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10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AQ44">
            <v>0</v>
          </cell>
          <cell r="AR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ечать"/>
      <sheetName val="2011 полн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5" width="13.12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79" t="s">
        <v>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0" t="s">
        <v>0</v>
      </c>
      <c r="B3" s="183" t="s">
        <v>1</v>
      </c>
      <c r="C3" s="183" t="s">
        <v>2</v>
      </c>
      <c r="D3" s="183" t="s">
        <v>3</v>
      </c>
      <c r="E3" s="186" t="s">
        <v>4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203" t="s">
        <v>5</v>
      </c>
      <c r="T3" s="203"/>
      <c r="U3" s="204" t="s">
        <v>6</v>
      </c>
      <c r="V3" s="204"/>
      <c r="W3" s="204"/>
      <c r="X3" s="204"/>
      <c r="Y3" s="204"/>
      <c r="Z3" s="204"/>
      <c r="AA3" s="204"/>
      <c r="AB3" s="204"/>
      <c r="AC3" s="206" t="s">
        <v>86</v>
      </c>
      <c r="AD3" s="206" t="s">
        <v>8</v>
      </c>
      <c r="AE3" s="209" t="s">
        <v>9</v>
      </c>
      <c r="AF3" s="216" t="s">
        <v>74</v>
      </c>
      <c r="AG3" s="219" t="s">
        <v>10</v>
      </c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195" t="s">
        <v>75</v>
      </c>
      <c r="BD3" s="200" t="s">
        <v>11</v>
      </c>
      <c r="BE3" s="188" t="s">
        <v>12</v>
      </c>
    </row>
    <row r="4" spans="1:57" ht="36" customHeight="1" thickBot="1">
      <c r="A4" s="181"/>
      <c r="B4" s="184"/>
      <c r="C4" s="184"/>
      <c r="D4" s="184"/>
      <c r="E4" s="187" t="s">
        <v>13</v>
      </c>
      <c r="F4" s="187"/>
      <c r="G4" s="187" t="s">
        <v>14</v>
      </c>
      <c r="H4" s="187"/>
      <c r="I4" s="187" t="s">
        <v>15</v>
      </c>
      <c r="J4" s="187"/>
      <c r="K4" s="187" t="s">
        <v>16</v>
      </c>
      <c r="L4" s="187"/>
      <c r="M4" s="187" t="s">
        <v>17</v>
      </c>
      <c r="N4" s="187"/>
      <c r="O4" s="187" t="s">
        <v>18</v>
      </c>
      <c r="P4" s="187"/>
      <c r="Q4" s="187" t="s">
        <v>19</v>
      </c>
      <c r="R4" s="187"/>
      <c r="S4" s="187"/>
      <c r="T4" s="187"/>
      <c r="U4" s="205"/>
      <c r="V4" s="205"/>
      <c r="W4" s="205"/>
      <c r="X4" s="205"/>
      <c r="Y4" s="205"/>
      <c r="Z4" s="205"/>
      <c r="AA4" s="205"/>
      <c r="AB4" s="205"/>
      <c r="AC4" s="207"/>
      <c r="AD4" s="207"/>
      <c r="AE4" s="210"/>
      <c r="AF4" s="217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6"/>
      <c r="BD4" s="201"/>
      <c r="BE4" s="189"/>
    </row>
    <row r="5" spans="1:57" ht="29.25" customHeight="1" thickBot="1">
      <c r="A5" s="181"/>
      <c r="B5" s="184"/>
      <c r="C5" s="184"/>
      <c r="D5" s="184"/>
      <c r="E5" s="198" t="s">
        <v>20</v>
      </c>
      <c r="F5" s="198" t="s">
        <v>21</v>
      </c>
      <c r="G5" s="198" t="s">
        <v>20</v>
      </c>
      <c r="H5" s="198" t="s">
        <v>21</v>
      </c>
      <c r="I5" s="198" t="s">
        <v>20</v>
      </c>
      <c r="J5" s="198" t="s">
        <v>21</v>
      </c>
      <c r="K5" s="198" t="s">
        <v>20</v>
      </c>
      <c r="L5" s="198" t="s">
        <v>21</v>
      </c>
      <c r="M5" s="198" t="s">
        <v>20</v>
      </c>
      <c r="N5" s="198" t="s">
        <v>21</v>
      </c>
      <c r="O5" s="198" t="s">
        <v>20</v>
      </c>
      <c r="P5" s="198" t="s">
        <v>21</v>
      </c>
      <c r="Q5" s="198" t="s">
        <v>20</v>
      </c>
      <c r="R5" s="198" t="s">
        <v>21</v>
      </c>
      <c r="S5" s="198" t="s">
        <v>20</v>
      </c>
      <c r="T5" s="198" t="s">
        <v>21</v>
      </c>
      <c r="U5" s="212" t="s">
        <v>22</v>
      </c>
      <c r="V5" s="212" t="s">
        <v>23</v>
      </c>
      <c r="W5" s="212" t="s">
        <v>24</v>
      </c>
      <c r="X5" s="212" t="s">
        <v>25</v>
      </c>
      <c r="Y5" s="212" t="s">
        <v>26</v>
      </c>
      <c r="Z5" s="212" t="s">
        <v>27</v>
      </c>
      <c r="AA5" s="212" t="s">
        <v>28</v>
      </c>
      <c r="AB5" s="212" t="s">
        <v>29</v>
      </c>
      <c r="AC5" s="207"/>
      <c r="AD5" s="207"/>
      <c r="AE5" s="210"/>
      <c r="AF5" s="217"/>
      <c r="AG5" s="191" t="s">
        <v>30</v>
      </c>
      <c r="AH5" s="191" t="s">
        <v>31</v>
      </c>
      <c r="AI5" s="191" t="s">
        <v>32</v>
      </c>
      <c r="AJ5" s="191" t="s">
        <v>33</v>
      </c>
      <c r="AK5" s="191" t="s">
        <v>34</v>
      </c>
      <c r="AL5" s="191" t="s">
        <v>33</v>
      </c>
      <c r="AM5" s="191" t="s">
        <v>35</v>
      </c>
      <c r="AN5" s="191" t="s">
        <v>33</v>
      </c>
      <c r="AO5" s="191" t="s">
        <v>36</v>
      </c>
      <c r="AP5" s="191" t="s">
        <v>33</v>
      </c>
      <c r="AQ5" s="220" t="s">
        <v>79</v>
      </c>
      <c r="AR5" s="222" t="s">
        <v>33</v>
      </c>
      <c r="AS5" s="193" t="s">
        <v>80</v>
      </c>
      <c r="AT5" s="214" t="s">
        <v>81</v>
      </c>
      <c r="AU5" s="214" t="s">
        <v>33</v>
      </c>
      <c r="AV5" s="224" t="s">
        <v>82</v>
      </c>
      <c r="AW5" s="225"/>
      <c r="AX5" s="226"/>
      <c r="AY5" s="191" t="s">
        <v>19</v>
      </c>
      <c r="AZ5" s="191" t="s">
        <v>38</v>
      </c>
      <c r="BA5" s="191" t="s">
        <v>33</v>
      </c>
      <c r="BB5" s="191" t="s">
        <v>39</v>
      </c>
      <c r="BC5" s="196"/>
      <c r="BD5" s="201"/>
      <c r="BE5" s="189"/>
    </row>
    <row r="6" spans="1:57" ht="54" customHeight="1" thickBot="1">
      <c r="A6" s="182"/>
      <c r="B6" s="185"/>
      <c r="C6" s="185"/>
      <c r="D6" s="185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13"/>
      <c r="V6" s="213"/>
      <c r="W6" s="213"/>
      <c r="X6" s="213"/>
      <c r="Y6" s="213"/>
      <c r="Z6" s="213"/>
      <c r="AA6" s="213"/>
      <c r="AB6" s="213"/>
      <c r="AC6" s="208"/>
      <c r="AD6" s="208"/>
      <c r="AE6" s="211"/>
      <c r="AF6" s="218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221"/>
      <c r="AR6" s="223"/>
      <c r="AS6" s="194"/>
      <c r="AT6" s="215"/>
      <c r="AU6" s="215"/>
      <c r="AV6" s="105" t="s">
        <v>83</v>
      </c>
      <c r="AW6" s="105" t="s">
        <v>84</v>
      </c>
      <c r="AX6" s="105" t="s">
        <v>85</v>
      </c>
      <c r="AY6" s="192"/>
      <c r="AZ6" s="192"/>
      <c r="BA6" s="192"/>
      <c r="BB6" s="192"/>
      <c r="BC6" s="197"/>
      <c r="BD6" s="202"/>
      <c r="BE6" s="190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6"/>
      <c r="AT8" s="46"/>
      <c r="AU8" s="46"/>
      <c r="AV8" s="46"/>
      <c r="AW8" s="4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2">
        <v>735.7</v>
      </c>
      <c r="C9" s="93">
        <f>B9*8.65</f>
        <v>6363.805</v>
      </c>
      <c r="D9" s="94">
        <f>C9*0.24088</f>
        <v>1532.9133484000001</v>
      </c>
      <c r="E9" s="95">
        <v>577.24</v>
      </c>
      <c r="F9" s="95">
        <v>41.24</v>
      </c>
      <c r="G9" s="95">
        <v>210.38</v>
      </c>
      <c r="H9" s="95">
        <v>14.95</v>
      </c>
      <c r="I9" s="95">
        <v>1876.04</v>
      </c>
      <c r="J9" s="95">
        <v>134.03</v>
      </c>
      <c r="K9" s="95">
        <v>1298.81</v>
      </c>
      <c r="L9" s="95">
        <v>92.79</v>
      </c>
      <c r="M9" s="95">
        <v>461.79</v>
      </c>
      <c r="N9" s="95">
        <v>32.99</v>
      </c>
      <c r="O9" s="95">
        <v>0</v>
      </c>
      <c r="P9" s="95">
        <v>0</v>
      </c>
      <c r="Q9" s="95">
        <v>0</v>
      </c>
      <c r="R9" s="95">
        <v>0</v>
      </c>
      <c r="S9" s="82">
        <f>E9+G9+I9+K9+M9+O9+Q9</f>
        <v>4424.26</v>
      </c>
      <c r="T9" s="96">
        <f>P9+N9+L9+J9+H9+F9+R9</f>
        <v>316</v>
      </c>
      <c r="U9" s="82">
        <v>0</v>
      </c>
      <c r="V9" s="82">
        <v>0</v>
      </c>
      <c r="W9" s="82">
        <v>0</v>
      </c>
      <c r="X9" s="82">
        <v>0</v>
      </c>
      <c r="Y9" s="121">
        <v>0</v>
      </c>
      <c r="Z9" s="97">
        <v>0</v>
      </c>
      <c r="AA9" s="97">
        <v>0</v>
      </c>
      <c r="AB9" s="97">
        <f>SUM(U9:AA9)</f>
        <v>0</v>
      </c>
      <c r="AC9" s="98">
        <f>D9+T9+AB9</f>
        <v>1848.9133484000001</v>
      </c>
      <c r="AD9" s="99">
        <f>P9+Z9</f>
        <v>0</v>
      </c>
      <c r="AE9" s="90">
        <f>R9+AA9</f>
        <v>0</v>
      </c>
      <c r="AF9" s="112"/>
      <c r="AG9" s="16">
        <f>0.6*B9</f>
        <v>441.42</v>
      </c>
      <c r="AH9" s="16">
        <f>B9*0.2*1.05826</f>
        <v>155.7123764</v>
      </c>
      <c r="AI9" s="16">
        <f>0.8518*B9</f>
        <v>626.66926</v>
      </c>
      <c r="AJ9" s="16">
        <f>AI9*0.18</f>
        <v>112.8004668</v>
      </c>
      <c r="AK9" s="16">
        <f>1.04*B9*0.9531</f>
        <v>729.2434968</v>
      </c>
      <c r="AL9" s="16">
        <f>AK9*0.18</f>
        <v>131.263829424</v>
      </c>
      <c r="AM9" s="16">
        <f>(1.91)*B9*0.9531</f>
        <v>1339.2837297</v>
      </c>
      <c r="AN9" s="16">
        <f>AM9*0.18</f>
        <v>241.071071346</v>
      </c>
      <c r="AO9" s="113"/>
      <c r="AP9" s="16">
        <f>AO9*0.18</f>
        <v>0</v>
      </c>
      <c r="AQ9" s="103"/>
      <c r="AR9" s="103"/>
      <c r="AS9" s="85"/>
      <c r="AT9" s="85"/>
      <c r="AU9" s="85">
        <f>(AS9+AT9)*0.18</f>
        <v>0</v>
      </c>
      <c r="AV9" s="104"/>
      <c r="AW9" s="114"/>
      <c r="AX9" s="16">
        <f>AV9*AW9*1.12*1.18</f>
        <v>0</v>
      </c>
      <c r="AY9" s="113"/>
      <c r="AZ9" s="115"/>
      <c r="BA9" s="115">
        <f>AZ9*0.18</f>
        <v>0</v>
      </c>
      <c r="BB9" s="107">
        <f>SUM(AG9:BA9)-AV9-AW9</f>
        <v>3777.46423047</v>
      </c>
      <c r="BC9" s="116"/>
      <c r="BD9" s="14">
        <f>AC9-BB9</f>
        <v>-1928.55088207</v>
      </c>
      <c r="BE9" s="29">
        <f>AB9-S9</f>
        <v>-4424.26</v>
      </c>
    </row>
    <row r="10" spans="1:57" ht="12.75" hidden="1">
      <c r="A10" s="11" t="s">
        <v>42</v>
      </c>
      <c r="B10" s="92">
        <v>735.7</v>
      </c>
      <c r="C10" s="93">
        <f>B10*8.65</f>
        <v>6363.805</v>
      </c>
      <c r="D10" s="94">
        <f>C10*0.24088</f>
        <v>1532.9133484000001</v>
      </c>
      <c r="E10" s="95">
        <v>577.24</v>
      </c>
      <c r="F10" s="95">
        <v>41.24</v>
      </c>
      <c r="G10" s="95">
        <v>210.38</v>
      </c>
      <c r="H10" s="95">
        <v>14.95</v>
      </c>
      <c r="I10" s="95">
        <v>1876.04</v>
      </c>
      <c r="J10" s="95">
        <v>134.03</v>
      </c>
      <c r="K10" s="95">
        <v>1298.81</v>
      </c>
      <c r="L10" s="95">
        <v>92.79</v>
      </c>
      <c r="M10" s="95">
        <v>461.79</v>
      </c>
      <c r="N10" s="95">
        <v>32.99</v>
      </c>
      <c r="O10" s="95">
        <v>0</v>
      </c>
      <c r="P10" s="95">
        <v>0</v>
      </c>
      <c r="Q10" s="95">
        <v>0</v>
      </c>
      <c r="R10" s="95">
        <v>0</v>
      </c>
      <c r="S10" s="82">
        <f>E10+G10+I10+K10+M10+O10+Q10</f>
        <v>4424.26</v>
      </c>
      <c r="T10" s="96">
        <f>P10+N10+L10+J10+H10+F10+R10</f>
        <v>316</v>
      </c>
      <c r="U10" s="82">
        <v>124.96</v>
      </c>
      <c r="V10" s="82">
        <v>45.6</v>
      </c>
      <c r="W10" s="82">
        <v>406.11</v>
      </c>
      <c r="X10" s="82">
        <v>281.15</v>
      </c>
      <c r="Y10" s="121">
        <v>99.96</v>
      </c>
      <c r="Z10" s="97">
        <v>0</v>
      </c>
      <c r="AA10" s="97">
        <v>0</v>
      </c>
      <c r="AB10" s="100">
        <f>SUM(U10:AA10)</f>
        <v>957.7800000000001</v>
      </c>
      <c r="AC10" s="101">
        <f>D10+T10+AB10</f>
        <v>2806.6933484</v>
      </c>
      <c r="AD10" s="90">
        <f>P10+Z10</f>
        <v>0</v>
      </c>
      <c r="AE10" s="90">
        <f>R10+AA10</f>
        <v>0</v>
      </c>
      <c r="AF10" s="90"/>
      <c r="AG10" s="16">
        <f>0.6*B10</f>
        <v>441.42</v>
      </c>
      <c r="AH10" s="16">
        <f>B10*0.201</f>
        <v>147.87570000000002</v>
      </c>
      <c r="AI10" s="16">
        <f>0.8518*B10</f>
        <v>626.66926</v>
      </c>
      <c r="AJ10" s="16">
        <f>AI10*0.18</f>
        <v>112.8004668</v>
      </c>
      <c r="AK10" s="16">
        <f>1.04*B10*0.9531</f>
        <v>729.2434968</v>
      </c>
      <c r="AL10" s="16">
        <f>AK10*0.18</f>
        <v>131.263829424</v>
      </c>
      <c r="AM10" s="16">
        <f>(1.91)*B10*0.9531</f>
        <v>1339.2837297</v>
      </c>
      <c r="AN10" s="16">
        <f>AM10*0.18</f>
        <v>241.071071346</v>
      </c>
      <c r="AO10" s="16"/>
      <c r="AP10" s="16">
        <f>AO10*0.18</f>
        <v>0</v>
      </c>
      <c r="AQ10" s="103"/>
      <c r="AR10" s="103"/>
      <c r="AS10" s="85"/>
      <c r="AT10" s="85"/>
      <c r="AU10" s="85">
        <f>(AS10+AT10)*0.18</f>
        <v>0</v>
      </c>
      <c r="AV10" s="104"/>
      <c r="AW10" s="114"/>
      <c r="AX10" s="16">
        <f>AV10*AW10*1.12*1.18</f>
        <v>0</v>
      </c>
      <c r="AY10" s="16"/>
      <c r="AZ10" s="107"/>
      <c r="BA10" s="107">
        <f>AZ10*0.18</f>
        <v>0</v>
      </c>
      <c r="BB10" s="107">
        <f>SUM(AG10:BA10)-AV10-AW10</f>
        <v>3769.6275540700003</v>
      </c>
      <c r="BC10" s="110"/>
      <c r="BD10" s="14">
        <f>AC10-BB10</f>
        <v>-962.9342056700002</v>
      </c>
      <c r="BE10" s="29">
        <f>AB10-S10</f>
        <v>-3466.48</v>
      </c>
    </row>
    <row r="11" spans="1:57" ht="12.75" hidden="1">
      <c r="A11" s="11" t="s">
        <v>43</v>
      </c>
      <c r="B11" s="92">
        <v>735.7</v>
      </c>
      <c r="C11" s="93">
        <f>B11*8.65</f>
        <v>6363.805</v>
      </c>
      <c r="D11" s="94">
        <f>C11*0.24035</f>
        <v>1529.5405317500001</v>
      </c>
      <c r="E11" s="95">
        <v>577.24</v>
      </c>
      <c r="F11" s="95">
        <v>41.24</v>
      </c>
      <c r="G11" s="95">
        <v>210.38</v>
      </c>
      <c r="H11" s="95">
        <v>14.95</v>
      </c>
      <c r="I11" s="95">
        <v>1876.04</v>
      </c>
      <c r="J11" s="95">
        <v>134.03</v>
      </c>
      <c r="K11" s="95">
        <v>1298.81</v>
      </c>
      <c r="L11" s="95">
        <v>92.79</v>
      </c>
      <c r="M11" s="95">
        <v>461.79</v>
      </c>
      <c r="N11" s="95">
        <v>32.99</v>
      </c>
      <c r="O11" s="95">
        <v>0</v>
      </c>
      <c r="P11" s="102">
        <v>0</v>
      </c>
      <c r="Q11" s="95">
        <v>0</v>
      </c>
      <c r="R11" s="102">
        <v>0</v>
      </c>
      <c r="S11" s="82">
        <f>E11+G11+I11+K11+M11+O11+Q11</f>
        <v>4424.26</v>
      </c>
      <c r="T11" s="96">
        <f>P11+N11+L11+J11+H11+F11+R11</f>
        <v>316</v>
      </c>
      <c r="U11" s="82">
        <v>354.81</v>
      </c>
      <c r="V11" s="82">
        <v>129.19</v>
      </c>
      <c r="W11" s="82">
        <v>1153.16</v>
      </c>
      <c r="X11" s="82">
        <v>798.34</v>
      </c>
      <c r="Y11" s="121">
        <v>283.85</v>
      </c>
      <c r="Z11" s="97">
        <v>0</v>
      </c>
      <c r="AA11" s="97">
        <v>0</v>
      </c>
      <c r="AB11" s="100">
        <f>SUM(U11:AA11)</f>
        <v>2719.35</v>
      </c>
      <c r="AC11" s="101">
        <f>D11+T11+AB11</f>
        <v>4564.89053175</v>
      </c>
      <c r="AD11" s="90">
        <f>P11+Z11</f>
        <v>0</v>
      </c>
      <c r="AE11" s="90">
        <f>R11+AA11</f>
        <v>0</v>
      </c>
      <c r="AF11" s="90"/>
      <c r="AG11" s="16">
        <f>0.6*B11</f>
        <v>441.42</v>
      </c>
      <c r="AH11" s="16">
        <f>B11*0.2*1.02524</f>
        <v>150.8538136</v>
      </c>
      <c r="AI11" s="16">
        <f>0.84932*B11</f>
        <v>624.844724</v>
      </c>
      <c r="AJ11" s="16">
        <f>AI11*0.18</f>
        <v>112.47205032000001</v>
      </c>
      <c r="AK11" s="16">
        <f>1.04*B11*0.95033</f>
        <v>727.1240922400001</v>
      </c>
      <c r="AL11" s="16">
        <f>AK11*0.18</f>
        <v>130.8823366032</v>
      </c>
      <c r="AM11" s="16">
        <f>(1.91)*B11*0.95033</f>
        <v>1335.3913617100002</v>
      </c>
      <c r="AN11" s="16">
        <f>AM11*0.18</f>
        <v>240.37044510780004</v>
      </c>
      <c r="AO11" s="16"/>
      <c r="AP11" s="16">
        <f>AO11*0.18</f>
        <v>0</v>
      </c>
      <c r="AQ11" s="103"/>
      <c r="AR11" s="103"/>
      <c r="AS11" s="85"/>
      <c r="AT11" s="85"/>
      <c r="AU11" s="85">
        <f>(AS11+AT11)*0.18</f>
        <v>0</v>
      </c>
      <c r="AV11" s="104"/>
      <c r="AW11" s="114"/>
      <c r="AX11" s="16">
        <f>AV11*AW11*1.12*1.18</f>
        <v>0</v>
      </c>
      <c r="AY11" s="16"/>
      <c r="AZ11" s="107"/>
      <c r="BA11" s="107">
        <f>AZ11*0.18</f>
        <v>0</v>
      </c>
      <c r="BB11" s="107">
        <f>SUM(AG11:BA11)-AV11-AW11</f>
        <v>3763.3588235810007</v>
      </c>
      <c r="BC11" s="110"/>
      <c r="BD11" s="14">
        <f>AC11-BB11</f>
        <v>801.5317081689996</v>
      </c>
      <c r="BE11" s="29">
        <f>AB11-S11</f>
        <v>-1704.9100000000003</v>
      </c>
    </row>
    <row r="12" spans="1:57" s="20" customFormat="1" ht="15" customHeight="1" hidden="1">
      <c r="A12" s="17" t="s">
        <v>5</v>
      </c>
      <c r="B12" s="57"/>
      <c r="C12" s="57">
        <f aca="true" t="shared" si="0" ref="C12:BE12">SUM(C9:C11)</f>
        <v>19091.415</v>
      </c>
      <c r="D12" s="57">
        <f t="shared" si="0"/>
        <v>4595.367228550001</v>
      </c>
      <c r="E12" s="54">
        <f>SUM(E9:E11)</f>
        <v>1731.72</v>
      </c>
      <c r="F12" s="54">
        <f t="shared" si="0"/>
        <v>123.72</v>
      </c>
      <c r="G12" s="54">
        <f t="shared" si="0"/>
        <v>631.14</v>
      </c>
      <c r="H12" s="54">
        <f t="shared" si="0"/>
        <v>44.849999999999994</v>
      </c>
      <c r="I12" s="54">
        <f t="shared" si="0"/>
        <v>5628.12</v>
      </c>
      <c r="J12" s="54">
        <f t="shared" si="0"/>
        <v>402.09000000000003</v>
      </c>
      <c r="K12" s="54">
        <f t="shared" si="0"/>
        <v>3896.43</v>
      </c>
      <c r="L12" s="54">
        <f t="shared" si="0"/>
        <v>278.37</v>
      </c>
      <c r="M12" s="54">
        <f t="shared" si="0"/>
        <v>1385.3700000000001</v>
      </c>
      <c r="N12" s="54">
        <f t="shared" si="0"/>
        <v>98.97</v>
      </c>
      <c r="O12" s="54">
        <f t="shared" si="0"/>
        <v>0</v>
      </c>
      <c r="P12" s="54">
        <f t="shared" si="0"/>
        <v>0</v>
      </c>
      <c r="Q12" s="54">
        <f t="shared" si="0"/>
        <v>0</v>
      </c>
      <c r="R12" s="54">
        <f t="shared" si="0"/>
        <v>0</v>
      </c>
      <c r="S12" s="54">
        <f t="shared" si="0"/>
        <v>13272.78</v>
      </c>
      <c r="T12" s="54">
        <f t="shared" si="0"/>
        <v>948</v>
      </c>
      <c r="U12" s="58">
        <f t="shared" si="0"/>
        <v>479.77</v>
      </c>
      <c r="V12" s="58">
        <f t="shared" si="0"/>
        <v>174.79</v>
      </c>
      <c r="W12" s="58">
        <f t="shared" si="0"/>
        <v>1559.27</v>
      </c>
      <c r="X12" s="58">
        <f t="shared" si="0"/>
        <v>1079.49</v>
      </c>
      <c r="Y12" s="58">
        <f t="shared" si="0"/>
        <v>383.81</v>
      </c>
      <c r="Z12" s="58">
        <f t="shared" si="0"/>
        <v>0</v>
      </c>
      <c r="AA12" s="58">
        <f t="shared" si="0"/>
        <v>0</v>
      </c>
      <c r="AB12" s="58">
        <f t="shared" si="0"/>
        <v>3677.13</v>
      </c>
      <c r="AC12" s="58">
        <f t="shared" si="0"/>
        <v>9220.49722855</v>
      </c>
      <c r="AD12" s="58">
        <f>SUM(AD9:AD11)</f>
        <v>0</v>
      </c>
      <c r="AE12" s="88">
        <f t="shared" si="0"/>
        <v>0</v>
      </c>
      <c r="AF12" s="88">
        <f t="shared" si="0"/>
        <v>0</v>
      </c>
      <c r="AG12" s="18">
        <f t="shared" si="0"/>
        <v>1324.26</v>
      </c>
      <c r="AH12" s="18">
        <f t="shared" si="0"/>
        <v>454.44189000000006</v>
      </c>
      <c r="AI12" s="18">
        <f t="shared" si="0"/>
        <v>1878.183244</v>
      </c>
      <c r="AJ12" s="18">
        <f t="shared" si="0"/>
        <v>338.07298392</v>
      </c>
      <c r="AK12" s="18">
        <f t="shared" si="0"/>
        <v>2185.61108584</v>
      </c>
      <c r="AL12" s="18">
        <f t="shared" si="0"/>
        <v>393.40999545119996</v>
      </c>
      <c r="AM12" s="18">
        <f>SUM(AM9:AM11)</f>
        <v>4013.9588211100004</v>
      </c>
      <c r="AN12" s="18">
        <f>SUM(AN9:AN11)</f>
        <v>722.5125877998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11310.450608121</v>
      </c>
      <c r="BC12" s="18">
        <f t="shared" si="0"/>
        <v>0</v>
      </c>
      <c r="BD12" s="18">
        <f t="shared" si="0"/>
        <v>-2089.953379571001</v>
      </c>
      <c r="BE12" s="19">
        <f t="shared" si="0"/>
        <v>-9595.65</v>
      </c>
    </row>
    <row r="13" spans="1:57" ht="15" customHeight="1" hidden="1">
      <c r="A13" s="5" t="s">
        <v>44</v>
      </c>
      <c r="B13" s="55"/>
      <c r="C13" s="56"/>
      <c r="D13" s="5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2"/>
      <c r="R13" s="52"/>
      <c r="S13" s="52"/>
      <c r="T13" s="52"/>
      <c r="U13" s="59"/>
      <c r="V13" s="59"/>
      <c r="W13" s="59"/>
      <c r="X13" s="59"/>
      <c r="Y13" s="59"/>
      <c r="Z13" s="59"/>
      <c r="AA13" s="51"/>
      <c r="AB13" s="51"/>
      <c r="AC13" s="86"/>
      <c r="AD13" s="86"/>
      <c r="AE13" s="87"/>
      <c r="AF13" s="87"/>
      <c r="AG13" s="14"/>
      <c r="AH13" s="14"/>
      <c r="AI13" s="14"/>
      <c r="AJ13" s="14"/>
      <c r="AK13" s="14"/>
      <c r="AL13" s="14"/>
      <c r="AM13" s="14"/>
      <c r="AN13" s="14"/>
      <c r="AO13" s="30"/>
      <c r="AP13" s="30"/>
      <c r="AQ13" s="30"/>
      <c r="AR13" s="30"/>
      <c r="AS13" s="83"/>
      <c r="AT13" s="83"/>
      <c r="AU13" s="47"/>
      <c r="AV13" s="47"/>
      <c r="AW13" s="47"/>
      <c r="AX13" s="30"/>
      <c r="AY13" s="30"/>
      <c r="AZ13" s="30"/>
      <c r="BA13" s="14"/>
      <c r="BB13" s="14"/>
      <c r="BC13" s="14"/>
      <c r="BD13" s="14"/>
      <c r="BE13" s="29"/>
    </row>
    <row r="14" spans="1:57" ht="12.75" hidden="1">
      <c r="A14" s="11" t="s">
        <v>45</v>
      </c>
      <c r="B14" s="122">
        <v>735.7</v>
      </c>
      <c r="C14" s="123">
        <f>B14*8.65</f>
        <v>6363.805</v>
      </c>
      <c r="D14" s="124">
        <f>C14*0.125</f>
        <v>795.475625</v>
      </c>
      <c r="E14" s="125">
        <v>577.24</v>
      </c>
      <c r="F14" s="125">
        <v>41.24</v>
      </c>
      <c r="G14" s="125">
        <v>210.38</v>
      </c>
      <c r="H14" s="125">
        <v>14.95</v>
      </c>
      <c r="I14" s="125">
        <v>1876.04</v>
      </c>
      <c r="J14" s="125">
        <v>134.03</v>
      </c>
      <c r="K14" s="125">
        <v>1298.81</v>
      </c>
      <c r="L14" s="125">
        <v>92.79</v>
      </c>
      <c r="M14" s="125">
        <v>461.79</v>
      </c>
      <c r="N14" s="125">
        <v>32.99</v>
      </c>
      <c r="O14" s="125">
        <v>0</v>
      </c>
      <c r="P14" s="126">
        <v>0</v>
      </c>
      <c r="Q14" s="125">
        <v>0</v>
      </c>
      <c r="R14" s="126">
        <v>0</v>
      </c>
      <c r="S14" s="127">
        <f>E14+G14+I14+K14+M14+O14+Q14</f>
        <v>4424.26</v>
      </c>
      <c r="T14" s="128">
        <f>P14+N14+L14+J14+H14+F14+R14</f>
        <v>316</v>
      </c>
      <c r="U14" s="127">
        <v>336.61</v>
      </c>
      <c r="V14" s="127">
        <v>122.54</v>
      </c>
      <c r="W14" s="127">
        <v>1093.97</v>
      </c>
      <c r="X14" s="127">
        <v>757.38</v>
      </c>
      <c r="Y14" s="129">
        <v>269.28</v>
      </c>
      <c r="Z14" s="130">
        <v>0</v>
      </c>
      <c r="AA14" s="130">
        <v>0</v>
      </c>
      <c r="AB14" s="131">
        <f>SUM(U14:AA14)</f>
        <v>2579.7799999999997</v>
      </c>
      <c r="AC14" s="132">
        <f>D14+T14+AB14</f>
        <v>3691.255625</v>
      </c>
      <c r="AD14" s="112">
        <f>P14+Z14</f>
        <v>0</v>
      </c>
      <c r="AE14" s="112">
        <f>R14+AA14</f>
        <v>0</v>
      </c>
      <c r="AF14" s="112"/>
      <c r="AG14" s="113">
        <f>0.6*B14*0.9</f>
        <v>397.278</v>
      </c>
      <c r="AH14" s="16">
        <f>B14*0.2*0.891</f>
        <v>131.10174</v>
      </c>
      <c r="AI14" s="16">
        <f>0.85*B14*0.867-0.02</f>
        <v>542.154115</v>
      </c>
      <c r="AJ14" s="113">
        <f>AI14*0.18</f>
        <v>97.58774070000001</v>
      </c>
      <c r="AK14" s="16">
        <f>0.83*B14*0.8686</f>
        <v>530.3940866</v>
      </c>
      <c r="AL14" s="113">
        <f>AK14*0.18</f>
        <v>95.470935588</v>
      </c>
      <c r="AM14" s="16">
        <f>1.91*B14*0.8686</f>
        <v>1220.5454282</v>
      </c>
      <c r="AN14" s="113">
        <f>AM14*0.18</f>
        <v>219.698177076</v>
      </c>
      <c r="AO14" s="113"/>
      <c r="AP14" s="113">
        <f>AO14*0.18</f>
        <v>0</v>
      </c>
      <c r="AQ14" s="133"/>
      <c r="AR14" s="103">
        <f>AQ14*0.18</f>
        <v>0</v>
      </c>
      <c r="AS14" s="134"/>
      <c r="AT14" s="134"/>
      <c r="AU14" s="85">
        <f aca="true" t="shared" si="1" ref="AU14:AU25">(AS14+AT14)*0.18</f>
        <v>0</v>
      </c>
      <c r="AV14" s="135">
        <v>508</v>
      </c>
      <c r="AW14" s="136">
        <v>0.3</v>
      </c>
      <c r="AX14" s="113">
        <f aca="true" t="shared" si="2" ref="AX14:AX25">AV14*AW14*1.12*1.18</f>
        <v>201.41184</v>
      </c>
      <c r="AY14" s="113"/>
      <c r="AZ14" s="115"/>
      <c r="BA14" s="115">
        <f>AZ14*0.18</f>
        <v>0</v>
      </c>
      <c r="BB14" s="107">
        <f>SUM(AG14:AU14)</f>
        <v>3234.230223164</v>
      </c>
      <c r="BC14" s="116"/>
      <c r="BD14" s="14">
        <f>AC14+AF14-BB14-BC14</f>
        <v>457.0254018359997</v>
      </c>
      <c r="BE14" s="29">
        <f>AB14-S14</f>
        <v>-1844.4800000000005</v>
      </c>
    </row>
    <row r="15" spans="1:57" ht="12.75" hidden="1">
      <c r="A15" s="11" t="s">
        <v>46</v>
      </c>
      <c r="B15" s="137">
        <v>739.7</v>
      </c>
      <c r="C15" s="123">
        <f>B15*8.65</f>
        <v>6398.405000000001</v>
      </c>
      <c r="D15" s="124">
        <f>C15*0.125</f>
        <v>799.8006250000001</v>
      </c>
      <c r="E15" s="127">
        <v>577.24</v>
      </c>
      <c r="F15" s="127">
        <v>41.24</v>
      </c>
      <c r="G15" s="127">
        <v>210.38</v>
      </c>
      <c r="H15" s="127">
        <v>14.95</v>
      </c>
      <c r="I15" s="127">
        <v>1876.04</v>
      </c>
      <c r="J15" s="127">
        <v>134.03</v>
      </c>
      <c r="K15" s="127">
        <v>1298.81</v>
      </c>
      <c r="L15" s="127">
        <v>92.79</v>
      </c>
      <c r="M15" s="127">
        <v>461.79</v>
      </c>
      <c r="N15" s="127">
        <v>32.99</v>
      </c>
      <c r="O15" s="127">
        <v>0</v>
      </c>
      <c r="P15" s="130">
        <v>0</v>
      </c>
      <c r="Q15" s="127">
        <v>0</v>
      </c>
      <c r="R15" s="130">
        <v>0</v>
      </c>
      <c r="S15" s="127">
        <f>E15+G15+I15+K15+M15+O15+Q15</f>
        <v>4424.26</v>
      </c>
      <c r="T15" s="128">
        <f>P15+N15+L15+J15+H15+F15+R15</f>
        <v>316</v>
      </c>
      <c r="U15" s="127">
        <v>97.44</v>
      </c>
      <c r="V15" s="127">
        <v>35.56</v>
      </c>
      <c r="W15" s="127">
        <v>316.65</v>
      </c>
      <c r="X15" s="127">
        <v>219.22</v>
      </c>
      <c r="Y15" s="129">
        <v>182.56</v>
      </c>
      <c r="Z15" s="130">
        <v>0</v>
      </c>
      <c r="AA15" s="130">
        <v>0</v>
      </c>
      <c r="AB15" s="131">
        <f aca="true" t="shared" si="3" ref="AB15:AB22">SUM(U15:AA15)</f>
        <v>851.4300000000001</v>
      </c>
      <c r="AC15" s="115">
        <f>D15+T15+AB15</f>
        <v>1967.2306250000001</v>
      </c>
      <c r="AD15" s="113">
        <f>P15+Z15</f>
        <v>0</v>
      </c>
      <c r="AE15" s="113">
        <f>R15+AA15</f>
        <v>0</v>
      </c>
      <c r="AF15" s="113"/>
      <c r="AG15" s="113">
        <f>0.6*B15*0.9</f>
        <v>399.438</v>
      </c>
      <c r="AH15" s="16">
        <f>B15*0.2*0.9153</f>
        <v>135.40948200000003</v>
      </c>
      <c r="AI15" s="16">
        <f>0.85*B15*0.866</f>
        <v>544.49317</v>
      </c>
      <c r="AJ15" s="113">
        <f>AI15*0.18</f>
        <v>98.00877059999999</v>
      </c>
      <c r="AK15" s="16">
        <f>0.83*B15*0.8685</f>
        <v>533.2164435000001</v>
      </c>
      <c r="AL15" s="113">
        <f>AK15*0.18</f>
        <v>95.97895983000001</v>
      </c>
      <c r="AM15" s="16">
        <f>(1.91)*B15*0.8684</f>
        <v>1226.8989668</v>
      </c>
      <c r="AN15" s="113">
        <f>AM15*0.18</f>
        <v>220.84181402399997</v>
      </c>
      <c r="AO15" s="113"/>
      <c r="AP15" s="113">
        <f>AO15*0.18</f>
        <v>0</v>
      </c>
      <c r="AQ15" s="133"/>
      <c r="AR15" s="103">
        <f>AQ15*0.18</f>
        <v>0</v>
      </c>
      <c r="AS15" s="134"/>
      <c r="AT15" s="134"/>
      <c r="AU15" s="85">
        <f t="shared" si="1"/>
        <v>0</v>
      </c>
      <c r="AV15" s="135">
        <v>407</v>
      </c>
      <c r="AW15" s="136">
        <v>0.3</v>
      </c>
      <c r="AX15" s="113">
        <f t="shared" si="2"/>
        <v>161.36736</v>
      </c>
      <c r="AY15" s="113"/>
      <c r="AZ15" s="115"/>
      <c r="BA15" s="115">
        <f>AZ15*0.18</f>
        <v>0</v>
      </c>
      <c r="BB15" s="107">
        <f>SUM(AG15:AU15)+AY15</f>
        <v>3254.2856067539997</v>
      </c>
      <c r="BC15" s="138"/>
      <c r="BD15" s="14">
        <f aca="true" t="shared" si="4" ref="BD15:BD25">AC15+AF15-BB15-BC15</f>
        <v>-1287.0549817539995</v>
      </c>
      <c r="BE15" s="29">
        <f aca="true" t="shared" si="5" ref="BE15:BE25">AB15-S15</f>
        <v>-3572.83</v>
      </c>
    </row>
    <row r="16" spans="1:57" ht="12.75" hidden="1">
      <c r="A16" s="11" t="s">
        <v>47</v>
      </c>
      <c r="B16" s="139">
        <v>739.7</v>
      </c>
      <c r="C16" s="123">
        <f aca="true" t="shared" si="6" ref="C16:C25">B16*0.8</f>
        <v>591.7600000000001</v>
      </c>
      <c r="D16" s="124">
        <v>0</v>
      </c>
      <c r="E16" s="125"/>
      <c r="F16" s="125">
        <v>0</v>
      </c>
      <c r="G16" s="125"/>
      <c r="H16" s="125">
        <v>0</v>
      </c>
      <c r="I16" s="125"/>
      <c r="J16" s="125">
        <v>0</v>
      </c>
      <c r="K16" s="125"/>
      <c r="L16" s="125">
        <v>0</v>
      </c>
      <c r="M16" s="125">
        <v>542.83</v>
      </c>
      <c r="N16" s="125">
        <v>48.93</v>
      </c>
      <c r="O16" s="125">
        <v>0</v>
      </c>
      <c r="P16" s="126">
        <v>0</v>
      </c>
      <c r="Q16" s="125">
        <v>0</v>
      </c>
      <c r="R16" s="126">
        <v>0</v>
      </c>
      <c r="S16" s="127">
        <f>E16+G16+I16+K16+M16+O16+Q16</f>
        <v>542.83</v>
      </c>
      <c r="T16" s="128">
        <f>P16+N16+L16+J16+H16+F16+R16</f>
        <v>48.93</v>
      </c>
      <c r="U16" s="127">
        <v>72.83</v>
      </c>
      <c r="V16" s="127">
        <v>26.7</v>
      </c>
      <c r="W16" s="127">
        <v>236.71</v>
      </c>
      <c r="X16" s="127">
        <v>163.87</v>
      </c>
      <c r="Y16" s="129">
        <v>252.97</v>
      </c>
      <c r="Z16" s="130">
        <v>0</v>
      </c>
      <c r="AA16" s="130">
        <v>0</v>
      </c>
      <c r="AB16" s="131">
        <f t="shared" si="3"/>
        <v>753.08</v>
      </c>
      <c r="AC16" s="132">
        <f>D16+T16+AB16</f>
        <v>802.01</v>
      </c>
      <c r="AD16" s="112">
        <f>P16+Z16</f>
        <v>0</v>
      </c>
      <c r="AE16" s="112">
        <f>R16+AA16</f>
        <v>0</v>
      </c>
      <c r="AF16" s="112"/>
      <c r="AG16" s="113">
        <f>0.6*B16*0.9</f>
        <v>399.438</v>
      </c>
      <c r="AH16" s="108">
        <f>B16*0.2*0.9082-0.01</f>
        <v>134.34910800000003</v>
      </c>
      <c r="AI16" s="16">
        <f>0.85*B16*0.8675+0.01</f>
        <v>545.4462875</v>
      </c>
      <c r="AJ16" s="113">
        <f>AI16*0.18</f>
        <v>98.18033175000001</v>
      </c>
      <c r="AK16" s="108">
        <f>0.83*B16*0.838</f>
        <v>514.490938</v>
      </c>
      <c r="AL16" s="113">
        <f>AK16*0.18</f>
        <v>92.60836884</v>
      </c>
      <c r="AM16" s="16">
        <f>1.91*B16*0.838</f>
        <v>1183.949026</v>
      </c>
      <c r="AN16" s="113">
        <f>AM16*0.18</f>
        <v>213.11082467999998</v>
      </c>
      <c r="AO16" s="113"/>
      <c r="AP16" s="113">
        <f>AO16*0.18</f>
        <v>0</v>
      </c>
      <c r="AQ16" s="133"/>
      <c r="AR16" s="103">
        <f>AQ16*0.18</f>
        <v>0</v>
      </c>
      <c r="AS16" s="134"/>
      <c r="AT16" s="134"/>
      <c r="AU16" s="85">
        <f t="shared" si="1"/>
        <v>0</v>
      </c>
      <c r="AV16" s="135">
        <v>383</v>
      </c>
      <c r="AW16" s="136">
        <v>0.3</v>
      </c>
      <c r="AX16" s="113">
        <f t="shared" si="2"/>
        <v>151.85184</v>
      </c>
      <c r="AY16" s="113"/>
      <c r="AZ16" s="115"/>
      <c r="BA16" s="115">
        <f>AZ16*0.18</f>
        <v>0</v>
      </c>
      <c r="BB16" s="107">
        <f>SUM(AG16:AU16)</f>
        <v>3181.5728847699997</v>
      </c>
      <c r="BC16" s="138"/>
      <c r="BD16" s="14">
        <f t="shared" si="4"/>
        <v>-2379.56288477</v>
      </c>
      <c r="BE16" s="29">
        <f t="shared" si="5"/>
        <v>210.25</v>
      </c>
    </row>
    <row r="17" spans="1:57" ht="12.75" hidden="1">
      <c r="A17" s="11" t="s">
        <v>48</v>
      </c>
      <c r="B17" s="139">
        <v>739.7</v>
      </c>
      <c r="C17" s="123">
        <f t="shared" si="6"/>
        <v>591.7600000000001</v>
      </c>
      <c r="D17" s="124">
        <v>0</v>
      </c>
      <c r="E17" s="125"/>
      <c r="F17" s="125">
        <v>0</v>
      </c>
      <c r="G17" s="125"/>
      <c r="H17" s="125">
        <v>0</v>
      </c>
      <c r="I17" s="125"/>
      <c r="J17" s="125">
        <v>0</v>
      </c>
      <c r="K17" s="125"/>
      <c r="L17" s="125">
        <v>0</v>
      </c>
      <c r="M17" s="125">
        <v>542.83</v>
      </c>
      <c r="N17" s="125">
        <v>48.93</v>
      </c>
      <c r="O17" s="125">
        <v>0</v>
      </c>
      <c r="P17" s="126">
        <v>0</v>
      </c>
      <c r="Q17" s="125">
        <v>0</v>
      </c>
      <c r="R17" s="126">
        <v>0</v>
      </c>
      <c r="S17" s="127">
        <f aca="true" t="shared" si="7" ref="S17:S25">E17+G17+I17+K17+M17+O17+Q17</f>
        <v>542.83</v>
      </c>
      <c r="T17" s="128">
        <f aca="true" t="shared" si="8" ref="T17:T25">P17+N17+L17+J17+H17+F17+R17</f>
        <v>48.93</v>
      </c>
      <c r="U17" s="127">
        <v>6.99</v>
      </c>
      <c r="V17" s="127">
        <v>2.56</v>
      </c>
      <c r="W17" s="127">
        <v>22.72</v>
      </c>
      <c r="X17" s="127">
        <v>15.73</v>
      </c>
      <c r="Y17" s="127">
        <v>163.46</v>
      </c>
      <c r="Z17" s="127">
        <v>0</v>
      </c>
      <c r="AA17" s="127">
        <v>0</v>
      </c>
      <c r="AB17" s="131">
        <f t="shared" si="3"/>
        <v>211.46</v>
      </c>
      <c r="AC17" s="132">
        <f aca="true" t="shared" si="9" ref="AC17:AC22">D17+T17+AB17</f>
        <v>260.39</v>
      </c>
      <c r="AD17" s="112">
        <f aca="true" t="shared" si="10" ref="AD17:AD25">P17+Z17</f>
        <v>0</v>
      </c>
      <c r="AE17" s="112">
        <f aca="true" t="shared" si="11" ref="AE17:AE25">R17+AA17</f>
        <v>0</v>
      </c>
      <c r="AF17" s="112"/>
      <c r="AG17" s="113">
        <f>0.6*B17*0.9</f>
        <v>399.438</v>
      </c>
      <c r="AH17" s="113">
        <f>B17*0.2*0.9234</f>
        <v>136.60779600000004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33"/>
      <c r="AR17" s="133">
        <v>0</v>
      </c>
      <c r="AS17" s="85">
        <v>0</v>
      </c>
      <c r="AT17" s="134"/>
      <c r="AU17" s="85">
        <f t="shared" si="1"/>
        <v>0</v>
      </c>
      <c r="AV17" s="135">
        <v>307</v>
      </c>
      <c r="AW17" s="136">
        <v>0.3</v>
      </c>
      <c r="AX17" s="113">
        <f t="shared" si="2"/>
        <v>121.71936</v>
      </c>
      <c r="AY17" s="120"/>
      <c r="AZ17" s="106"/>
      <c r="BA17" s="118">
        <f aca="true" t="shared" si="12" ref="BA17:BA25">AZ17*0.18</f>
        <v>0</v>
      </c>
      <c r="BB17" s="107">
        <f>SUM(AG17:AU17)+AX17+AX14+AX15+AX16</f>
        <v>1172.396196</v>
      </c>
      <c r="BC17" s="109"/>
      <c r="BD17" s="14">
        <f t="shared" si="4"/>
        <v>-912.0061959999999</v>
      </c>
      <c r="BE17" s="29">
        <f t="shared" si="5"/>
        <v>-331.37</v>
      </c>
    </row>
    <row r="18" spans="1:57" ht="12.75" hidden="1">
      <c r="A18" s="11" t="s">
        <v>49</v>
      </c>
      <c r="B18" s="139">
        <v>739.7</v>
      </c>
      <c r="C18" s="123">
        <f t="shared" si="6"/>
        <v>591.7600000000001</v>
      </c>
      <c r="D18" s="140">
        <f aca="true" t="shared" si="13" ref="D18:D25">C18-E18-F18-G18-H18-I18-J18-K18-L18-M18-N18</f>
        <v>6.394884621840902E-14</v>
      </c>
      <c r="E18" s="125"/>
      <c r="F18" s="125">
        <v>0</v>
      </c>
      <c r="G18" s="125"/>
      <c r="H18" s="125">
        <v>0</v>
      </c>
      <c r="I18" s="125"/>
      <c r="J18" s="125">
        <v>0</v>
      </c>
      <c r="K18" s="125"/>
      <c r="L18" s="125">
        <v>0</v>
      </c>
      <c r="M18" s="125">
        <v>543.83</v>
      </c>
      <c r="N18" s="125">
        <v>47.93</v>
      </c>
      <c r="O18" s="125">
        <v>0</v>
      </c>
      <c r="P18" s="126">
        <v>0</v>
      </c>
      <c r="Q18" s="125">
        <v>0</v>
      </c>
      <c r="R18" s="126">
        <v>0</v>
      </c>
      <c r="S18" s="127">
        <f t="shared" si="7"/>
        <v>543.83</v>
      </c>
      <c r="T18" s="128">
        <f t="shared" si="8"/>
        <v>47.93</v>
      </c>
      <c r="U18" s="127">
        <v>0</v>
      </c>
      <c r="V18" s="127">
        <v>0</v>
      </c>
      <c r="W18" s="127">
        <v>0</v>
      </c>
      <c r="X18" s="127">
        <v>0</v>
      </c>
      <c r="Y18" s="129">
        <v>181.77</v>
      </c>
      <c r="Z18" s="130">
        <v>0</v>
      </c>
      <c r="AA18" s="130">
        <v>0</v>
      </c>
      <c r="AB18" s="131">
        <f t="shared" si="3"/>
        <v>181.77</v>
      </c>
      <c r="AC18" s="132">
        <f t="shared" si="9"/>
        <v>229.70000000000007</v>
      </c>
      <c r="AD18" s="112">
        <f t="shared" si="10"/>
        <v>0</v>
      </c>
      <c r="AE18" s="112">
        <f t="shared" si="11"/>
        <v>0</v>
      </c>
      <c r="AF18" s="112"/>
      <c r="AG18" s="113">
        <f aca="true" t="shared" si="14" ref="AG18:AG25">0.6*B18</f>
        <v>443.82</v>
      </c>
      <c r="AH18" s="113">
        <f>B18*0.2*1.01</f>
        <v>149.41940000000002</v>
      </c>
      <c r="AI18" s="113">
        <v>0</v>
      </c>
      <c r="AJ18" s="113">
        <f aca="true" t="shared" si="15" ref="AJ18:AJ25">AI18*0.18</f>
        <v>0</v>
      </c>
      <c r="AK18" s="113">
        <v>0</v>
      </c>
      <c r="AL18" s="113">
        <f aca="true" t="shared" si="16" ref="AL18:AL25">AK18*0.18</f>
        <v>0</v>
      </c>
      <c r="AM18" s="113">
        <v>0</v>
      </c>
      <c r="AN18" s="113">
        <f aca="true" t="shared" si="17" ref="AN18:AN25">AM18*0.18</f>
        <v>0</v>
      </c>
      <c r="AO18" s="113"/>
      <c r="AP18" s="113">
        <f aca="true" t="shared" si="18" ref="AP18:AP25">AO18*0.18</f>
        <v>0</v>
      </c>
      <c r="AQ18" s="133"/>
      <c r="AR18" s="133">
        <v>0</v>
      </c>
      <c r="AS18" s="134"/>
      <c r="AT18" s="134"/>
      <c r="AU18" s="85">
        <f t="shared" si="1"/>
        <v>0</v>
      </c>
      <c r="AV18" s="135">
        <v>263</v>
      </c>
      <c r="AW18" s="136">
        <v>0.3</v>
      </c>
      <c r="AX18" s="113">
        <f t="shared" si="2"/>
        <v>104.27423999999999</v>
      </c>
      <c r="AY18" s="113"/>
      <c r="AZ18" s="115"/>
      <c r="BA18" s="115">
        <f t="shared" si="12"/>
        <v>0</v>
      </c>
      <c r="BB18" s="115">
        <f>SUM(AG18:BA18)-AV18-AW18</f>
        <v>697.51364</v>
      </c>
      <c r="BC18" s="138"/>
      <c r="BD18" s="14">
        <f t="shared" si="4"/>
        <v>-467.81363999999996</v>
      </c>
      <c r="BE18" s="29">
        <f t="shared" si="5"/>
        <v>-362.06000000000006</v>
      </c>
    </row>
    <row r="19" spans="1:57" ht="12.75" hidden="1">
      <c r="A19" s="11" t="s">
        <v>50</v>
      </c>
      <c r="B19" s="139">
        <v>739.7</v>
      </c>
      <c r="C19" s="123">
        <f t="shared" si="6"/>
        <v>591.7600000000001</v>
      </c>
      <c r="D19" s="140">
        <f t="shared" si="13"/>
        <v>6.394884621840902E-14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543.83</v>
      </c>
      <c r="N19" s="125">
        <v>47.93</v>
      </c>
      <c r="O19" s="125">
        <v>0</v>
      </c>
      <c r="P19" s="126">
        <v>0</v>
      </c>
      <c r="Q19" s="125">
        <v>0</v>
      </c>
      <c r="R19" s="126">
        <v>0</v>
      </c>
      <c r="S19" s="127">
        <f t="shared" si="7"/>
        <v>543.83</v>
      </c>
      <c r="T19" s="128">
        <f t="shared" si="8"/>
        <v>47.93</v>
      </c>
      <c r="U19" s="127">
        <v>59.07</v>
      </c>
      <c r="V19" s="127">
        <v>21.59</v>
      </c>
      <c r="W19" s="127">
        <v>192</v>
      </c>
      <c r="X19" s="127">
        <v>132.93</v>
      </c>
      <c r="Y19" s="129">
        <v>288.62</v>
      </c>
      <c r="Z19" s="130">
        <v>0</v>
      </c>
      <c r="AA19" s="130">
        <v>0</v>
      </c>
      <c r="AB19" s="131">
        <f t="shared" si="3"/>
        <v>694.21</v>
      </c>
      <c r="AC19" s="132">
        <f t="shared" si="9"/>
        <v>742.1400000000001</v>
      </c>
      <c r="AD19" s="112">
        <f t="shared" si="10"/>
        <v>0</v>
      </c>
      <c r="AE19" s="112">
        <f t="shared" si="11"/>
        <v>0</v>
      </c>
      <c r="AF19" s="90"/>
      <c r="AG19" s="113">
        <f t="shared" si="14"/>
        <v>443.82</v>
      </c>
      <c r="AH19" s="113">
        <f>B19*0.2*1.01045</f>
        <v>149.48597300000003</v>
      </c>
      <c r="AI19" s="113">
        <v>0</v>
      </c>
      <c r="AJ19" s="113">
        <f t="shared" si="15"/>
        <v>0</v>
      </c>
      <c r="AK19" s="113">
        <v>0</v>
      </c>
      <c r="AL19" s="113">
        <f t="shared" si="16"/>
        <v>0</v>
      </c>
      <c r="AM19" s="113">
        <f>AL19*0.18</f>
        <v>0</v>
      </c>
      <c r="AN19" s="113">
        <f t="shared" si="17"/>
        <v>0</v>
      </c>
      <c r="AO19" s="113"/>
      <c r="AP19" s="113">
        <f t="shared" si="18"/>
        <v>0</v>
      </c>
      <c r="AQ19" s="103"/>
      <c r="AR19" s="103">
        <f>AQ19*0.18</f>
        <v>0</v>
      </c>
      <c r="AS19" s="134"/>
      <c r="AT19" s="134"/>
      <c r="AU19" s="85">
        <f t="shared" si="1"/>
        <v>0</v>
      </c>
      <c r="AV19" s="135">
        <v>233</v>
      </c>
      <c r="AW19" s="136">
        <v>0.3</v>
      </c>
      <c r="AX19" s="113">
        <f t="shared" si="2"/>
        <v>92.37983999999999</v>
      </c>
      <c r="AY19" s="113"/>
      <c r="AZ19" s="115"/>
      <c r="BA19" s="115">
        <f t="shared" si="12"/>
        <v>0</v>
      </c>
      <c r="BB19" s="115">
        <f>SUM(AG19:BA19)-AV19-AW19</f>
        <v>685.6858129999999</v>
      </c>
      <c r="BC19" s="119"/>
      <c r="BD19" s="14">
        <f t="shared" si="4"/>
        <v>56.45418700000016</v>
      </c>
      <c r="BE19" s="29">
        <f t="shared" si="5"/>
        <v>150.38</v>
      </c>
    </row>
    <row r="20" spans="1:57" ht="12.75" hidden="1">
      <c r="A20" s="11" t="s">
        <v>51</v>
      </c>
      <c r="B20" s="122">
        <v>739.7</v>
      </c>
      <c r="C20" s="123">
        <f t="shared" si="6"/>
        <v>591.7600000000001</v>
      </c>
      <c r="D20" s="140">
        <f t="shared" si="13"/>
        <v>6.394884621840902E-14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543.83</v>
      </c>
      <c r="N20" s="125">
        <v>47.93</v>
      </c>
      <c r="O20" s="125">
        <v>0</v>
      </c>
      <c r="P20" s="126">
        <v>0</v>
      </c>
      <c r="Q20" s="125">
        <v>0</v>
      </c>
      <c r="R20" s="126">
        <v>0</v>
      </c>
      <c r="S20" s="82">
        <f t="shared" si="7"/>
        <v>543.83</v>
      </c>
      <c r="T20" s="128">
        <f t="shared" si="8"/>
        <v>47.93</v>
      </c>
      <c r="U20" s="127">
        <v>0</v>
      </c>
      <c r="V20" s="127">
        <v>0</v>
      </c>
      <c r="W20" s="127">
        <v>0</v>
      </c>
      <c r="X20" s="127">
        <v>0</v>
      </c>
      <c r="Y20" s="129">
        <v>391</v>
      </c>
      <c r="Z20" s="130">
        <v>0</v>
      </c>
      <c r="AA20" s="130">
        <v>0</v>
      </c>
      <c r="AB20" s="131">
        <f t="shared" si="3"/>
        <v>391</v>
      </c>
      <c r="AC20" s="132">
        <f t="shared" si="9"/>
        <v>438.93000000000006</v>
      </c>
      <c r="AD20" s="112">
        <f t="shared" si="10"/>
        <v>0</v>
      </c>
      <c r="AE20" s="112">
        <f t="shared" si="11"/>
        <v>0</v>
      </c>
      <c r="AF20" s="112"/>
      <c r="AG20" s="113">
        <f t="shared" si="14"/>
        <v>443.82</v>
      </c>
      <c r="AH20" s="16">
        <f>B20*0.2*0.99425</f>
        <v>147.089345</v>
      </c>
      <c r="AI20" s="113">
        <v>0</v>
      </c>
      <c r="AJ20" s="113">
        <f t="shared" si="15"/>
        <v>0</v>
      </c>
      <c r="AK20" s="113">
        <v>0</v>
      </c>
      <c r="AL20" s="113">
        <f t="shared" si="16"/>
        <v>0</v>
      </c>
      <c r="AM20" s="113">
        <v>0</v>
      </c>
      <c r="AN20" s="113">
        <f t="shared" si="17"/>
        <v>0</v>
      </c>
      <c r="AO20" s="113"/>
      <c r="AP20" s="113">
        <f t="shared" si="18"/>
        <v>0</v>
      </c>
      <c r="AQ20" s="133"/>
      <c r="AR20" s="133">
        <v>0</v>
      </c>
      <c r="AS20" s="134"/>
      <c r="AT20" s="85"/>
      <c r="AU20" s="85">
        <f t="shared" si="1"/>
        <v>0</v>
      </c>
      <c r="AV20" s="135">
        <v>248</v>
      </c>
      <c r="AW20" s="136">
        <v>0.3</v>
      </c>
      <c r="AX20" s="113">
        <f t="shared" si="2"/>
        <v>98.32704</v>
      </c>
      <c r="AY20" s="113"/>
      <c r="AZ20" s="115"/>
      <c r="BA20" s="115">
        <f t="shared" si="12"/>
        <v>0</v>
      </c>
      <c r="BB20" s="115">
        <f>SUM(AG20:BA20)-AV20-AW20</f>
        <v>689.236385</v>
      </c>
      <c r="BC20" s="138"/>
      <c r="BD20" s="14">
        <f t="shared" si="4"/>
        <v>-250.30638499999998</v>
      </c>
      <c r="BE20" s="29">
        <f t="shared" si="5"/>
        <v>-152.83000000000004</v>
      </c>
    </row>
    <row r="21" spans="1:57" ht="12.75" hidden="1">
      <c r="A21" s="11" t="s">
        <v>52</v>
      </c>
      <c r="B21" s="122">
        <v>739.7</v>
      </c>
      <c r="C21" s="123">
        <f t="shared" si="6"/>
        <v>591.7600000000001</v>
      </c>
      <c r="D21" s="140">
        <f t="shared" si="13"/>
        <v>6.394884621840902E-14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543.83</v>
      </c>
      <c r="N21" s="125">
        <v>47.93</v>
      </c>
      <c r="O21" s="125">
        <v>0</v>
      </c>
      <c r="P21" s="126">
        <v>0</v>
      </c>
      <c r="Q21" s="127">
        <v>0</v>
      </c>
      <c r="R21" s="127">
        <v>0</v>
      </c>
      <c r="S21" s="127">
        <f t="shared" si="7"/>
        <v>543.83</v>
      </c>
      <c r="T21" s="128">
        <f t="shared" si="8"/>
        <v>47.93</v>
      </c>
      <c r="U21" s="127">
        <v>0</v>
      </c>
      <c r="V21" s="127">
        <v>0</v>
      </c>
      <c r="W21" s="127">
        <v>0</v>
      </c>
      <c r="X21" s="127">
        <v>0</v>
      </c>
      <c r="Y21" s="129">
        <v>180.07</v>
      </c>
      <c r="Z21" s="130">
        <v>0</v>
      </c>
      <c r="AA21" s="130">
        <v>0</v>
      </c>
      <c r="AB21" s="131">
        <f t="shared" si="3"/>
        <v>180.07</v>
      </c>
      <c r="AC21" s="132">
        <f t="shared" si="9"/>
        <v>228.00000000000006</v>
      </c>
      <c r="AD21" s="112">
        <f t="shared" si="10"/>
        <v>0</v>
      </c>
      <c r="AE21" s="112">
        <f t="shared" si="11"/>
        <v>0</v>
      </c>
      <c r="AF21" s="112"/>
      <c r="AG21" s="113">
        <f t="shared" si="14"/>
        <v>443.82</v>
      </c>
      <c r="AH21" s="16">
        <f>B21*0.2*0.99876</f>
        <v>147.75655440000003</v>
      </c>
      <c r="AI21" s="113">
        <v>0</v>
      </c>
      <c r="AJ21" s="113">
        <f t="shared" si="15"/>
        <v>0</v>
      </c>
      <c r="AK21" s="16">
        <v>0</v>
      </c>
      <c r="AL21" s="113">
        <f t="shared" si="16"/>
        <v>0</v>
      </c>
      <c r="AM21" s="16">
        <v>0</v>
      </c>
      <c r="AN21" s="113">
        <f t="shared" si="17"/>
        <v>0</v>
      </c>
      <c r="AO21" s="113"/>
      <c r="AP21" s="113">
        <f t="shared" si="18"/>
        <v>0</v>
      </c>
      <c r="AQ21" s="133"/>
      <c r="AR21" s="103">
        <f>AQ21*0.18</f>
        <v>0</v>
      </c>
      <c r="AS21" s="134"/>
      <c r="AT21" s="134"/>
      <c r="AU21" s="85">
        <f t="shared" si="1"/>
        <v>0</v>
      </c>
      <c r="AV21" s="135">
        <v>293</v>
      </c>
      <c r="AW21" s="136">
        <v>0.3</v>
      </c>
      <c r="AX21" s="113">
        <f t="shared" si="2"/>
        <v>116.16863999999998</v>
      </c>
      <c r="AY21" s="113"/>
      <c r="AZ21" s="115"/>
      <c r="BA21" s="115">
        <f t="shared" si="12"/>
        <v>0</v>
      </c>
      <c r="BB21" s="115">
        <f>SUM(AG21:BA21)-AV21-AW21</f>
        <v>707.7451944000001</v>
      </c>
      <c r="BC21" s="138"/>
      <c r="BD21" s="14">
        <f t="shared" si="4"/>
        <v>-479.7451944</v>
      </c>
      <c r="BE21" s="29">
        <f t="shared" si="5"/>
        <v>-363.76000000000005</v>
      </c>
    </row>
    <row r="22" spans="1:57" ht="12.75" hidden="1">
      <c r="A22" s="11" t="s">
        <v>53</v>
      </c>
      <c r="B22" s="137">
        <v>739.7</v>
      </c>
      <c r="C22" s="123">
        <f t="shared" si="6"/>
        <v>591.7600000000001</v>
      </c>
      <c r="D22" s="140">
        <f t="shared" si="13"/>
        <v>6.394884621840902E-14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543.83</v>
      </c>
      <c r="N22" s="125">
        <v>47.93</v>
      </c>
      <c r="O22" s="125">
        <v>0</v>
      </c>
      <c r="P22" s="126">
        <v>0</v>
      </c>
      <c r="Q22" s="127">
        <v>0</v>
      </c>
      <c r="R22" s="127">
        <v>0</v>
      </c>
      <c r="S22" s="127">
        <f t="shared" si="7"/>
        <v>543.83</v>
      </c>
      <c r="T22" s="128">
        <f t="shared" si="8"/>
        <v>47.93</v>
      </c>
      <c r="U22" s="127">
        <v>0</v>
      </c>
      <c r="V22" s="127">
        <v>0</v>
      </c>
      <c r="W22" s="127">
        <v>0</v>
      </c>
      <c r="X22" s="127">
        <v>0</v>
      </c>
      <c r="Y22" s="129">
        <v>114.67</v>
      </c>
      <c r="Z22" s="130">
        <v>0</v>
      </c>
      <c r="AA22" s="130">
        <v>0</v>
      </c>
      <c r="AB22" s="131">
        <f t="shared" si="3"/>
        <v>114.67</v>
      </c>
      <c r="AC22" s="132">
        <f t="shared" si="9"/>
        <v>162.60000000000008</v>
      </c>
      <c r="AD22" s="112">
        <f t="shared" si="10"/>
        <v>0</v>
      </c>
      <c r="AE22" s="112">
        <f t="shared" si="11"/>
        <v>0</v>
      </c>
      <c r="AF22" s="117"/>
      <c r="AG22" s="113">
        <f t="shared" si="14"/>
        <v>443.82</v>
      </c>
      <c r="AH22" s="16">
        <f>B22*0.2*0.9996</f>
        <v>147.88082400000005</v>
      </c>
      <c r="AI22" s="113">
        <v>0</v>
      </c>
      <c r="AJ22" s="113">
        <f t="shared" si="15"/>
        <v>0</v>
      </c>
      <c r="AK22" s="16">
        <v>0</v>
      </c>
      <c r="AL22" s="113">
        <f t="shared" si="16"/>
        <v>0</v>
      </c>
      <c r="AM22" s="16">
        <v>0</v>
      </c>
      <c r="AN22" s="113">
        <f t="shared" si="17"/>
        <v>0</v>
      </c>
      <c r="AO22" s="113"/>
      <c r="AP22" s="113">
        <f t="shared" si="18"/>
        <v>0</v>
      </c>
      <c r="AQ22" s="133"/>
      <c r="AR22" s="103">
        <f>AQ22*0.18</f>
        <v>0</v>
      </c>
      <c r="AS22" s="134"/>
      <c r="AT22" s="134"/>
      <c r="AU22" s="85">
        <f t="shared" si="1"/>
        <v>0</v>
      </c>
      <c r="AV22" s="135">
        <v>349</v>
      </c>
      <c r="AW22" s="136">
        <v>0.3</v>
      </c>
      <c r="AX22" s="113">
        <f t="shared" si="2"/>
        <v>138.37152</v>
      </c>
      <c r="AY22" s="113"/>
      <c r="AZ22" s="115"/>
      <c r="BA22" s="115">
        <f t="shared" si="12"/>
        <v>0</v>
      </c>
      <c r="BB22" s="115">
        <f>SUM(AG22:BA22)-AV22-AW22</f>
        <v>730.0723439999999</v>
      </c>
      <c r="BC22" s="119"/>
      <c r="BD22" s="14">
        <f t="shared" si="4"/>
        <v>-567.4723439999998</v>
      </c>
      <c r="BE22" s="29">
        <f t="shared" si="5"/>
        <v>-429.16</v>
      </c>
    </row>
    <row r="23" spans="1:57" ht="12.75" hidden="1">
      <c r="A23" s="11" t="s">
        <v>41</v>
      </c>
      <c r="B23" s="137">
        <v>739.7</v>
      </c>
      <c r="C23" s="141">
        <f t="shared" si="6"/>
        <v>591.7600000000001</v>
      </c>
      <c r="D23" s="140">
        <f t="shared" si="13"/>
        <v>1.7763568394002505E-13</v>
      </c>
      <c r="E23" s="142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f>395.89+147.94</f>
        <v>543.8299999999999</v>
      </c>
      <c r="N23" s="127">
        <v>47.93</v>
      </c>
      <c r="O23" s="127">
        <v>0</v>
      </c>
      <c r="P23" s="130">
        <v>0</v>
      </c>
      <c r="Q23" s="127">
        <v>0</v>
      </c>
      <c r="R23" s="127">
        <v>0</v>
      </c>
      <c r="S23" s="127">
        <f t="shared" si="7"/>
        <v>543.8299999999999</v>
      </c>
      <c r="T23" s="128">
        <f t="shared" si="8"/>
        <v>47.93</v>
      </c>
      <c r="U23" s="143">
        <v>0</v>
      </c>
      <c r="V23" s="127">
        <v>0</v>
      </c>
      <c r="W23" s="127">
        <v>0</v>
      </c>
      <c r="X23" s="127">
        <v>0</v>
      </c>
      <c r="Y23" s="144">
        <f>148.22+378.73</f>
        <v>526.95</v>
      </c>
      <c r="Z23" s="130">
        <v>0</v>
      </c>
      <c r="AA23" s="130">
        <v>0</v>
      </c>
      <c r="AB23" s="130">
        <f>SUM(U23:AA23)</f>
        <v>526.95</v>
      </c>
      <c r="AC23" s="132">
        <f>AB23+T23+D23</f>
        <v>574.8800000000002</v>
      </c>
      <c r="AD23" s="112">
        <f t="shared" si="10"/>
        <v>0</v>
      </c>
      <c r="AE23" s="112">
        <f t="shared" si="11"/>
        <v>0</v>
      </c>
      <c r="AF23" s="112"/>
      <c r="AG23" s="113">
        <f t="shared" si="14"/>
        <v>443.82</v>
      </c>
      <c r="AH23" s="113">
        <f>B23*0.2</f>
        <v>147.94000000000003</v>
      </c>
      <c r="AI23" s="113">
        <f>(0*B23)*1.18</f>
        <v>0</v>
      </c>
      <c r="AJ23" s="113">
        <f t="shared" si="15"/>
        <v>0</v>
      </c>
      <c r="AK23" s="113">
        <f>0*B23</f>
        <v>0</v>
      </c>
      <c r="AL23" s="113">
        <f t="shared" si="16"/>
        <v>0</v>
      </c>
      <c r="AM23" s="113">
        <f>0*B23</f>
        <v>0</v>
      </c>
      <c r="AN23" s="113">
        <f t="shared" si="17"/>
        <v>0</v>
      </c>
      <c r="AO23" s="113"/>
      <c r="AP23" s="16">
        <f t="shared" si="18"/>
        <v>0</v>
      </c>
      <c r="AQ23" s="133"/>
      <c r="AR23" s="133">
        <v>0</v>
      </c>
      <c r="AS23" s="85">
        <v>0</v>
      </c>
      <c r="AT23" s="134"/>
      <c r="AU23" s="85">
        <f t="shared" si="1"/>
        <v>0</v>
      </c>
      <c r="AV23" s="135">
        <v>425</v>
      </c>
      <c r="AW23" s="136">
        <v>0.3</v>
      </c>
      <c r="AX23" s="113">
        <f t="shared" si="2"/>
        <v>168.504</v>
      </c>
      <c r="AY23" s="113"/>
      <c r="AZ23" s="115"/>
      <c r="BA23" s="107">
        <f t="shared" si="12"/>
        <v>0</v>
      </c>
      <c r="BB23" s="107">
        <f>SUM(AG23:AU23)+AX23+AY23+AZ23+BA23</f>
        <v>760.264</v>
      </c>
      <c r="BC23" s="109"/>
      <c r="BD23" s="14">
        <f t="shared" si="4"/>
        <v>-185.3839999999998</v>
      </c>
      <c r="BE23" s="29">
        <f t="shared" si="5"/>
        <v>-16.87999999999988</v>
      </c>
    </row>
    <row r="24" spans="1:57" ht="12.75" hidden="1">
      <c r="A24" s="11" t="s">
        <v>42</v>
      </c>
      <c r="B24" s="122">
        <v>739.7</v>
      </c>
      <c r="C24" s="141">
        <f t="shared" si="6"/>
        <v>591.7600000000001</v>
      </c>
      <c r="D24" s="140">
        <f t="shared" si="13"/>
        <v>1.7763568394002505E-13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f>395.89+147.94</f>
        <v>543.8299999999999</v>
      </c>
      <c r="N24" s="125">
        <v>47.93</v>
      </c>
      <c r="O24" s="125">
        <v>0</v>
      </c>
      <c r="P24" s="126">
        <v>0</v>
      </c>
      <c r="Q24" s="126">
        <v>0</v>
      </c>
      <c r="R24" s="126">
        <v>0</v>
      </c>
      <c r="S24" s="127">
        <f t="shared" si="7"/>
        <v>543.8299999999999</v>
      </c>
      <c r="T24" s="128">
        <f t="shared" si="8"/>
        <v>47.93</v>
      </c>
      <c r="U24" s="127">
        <v>2.05</v>
      </c>
      <c r="V24" s="127">
        <v>0.74</v>
      </c>
      <c r="W24" s="127">
        <v>6.68</v>
      </c>
      <c r="X24" s="127">
        <v>4.62</v>
      </c>
      <c r="Y24" s="129">
        <v>157.91</v>
      </c>
      <c r="Z24" s="130">
        <v>0</v>
      </c>
      <c r="AA24" s="130">
        <v>0</v>
      </c>
      <c r="AB24" s="130">
        <f>SUM(U24:AA24)</f>
        <v>172</v>
      </c>
      <c r="AC24" s="101">
        <f>D24+T24+AB24</f>
        <v>219.93000000000018</v>
      </c>
      <c r="AD24" s="112">
        <f t="shared" si="10"/>
        <v>0</v>
      </c>
      <c r="AE24" s="112">
        <f t="shared" si="11"/>
        <v>0</v>
      </c>
      <c r="AF24" s="112"/>
      <c r="AG24" s="113">
        <f t="shared" si="14"/>
        <v>443.82</v>
      </c>
      <c r="AH24" s="113">
        <f>B24*0.2</f>
        <v>147.94000000000003</v>
      </c>
      <c r="AI24" s="113">
        <f>(0*B24)*1.18</f>
        <v>0</v>
      </c>
      <c r="AJ24" s="113">
        <f t="shared" si="15"/>
        <v>0</v>
      </c>
      <c r="AK24" s="113">
        <f>0*B24</f>
        <v>0</v>
      </c>
      <c r="AL24" s="113">
        <f t="shared" si="16"/>
        <v>0</v>
      </c>
      <c r="AM24" s="113">
        <f>0*B24</f>
        <v>0</v>
      </c>
      <c r="AN24" s="113">
        <f t="shared" si="17"/>
        <v>0</v>
      </c>
      <c r="AO24" s="113"/>
      <c r="AP24" s="16">
        <f t="shared" si="18"/>
        <v>0</v>
      </c>
      <c r="AQ24" s="133"/>
      <c r="AR24" s="133">
        <v>0</v>
      </c>
      <c r="AS24" s="85">
        <v>0</v>
      </c>
      <c r="AT24" s="134"/>
      <c r="AU24" s="85">
        <f t="shared" si="1"/>
        <v>0</v>
      </c>
      <c r="AV24" s="135">
        <v>470</v>
      </c>
      <c r="AW24" s="136">
        <v>0.3</v>
      </c>
      <c r="AX24" s="113">
        <f t="shared" si="2"/>
        <v>186.34560000000002</v>
      </c>
      <c r="AY24" s="113"/>
      <c r="AZ24" s="107"/>
      <c r="BA24" s="107">
        <f t="shared" si="12"/>
        <v>0</v>
      </c>
      <c r="BB24" s="107">
        <f>SUM(AG24:AU24)+AX24+AY24+AZ24+BA24</f>
        <v>778.1056</v>
      </c>
      <c r="BC24" s="110"/>
      <c r="BD24" s="14">
        <f t="shared" si="4"/>
        <v>-558.1755999999998</v>
      </c>
      <c r="BE24" s="29">
        <f t="shared" si="5"/>
        <v>-371.8299999999999</v>
      </c>
    </row>
    <row r="25" spans="1:57" ht="12.75" hidden="1">
      <c r="A25" s="11" t="s">
        <v>43</v>
      </c>
      <c r="B25" s="92">
        <v>739.7</v>
      </c>
      <c r="C25" s="141">
        <f t="shared" si="6"/>
        <v>591.7600000000001</v>
      </c>
      <c r="D25" s="140">
        <f t="shared" si="13"/>
        <v>6.394884621840902E-14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543.83</v>
      </c>
      <c r="N25" s="125">
        <v>47.93</v>
      </c>
      <c r="O25" s="125">
        <v>0</v>
      </c>
      <c r="P25" s="126">
        <v>0</v>
      </c>
      <c r="Q25" s="102"/>
      <c r="R25" s="102"/>
      <c r="S25" s="127">
        <f t="shared" si="7"/>
        <v>543.83</v>
      </c>
      <c r="T25" s="128">
        <f t="shared" si="8"/>
        <v>47.93</v>
      </c>
      <c r="U25" s="82">
        <v>0</v>
      </c>
      <c r="V25" s="82">
        <v>0</v>
      </c>
      <c r="W25" s="82">
        <v>0</v>
      </c>
      <c r="X25" s="82">
        <v>0</v>
      </c>
      <c r="Y25" s="121">
        <v>355.56</v>
      </c>
      <c r="Z25" s="97">
        <v>0</v>
      </c>
      <c r="AA25" s="97">
        <v>0</v>
      </c>
      <c r="AB25" s="130">
        <f>SUM(U25:AA25)</f>
        <v>355.56</v>
      </c>
      <c r="AC25" s="101">
        <f>D25+T25+AB25</f>
        <v>403.49000000000007</v>
      </c>
      <c r="AD25" s="112">
        <f t="shared" si="10"/>
        <v>0</v>
      </c>
      <c r="AE25" s="112">
        <f t="shared" si="11"/>
        <v>0</v>
      </c>
      <c r="AF25" s="112"/>
      <c r="AG25" s="113">
        <f t="shared" si="14"/>
        <v>443.82</v>
      </c>
      <c r="AH25" s="113">
        <f>B25*0.2</f>
        <v>147.94000000000003</v>
      </c>
      <c r="AI25" s="113">
        <f>(0*B25)*1.18</f>
        <v>0</v>
      </c>
      <c r="AJ25" s="113">
        <f t="shared" si="15"/>
        <v>0</v>
      </c>
      <c r="AK25" s="113">
        <f>0*B25</f>
        <v>0</v>
      </c>
      <c r="AL25" s="113">
        <f t="shared" si="16"/>
        <v>0</v>
      </c>
      <c r="AM25" s="113">
        <f>0*B25</f>
        <v>0</v>
      </c>
      <c r="AN25" s="113">
        <f t="shared" si="17"/>
        <v>0</v>
      </c>
      <c r="AO25" s="113"/>
      <c r="AP25" s="16">
        <f t="shared" si="18"/>
        <v>0</v>
      </c>
      <c r="AQ25" s="133"/>
      <c r="AR25" s="133">
        <v>0</v>
      </c>
      <c r="AS25" s="85">
        <v>0</v>
      </c>
      <c r="AT25" s="134"/>
      <c r="AU25" s="85">
        <f t="shared" si="1"/>
        <v>0</v>
      </c>
      <c r="AV25" s="135">
        <v>514</v>
      </c>
      <c r="AW25" s="136">
        <v>0.3</v>
      </c>
      <c r="AX25" s="113">
        <f t="shared" si="2"/>
        <v>203.79072</v>
      </c>
      <c r="AY25" s="113"/>
      <c r="AZ25" s="107"/>
      <c r="BA25" s="107">
        <f t="shared" si="12"/>
        <v>0</v>
      </c>
      <c r="BB25" s="107">
        <f>SUM(AG25:BA25)-AV25-AW25</f>
        <v>795.55072</v>
      </c>
      <c r="BC25" s="110"/>
      <c r="BD25" s="14">
        <f t="shared" si="4"/>
        <v>-392.0607199999999</v>
      </c>
      <c r="BE25" s="29">
        <f t="shared" si="5"/>
        <v>-188.27000000000004</v>
      </c>
    </row>
    <row r="26" spans="1:57" s="20" customFormat="1" ht="12.75" hidden="1">
      <c r="A26" s="17" t="s">
        <v>5</v>
      </c>
      <c r="B26" s="57"/>
      <c r="C26" s="57">
        <f aca="true" t="shared" si="19" ref="C26:BC26">SUM(C14:C25)</f>
        <v>18679.809999999998</v>
      </c>
      <c r="D26" s="57">
        <f t="shared" si="19"/>
        <v>1595.2762500000006</v>
      </c>
      <c r="E26" s="54">
        <f t="shared" si="19"/>
        <v>1154.48</v>
      </c>
      <c r="F26" s="54">
        <f t="shared" si="19"/>
        <v>82.48</v>
      </c>
      <c r="G26" s="54">
        <f t="shared" si="19"/>
        <v>420.76</v>
      </c>
      <c r="H26" s="54">
        <f t="shared" si="19"/>
        <v>29.9</v>
      </c>
      <c r="I26" s="54">
        <f t="shared" si="19"/>
        <v>3752.08</v>
      </c>
      <c r="J26" s="54">
        <f t="shared" si="19"/>
        <v>268.06</v>
      </c>
      <c r="K26" s="54">
        <f t="shared" si="19"/>
        <v>2597.62</v>
      </c>
      <c r="L26" s="54">
        <f t="shared" si="19"/>
        <v>185.58</v>
      </c>
      <c r="M26" s="54">
        <f t="shared" si="19"/>
        <v>6359.88</v>
      </c>
      <c r="N26" s="54">
        <f t="shared" si="19"/>
        <v>547.28</v>
      </c>
      <c r="O26" s="54">
        <f t="shared" si="19"/>
        <v>0</v>
      </c>
      <c r="P26" s="54">
        <f t="shared" si="19"/>
        <v>0</v>
      </c>
      <c r="Q26" s="54">
        <f t="shared" si="19"/>
        <v>0</v>
      </c>
      <c r="R26" s="54">
        <f t="shared" si="19"/>
        <v>0</v>
      </c>
      <c r="S26" s="54">
        <f t="shared" si="19"/>
        <v>14284.82</v>
      </c>
      <c r="T26" s="54">
        <f t="shared" si="19"/>
        <v>1113.2999999999997</v>
      </c>
      <c r="U26" s="58">
        <f t="shared" si="19"/>
        <v>574.99</v>
      </c>
      <c r="V26" s="58">
        <f t="shared" si="19"/>
        <v>209.69000000000003</v>
      </c>
      <c r="W26" s="58">
        <f t="shared" si="19"/>
        <v>1868.73</v>
      </c>
      <c r="X26" s="58">
        <f t="shared" si="19"/>
        <v>1293.75</v>
      </c>
      <c r="Y26" s="58">
        <f t="shared" si="19"/>
        <v>3064.8199999999997</v>
      </c>
      <c r="Z26" s="58">
        <f t="shared" si="19"/>
        <v>0</v>
      </c>
      <c r="AA26" s="58">
        <f t="shared" si="19"/>
        <v>0</v>
      </c>
      <c r="AB26" s="58">
        <f t="shared" si="19"/>
        <v>7011.9800000000005</v>
      </c>
      <c r="AC26" s="58">
        <f t="shared" si="19"/>
        <v>9720.556250000003</v>
      </c>
      <c r="AD26" s="58">
        <f t="shared" si="19"/>
        <v>0</v>
      </c>
      <c r="AE26" s="88">
        <f t="shared" si="19"/>
        <v>0</v>
      </c>
      <c r="AF26" s="88">
        <f t="shared" si="19"/>
        <v>0</v>
      </c>
      <c r="AG26" s="18">
        <f t="shared" si="19"/>
        <v>5146.152</v>
      </c>
      <c r="AH26" s="18">
        <f t="shared" si="19"/>
        <v>1722.9202224000003</v>
      </c>
      <c r="AI26" s="18">
        <f t="shared" si="19"/>
        <v>1632.0935725</v>
      </c>
      <c r="AJ26" s="18">
        <f t="shared" si="19"/>
        <v>293.77684305</v>
      </c>
      <c r="AK26" s="18">
        <f t="shared" si="19"/>
        <v>1578.1014681000001</v>
      </c>
      <c r="AL26" s="18">
        <f t="shared" si="19"/>
        <v>284.058264258</v>
      </c>
      <c r="AM26" s="18">
        <f t="shared" si="19"/>
        <v>3631.3934209999998</v>
      </c>
      <c r="AN26" s="18">
        <f t="shared" si="19"/>
        <v>653.6508157799999</v>
      </c>
      <c r="AO26" s="18">
        <f t="shared" si="19"/>
        <v>0</v>
      </c>
      <c r="AP26" s="18">
        <f t="shared" si="19"/>
        <v>0</v>
      </c>
      <c r="AQ26" s="18">
        <f aca="true" t="shared" si="20" ref="AQ26:AV26">SUM(AQ14:AQ25)</f>
        <v>0</v>
      </c>
      <c r="AR26" s="18">
        <f t="shared" si="20"/>
        <v>0</v>
      </c>
      <c r="AS26" s="18">
        <f t="shared" si="20"/>
        <v>0</v>
      </c>
      <c r="AT26" s="18">
        <f t="shared" si="20"/>
        <v>0</v>
      </c>
      <c r="AU26" s="18">
        <f t="shared" si="20"/>
        <v>0</v>
      </c>
      <c r="AV26" s="18"/>
      <c r="AW26" s="18"/>
      <c r="AX26" s="18">
        <f t="shared" si="19"/>
        <v>1744.512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16686.658607088</v>
      </c>
      <c r="BC26" s="18">
        <f t="shared" si="19"/>
        <v>0</v>
      </c>
      <c r="BD26" s="18">
        <f>SUM(BD14:BD25)</f>
        <v>-6966.102357087999</v>
      </c>
      <c r="BE26" s="19">
        <f>SUM(BE14:BE25)</f>
        <v>-7272.840000000001</v>
      </c>
    </row>
    <row r="27" spans="1:57" ht="15" customHeight="1" hidden="1">
      <c r="A27" s="5" t="s">
        <v>91</v>
      </c>
      <c r="B27" s="55"/>
      <c r="C27" s="56"/>
      <c r="D27" s="56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2"/>
      <c r="R27" s="52"/>
      <c r="S27" s="52"/>
      <c r="T27" s="52"/>
      <c r="U27" s="59"/>
      <c r="V27" s="59"/>
      <c r="W27" s="59"/>
      <c r="X27" s="59"/>
      <c r="Y27" s="59"/>
      <c r="Z27" s="59"/>
      <c r="AA27" s="51"/>
      <c r="AB27" s="51"/>
      <c r="AC27" s="86"/>
      <c r="AD27" s="86"/>
      <c r="AE27" s="87"/>
      <c r="AF27" s="87"/>
      <c r="AG27" s="14"/>
      <c r="AH27" s="14"/>
      <c r="AI27" s="14"/>
      <c r="AJ27" s="14"/>
      <c r="AK27" s="14"/>
      <c r="AL27" s="14"/>
      <c r="AM27" s="14"/>
      <c r="AN27" s="14"/>
      <c r="AO27" s="30"/>
      <c r="AP27" s="30"/>
      <c r="AQ27" s="30"/>
      <c r="AR27" s="30"/>
      <c r="AS27" s="83"/>
      <c r="AT27" s="83"/>
      <c r="AU27" s="47"/>
      <c r="AV27" s="47"/>
      <c r="AW27" s="47"/>
      <c r="AX27" s="30"/>
      <c r="AY27" s="30"/>
      <c r="AZ27" s="30"/>
      <c r="BA27" s="14"/>
      <c r="BB27" s="14"/>
      <c r="BC27" s="14"/>
      <c r="BD27" s="14"/>
      <c r="BE27" s="29"/>
    </row>
    <row r="28" spans="1:57" ht="12.75" hidden="1">
      <c r="A28" s="11" t="s">
        <v>45</v>
      </c>
      <c r="B28" s="159">
        <v>739.7</v>
      </c>
      <c r="C28" s="141">
        <f aca="true" t="shared" si="21" ref="C28:C39">B28*0.8</f>
        <v>591.7600000000001</v>
      </c>
      <c r="D28" s="140">
        <f>C28-E28-F28-G28-H28-I28-J28-K28-L28-M28-N28</f>
        <v>6.394884621840902E-14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543.83</v>
      </c>
      <c r="N28" s="152">
        <v>47.93</v>
      </c>
      <c r="O28" s="152">
        <v>0</v>
      </c>
      <c r="P28" s="153">
        <v>0</v>
      </c>
      <c r="Q28" s="153"/>
      <c r="R28" s="153"/>
      <c r="S28" s="127">
        <f>E28+G28+I28+K28+M28+O28+Q28</f>
        <v>543.83</v>
      </c>
      <c r="T28" s="128">
        <f>P28+N28+L28+J28+H28+F28+R28</f>
        <v>47.93</v>
      </c>
      <c r="U28" s="155">
        <v>0</v>
      </c>
      <c r="V28" s="155">
        <v>0</v>
      </c>
      <c r="W28" s="155">
        <v>0</v>
      </c>
      <c r="X28" s="155">
        <v>0</v>
      </c>
      <c r="Y28" s="156">
        <v>205.76</v>
      </c>
      <c r="Z28" s="157">
        <v>0</v>
      </c>
      <c r="AA28" s="157">
        <v>0</v>
      </c>
      <c r="AB28" s="130">
        <f>SUM(U28:AA28)</f>
        <v>205.76</v>
      </c>
      <c r="AC28" s="160">
        <f>D28+T28+AB28</f>
        <v>253.69000000000005</v>
      </c>
      <c r="AD28" s="112">
        <f>P28+Z28</f>
        <v>0</v>
      </c>
      <c r="AE28" s="112">
        <f>R28+AA28</f>
        <v>0</v>
      </c>
      <c r="AF28" s="112"/>
      <c r="AG28" s="113">
        <f>0.6*B28</f>
        <v>443.82</v>
      </c>
      <c r="AH28" s="113">
        <f>B28*0.2</f>
        <v>147.94000000000003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/>
      <c r="AP28" s="161">
        <v>0</v>
      </c>
      <c r="AQ28" s="162"/>
      <c r="AR28" s="162"/>
      <c r="AS28" s="134">
        <v>0</v>
      </c>
      <c r="AT28" s="158"/>
      <c r="AU28" s="158">
        <f>AT28*0.18</f>
        <v>0</v>
      </c>
      <c r="AV28" s="163">
        <v>508</v>
      </c>
      <c r="AW28" s="164">
        <v>0.3</v>
      </c>
      <c r="AX28" s="170">
        <f>AV28*AW28*1.4</f>
        <v>213.35999999999999</v>
      </c>
      <c r="AY28" s="113"/>
      <c r="AZ28" s="151"/>
      <c r="BA28" s="151">
        <f>AZ28*0.18</f>
        <v>0</v>
      </c>
      <c r="BB28" s="151">
        <f>SUM(AG28:BA28)-AV28-AW28</f>
        <v>805.1199999999999</v>
      </c>
      <c r="BC28" s="165"/>
      <c r="BD28" s="14">
        <f aca="true" t="shared" si="22" ref="BD28:BD39">AC28+AF28-BB28-BC28</f>
        <v>-551.4299999999998</v>
      </c>
      <c r="BE28" s="29">
        <f>AB28-S28</f>
        <v>-338.07000000000005</v>
      </c>
    </row>
    <row r="29" spans="1:57" ht="12.75" hidden="1">
      <c r="A29" s="11" t="s">
        <v>46</v>
      </c>
      <c r="B29" s="166">
        <v>739.7</v>
      </c>
      <c r="C29" s="141">
        <f t="shared" si="21"/>
        <v>591.7600000000001</v>
      </c>
      <c r="D29" s="145">
        <f>C29-E29-F29-G29-H29-I29-J29-K29-L29-M29-N29-0.07</f>
        <v>1.1396439347777232E-13</v>
      </c>
      <c r="E29" s="167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543.76</v>
      </c>
      <c r="N29" s="168">
        <v>47.93</v>
      </c>
      <c r="O29" s="168">
        <v>0</v>
      </c>
      <c r="P29" s="169">
        <v>0</v>
      </c>
      <c r="Q29" s="169">
        <v>0</v>
      </c>
      <c r="R29" s="169">
        <v>0</v>
      </c>
      <c r="S29" s="127">
        <f aca="true" t="shared" si="23" ref="S29:S39">E29+G29+I29+K29+M29+O29+Q29</f>
        <v>543.76</v>
      </c>
      <c r="T29" s="128">
        <f aca="true" t="shared" si="24" ref="T29:T39">P29+N29+L29+J29+H29+F29+R29</f>
        <v>47.93</v>
      </c>
      <c r="U29" s="155">
        <v>71.75</v>
      </c>
      <c r="V29" s="155">
        <v>26.01</v>
      </c>
      <c r="W29" s="155">
        <v>233.22</v>
      </c>
      <c r="X29" s="155">
        <v>161.46</v>
      </c>
      <c r="Y29" s="156">
        <v>462.24</v>
      </c>
      <c r="Z29" s="157">
        <v>0</v>
      </c>
      <c r="AA29" s="157">
        <v>0</v>
      </c>
      <c r="AB29" s="130">
        <f>SUM(U29:AA29)</f>
        <v>954.6800000000001</v>
      </c>
      <c r="AC29" s="160">
        <f aca="true" t="shared" si="25" ref="AC29:AC39">D29+T29+AB29</f>
        <v>1002.6100000000001</v>
      </c>
      <c r="AD29" s="112">
        <f aca="true" t="shared" si="26" ref="AD29:AD39">P29+Z29</f>
        <v>0</v>
      </c>
      <c r="AE29" s="112">
        <f aca="true" t="shared" si="27" ref="AE29:AE39">R29+AA29</f>
        <v>0</v>
      </c>
      <c r="AF29" s="112"/>
      <c r="AG29" s="113">
        <f aca="true" t="shared" si="28" ref="AG29:AG39">0.6*B29</f>
        <v>443.82</v>
      </c>
      <c r="AH29" s="113">
        <f aca="true" t="shared" si="29" ref="AH29:AH39">B29*0.2</f>
        <v>147.94000000000003</v>
      </c>
      <c r="AI29" s="113">
        <v>0</v>
      </c>
      <c r="AJ29" s="113">
        <v>0</v>
      </c>
      <c r="AK29" s="113">
        <v>0</v>
      </c>
      <c r="AL29" s="113">
        <v>0</v>
      </c>
      <c r="AM29" s="113">
        <f>0*B29</f>
        <v>0</v>
      </c>
      <c r="AN29" s="113">
        <v>0</v>
      </c>
      <c r="AO29" s="113"/>
      <c r="AP29" s="161"/>
      <c r="AQ29" s="162"/>
      <c r="AR29" s="162"/>
      <c r="AS29" s="134"/>
      <c r="AT29" s="158"/>
      <c r="AU29" s="158">
        <f aca="true" t="shared" si="30" ref="AU29:AU39">AT29*0.18</f>
        <v>0</v>
      </c>
      <c r="AV29" s="163">
        <v>407</v>
      </c>
      <c r="AW29" s="164">
        <v>0.3</v>
      </c>
      <c r="AX29" s="161">
        <f>AV29*AW29*1.4</f>
        <v>170.93999999999997</v>
      </c>
      <c r="AY29" s="113"/>
      <c r="AZ29" s="151"/>
      <c r="BA29" s="151">
        <f aca="true" t="shared" si="31" ref="BA29:BA39">AZ29*0.18</f>
        <v>0</v>
      </c>
      <c r="BB29" s="151">
        <f>SUM(AG29:BA29)-AV29-AW29</f>
        <v>762.7</v>
      </c>
      <c r="BC29" s="165"/>
      <c r="BD29" s="14">
        <f t="shared" si="22"/>
        <v>239.91000000000008</v>
      </c>
      <c r="BE29" s="29">
        <f aca="true" t="shared" si="32" ref="BE29:BE39">AB29-S29</f>
        <v>410.9200000000001</v>
      </c>
    </row>
    <row r="30" spans="1:57" ht="12.75" hidden="1">
      <c r="A30" s="11" t="s">
        <v>47</v>
      </c>
      <c r="B30" s="159">
        <v>739.7</v>
      </c>
      <c r="C30" s="141">
        <f t="shared" si="21"/>
        <v>591.7600000000001</v>
      </c>
      <c r="D30" s="140">
        <f aca="true" t="shared" si="33" ref="D30:D39">C30-E30-F30-G30-H30-I30-J30-K30-L30-M30-N30</f>
        <v>6.394884621840902E-14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543.83</v>
      </c>
      <c r="N30" s="152">
        <v>47.93</v>
      </c>
      <c r="O30" s="152">
        <v>0</v>
      </c>
      <c r="P30" s="153">
        <v>0</v>
      </c>
      <c r="Q30" s="153">
        <v>0</v>
      </c>
      <c r="R30" s="153">
        <v>0</v>
      </c>
      <c r="S30" s="127">
        <f t="shared" si="23"/>
        <v>543.83</v>
      </c>
      <c r="T30" s="128">
        <f t="shared" si="24"/>
        <v>47.93</v>
      </c>
      <c r="U30" s="155">
        <v>39.07</v>
      </c>
      <c r="V30" s="155">
        <v>14.28</v>
      </c>
      <c r="W30" s="155">
        <v>126.98</v>
      </c>
      <c r="X30" s="155">
        <v>87.91</v>
      </c>
      <c r="Y30" s="156">
        <v>508.57</v>
      </c>
      <c r="Z30" s="157">
        <v>0</v>
      </c>
      <c r="AA30" s="157">
        <v>0</v>
      </c>
      <c r="AB30" s="130">
        <f>SUM(U30:AA30)</f>
        <v>776.81</v>
      </c>
      <c r="AC30" s="160">
        <f t="shared" si="25"/>
        <v>824.74</v>
      </c>
      <c r="AD30" s="112">
        <f t="shared" si="26"/>
        <v>0</v>
      </c>
      <c r="AE30" s="112">
        <f t="shared" si="27"/>
        <v>0</v>
      </c>
      <c r="AF30" s="112"/>
      <c r="AG30" s="113">
        <f t="shared" si="28"/>
        <v>443.82</v>
      </c>
      <c r="AH30" s="113">
        <f t="shared" si="29"/>
        <v>147.94000000000003</v>
      </c>
      <c r="AI30" s="113">
        <v>0</v>
      </c>
      <c r="AJ30" s="113">
        <v>0</v>
      </c>
      <c r="AK30" s="113">
        <v>0</v>
      </c>
      <c r="AL30" s="113">
        <v>0</v>
      </c>
      <c r="AM30" s="113">
        <f>0*B30</f>
        <v>0</v>
      </c>
      <c r="AN30" s="113">
        <v>0</v>
      </c>
      <c r="AO30" s="113"/>
      <c r="AP30" s="161"/>
      <c r="AQ30" s="162"/>
      <c r="AR30" s="162"/>
      <c r="AS30" s="134"/>
      <c r="AT30" s="158"/>
      <c r="AU30" s="158">
        <f t="shared" si="30"/>
        <v>0</v>
      </c>
      <c r="AV30" s="163">
        <v>383</v>
      </c>
      <c r="AW30" s="164">
        <v>0.3</v>
      </c>
      <c r="AX30" s="161">
        <f aca="true" t="shared" si="34" ref="AX30:AX39">AV30*AW30*1.4</f>
        <v>160.85999999999999</v>
      </c>
      <c r="AY30" s="113"/>
      <c r="AZ30" s="151"/>
      <c r="BA30" s="151">
        <f t="shared" si="31"/>
        <v>0</v>
      </c>
      <c r="BB30" s="151">
        <f>SUM(AG30:BA30)-AV30-AW30</f>
        <v>752.6199999999999</v>
      </c>
      <c r="BC30" s="165"/>
      <c r="BD30" s="14">
        <f t="shared" si="22"/>
        <v>72.12000000000012</v>
      </c>
      <c r="BE30" s="29">
        <f t="shared" si="32"/>
        <v>232.9799999999999</v>
      </c>
    </row>
    <row r="31" spans="1:57" ht="12.75" hidden="1">
      <c r="A31" s="11" t="s">
        <v>48</v>
      </c>
      <c r="B31" s="137">
        <v>739.7</v>
      </c>
      <c r="C31" s="141">
        <f t="shared" si="21"/>
        <v>591.7600000000001</v>
      </c>
      <c r="D31" s="140">
        <f t="shared" si="33"/>
        <v>6.394884621840902E-14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543.83</v>
      </c>
      <c r="N31" s="152">
        <v>47.93</v>
      </c>
      <c r="O31" s="152">
        <v>0</v>
      </c>
      <c r="P31" s="153">
        <v>0</v>
      </c>
      <c r="Q31" s="153"/>
      <c r="R31" s="153"/>
      <c r="S31" s="127">
        <f t="shared" si="23"/>
        <v>543.83</v>
      </c>
      <c r="T31" s="128">
        <f t="shared" si="24"/>
        <v>47.93</v>
      </c>
      <c r="U31" s="155">
        <v>6.99</v>
      </c>
      <c r="V31" s="155">
        <v>2.56</v>
      </c>
      <c r="W31" s="155">
        <v>22.72</v>
      </c>
      <c r="X31" s="155">
        <v>15.73</v>
      </c>
      <c r="Y31" s="156">
        <v>163.46</v>
      </c>
      <c r="Z31" s="157">
        <v>0</v>
      </c>
      <c r="AA31" s="157">
        <v>0</v>
      </c>
      <c r="AB31" s="130">
        <f>SUM(U31:AA31)</f>
        <v>211.46</v>
      </c>
      <c r="AC31" s="132">
        <f t="shared" si="25"/>
        <v>259.3900000000001</v>
      </c>
      <c r="AD31" s="112">
        <f t="shared" si="26"/>
        <v>0</v>
      </c>
      <c r="AE31" s="112">
        <f t="shared" si="27"/>
        <v>0</v>
      </c>
      <c r="AF31" s="112"/>
      <c r="AG31" s="113">
        <f t="shared" si="28"/>
        <v>443.82</v>
      </c>
      <c r="AH31" s="113">
        <f t="shared" si="29"/>
        <v>147.94000000000003</v>
      </c>
      <c r="AI31" s="113">
        <v>0</v>
      </c>
      <c r="AJ31" s="113">
        <v>0</v>
      </c>
      <c r="AK31" s="113">
        <v>0</v>
      </c>
      <c r="AL31" s="113">
        <v>0</v>
      </c>
      <c r="AM31" s="113">
        <f>0*B31</f>
        <v>0</v>
      </c>
      <c r="AN31" s="113">
        <v>0</v>
      </c>
      <c r="AO31" s="113"/>
      <c r="AP31" s="113"/>
      <c r="AQ31" s="133"/>
      <c r="AR31" s="133"/>
      <c r="AS31" s="158"/>
      <c r="AT31" s="158">
        <f>500</f>
        <v>500</v>
      </c>
      <c r="AU31" s="134"/>
      <c r="AV31" s="135">
        <v>307</v>
      </c>
      <c r="AW31" s="136">
        <v>0.3</v>
      </c>
      <c r="AX31" s="113">
        <f t="shared" si="34"/>
        <v>128.94</v>
      </c>
      <c r="AY31" s="113"/>
      <c r="AZ31" s="115"/>
      <c r="BA31" s="115">
        <f t="shared" si="31"/>
        <v>0</v>
      </c>
      <c r="BB31" s="115">
        <f aca="true" t="shared" si="35" ref="BB31:BB37">SUM(AG31:BA31)-AV31-AW31</f>
        <v>1220.7</v>
      </c>
      <c r="BC31" s="116"/>
      <c r="BD31" s="14">
        <f t="shared" si="22"/>
        <v>-961.31</v>
      </c>
      <c r="BE31" s="29">
        <f t="shared" si="32"/>
        <v>-332.37</v>
      </c>
    </row>
    <row r="32" spans="1:57" ht="12.75" hidden="1">
      <c r="A32" s="11" t="s">
        <v>49</v>
      </c>
      <c r="B32" s="137">
        <v>739.7</v>
      </c>
      <c r="C32" s="141">
        <f t="shared" si="21"/>
        <v>591.7600000000001</v>
      </c>
      <c r="D32" s="140">
        <f t="shared" si="33"/>
        <v>6.394884621840902E-14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543.83</v>
      </c>
      <c r="N32" s="125">
        <v>47.93</v>
      </c>
      <c r="O32" s="125">
        <v>0</v>
      </c>
      <c r="P32" s="126">
        <v>0</v>
      </c>
      <c r="Q32" s="126"/>
      <c r="R32" s="126"/>
      <c r="S32" s="127">
        <f t="shared" si="23"/>
        <v>543.83</v>
      </c>
      <c r="T32" s="128">
        <f t="shared" si="24"/>
        <v>47.93</v>
      </c>
      <c r="U32" s="146">
        <v>0</v>
      </c>
      <c r="V32" s="146">
        <v>0</v>
      </c>
      <c r="W32" s="146">
        <v>0</v>
      </c>
      <c r="X32" s="146">
        <v>0</v>
      </c>
      <c r="Y32" s="147">
        <v>158.55</v>
      </c>
      <c r="Z32" s="148">
        <v>0</v>
      </c>
      <c r="AA32" s="148">
        <v>0</v>
      </c>
      <c r="AB32" s="130">
        <f aca="true" t="shared" si="36" ref="AB32:AB39">SUM(U32:AA32)</f>
        <v>158.55</v>
      </c>
      <c r="AC32" s="132">
        <f t="shared" si="25"/>
        <v>206.48000000000008</v>
      </c>
      <c r="AD32" s="112">
        <f t="shared" si="26"/>
        <v>0</v>
      </c>
      <c r="AE32" s="112">
        <f t="shared" si="27"/>
        <v>0</v>
      </c>
      <c r="AF32" s="112"/>
      <c r="AG32" s="113">
        <f t="shared" si="28"/>
        <v>443.82</v>
      </c>
      <c r="AH32" s="113">
        <f t="shared" si="29"/>
        <v>147.94000000000003</v>
      </c>
      <c r="AI32" s="113">
        <v>0</v>
      </c>
      <c r="AJ32" s="113">
        <v>0</v>
      </c>
      <c r="AK32" s="113">
        <v>0</v>
      </c>
      <c r="AL32" s="113">
        <v>0</v>
      </c>
      <c r="AM32" s="113">
        <f>0*B32</f>
        <v>0</v>
      </c>
      <c r="AN32" s="113">
        <v>0</v>
      </c>
      <c r="AO32" s="113"/>
      <c r="AP32" s="113"/>
      <c r="AQ32" s="133"/>
      <c r="AR32" s="133"/>
      <c r="AS32" s="134"/>
      <c r="AT32" s="134"/>
      <c r="AU32" s="134">
        <f t="shared" si="30"/>
        <v>0</v>
      </c>
      <c r="AV32" s="135">
        <v>263</v>
      </c>
      <c r="AW32" s="136">
        <v>0.3</v>
      </c>
      <c r="AX32" s="113">
        <f t="shared" si="34"/>
        <v>110.45999999999998</v>
      </c>
      <c r="AY32" s="113"/>
      <c r="AZ32" s="115"/>
      <c r="BA32" s="115">
        <f t="shared" si="31"/>
        <v>0</v>
      </c>
      <c r="BB32" s="115">
        <f t="shared" si="35"/>
        <v>702.22</v>
      </c>
      <c r="BC32" s="116"/>
      <c r="BD32" s="14">
        <f t="shared" si="22"/>
        <v>-495.73999999999995</v>
      </c>
      <c r="BE32" s="29">
        <f t="shared" si="32"/>
        <v>-385.28000000000003</v>
      </c>
    </row>
    <row r="33" spans="1:57" ht="12.75" hidden="1">
      <c r="A33" s="11" t="s">
        <v>50</v>
      </c>
      <c r="B33" s="137">
        <v>739.7</v>
      </c>
      <c r="C33" s="141">
        <f t="shared" si="21"/>
        <v>591.7600000000001</v>
      </c>
      <c r="D33" s="140">
        <f>C33-E33-F33-G33-H33-I33-J33-K33-L33-M33-N33</f>
        <v>6.394884621840902E-14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543.83</v>
      </c>
      <c r="N33" s="125">
        <v>47.93</v>
      </c>
      <c r="O33" s="125">
        <v>0</v>
      </c>
      <c r="P33" s="126">
        <v>0</v>
      </c>
      <c r="Q33" s="125">
        <v>0</v>
      </c>
      <c r="R33" s="126">
        <v>0</v>
      </c>
      <c r="S33" s="127">
        <f t="shared" si="23"/>
        <v>543.83</v>
      </c>
      <c r="T33" s="128">
        <f t="shared" si="24"/>
        <v>47.93</v>
      </c>
      <c r="U33" s="127">
        <v>0</v>
      </c>
      <c r="V33" s="127">
        <v>0</v>
      </c>
      <c r="W33" s="127">
        <v>0</v>
      </c>
      <c r="X33" s="127">
        <v>0</v>
      </c>
      <c r="Y33" s="129">
        <v>159.12</v>
      </c>
      <c r="Z33" s="130">
        <v>0</v>
      </c>
      <c r="AA33" s="130">
        <v>0</v>
      </c>
      <c r="AB33" s="130">
        <f t="shared" si="36"/>
        <v>159.12</v>
      </c>
      <c r="AC33" s="132">
        <f t="shared" si="25"/>
        <v>207.05000000000007</v>
      </c>
      <c r="AD33" s="112">
        <f t="shared" si="26"/>
        <v>0</v>
      </c>
      <c r="AE33" s="112">
        <f t="shared" si="27"/>
        <v>0</v>
      </c>
      <c r="AF33" s="112"/>
      <c r="AG33" s="113">
        <f t="shared" si="28"/>
        <v>443.82</v>
      </c>
      <c r="AH33" s="113">
        <f t="shared" si="29"/>
        <v>147.94000000000003</v>
      </c>
      <c r="AI33" s="113">
        <v>0</v>
      </c>
      <c r="AJ33" s="113">
        <v>0</v>
      </c>
      <c r="AK33" s="113">
        <v>0</v>
      </c>
      <c r="AL33" s="113">
        <v>0</v>
      </c>
      <c r="AM33" s="113">
        <f>0*B33</f>
        <v>0</v>
      </c>
      <c r="AN33" s="113">
        <v>0</v>
      </c>
      <c r="AO33" s="113"/>
      <c r="AP33" s="113"/>
      <c r="AQ33" s="133"/>
      <c r="AR33" s="133"/>
      <c r="AS33" s="134"/>
      <c r="AT33" s="134"/>
      <c r="AU33" s="134">
        <f t="shared" si="30"/>
        <v>0</v>
      </c>
      <c r="AV33" s="135">
        <v>233</v>
      </c>
      <c r="AW33" s="136">
        <v>0.3</v>
      </c>
      <c r="AX33" s="113">
        <f t="shared" si="34"/>
        <v>97.85999999999999</v>
      </c>
      <c r="AY33" s="113"/>
      <c r="AZ33" s="115"/>
      <c r="BA33" s="115">
        <f t="shared" si="31"/>
        <v>0</v>
      </c>
      <c r="BB33" s="115">
        <f t="shared" si="35"/>
        <v>689.62</v>
      </c>
      <c r="BC33" s="116"/>
      <c r="BD33" s="14">
        <f t="shared" si="22"/>
        <v>-482.56999999999994</v>
      </c>
      <c r="BE33" s="29">
        <f t="shared" si="32"/>
        <v>-384.71000000000004</v>
      </c>
    </row>
    <row r="34" spans="1:57" ht="12.75" hidden="1">
      <c r="A34" s="11" t="s">
        <v>51</v>
      </c>
      <c r="B34" s="137">
        <v>739.7</v>
      </c>
      <c r="C34" s="141">
        <f t="shared" si="21"/>
        <v>591.7600000000001</v>
      </c>
      <c r="D34" s="140">
        <f t="shared" si="33"/>
        <v>1.1368683772161603E-13</v>
      </c>
      <c r="E34" s="149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591.76</v>
      </c>
      <c r="N34" s="125">
        <v>0</v>
      </c>
      <c r="O34" s="125">
        <v>0</v>
      </c>
      <c r="P34" s="126">
        <v>0</v>
      </c>
      <c r="Q34" s="126"/>
      <c r="R34" s="126"/>
      <c r="S34" s="127">
        <f t="shared" si="23"/>
        <v>591.76</v>
      </c>
      <c r="T34" s="128">
        <f t="shared" si="24"/>
        <v>0</v>
      </c>
      <c r="U34" s="142">
        <v>378.66</v>
      </c>
      <c r="V34" s="127">
        <v>73.27</v>
      </c>
      <c r="W34" s="127">
        <v>1230.61</v>
      </c>
      <c r="X34" s="127">
        <v>851.98</v>
      </c>
      <c r="Y34" s="129">
        <v>3327.09</v>
      </c>
      <c r="Z34" s="130">
        <v>0</v>
      </c>
      <c r="AA34" s="130">
        <v>0</v>
      </c>
      <c r="AB34" s="130">
        <f t="shared" si="36"/>
        <v>5861.610000000001</v>
      </c>
      <c r="AC34" s="132">
        <f t="shared" si="25"/>
        <v>5861.610000000001</v>
      </c>
      <c r="AD34" s="112">
        <f t="shared" si="26"/>
        <v>0</v>
      </c>
      <c r="AE34" s="112">
        <f t="shared" si="27"/>
        <v>0</v>
      </c>
      <c r="AF34" s="112"/>
      <c r="AG34" s="113">
        <f t="shared" si="28"/>
        <v>443.82</v>
      </c>
      <c r="AH34" s="113">
        <f t="shared" si="29"/>
        <v>147.94000000000003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/>
      <c r="AP34" s="113"/>
      <c r="AQ34" s="133"/>
      <c r="AR34" s="133"/>
      <c r="AS34" s="134"/>
      <c r="AT34" s="134"/>
      <c r="AU34" s="134">
        <f t="shared" si="30"/>
        <v>0</v>
      </c>
      <c r="AV34" s="135">
        <v>248</v>
      </c>
      <c r="AW34" s="136">
        <v>0.3</v>
      </c>
      <c r="AX34" s="113">
        <f t="shared" si="34"/>
        <v>104.15999999999998</v>
      </c>
      <c r="AY34" s="113"/>
      <c r="AZ34" s="115"/>
      <c r="BA34" s="115">
        <f t="shared" si="31"/>
        <v>0</v>
      </c>
      <c r="BB34" s="115">
        <f t="shared" si="35"/>
        <v>695.92</v>
      </c>
      <c r="BC34" s="116"/>
      <c r="BD34" s="14">
        <f t="shared" si="22"/>
        <v>5165.6900000000005</v>
      </c>
      <c r="BE34" s="29">
        <f t="shared" si="32"/>
        <v>5269.85</v>
      </c>
    </row>
    <row r="35" spans="1:57" ht="12.75" hidden="1">
      <c r="A35" s="11" t="s">
        <v>52</v>
      </c>
      <c r="B35" s="137">
        <v>739.7</v>
      </c>
      <c r="C35" s="141">
        <f t="shared" si="21"/>
        <v>591.7600000000001</v>
      </c>
      <c r="D35" s="140">
        <f t="shared" si="33"/>
        <v>1.1368683772161603E-13</v>
      </c>
      <c r="E35" s="149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591.76</v>
      </c>
      <c r="N35" s="125">
        <v>0</v>
      </c>
      <c r="O35" s="125">
        <v>0</v>
      </c>
      <c r="P35" s="126">
        <v>0</v>
      </c>
      <c r="Q35" s="126"/>
      <c r="R35" s="126"/>
      <c r="S35" s="127">
        <f t="shared" si="23"/>
        <v>591.76</v>
      </c>
      <c r="T35" s="128">
        <f t="shared" si="24"/>
        <v>0</v>
      </c>
      <c r="U35" s="146">
        <v>0</v>
      </c>
      <c r="V35" s="146">
        <v>0</v>
      </c>
      <c r="W35" s="146">
        <v>0</v>
      </c>
      <c r="X35" s="146">
        <v>0</v>
      </c>
      <c r="Y35" s="147">
        <v>300.39</v>
      </c>
      <c r="Z35" s="148">
        <v>0</v>
      </c>
      <c r="AA35" s="148">
        <v>0</v>
      </c>
      <c r="AB35" s="130">
        <f t="shared" si="36"/>
        <v>300.39</v>
      </c>
      <c r="AC35" s="132">
        <f t="shared" si="25"/>
        <v>300.3900000000001</v>
      </c>
      <c r="AD35" s="112">
        <f t="shared" si="26"/>
        <v>0</v>
      </c>
      <c r="AE35" s="112">
        <f t="shared" si="27"/>
        <v>0</v>
      </c>
      <c r="AF35" s="112"/>
      <c r="AG35" s="113">
        <f t="shared" si="28"/>
        <v>443.82</v>
      </c>
      <c r="AH35" s="113">
        <f t="shared" si="29"/>
        <v>147.94000000000003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/>
      <c r="AP35" s="113"/>
      <c r="AQ35" s="133"/>
      <c r="AR35" s="133"/>
      <c r="AS35" s="134"/>
      <c r="AT35" s="134">
        <f>47.8</f>
        <v>47.8</v>
      </c>
      <c r="AU35" s="134"/>
      <c r="AV35" s="135">
        <v>293</v>
      </c>
      <c r="AW35" s="136">
        <v>0.3</v>
      </c>
      <c r="AX35" s="113">
        <f t="shared" si="34"/>
        <v>123.05999999999997</v>
      </c>
      <c r="AY35" s="113"/>
      <c r="AZ35" s="115"/>
      <c r="BA35" s="115">
        <f t="shared" si="31"/>
        <v>0</v>
      </c>
      <c r="BB35" s="115">
        <f t="shared" si="35"/>
        <v>762.6199999999999</v>
      </c>
      <c r="BC35" s="116"/>
      <c r="BD35" s="14">
        <f t="shared" si="22"/>
        <v>-462.2299999999998</v>
      </c>
      <c r="BE35" s="29">
        <f t="shared" si="32"/>
        <v>-291.37</v>
      </c>
    </row>
    <row r="36" spans="1:57" ht="12.75" hidden="1">
      <c r="A36" s="11" t="s">
        <v>53</v>
      </c>
      <c r="B36" s="137">
        <v>739.7</v>
      </c>
      <c r="C36" s="141">
        <f t="shared" si="21"/>
        <v>591.7600000000001</v>
      </c>
      <c r="D36" s="140">
        <f t="shared" si="33"/>
        <v>1.1368683772161603E-13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591.76</v>
      </c>
      <c r="N36" s="125">
        <v>0</v>
      </c>
      <c r="O36" s="125">
        <v>0</v>
      </c>
      <c r="P36" s="126">
        <v>0</v>
      </c>
      <c r="Q36" s="126"/>
      <c r="R36" s="126"/>
      <c r="S36" s="127">
        <f t="shared" si="23"/>
        <v>591.76</v>
      </c>
      <c r="T36" s="128">
        <f t="shared" si="24"/>
        <v>0</v>
      </c>
      <c r="U36" s="127">
        <v>0</v>
      </c>
      <c r="V36" s="127">
        <v>0</v>
      </c>
      <c r="W36" s="127">
        <v>0</v>
      </c>
      <c r="X36" s="127">
        <v>0</v>
      </c>
      <c r="Y36" s="129">
        <v>411.09</v>
      </c>
      <c r="Z36" s="130">
        <v>0</v>
      </c>
      <c r="AA36" s="130">
        <v>0</v>
      </c>
      <c r="AB36" s="130">
        <f t="shared" si="36"/>
        <v>411.09</v>
      </c>
      <c r="AC36" s="132">
        <f t="shared" si="25"/>
        <v>411.0900000000001</v>
      </c>
      <c r="AD36" s="112">
        <f t="shared" si="26"/>
        <v>0</v>
      </c>
      <c r="AE36" s="112">
        <f t="shared" si="27"/>
        <v>0</v>
      </c>
      <c r="AF36" s="112"/>
      <c r="AG36" s="113">
        <f t="shared" si="28"/>
        <v>443.82</v>
      </c>
      <c r="AH36" s="113">
        <f t="shared" si="29"/>
        <v>147.94000000000003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/>
      <c r="AP36" s="113"/>
      <c r="AQ36" s="133"/>
      <c r="AR36" s="133"/>
      <c r="AS36" s="134"/>
      <c r="AT36" s="134"/>
      <c r="AU36" s="150">
        <f t="shared" si="30"/>
        <v>0</v>
      </c>
      <c r="AV36" s="135">
        <v>349</v>
      </c>
      <c r="AW36" s="136">
        <v>0.3</v>
      </c>
      <c r="AX36" s="113">
        <f t="shared" si="34"/>
        <v>146.57999999999998</v>
      </c>
      <c r="AY36" s="113"/>
      <c r="AZ36" s="115"/>
      <c r="BA36" s="115">
        <f t="shared" si="31"/>
        <v>0</v>
      </c>
      <c r="BB36" s="115">
        <f t="shared" si="35"/>
        <v>738.3399999999999</v>
      </c>
      <c r="BC36" s="116"/>
      <c r="BD36" s="14">
        <f t="shared" si="22"/>
        <v>-327.24999999999983</v>
      </c>
      <c r="BE36" s="29">
        <f t="shared" si="32"/>
        <v>-180.67000000000002</v>
      </c>
    </row>
    <row r="37" spans="1:57" ht="12.75" hidden="1">
      <c r="A37" s="11" t="s">
        <v>41</v>
      </c>
      <c r="B37" s="137">
        <v>739.7</v>
      </c>
      <c r="C37" s="141">
        <f t="shared" si="21"/>
        <v>591.7600000000001</v>
      </c>
      <c r="D37" s="140">
        <f t="shared" si="33"/>
        <v>1.1368683772161603E-13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591.76</v>
      </c>
      <c r="N37" s="125">
        <v>0</v>
      </c>
      <c r="O37" s="125">
        <v>0</v>
      </c>
      <c r="P37" s="126">
        <v>0</v>
      </c>
      <c r="Q37" s="126"/>
      <c r="R37" s="126"/>
      <c r="S37" s="127">
        <f t="shared" si="23"/>
        <v>591.76</v>
      </c>
      <c r="T37" s="128">
        <f t="shared" si="24"/>
        <v>0</v>
      </c>
      <c r="U37" s="127">
        <v>0</v>
      </c>
      <c r="V37" s="127">
        <v>0</v>
      </c>
      <c r="W37" s="127">
        <v>0</v>
      </c>
      <c r="X37" s="127">
        <v>0</v>
      </c>
      <c r="Y37" s="129">
        <v>338.41</v>
      </c>
      <c r="Z37" s="130">
        <v>0</v>
      </c>
      <c r="AA37" s="130">
        <v>0</v>
      </c>
      <c r="AB37" s="130">
        <f t="shared" si="36"/>
        <v>338.41</v>
      </c>
      <c r="AC37" s="132">
        <f t="shared" si="25"/>
        <v>338.41000000000014</v>
      </c>
      <c r="AD37" s="112">
        <f t="shared" si="26"/>
        <v>0</v>
      </c>
      <c r="AE37" s="112">
        <f t="shared" si="27"/>
        <v>0</v>
      </c>
      <c r="AF37" s="112"/>
      <c r="AG37" s="113">
        <f t="shared" si="28"/>
        <v>443.82</v>
      </c>
      <c r="AH37" s="113">
        <f t="shared" si="29"/>
        <v>147.94000000000003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/>
      <c r="AP37" s="113"/>
      <c r="AQ37" s="133"/>
      <c r="AR37" s="133"/>
      <c r="AS37" s="134"/>
      <c r="AT37" s="134"/>
      <c r="AU37" s="134">
        <f t="shared" si="30"/>
        <v>0</v>
      </c>
      <c r="AV37" s="135">
        <v>425</v>
      </c>
      <c r="AW37" s="136">
        <v>0.3</v>
      </c>
      <c r="AX37" s="113">
        <f t="shared" si="34"/>
        <v>178.5</v>
      </c>
      <c r="AY37" s="113"/>
      <c r="AZ37" s="115"/>
      <c r="BA37" s="115">
        <f t="shared" si="31"/>
        <v>0</v>
      </c>
      <c r="BB37" s="115">
        <f t="shared" si="35"/>
        <v>770.26</v>
      </c>
      <c r="BC37" s="116"/>
      <c r="BD37" s="14">
        <f t="shared" si="22"/>
        <v>-431.84999999999985</v>
      </c>
      <c r="BE37" s="29">
        <f t="shared" si="32"/>
        <v>-253.34999999999997</v>
      </c>
    </row>
    <row r="38" spans="1:57" ht="12.75" hidden="1">
      <c r="A38" s="11" t="s">
        <v>42</v>
      </c>
      <c r="B38" s="137">
        <v>739.7</v>
      </c>
      <c r="C38" s="141">
        <f t="shared" si="21"/>
        <v>591.7600000000001</v>
      </c>
      <c r="D38" s="140">
        <f t="shared" si="33"/>
        <v>1.1368683772161603E-13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591.76</v>
      </c>
      <c r="N38" s="152">
        <v>0</v>
      </c>
      <c r="O38" s="152">
        <v>0</v>
      </c>
      <c r="P38" s="153">
        <v>0</v>
      </c>
      <c r="Q38" s="153"/>
      <c r="R38" s="153"/>
      <c r="S38" s="127">
        <f t="shared" si="23"/>
        <v>591.76</v>
      </c>
      <c r="T38" s="128">
        <f t="shared" si="24"/>
        <v>0</v>
      </c>
      <c r="U38" s="154">
        <v>0</v>
      </c>
      <c r="V38" s="155">
        <v>0</v>
      </c>
      <c r="W38" s="155">
        <v>0</v>
      </c>
      <c r="X38" s="155">
        <v>0</v>
      </c>
      <c r="Y38" s="156">
        <v>265.55</v>
      </c>
      <c r="Z38" s="157">
        <v>0</v>
      </c>
      <c r="AA38" s="157">
        <v>0</v>
      </c>
      <c r="AB38" s="130">
        <f t="shared" si="36"/>
        <v>265.55</v>
      </c>
      <c r="AC38" s="132">
        <f t="shared" si="25"/>
        <v>265.5500000000001</v>
      </c>
      <c r="AD38" s="112">
        <f t="shared" si="26"/>
        <v>0</v>
      </c>
      <c r="AE38" s="112">
        <f t="shared" si="27"/>
        <v>0</v>
      </c>
      <c r="AF38" s="112"/>
      <c r="AG38" s="113">
        <f t="shared" si="28"/>
        <v>443.82</v>
      </c>
      <c r="AH38" s="113">
        <f t="shared" si="29"/>
        <v>147.94000000000003</v>
      </c>
      <c r="AI38" s="113">
        <v>0</v>
      </c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/>
      <c r="AP38" s="113"/>
      <c r="AQ38" s="133"/>
      <c r="AR38" s="133"/>
      <c r="AS38" s="134"/>
      <c r="AT38" s="134"/>
      <c r="AU38" s="134">
        <f t="shared" si="30"/>
        <v>0</v>
      </c>
      <c r="AV38" s="135">
        <v>470</v>
      </c>
      <c r="AW38" s="136">
        <v>0.3</v>
      </c>
      <c r="AX38" s="113">
        <f t="shared" si="34"/>
        <v>197.39999999999998</v>
      </c>
      <c r="AY38" s="113"/>
      <c r="AZ38" s="115"/>
      <c r="BA38" s="115">
        <f t="shared" si="31"/>
        <v>0</v>
      </c>
      <c r="BB38" s="115">
        <f>SUM(AG38:BA38)-AV38-AW38</f>
        <v>789.1600000000001</v>
      </c>
      <c r="BC38" s="116"/>
      <c r="BD38" s="14">
        <f t="shared" si="22"/>
        <v>-523.6099999999999</v>
      </c>
      <c r="BE38" s="29">
        <f t="shared" si="32"/>
        <v>-326.21</v>
      </c>
    </row>
    <row r="39" spans="1:57" ht="12.75" hidden="1">
      <c r="A39" s="11" t="s">
        <v>43</v>
      </c>
      <c r="B39" s="137">
        <v>739.7</v>
      </c>
      <c r="C39" s="141">
        <f t="shared" si="21"/>
        <v>591.7600000000001</v>
      </c>
      <c r="D39" s="140">
        <f t="shared" si="33"/>
        <v>1.1368683772161603E-13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591.76</v>
      </c>
      <c r="N39" s="152">
        <v>0</v>
      </c>
      <c r="O39" s="152">
        <v>0</v>
      </c>
      <c r="P39" s="153">
        <v>0</v>
      </c>
      <c r="Q39" s="153"/>
      <c r="R39" s="153"/>
      <c r="S39" s="127">
        <f t="shared" si="23"/>
        <v>591.76</v>
      </c>
      <c r="T39" s="128">
        <f t="shared" si="24"/>
        <v>0</v>
      </c>
      <c r="U39" s="155">
        <v>0</v>
      </c>
      <c r="V39" s="155">
        <v>0</v>
      </c>
      <c r="W39" s="155">
        <v>0</v>
      </c>
      <c r="X39" s="155">
        <v>0</v>
      </c>
      <c r="Y39" s="156">
        <v>484.04</v>
      </c>
      <c r="Z39" s="157">
        <v>0</v>
      </c>
      <c r="AA39" s="157">
        <v>0</v>
      </c>
      <c r="AB39" s="130">
        <f t="shared" si="36"/>
        <v>484.04</v>
      </c>
      <c r="AC39" s="132">
        <f t="shared" si="25"/>
        <v>484.04000000000013</v>
      </c>
      <c r="AD39" s="112">
        <f t="shared" si="26"/>
        <v>0</v>
      </c>
      <c r="AE39" s="112">
        <f t="shared" si="27"/>
        <v>0</v>
      </c>
      <c r="AF39" s="112"/>
      <c r="AG39" s="113">
        <f t="shared" si="28"/>
        <v>443.82</v>
      </c>
      <c r="AH39" s="113">
        <f t="shared" si="29"/>
        <v>147.94000000000003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/>
      <c r="AP39" s="113"/>
      <c r="AQ39" s="133"/>
      <c r="AR39" s="133"/>
      <c r="AS39" s="134"/>
      <c r="AT39" s="134"/>
      <c r="AU39" s="134">
        <f t="shared" si="30"/>
        <v>0</v>
      </c>
      <c r="AV39" s="135">
        <v>514</v>
      </c>
      <c r="AW39" s="136">
        <v>0.3</v>
      </c>
      <c r="AX39" s="113">
        <f t="shared" si="34"/>
        <v>215.87999999999997</v>
      </c>
      <c r="AY39" s="113"/>
      <c r="AZ39" s="115"/>
      <c r="BA39" s="115">
        <f t="shared" si="31"/>
        <v>0</v>
      </c>
      <c r="BB39" s="115">
        <f>SUM(AG39:BA39)-AV39-AW39</f>
        <v>807.6399999999999</v>
      </c>
      <c r="BC39" s="116"/>
      <c r="BD39" s="14">
        <f t="shared" si="22"/>
        <v>-323.59999999999974</v>
      </c>
      <c r="BE39" s="29">
        <f t="shared" si="32"/>
        <v>-107.71999999999997</v>
      </c>
    </row>
    <row r="40" spans="1:57" s="20" customFormat="1" ht="12.75" hidden="1">
      <c r="A40" s="17" t="s">
        <v>5</v>
      </c>
      <c r="B40" s="57"/>
      <c r="C40" s="57">
        <f aca="true" t="shared" si="37" ref="C40:AV40">SUM(C28:C39)</f>
        <v>7101.120000000002</v>
      </c>
      <c r="D40" s="57">
        <f t="shared" si="37"/>
        <v>1.1158296508995136E-12</v>
      </c>
      <c r="E40" s="54">
        <f t="shared" si="37"/>
        <v>0</v>
      </c>
      <c r="F40" s="54">
        <f t="shared" si="37"/>
        <v>0</v>
      </c>
      <c r="G40" s="54">
        <f t="shared" si="37"/>
        <v>0</v>
      </c>
      <c r="H40" s="54">
        <f t="shared" si="37"/>
        <v>0</v>
      </c>
      <c r="I40" s="54">
        <f t="shared" si="37"/>
        <v>0</v>
      </c>
      <c r="J40" s="54">
        <f t="shared" si="37"/>
        <v>0</v>
      </c>
      <c r="K40" s="54">
        <f t="shared" si="37"/>
        <v>0</v>
      </c>
      <c r="L40" s="54">
        <f t="shared" si="37"/>
        <v>0</v>
      </c>
      <c r="M40" s="54">
        <f t="shared" si="37"/>
        <v>6813.470000000001</v>
      </c>
      <c r="N40" s="54">
        <f t="shared" si="37"/>
        <v>287.58</v>
      </c>
      <c r="O40" s="54">
        <f t="shared" si="37"/>
        <v>0</v>
      </c>
      <c r="P40" s="54">
        <f t="shared" si="37"/>
        <v>0</v>
      </c>
      <c r="Q40" s="54">
        <f t="shared" si="37"/>
        <v>0</v>
      </c>
      <c r="R40" s="54">
        <f t="shared" si="37"/>
        <v>0</v>
      </c>
      <c r="S40" s="54">
        <f t="shared" si="37"/>
        <v>6813.470000000001</v>
      </c>
      <c r="T40" s="54">
        <f t="shared" si="37"/>
        <v>287.58</v>
      </c>
      <c r="U40" s="58">
        <f t="shared" si="37"/>
        <v>496.47</v>
      </c>
      <c r="V40" s="58">
        <f t="shared" si="37"/>
        <v>116.12</v>
      </c>
      <c r="W40" s="58">
        <f t="shared" si="37"/>
        <v>1613.5299999999997</v>
      </c>
      <c r="X40" s="58">
        <f t="shared" si="37"/>
        <v>1117.08</v>
      </c>
      <c r="Y40" s="58">
        <f t="shared" si="37"/>
        <v>6784.27</v>
      </c>
      <c r="Z40" s="58">
        <f t="shared" si="37"/>
        <v>0</v>
      </c>
      <c r="AA40" s="58">
        <f t="shared" si="37"/>
        <v>0</v>
      </c>
      <c r="AB40" s="58">
        <f t="shared" si="37"/>
        <v>10127.470000000001</v>
      </c>
      <c r="AC40" s="58">
        <f t="shared" si="37"/>
        <v>10415.050000000001</v>
      </c>
      <c r="AD40" s="58">
        <f t="shared" si="37"/>
        <v>0</v>
      </c>
      <c r="AE40" s="88">
        <f t="shared" si="37"/>
        <v>0</v>
      </c>
      <c r="AF40" s="88">
        <f t="shared" si="37"/>
        <v>0</v>
      </c>
      <c r="AG40" s="18">
        <f t="shared" si="37"/>
        <v>5325.84</v>
      </c>
      <c r="AH40" s="18">
        <f t="shared" si="37"/>
        <v>1775.2800000000004</v>
      </c>
      <c r="AI40" s="18">
        <f t="shared" si="37"/>
        <v>0</v>
      </c>
      <c r="AJ40" s="18">
        <f t="shared" si="37"/>
        <v>0</v>
      </c>
      <c r="AK40" s="18">
        <f t="shared" si="37"/>
        <v>0</v>
      </c>
      <c r="AL40" s="18">
        <f t="shared" si="37"/>
        <v>0</v>
      </c>
      <c r="AM40" s="18">
        <f t="shared" si="37"/>
        <v>0</v>
      </c>
      <c r="AN40" s="18">
        <f t="shared" si="37"/>
        <v>0</v>
      </c>
      <c r="AO40" s="18">
        <f t="shared" si="37"/>
        <v>0</v>
      </c>
      <c r="AP40" s="18">
        <f t="shared" si="37"/>
        <v>0</v>
      </c>
      <c r="AQ40" s="18">
        <f t="shared" si="37"/>
        <v>0</v>
      </c>
      <c r="AR40" s="18">
        <f t="shared" si="37"/>
        <v>0</v>
      </c>
      <c r="AS40" s="18">
        <f t="shared" si="37"/>
        <v>0</v>
      </c>
      <c r="AT40" s="18">
        <f t="shared" si="37"/>
        <v>547.8</v>
      </c>
      <c r="AU40" s="18">
        <f t="shared" si="37"/>
        <v>0</v>
      </c>
      <c r="AV40" s="18"/>
      <c r="AW40" s="18"/>
      <c r="AX40" s="18">
        <f aca="true" t="shared" si="38" ref="AX40:BE40">SUM(AX28:AX39)</f>
        <v>1847.9999999999998</v>
      </c>
      <c r="AY40" s="18">
        <f t="shared" si="38"/>
        <v>0</v>
      </c>
      <c r="AZ40" s="18">
        <f t="shared" si="38"/>
        <v>0</v>
      </c>
      <c r="BA40" s="18">
        <f t="shared" si="38"/>
        <v>0</v>
      </c>
      <c r="BB40" s="18">
        <f t="shared" si="38"/>
        <v>9496.92</v>
      </c>
      <c r="BC40" s="18">
        <f t="shared" si="38"/>
        <v>0</v>
      </c>
      <c r="BD40" s="18">
        <f t="shared" si="38"/>
        <v>918.1300000000019</v>
      </c>
      <c r="BE40" s="19">
        <f t="shared" si="38"/>
        <v>3314</v>
      </c>
    </row>
    <row r="41" spans="1:57" ht="12.75">
      <c r="A41" s="11"/>
      <c r="B41" s="12"/>
      <c r="C41" s="13"/>
      <c r="D41" s="1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7"/>
      <c r="T41" s="47"/>
      <c r="U41" s="50"/>
      <c r="V41" s="50"/>
      <c r="W41" s="50"/>
      <c r="X41" s="50"/>
      <c r="Y41" s="50"/>
      <c r="Z41" s="50"/>
      <c r="AA41" s="50"/>
      <c r="AB41" s="50"/>
      <c r="AC41" s="89"/>
      <c r="AD41" s="89"/>
      <c r="AE41" s="90"/>
      <c r="AF41" s="90"/>
      <c r="AG41" s="16"/>
      <c r="AH41" s="16"/>
      <c r="AI41" s="16"/>
      <c r="AJ41" s="16"/>
      <c r="AK41" s="16"/>
      <c r="AL41" s="16"/>
      <c r="AM41" s="16"/>
      <c r="AN41" s="16"/>
      <c r="AO41" s="15"/>
      <c r="AP41" s="15"/>
      <c r="AQ41" s="15"/>
      <c r="AR41" s="15"/>
      <c r="AS41" s="84"/>
      <c r="AT41" s="84"/>
      <c r="AU41" s="85"/>
      <c r="AV41" s="85"/>
      <c r="AW41" s="85"/>
      <c r="AX41" s="21"/>
      <c r="AY41" s="15"/>
      <c r="AZ41" s="15"/>
      <c r="BA41" s="16"/>
      <c r="BB41" s="16"/>
      <c r="BC41" s="16"/>
      <c r="BD41" s="16"/>
      <c r="BE41" s="10"/>
    </row>
    <row r="42" spans="1:57" s="20" customFormat="1" ht="13.5" thickBot="1">
      <c r="A42" s="22" t="s">
        <v>54</v>
      </c>
      <c r="B42" s="23"/>
      <c r="C42" s="23">
        <f>C12+C26+C40</f>
        <v>44872.345</v>
      </c>
      <c r="D42" s="23">
        <f aca="true" t="shared" si="39" ref="D42:BE42">D12+D26+D40</f>
        <v>6190.643478550002</v>
      </c>
      <c r="E42" s="23">
        <f t="shared" si="39"/>
        <v>2886.2</v>
      </c>
      <c r="F42" s="23">
        <f t="shared" si="39"/>
        <v>206.2</v>
      </c>
      <c r="G42" s="23">
        <f t="shared" si="39"/>
        <v>1051.9</v>
      </c>
      <c r="H42" s="23">
        <f t="shared" si="39"/>
        <v>74.75</v>
      </c>
      <c r="I42" s="23">
        <f t="shared" si="39"/>
        <v>9380.2</v>
      </c>
      <c r="J42" s="23">
        <f t="shared" si="39"/>
        <v>670.1500000000001</v>
      </c>
      <c r="K42" s="23">
        <f t="shared" si="39"/>
        <v>6494.049999999999</v>
      </c>
      <c r="L42" s="23">
        <f t="shared" si="39"/>
        <v>463.95000000000005</v>
      </c>
      <c r="M42" s="23">
        <f t="shared" si="39"/>
        <v>14558.720000000001</v>
      </c>
      <c r="N42" s="23">
        <f t="shared" si="39"/>
        <v>933.8299999999999</v>
      </c>
      <c r="O42" s="23">
        <f t="shared" si="39"/>
        <v>0</v>
      </c>
      <c r="P42" s="23">
        <f t="shared" si="39"/>
        <v>0</v>
      </c>
      <c r="Q42" s="23">
        <f t="shared" si="39"/>
        <v>0</v>
      </c>
      <c r="R42" s="23">
        <f t="shared" si="39"/>
        <v>0</v>
      </c>
      <c r="S42" s="23">
        <f t="shared" si="39"/>
        <v>34371.07</v>
      </c>
      <c r="T42" s="23">
        <f t="shared" si="39"/>
        <v>2348.8799999999997</v>
      </c>
      <c r="U42" s="23">
        <f t="shared" si="39"/>
        <v>1551.23</v>
      </c>
      <c r="V42" s="23">
        <f t="shared" si="39"/>
        <v>500.6</v>
      </c>
      <c r="W42" s="23">
        <f t="shared" si="39"/>
        <v>5041.53</v>
      </c>
      <c r="X42" s="23">
        <f t="shared" si="39"/>
        <v>3490.3199999999997</v>
      </c>
      <c r="Y42" s="23">
        <f t="shared" si="39"/>
        <v>10232.9</v>
      </c>
      <c r="Z42" s="23">
        <f t="shared" si="39"/>
        <v>0</v>
      </c>
      <c r="AA42" s="23">
        <f t="shared" si="39"/>
        <v>0</v>
      </c>
      <c r="AB42" s="23">
        <f t="shared" si="39"/>
        <v>20816.58</v>
      </c>
      <c r="AC42" s="23">
        <f t="shared" si="39"/>
        <v>29356.10347855001</v>
      </c>
      <c r="AD42" s="23">
        <f t="shared" si="39"/>
        <v>0</v>
      </c>
      <c r="AE42" s="23">
        <f t="shared" si="39"/>
        <v>0</v>
      </c>
      <c r="AF42" s="23">
        <f t="shared" si="39"/>
        <v>0</v>
      </c>
      <c r="AG42" s="23">
        <f t="shared" si="39"/>
        <v>11796.252</v>
      </c>
      <c r="AH42" s="23">
        <f t="shared" si="39"/>
        <v>3952.6421124000008</v>
      </c>
      <c r="AI42" s="23">
        <f t="shared" si="39"/>
        <v>3510.2768164999998</v>
      </c>
      <c r="AJ42" s="23">
        <f t="shared" si="39"/>
        <v>631.8498269700001</v>
      </c>
      <c r="AK42" s="23">
        <f t="shared" si="39"/>
        <v>3763.7125539400004</v>
      </c>
      <c r="AL42" s="23">
        <f t="shared" si="39"/>
        <v>677.4682597092</v>
      </c>
      <c r="AM42" s="23">
        <f t="shared" si="39"/>
        <v>7645.352242110001</v>
      </c>
      <c r="AN42" s="23">
        <f t="shared" si="39"/>
        <v>1376.1634035798</v>
      </c>
      <c r="AO42" s="23">
        <f t="shared" si="39"/>
        <v>0</v>
      </c>
      <c r="AP42" s="23">
        <f t="shared" si="39"/>
        <v>0</v>
      </c>
      <c r="AQ42" s="23">
        <f t="shared" si="39"/>
        <v>0</v>
      </c>
      <c r="AR42" s="23">
        <f t="shared" si="39"/>
        <v>0</v>
      </c>
      <c r="AS42" s="23">
        <f t="shared" si="39"/>
        <v>0</v>
      </c>
      <c r="AT42" s="23">
        <f t="shared" si="39"/>
        <v>547.8</v>
      </c>
      <c r="AU42" s="23">
        <f t="shared" si="39"/>
        <v>0</v>
      </c>
      <c r="AV42" s="23"/>
      <c r="AW42" s="23">
        <f t="shared" si="39"/>
        <v>0</v>
      </c>
      <c r="AX42" s="23">
        <f t="shared" si="39"/>
        <v>3592.5119999999997</v>
      </c>
      <c r="AY42" s="23">
        <f t="shared" si="39"/>
        <v>0</v>
      </c>
      <c r="AZ42" s="23">
        <f t="shared" si="39"/>
        <v>0</v>
      </c>
      <c r="BA42" s="23">
        <f t="shared" si="39"/>
        <v>0</v>
      </c>
      <c r="BB42" s="23">
        <f t="shared" si="39"/>
        <v>37494.029215209</v>
      </c>
      <c r="BC42" s="23">
        <f t="shared" si="39"/>
        <v>0</v>
      </c>
      <c r="BD42" s="23">
        <f>BD12+BD26+BD40</f>
        <v>-8137.925736658998</v>
      </c>
      <c r="BE42" s="23">
        <f t="shared" si="39"/>
        <v>-13554.490000000002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N5:N6"/>
    <mergeCell ref="O5:O6"/>
    <mergeCell ref="P5:P6"/>
    <mergeCell ref="Q5:Q6"/>
    <mergeCell ref="AZ5:AZ6"/>
    <mergeCell ref="AO5:AO6"/>
    <mergeCell ref="AY5:AY6"/>
    <mergeCell ref="AB5:AB6"/>
    <mergeCell ref="AV5:AX5"/>
    <mergeCell ref="AD3:AD6"/>
    <mergeCell ref="BB5:BB6"/>
    <mergeCell ref="AU5:AU6"/>
    <mergeCell ref="AG5:AG6"/>
    <mergeCell ref="AF3:AF6"/>
    <mergeCell ref="AG3:BB4"/>
    <mergeCell ref="AN5:AN6"/>
    <mergeCell ref="BA5:BA6"/>
    <mergeCell ref="AQ5:AQ6"/>
    <mergeCell ref="AR5:AR6"/>
    <mergeCell ref="AT5:AT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3">
      <selection activeCell="I50" sqref="I50:M50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31" t="s">
        <v>55</v>
      </c>
      <c r="C1" s="231"/>
      <c r="D1" s="231"/>
      <c r="E1" s="231"/>
      <c r="F1" s="231"/>
      <c r="G1" s="231"/>
      <c r="H1" s="231"/>
    </row>
    <row r="2" spans="2:8" ht="21" customHeight="1">
      <c r="B2" s="231" t="s">
        <v>56</v>
      </c>
      <c r="C2" s="231"/>
      <c r="D2" s="231"/>
      <c r="E2" s="231"/>
      <c r="F2" s="231"/>
      <c r="G2" s="231"/>
      <c r="H2" s="231"/>
    </row>
    <row r="5" spans="1:15" ht="12.75">
      <c r="A5" s="233" t="s">
        <v>89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2.75">
      <c r="A6" s="234" t="s">
        <v>92</v>
      </c>
      <c r="B6" s="234"/>
      <c r="C6" s="234"/>
      <c r="D6" s="234"/>
      <c r="E6" s="234"/>
      <c r="F6" s="234"/>
      <c r="G6" s="234"/>
      <c r="H6" s="91"/>
      <c r="I6" s="91"/>
      <c r="J6" s="91"/>
      <c r="K6" s="91"/>
      <c r="L6" s="91"/>
      <c r="M6" s="91"/>
      <c r="N6" s="91"/>
      <c r="O6" s="91"/>
    </row>
    <row r="7" spans="1:15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6" ht="13.5" thickBot="1">
      <c r="A8" s="232" t="s">
        <v>57</v>
      </c>
      <c r="B8" s="232"/>
      <c r="C8" s="232"/>
      <c r="D8" s="232"/>
      <c r="E8" s="232">
        <v>8.65</v>
      </c>
      <c r="F8" s="232"/>
    </row>
    <row r="9" spans="1:16" ht="12.75" customHeight="1">
      <c r="A9" s="180" t="s">
        <v>58</v>
      </c>
      <c r="B9" s="262" t="s">
        <v>1</v>
      </c>
      <c r="C9" s="265" t="s">
        <v>59</v>
      </c>
      <c r="D9" s="268" t="s">
        <v>3</v>
      </c>
      <c r="E9" s="246" t="s">
        <v>60</v>
      </c>
      <c r="F9" s="247"/>
      <c r="G9" s="250" t="s">
        <v>61</v>
      </c>
      <c r="H9" s="251"/>
      <c r="I9" s="227" t="s">
        <v>10</v>
      </c>
      <c r="J9" s="219"/>
      <c r="K9" s="219"/>
      <c r="L9" s="219"/>
      <c r="M9" s="219"/>
      <c r="N9" s="228"/>
      <c r="O9" s="235" t="s">
        <v>62</v>
      </c>
      <c r="P9" s="235" t="s">
        <v>12</v>
      </c>
    </row>
    <row r="10" spans="1:16" ht="12.75">
      <c r="A10" s="181"/>
      <c r="B10" s="263"/>
      <c r="C10" s="266"/>
      <c r="D10" s="269"/>
      <c r="E10" s="248"/>
      <c r="F10" s="249"/>
      <c r="G10" s="252"/>
      <c r="H10" s="253"/>
      <c r="I10" s="229"/>
      <c r="J10" s="191"/>
      <c r="K10" s="191"/>
      <c r="L10" s="191"/>
      <c r="M10" s="191"/>
      <c r="N10" s="230"/>
      <c r="O10" s="236"/>
      <c r="P10" s="236"/>
    </row>
    <row r="11" spans="1:16" ht="26.25" customHeight="1">
      <c r="A11" s="181"/>
      <c r="B11" s="263"/>
      <c r="C11" s="266"/>
      <c r="D11" s="269"/>
      <c r="E11" s="238" t="s">
        <v>63</v>
      </c>
      <c r="F11" s="239"/>
      <c r="G11" s="81" t="s">
        <v>64</v>
      </c>
      <c r="H11" s="240" t="s">
        <v>7</v>
      </c>
      <c r="I11" s="242" t="s">
        <v>65</v>
      </c>
      <c r="J11" s="244" t="s">
        <v>32</v>
      </c>
      <c r="K11" s="244" t="s">
        <v>66</v>
      </c>
      <c r="L11" s="244" t="s">
        <v>37</v>
      </c>
      <c r="M11" s="244" t="s">
        <v>67</v>
      </c>
      <c r="N11" s="240" t="s">
        <v>39</v>
      </c>
      <c r="O11" s="236"/>
      <c r="P11" s="236"/>
    </row>
    <row r="12" spans="1:16" ht="66.75" customHeight="1" thickBot="1">
      <c r="A12" s="261"/>
      <c r="B12" s="264"/>
      <c r="C12" s="267"/>
      <c r="D12" s="270"/>
      <c r="E12" s="60" t="s">
        <v>68</v>
      </c>
      <c r="F12" s="63" t="s">
        <v>21</v>
      </c>
      <c r="G12" s="78" t="s">
        <v>69</v>
      </c>
      <c r="H12" s="241"/>
      <c r="I12" s="243"/>
      <c r="J12" s="245"/>
      <c r="K12" s="245"/>
      <c r="L12" s="245"/>
      <c r="M12" s="245"/>
      <c r="N12" s="241"/>
      <c r="O12" s="237"/>
      <c r="P12" s="237"/>
    </row>
    <row r="13" spans="1:16" ht="13.5" thickBot="1">
      <c r="A13" s="61">
        <v>1</v>
      </c>
      <c r="B13" s="62">
        <v>2</v>
      </c>
      <c r="C13" s="61">
        <v>3</v>
      </c>
      <c r="D13" s="62">
        <v>4</v>
      </c>
      <c r="E13" s="61">
        <v>5</v>
      </c>
      <c r="F13" s="62">
        <v>6</v>
      </c>
      <c r="G13" s="61">
        <v>7</v>
      </c>
      <c r="H13" s="62">
        <v>8</v>
      </c>
      <c r="I13" s="61">
        <v>9</v>
      </c>
      <c r="J13" s="62">
        <v>10</v>
      </c>
      <c r="K13" s="61">
        <v>11</v>
      </c>
      <c r="L13" s="62">
        <v>12</v>
      </c>
      <c r="M13" s="61">
        <v>13</v>
      </c>
      <c r="N13" s="62">
        <v>14</v>
      </c>
      <c r="O13" s="61">
        <v>15</v>
      </c>
      <c r="P13" s="62">
        <v>16</v>
      </c>
    </row>
    <row r="14" spans="1:16" ht="12.75" hidden="1">
      <c r="A14" s="7" t="s">
        <v>40</v>
      </c>
      <c r="B14" s="8"/>
      <c r="C14" s="25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3"/>
      <c r="P14" s="70"/>
    </row>
    <row r="15" spans="1:16" ht="12.75" hidden="1">
      <c r="A15" s="11" t="s">
        <v>41</v>
      </c>
      <c r="B15" s="79">
        <f>Лист1!B9</f>
        <v>735.7</v>
      </c>
      <c r="C15" s="26">
        <f>B15*8.65</f>
        <v>6363.805</v>
      </c>
      <c r="D15" s="27">
        <f>Лист1!D9</f>
        <v>1532.9133484000001</v>
      </c>
      <c r="E15" s="14">
        <f>Лист1!S9</f>
        <v>4424.26</v>
      </c>
      <c r="F15" s="29">
        <f>Лист1!T9</f>
        <v>316</v>
      </c>
      <c r="G15" s="28">
        <f>Лист1!AB9</f>
        <v>0</v>
      </c>
      <c r="H15" s="29">
        <f>Лист1!AC9</f>
        <v>1848.9133484000001</v>
      </c>
      <c r="I15" s="28">
        <f>Лист1!AG9</f>
        <v>441.42</v>
      </c>
      <c r="J15" s="14">
        <f>Лист1!AI9+Лист1!AJ9</f>
        <v>739.4697268</v>
      </c>
      <c r="K15" s="14">
        <f>Лист1!AH9+Лист1!AK9+Лист1!AL9+Лист1!AM9+Лист1!AN9+Лист1!AO9+Лист1!AP9</f>
        <v>2596.57450367</v>
      </c>
      <c r="L15" s="30">
        <f>Лист1!AS9+Лист1!AU9</f>
        <v>0</v>
      </c>
      <c r="M15" s="30">
        <f>Лист1!AX9</f>
        <v>0</v>
      </c>
      <c r="N15" s="29">
        <f>Лист1!BB9</f>
        <v>3777.46423047</v>
      </c>
      <c r="O15" s="71">
        <f>Лист1!BD9</f>
        <v>-1928.55088207</v>
      </c>
      <c r="P15" s="71">
        <f>Лист1!BE9</f>
        <v>-4424.26</v>
      </c>
    </row>
    <row r="16" spans="1:16" ht="12.75" hidden="1">
      <c r="A16" s="11" t="s">
        <v>42</v>
      </c>
      <c r="B16" s="79">
        <f>Лист1!B10</f>
        <v>735.7</v>
      </c>
      <c r="C16" s="26">
        <f>B16*8.65</f>
        <v>6363.805</v>
      </c>
      <c r="D16" s="27">
        <f>Лист1!D10</f>
        <v>1532.9133484000001</v>
      </c>
      <c r="E16" s="14">
        <f>Лист1!S10</f>
        <v>4424.26</v>
      </c>
      <c r="F16" s="29">
        <f>Лист1!T10</f>
        <v>316</v>
      </c>
      <c r="G16" s="28">
        <f>Лист1!AB10</f>
        <v>957.7800000000001</v>
      </c>
      <c r="H16" s="29">
        <f>Лист1!AC10</f>
        <v>2806.6933484</v>
      </c>
      <c r="I16" s="28">
        <f>Лист1!AG10</f>
        <v>441.42</v>
      </c>
      <c r="J16" s="14">
        <f>Лист1!AI10+Лист1!AJ10</f>
        <v>739.4697268</v>
      </c>
      <c r="K16" s="14">
        <f>Лист1!AH10+Лист1!AK10+Лист1!AL10+Лист1!AM10+Лист1!AN10+Лист1!AO10+Лист1!AP10</f>
        <v>2588.7378272700003</v>
      </c>
      <c r="L16" s="30">
        <f>Лист1!AS10+Лист1!AU10</f>
        <v>0</v>
      </c>
      <c r="M16" s="30">
        <f>Лист1!AX10</f>
        <v>0</v>
      </c>
      <c r="N16" s="29">
        <f>Лист1!BB10</f>
        <v>3769.6275540700003</v>
      </c>
      <c r="O16" s="71">
        <f>Лист1!BD10</f>
        <v>-962.9342056700002</v>
      </c>
      <c r="P16" s="71">
        <f>Лист1!BE10</f>
        <v>-3466.48</v>
      </c>
    </row>
    <row r="17" spans="1:18" ht="13.5" hidden="1" thickBot="1">
      <c r="A17" s="31" t="s">
        <v>43</v>
      </c>
      <c r="B17" s="79">
        <f>Лист1!B11</f>
        <v>735.7</v>
      </c>
      <c r="C17" s="32">
        <f>B17*8.65</f>
        <v>6363.805</v>
      </c>
      <c r="D17" s="27">
        <f>Лист1!D11</f>
        <v>1529.5405317500001</v>
      </c>
      <c r="E17" s="14">
        <f>Лист1!S11</f>
        <v>4424.26</v>
      </c>
      <c r="F17" s="29">
        <f>Лист1!T11</f>
        <v>316</v>
      </c>
      <c r="G17" s="28">
        <f>Лист1!AB11</f>
        <v>2719.35</v>
      </c>
      <c r="H17" s="29">
        <f>Лист1!AC11</f>
        <v>4564.89053175</v>
      </c>
      <c r="I17" s="28">
        <f>Лист1!AG11</f>
        <v>441.42</v>
      </c>
      <c r="J17" s="14">
        <f>Лист1!AI11+Лист1!AJ11</f>
        <v>737.31677432</v>
      </c>
      <c r="K17" s="14">
        <f>Лист1!AH11+Лист1!AK11+Лист1!AL11+Лист1!AM11+Лист1!AN11+Лист1!AO11+Лист1!AP11</f>
        <v>2584.6220492610005</v>
      </c>
      <c r="L17" s="30">
        <f>Лист1!AS11+Лист1!AU11</f>
        <v>0</v>
      </c>
      <c r="M17" s="30">
        <f>Лист1!AX11</f>
        <v>0</v>
      </c>
      <c r="N17" s="29">
        <f>Лист1!BB11</f>
        <v>3763.3588235810007</v>
      </c>
      <c r="O17" s="71">
        <f>Лист1!BD11</f>
        <v>801.5317081689996</v>
      </c>
      <c r="P17" s="71">
        <f>Лист1!BE11</f>
        <v>-1704.9100000000003</v>
      </c>
      <c r="Q17" s="1"/>
      <c r="R17" s="1"/>
    </row>
    <row r="18" spans="1:18" s="20" customFormat="1" ht="13.5" hidden="1" thickBot="1">
      <c r="A18" s="33" t="s">
        <v>5</v>
      </c>
      <c r="B18" s="34"/>
      <c r="C18" s="35">
        <f>SUM(C15:C17)</f>
        <v>19091.415</v>
      </c>
      <c r="D18" s="64">
        <f aca="true" t="shared" si="0" ref="D18:I18">SUM(D15:D17)</f>
        <v>4595.367228550001</v>
      </c>
      <c r="E18" s="35">
        <f t="shared" si="0"/>
        <v>13272.78</v>
      </c>
      <c r="F18" s="65">
        <f t="shared" si="0"/>
        <v>948</v>
      </c>
      <c r="G18" s="64">
        <f t="shared" si="0"/>
        <v>3677.13</v>
      </c>
      <c r="H18" s="65">
        <f t="shared" si="0"/>
        <v>9220.49722855</v>
      </c>
      <c r="I18" s="64">
        <f t="shared" si="0"/>
        <v>1324.26</v>
      </c>
      <c r="J18" s="35">
        <f aca="true" t="shared" si="1" ref="J18:P18">SUM(J15:J17)</f>
        <v>2216.25622792</v>
      </c>
      <c r="K18" s="35">
        <f t="shared" si="1"/>
        <v>7769.934380201001</v>
      </c>
      <c r="L18" s="35">
        <f t="shared" si="1"/>
        <v>0</v>
      </c>
      <c r="M18" s="35">
        <f t="shared" si="1"/>
        <v>0</v>
      </c>
      <c r="N18" s="65">
        <f t="shared" si="1"/>
        <v>11310.450608121</v>
      </c>
      <c r="O18" s="72">
        <f t="shared" si="1"/>
        <v>-2089.953379571001</v>
      </c>
      <c r="P18" s="72">
        <f t="shared" si="1"/>
        <v>-9595.65</v>
      </c>
      <c r="Q18" s="67"/>
      <c r="R18" s="68"/>
    </row>
    <row r="19" spans="1:18" ht="12.75" hidden="1">
      <c r="A19" s="7" t="s">
        <v>44</v>
      </c>
      <c r="B19" s="39"/>
      <c r="C19" s="40"/>
      <c r="D19" s="41"/>
      <c r="E19" s="42"/>
      <c r="F19" s="44"/>
      <c r="G19" s="43"/>
      <c r="H19" s="44"/>
      <c r="I19" s="43"/>
      <c r="J19" s="14"/>
      <c r="K19" s="14"/>
      <c r="L19" s="30"/>
      <c r="M19" s="66"/>
      <c r="N19" s="29"/>
      <c r="O19" s="71"/>
      <c r="P19" s="71"/>
      <c r="Q19" s="1"/>
      <c r="R19" s="1"/>
    </row>
    <row r="20" spans="1:18" ht="12.75" hidden="1">
      <c r="A20" s="11" t="s">
        <v>45</v>
      </c>
      <c r="B20" s="79">
        <f>Лист1!B14</f>
        <v>735.7</v>
      </c>
      <c r="C20" s="123">
        <f>B20*8.65</f>
        <v>6363.805</v>
      </c>
      <c r="D20" s="27">
        <f>Лист1!D14</f>
        <v>795.475625</v>
      </c>
      <c r="E20" s="14">
        <f>Лист1!S14</f>
        <v>4424.26</v>
      </c>
      <c r="F20" s="29">
        <f>Лист1!T14</f>
        <v>316</v>
      </c>
      <c r="G20" s="28">
        <f>Лист1!AB14</f>
        <v>2579.7799999999997</v>
      </c>
      <c r="H20" s="29">
        <f>Лист1!AC14</f>
        <v>3691.255625</v>
      </c>
      <c r="I20" s="28">
        <f>Лист1!AG14</f>
        <v>397.278</v>
      </c>
      <c r="J20" s="14">
        <f>Лист1!AI14+Лист1!AJ14</f>
        <v>639.7418557000001</v>
      </c>
      <c r="K20" s="14">
        <f>Лист1!AH14+Лист1!AK14+Лист1!AL14+Лист1!AM14+Лист1!AN14+Лист1!AO14+Лист1!AP14+Лист1!AQ14+Лист1!AR14</f>
        <v>2197.2103674640002</v>
      </c>
      <c r="L20" s="30">
        <f>Лист1!AS14+Лист1!AT14+Лист1!AU14+Лист1!AZ14+Лист1!BA14</f>
        <v>0</v>
      </c>
      <c r="M20" s="30">
        <f>Лист1!AX14</f>
        <v>201.41184</v>
      </c>
      <c r="N20" s="29">
        <f>Лист1!BB14</f>
        <v>3234.230223164</v>
      </c>
      <c r="O20" s="71">
        <f>Лист1!BD14</f>
        <v>457.0254018359997</v>
      </c>
      <c r="P20" s="71">
        <f>Лист1!BE14</f>
        <v>-1844.4800000000005</v>
      </c>
      <c r="Q20" s="1"/>
      <c r="R20" s="1"/>
    </row>
    <row r="21" spans="1:18" ht="12.75" hidden="1">
      <c r="A21" s="11" t="s">
        <v>46</v>
      </c>
      <c r="B21" s="79">
        <f>Лист1!B15</f>
        <v>739.7</v>
      </c>
      <c r="C21" s="123">
        <f>B21*8.65</f>
        <v>6398.405000000001</v>
      </c>
      <c r="D21" s="27">
        <f>Лист1!D15</f>
        <v>799.8006250000001</v>
      </c>
      <c r="E21" s="14">
        <f>Лист1!S15</f>
        <v>4424.26</v>
      </c>
      <c r="F21" s="29">
        <f>Лист1!T15</f>
        <v>316</v>
      </c>
      <c r="G21" s="28">
        <f>Лист1!AB15</f>
        <v>851.4300000000001</v>
      </c>
      <c r="H21" s="29">
        <f>Лист1!AC15</f>
        <v>1967.2306250000001</v>
      </c>
      <c r="I21" s="28">
        <f>Лист1!AG15</f>
        <v>399.438</v>
      </c>
      <c r="J21" s="14">
        <f>Лист1!AI15+Лист1!AJ15</f>
        <v>642.5019405999999</v>
      </c>
      <c r="K21" s="14">
        <f>Лист1!AH15+Лист1!AK15+Лист1!AL15+Лист1!AM15+Лист1!AN15+Лист1!AO15+Лист1!AP15+Лист1!AQ15+Лист1!AR15</f>
        <v>2212.345666154</v>
      </c>
      <c r="L21" s="30">
        <f>Лист1!AS15+Лист1!AT15+Лист1!AU15+Лист1!AZ15+Лист1!BA15</f>
        <v>0</v>
      </c>
      <c r="M21" s="30">
        <f>Лист1!AX15</f>
        <v>161.36736</v>
      </c>
      <c r="N21" s="29">
        <f>Лист1!BB15</f>
        <v>3254.2856067539997</v>
      </c>
      <c r="O21" s="71">
        <f>Лист1!BD15</f>
        <v>-1287.0549817539995</v>
      </c>
      <c r="P21" s="71">
        <f>Лист1!BE15</f>
        <v>-3572.83</v>
      </c>
      <c r="Q21" s="1"/>
      <c r="R21" s="1"/>
    </row>
    <row r="22" spans="1:18" ht="12.75" hidden="1">
      <c r="A22" s="11" t="s">
        <v>47</v>
      </c>
      <c r="B22" s="79">
        <f>Лист1!B16</f>
        <v>739.7</v>
      </c>
      <c r="C22" s="123">
        <f aca="true" t="shared" si="2" ref="C22:C31">B22*0.8</f>
        <v>591.7600000000001</v>
      </c>
      <c r="D22" s="27">
        <f>Лист1!D16</f>
        <v>0</v>
      </c>
      <c r="E22" s="14">
        <f>Лист1!S16</f>
        <v>542.83</v>
      </c>
      <c r="F22" s="29">
        <f>Лист1!T16</f>
        <v>48.93</v>
      </c>
      <c r="G22" s="28">
        <f>Лист1!AB16</f>
        <v>753.08</v>
      </c>
      <c r="H22" s="29">
        <f>Лист1!AC16</f>
        <v>802.01</v>
      </c>
      <c r="I22" s="28">
        <f>Лист1!AG16</f>
        <v>399.438</v>
      </c>
      <c r="J22" s="14">
        <f>Лист1!AI16+Лист1!AJ16</f>
        <v>643.6266192500001</v>
      </c>
      <c r="K22" s="14">
        <f>Лист1!AH16+Лист1!AK16+Лист1!AL16+Лист1!AM16+Лист1!AN16+Лист1!AO16+Лист1!AP16+Лист1!AQ16+Лист1!AR16</f>
        <v>2138.50826552</v>
      </c>
      <c r="L22" s="30">
        <f>Лист1!AS16+Лист1!AT16+Лист1!AU16+Лист1!AZ16+Лист1!BA16</f>
        <v>0</v>
      </c>
      <c r="M22" s="30">
        <f>Лист1!AX16</f>
        <v>151.85184</v>
      </c>
      <c r="N22" s="29">
        <f>Лист1!BB16</f>
        <v>3181.5728847699997</v>
      </c>
      <c r="O22" s="71">
        <f>Лист1!BD16</f>
        <v>-2379.56288477</v>
      </c>
      <c r="P22" s="71">
        <f>Лист1!BE16</f>
        <v>210.25</v>
      </c>
      <c r="Q22" s="1"/>
      <c r="R22" s="1"/>
    </row>
    <row r="23" spans="1:18" ht="12.75" hidden="1">
      <c r="A23" s="11" t="s">
        <v>48</v>
      </c>
      <c r="B23" s="79">
        <f>Лист1!B17</f>
        <v>739.7</v>
      </c>
      <c r="C23" s="123">
        <f t="shared" si="2"/>
        <v>591.7600000000001</v>
      </c>
      <c r="D23" s="27">
        <f>Лист1!D17</f>
        <v>0</v>
      </c>
      <c r="E23" s="14">
        <f>Лист1!S17</f>
        <v>542.83</v>
      </c>
      <c r="F23" s="29">
        <f>Лист1!T17</f>
        <v>48.93</v>
      </c>
      <c r="G23" s="28">
        <f>Лист1!AB17</f>
        <v>211.46</v>
      </c>
      <c r="H23" s="29">
        <f>Лист1!AC17</f>
        <v>260.39</v>
      </c>
      <c r="I23" s="28">
        <f>Лист1!AG17</f>
        <v>399.438</v>
      </c>
      <c r="J23" s="14">
        <f>Лист1!AI17+Лист1!AJ17</f>
        <v>0</v>
      </c>
      <c r="K23" s="14">
        <f>Лист1!AH17+Лист1!AK17+Лист1!AL17+Лист1!AM17+Лист1!AN17+Лист1!AO17+Лист1!AP17+Лист1!AQ17+Лист1!AR17</f>
        <v>136.60779600000004</v>
      </c>
      <c r="L23" s="30">
        <f>Лист1!AS17+Лист1!AT17+Лист1!AU17+Лист1!AY17+Лист1!AZ17</f>
        <v>0</v>
      </c>
      <c r="M23" s="30">
        <f>Лист1!AX17</f>
        <v>121.71936</v>
      </c>
      <c r="N23" s="29">
        <f>Лист1!BB17</f>
        <v>1172.396196</v>
      </c>
      <c r="O23" s="71">
        <f>Лист1!BD17</f>
        <v>-912.0061959999999</v>
      </c>
      <c r="P23" s="71">
        <f>Лист1!BE17</f>
        <v>-331.37</v>
      </c>
      <c r="Q23" s="1"/>
      <c r="R23" s="1"/>
    </row>
    <row r="24" spans="1:18" ht="12.75" hidden="1">
      <c r="A24" s="11" t="s">
        <v>49</v>
      </c>
      <c r="B24" s="79">
        <f>Лист1!B18</f>
        <v>739.7</v>
      </c>
      <c r="C24" s="123">
        <f t="shared" si="2"/>
        <v>591.7600000000001</v>
      </c>
      <c r="D24" s="27">
        <f>Лист1!D18</f>
        <v>6.394884621840902E-14</v>
      </c>
      <c r="E24" s="14">
        <f>Лист1!S18</f>
        <v>543.83</v>
      </c>
      <c r="F24" s="29">
        <f>Лист1!T18</f>
        <v>47.93</v>
      </c>
      <c r="G24" s="28">
        <f>Лист1!AB18</f>
        <v>181.77</v>
      </c>
      <c r="H24" s="29">
        <f>Лист1!AC18</f>
        <v>229.70000000000007</v>
      </c>
      <c r="I24" s="28">
        <f>Лист1!AG18</f>
        <v>443.82</v>
      </c>
      <c r="J24" s="14">
        <f>Лист1!AI18+Лист1!AJ18</f>
        <v>0</v>
      </c>
      <c r="K24" s="14">
        <f>Лист1!AH18+Лист1!AK18+Лист1!AL18+Лист1!AM18+Лист1!AN18+Лист1!AO18+Лист1!AP18+Лист1!AQ18+Лист1!AR18</f>
        <v>149.41940000000002</v>
      </c>
      <c r="L24" s="30">
        <f>Лист1!AS18+Лист1!AT18+Лист1!AU18+Лист1!AZ18+Лист1!BA18</f>
        <v>0</v>
      </c>
      <c r="M24" s="30">
        <f>Лист1!AX18</f>
        <v>104.27423999999999</v>
      </c>
      <c r="N24" s="29">
        <f>Лист1!BB18</f>
        <v>697.51364</v>
      </c>
      <c r="O24" s="71">
        <f>Лист1!BD18</f>
        <v>-467.81363999999996</v>
      </c>
      <c r="P24" s="71">
        <f>Лист1!BE18</f>
        <v>-362.06000000000006</v>
      </c>
      <c r="Q24" s="1"/>
      <c r="R24" s="1"/>
    </row>
    <row r="25" spans="1:18" ht="12.75" hidden="1">
      <c r="A25" s="11" t="s">
        <v>50</v>
      </c>
      <c r="B25" s="79">
        <f>Лист1!B19</f>
        <v>739.7</v>
      </c>
      <c r="C25" s="123">
        <f t="shared" si="2"/>
        <v>591.7600000000001</v>
      </c>
      <c r="D25" s="27">
        <f>Лист1!D19</f>
        <v>6.394884621840902E-14</v>
      </c>
      <c r="E25" s="14">
        <f>Лист1!S19</f>
        <v>543.83</v>
      </c>
      <c r="F25" s="29">
        <f>Лист1!T19</f>
        <v>47.93</v>
      </c>
      <c r="G25" s="28">
        <f>Лист1!AB19</f>
        <v>694.21</v>
      </c>
      <c r="H25" s="29">
        <f>Лист1!AC19</f>
        <v>742.1400000000001</v>
      </c>
      <c r="I25" s="28">
        <f>Лист1!AG19</f>
        <v>443.82</v>
      </c>
      <c r="J25" s="14">
        <f>Лист1!AI19+Лист1!AJ19</f>
        <v>0</v>
      </c>
      <c r="K25" s="14">
        <f>Лист1!AH19+Лист1!AK19+Лист1!AL19+Лист1!AM19+Лист1!AN19+Лист1!AO19+Лист1!AP19+Лист1!AQ19+Лист1!AR19</f>
        <v>149.48597300000003</v>
      </c>
      <c r="L25" s="30">
        <f>Лист1!AS19+Лист1!AT19+Лист1!AU19+Лист1!AZ19+Лист1!BA19</f>
        <v>0</v>
      </c>
      <c r="M25" s="30">
        <f>Лист1!AX19</f>
        <v>92.37983999999999</v>
      </c>
      <c r="N25" s="29">
        <f>Лист1!BB19</f>
        <v>685.6858129999999</v>
      </c>
      <c r="O25" s="71">
        <f>Лист1!BD19</f>
        <v>56.45418700000016</v>
      </c>
      <c r="P25" s="71">
        <f>Лист1!BE19</f>
        <v>150.38</v>
      </c>
      <c r="Q25" s="1"/>
      <c r="R25" s="1"/>
    </row>
    <row r="26" spans="1:18" ht="12.75" hidden="1">
      <c r="A26" s="11" t="s">
        <v>51</v>
      </c>
      <c r="B26" s="79">
        <f>Лист1!B20</f>
        <v>739.7</v>
      </c>
      <c r="C26" s="123">
        <f t="shared" si="2"/>
        <v>591.7600000000001</v>
      </c>
      <c r="D26" s="27">
        <f>Лист1!D20</f>
        <v>6.394884621840902E-14</v>
      </c>
      <c r="E26" s="14">
        <f>Лист1!S20</f>
        <v>543.83</v>
      </c>
      <c r="F26" s="29">
        <f>Лист1!T20</f>
        <v>47.93</v>
      </c>
      <c r="G26" s="28">
        <f>Лист1!AB20</f>
        <v>391</v>
      </c>
      <c r="H26" s="29">
        <f>Лист1!AC20</f>
        <v>438.93000000000006</v>
      </c>
      <c r="I26" s="28">
        <f>Лист1!AG20</f>
        <v>443.82</v>
      </c>
      <c r="J26" s="14">
        <f>Лист1!AI20+Лист1!AJ20</f>
        <v>0</v>
      </c>
      <c r="K26" s="14">
        <f>Лист1!AH20+Лист1!AK20+Лист1!AL20+Лист1!AM20+Лист1!AN20+Лист1!AO20+Лист1!AP20+Лист1!AQ20+Лист1!AR20</f>
        <v>147.089345</v>
      </c>
      <c r="L26" s="30">
        <f>Лист1!AS20+Лист1!AT20+Лист1!AU20+Лист1!AZ20+Лист1!BA20</f>
        <v>0</v>
      </c>
      <c r="M26" s="30">
        <f>Лист1!AX20</f>
        <v>98.32704</v>
      </c>
      <c r="N26" s="29">
        <f>Лист1!BB20</f>
        <v>689.236385</v>
      </c>
      <c r="O26" s="71">
        <f>Лист1!BD20</f>
        <v>-250.30638499999998</v>
      </c>
      <c r="P26" s="71">
        <f>Лист1!BE20</f>
        <v>-152.83000000000004</v>
      </c>
      <c r="Q26" s="1"/>
      <c r="R26" s="1"/>
    </row>
    <row r="27" spans="1:18" ht="12.75" hidden="1">
      <c r="A27" s="11" t="s">
        <v>52</v>
      </c>
      <c r="B27" s="79">
        <f>Лист1!B21</f>
        <v>739.7</v>
      </c>
      <c r="C27" s="123">
        <f t="shared" si="2"/>
        <v>591.7600000000001</v>
      </c>
      <c r="D27" s="27">
        <f>Лист1!D21</f>
        <v>6.394884621840902E-14</v>
      </c>
      <c r="E27" s="14">
        <f>Лист1!S21</f>
        <v>543.83</v>
      </c>
      <c r="F27" s="29">
        <f>Лист1!T21</f>
        <v>47.93</v>
      </c>
      <c r="G27" s="28">
        <f>Лист1!AB21</f>
        <v>180.07</v>
      </c>
      <c r="H27" s="29">
        <f>Лист1!AC21</f>
        <v>228.00000000000006</v>
      </c>
      <c r="I27" s="28">
        <f>Лист1!AG21</f>
        <v>443.82</v>
      </c>
      <c r="J27" s="14">
        <f>Лист1!AI21+Лист1!AJ21</f>
        <v>0</v>
      </c>
      <c r="K27" s="14">
        <f>Лист1!AH21+Лист1!AK21+Лист1!AL21+Лист1!AM21+Лист1!AN21+Лист1!AO21+Лист1!AP21+Лист1!AQ21+Лист1!AR21</f>
        <v>147.75655440000003</v>
      </c>
      <c r="L27" s="30">
        <f>Лист1!AS21+Лист1!AT21+Лист1!AU21+Лист1!AZ21+Лист1!BA21</f>
        <v>0</v>
      </c>
      <c r="M27" s="30">
        <f>Лист1!AX21</f>
        <v>116.16863999999998</v>
      </c>
      <c r="N27" s="29">
        <f>Лист1!BB21</f>
        <v>707.7451944000001</v>
      </c>
      <c r="O27" s="71">
        <f>Лист1!BD21</f>
        <v>-479.7451944</v>
      </c>
      <c r="P27" s="71">
        <f>Лист1!BE21</f>
        <v>-363.76000000000005</v>
      </c>
      <c r="Q27" s="1"/>
      <c r="R27" s="1"/>
    </row>
    <row r="28" spans="1:18" ht="12.75" hidden="1">
      <c r="A28" s="11" t="s">
        <v>53</v>
      </c>
      <c r="B28" s="79">
        <f>Лист1!B22</f>
        <v>739.7</v>
      </c>
      <c r="C28" s="123">
        <f t="shared" si="2"/>
        <v>591.7600000000001</v>
      </c>
      <c r="D28" s="27">
        <f>Лист1!D22</f>
        <v>6.394884621840902E-14</v>
      </c>
      <c r="E28" s="14">
        <f>Лист1!S22</f>
        <v>543.83</v>
      </c>
      <c r="F28" s="29">
        <f>Лист1!T22</f>
        <v>47.93</v>
      </c>
      <c r="G28" s="28">
        <f>Лист1!AB22</f>
        <v>114.67</v>
      </c>
      <c r="H28" s="29">
        <f>Лист1!AC22</f>
        <v>162.60000000000008</v>
      </c>
      <c r="I28" s="28">
        <f>Лист1!AG22</f>
        <v>443.82</v>
      </c>
      <c r="J28" s="14">
        <f>Лист1!AI22+Лист1!AJ22</f>
        <v>0</v>
      </c>
      <c r="K28" s="14">
        <f>Лист1!AH22+Лист1!AK22+Лист1!AL22+Лист1!AM22+Лист1!AN22+Лист1!AO22+Лист1!AP22+Лист1!AQ22+Лист1!AR22</f>
        <v>147.88082400000005</v>
      </c>
      <c r="L28" s="30">
        <f>Лист1!AS22+Лист1!AT22+Лист1!AU22+Лист1!AZ22+Лист1!BA22</f>
        <v>0</v>
      </c>
      <c r="M28" s="30">
        <f>Лист1!AX22</f>
        <v>138.37152</v>
      </c>
      <c r="N28" s="29">
        <f>Лист1!BB22</f>
        <v>730.0723439999999</v>
      </c>
      <c r="O28" s="71">
        <f>Лист1!BD22</f>
        <v>-567.4723439999998</v>
      </c>
      <c r="P28" s="71">
        <f>Лист1!BE22</f>
        <v>-429.16</v>
      </c>
      <c r="Q28" s="1"/>
      <c r="R28" s="1"/>
    </row>
    <row r="29" spans="1:18" ht="12.75" hidden="1">
      <c r="A29" s="11" t="s">
        <v>41</v>
      </c>
      <c r="B29" s="79">
        <f>Лист1!B23</f>
        <v>739.7</v>
      </c>
      <c r="C29" s="141">
        <f t="shared" si="2"/>
        <v>591.7600000000001</v>
      </c>
      <c r="D29" s="27">
        <f>Лист1!D23</f>
        <v>1.7763568394002505E-13</v>
      </c>
      <c r="E29" s="14">
        <f>Лист1!S23</f>
        <v>543.8299999999999</v>
      </c>
      <c r="F29" s="29">
        <f>Лист1!T23</f>
        <v>47.93</v>
      </c>
      <c r="G29" s="28">
        <f>Лист1!AB23</f>
        <v>526.95</v>
      </c>
      <c r="H29" s="29">
        <f>Лист1!AC23</f>
        <v>574.8800000000002</v>
      </c>
      <c r="I29" s="28">
        <f>Лист1!AG23</f>
        <v>443.82</v>
      </c>
      <c r="J29" s="14">
        <f>Лист1!AI23+Лист1!AJ23</f>
        <v>0</v>
      </c>
      <c r="K29" s="14">
        <f>Лист1!AH23+Лист1!AK23+Лист1!AL23+Лист1!AM23+Лист1!AN23+Лист1!AO23+Лист1!AP23+Лист1!AQ23+Лист1!AR23</f>
        <v>147.94000000000003</v>
      </c>
      <c r="L29" s="30">
        <f>Лист1!AS23+Лист1!AT23+Лист1!AU23+Лист1!AZ23+Лист1!BA23</f>
        <v>0</v>
      </c>
      <c r="M29" s="30">
        <f>Лист1!AX23</f>
        <v>168.504</v>
      </c>
      <c r="N29" s="29">
        <f>Лист1!BB23</f>
        <v>760.264</v>
      </c>
      <c r="O29" s="71">
        <f>Лист1!BD23</f>
        <v>-185.3839999999998</v>
      </c>
      <c r="P29" s="71">
        <f>Лист1!BE23</f>
        <v>-16.87999999999988</v>
      </c>
      <c r="Q29" s="1"/>
      <c r="R29" s="1"/>
    </row>
    <row r="30" spans="1:18" ht="12.75" hidden="1">
      <c r="A30" s="11" t="s">
        <v>42</v>
      </c>
      <c r="B30" s="79">
        <f>Лист1!B24</f>
        <v>739.7</v>
      </c>
      <c r="C30" s="141">
        <f t="shared" si="2"/>
        <v>591.7600000000001</v>
      </c>
      <c r="D30" s="27">
        <f>Лист1!D24</f>
        <v>1.7763568394002505E-13</v>
      </c>
      <c r="E30" s="14">
        <f>Лист1!S24</f>
        <v>543.8299999999999</v>
      </c>
      <c r="F30" s="29">
        <f>Лист1!T24</f>
        <v>47.93</v>
      </c>
      <c r="G30" s="28">
        <f>Лист1!AB24</f>
        <v>172</v>
      </c>
      <c r="H30" s="29">
        <f>Лист1!AC24</f>
        <v>219.93000000000018</v>
      </c>
      <c r="I30" s="28">
        <f>Лист1!AG24</f>
        <v>443.82</v>
      </c>
      <c r="J30" s="14">
        <f>Лист1!AI24+Лист1!AJ24</f>
        <v>0</v>
      </c>
      <c r="K30" s="14">
        <f>Лист1!AH24+Лист1!AK24+Лист1!AL24+Лист1!AM24+Лист1!AN24+Лист1!AO24+Лист1!AP24+Лист1!AQ24+Лист1!AR24</f>
        <v>147.94000000000003</v>
      </c>
      <c r="L30" s="30">
        <f>Лист1!AS24+Лист1!AT24+Лист1!AU24+Лист1!AZ24+Лист1!BA24</f>
        <v>0</v>
      </c>
      <c r="M30" s="30">
        <f>Лист1!AX24</f>
        <v>186.34560000000002</v>
      </c>
      <c r="N30" s="29">
        <f>Лист1!BB24</f>
        <v>778.1056</v>
      </c>
      <c r="O30" s="71">
        <f>Лист1!BD24</f>
        <v>-558.1755999999998</v>
      </c>
      <c r="P30" s="71">
        <f>Лист1!BE24</f>
        <v>-371.8299999999999</v>
      </c>
      <c r="Q30" s="1"/>
      <c r="R30" s="1"/>
    </row>
    <row r="31" spans="1:18" ht="13.5" hidden="1" thickBot="1">
      <c r="A31" s="31" t="s">
        <v>43</v>
      </c>
      <c r="B31" s="79">
        <f>Лист1!B25</f>
        <v>739.7</v>
      </c>
      <c r="C31" s="141">
        <f t="shared" si="2"/>
        <v>591.7600000000001</v>
      </c>
      <c r="D31" s="27">
        <f>Лист1!D25</f>
        <v>6.394884621840902E-14</v>
      </c>
      <c r="E31" s="14">
        <f>Лист1!S25</f>
        <v>543.83</v>
      </c>
      <c r="F31" s="29">
        <f>Лист1!T25</f>
        <v>47.93</v>
      </c>
      <c r="G31" s="28">
        <f>Лист1!AB25</f>
        <v>355.56</v>
      </c>
      <c r="H31" s="29">
        <f>Лист1!AC25</f>
        <v>403.49000000000007</v>
      </c>
      <c r="I31" s="28">
        <f>Лист1!AG25</f>
        <v>443.82</v>
      </c>
      <c r="J31" s="14">
        <f>Лист1!AI25+Лист1!AJ25</f>
        <v>0</v>
      </c>
      <c r="K31" s="14">
        <f>Лист1!AH25+Лист1!AK25+Лист1!AL25+Лист1!AM25+Лист1!AN25+Лист1!AO25+Лист1!AP25+Лист1!AQ25+Лист1!AR25</f>
        <v>147.94000000000003</v>
      </c>
      <c r="L31" s="30">
        <f>Лист1!AS25+Лист1!AT25+Лист1!AU25+Лист1!AZ25+Лист1!BA25</f>
        <v>0</v>
      </c>
      <c r="M31" s="30">
        <f>Лист1!AX25</f>
        <v>203.79072</v>
      </c>
      <c r="N31" s="29">
        <f>Лист1!BB25</f>
        <v>795.55072</v>
      </c>
      <c r="O31" s="71">
        <f>Лист1!BD25</f>
        <v>-392.0607199999999</v>
      </c>
      <c r="P31" s="71">
        <f>Лист1!BE25</f>
        <v>-188.27000000000004</v>
      </c>
      <c r="Q31" s="1"/>
      <c r="R31" s="1"/>
    </row>
    <row r="32" spans="1:18" s="20" customFormat="1" ht="13.5" hidden="1" thickBot="1">
      <c r="A32" s="33" t="s">
        <v>5</v>
      </c>
      <c r="B32" s="34"/>
      <c r="C32" s="35">
        <f aca="true" t="shared" si="3" ref="C32:P32">SUM(C20:C31)</f>
        <v>18679.809999999998</v>
      </c>
      <c r="D32" s="64">
        <f t="shared" si="3"/>
        <v>1595.2762500000006</v>
      </c>
      <c r="E32" s="35">
        <f t="shared" si="3"/>
        <v>14284.82</v>
      </c>
      <c r="F32" s="65">
        <f t="shared" si="3"/>
        <v>1113.2999999999997</v>
      </c>
      <c r="G32" s="64">
        <f t="shared" si="3"/>
        <v>7011.9800000000005</v>
      </c>
      <c r="H32" s="65">
        <f t="shared" si="3"/>
        <v>9720.556250000003</v>
      </c>
      <c r="I32" s="64">
        <f t="shared" si="3"/>
        <v>5146.152</v>
      </c>
      <c r="J32" s="35">
        <f t="shared" si="3"/>
        <v>1925.87041555</v>
      </c>
      <c r="K32" s="35">
        <f t="shared" si="3"/>
        <v>7870.124191538</v>
      </c>
      <c r="L32" s="35">
        <f>SUM(L20:L31)</f>
        <v>0</v>
      </c>
      <c r="M32" s="35">
        <f t="shared" si="3"/>
        <v>1744.512</v>
      </c>
      <c r="N32" s="65">
        <f t="shared" si="3"/>
        <v>16686.658607088</v>
      </c>
      <c r="O32" s="72">
        <f t="shared" si="3"/>
        <v>-6966.102357087999</v>
      </c>
      <c r="P32" s="72">
        <f t="shared" si="3"/>
        <v>-7272.840000000001</v>
      </c>
      <c r="Q32" s="68"/>
      <c r="R32" s="68"/>
    </row>
    <row r="33" spans="1:18" ht="13.5" thickBot="1">
      <c r="A33" s="258" t="s">
        <v>94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76"/>
      <c r="Q33" s="1"/>
      <c r="R33" s="1"/>
    </row>
    <row r="34" spans="1:18" s="20" customFormat="1" ht="13.5" thickBot="1">
      <c r="A34" s="77" t="s">
        <v>54</v>
      </c>
      <c r="B34" s="37"/>
      <c r="C34" s="38">
        <f>C18+C32</f>
        <v>37771.225</v>
      </c>
      <c r="D34" s="36">
        <f aca="true" t="shared" si="4" ref="D34:P34">D18+D32</f>
        <v>6190.643478550001</v>
      </c>
      <c r="E34" s="37">
        <f t="shared" si="4"/>
        <v>27557.6</v>
      </c>
      <c r="F34" s="38">
        <f t="shared" si="4"/>
        <v>2061.2999999999997</v>
      </c>
      <c r="G34" s="36">
        <f t="shared" si="4"/>
        <v>10689.11</v>
      </c>
      <c r="H34" s="38">
        <f t="shared" si="4"/>
        <v>18941.053478550006</v>
      </c>
      <c r="I34" s="36">
        <f t="shared" si="4"/>
        <v>6470.412</v>
      </c>
      <c r="J34" s="37">
        <f t="shared" si="4"/>
        <v>4142.12664347</v>
      </c>
      <c r="K34" s="37">
        <f t="shared" si="4"/>
        <v>15640.058571739</v>
      </c>
      <c r="L34" s="37">
        <f t="shared" si="4"/>
        <v>0</v>
      </c>
      <c r="M34" s="37">
        <f t="shared" si="4"/>
        <v>1744.512</v>
      </c>
      <c r="N34" s="75">
        <f t="shared" si="4"/>
        <v>27997.109215209</v>
      </c>
      <c r="O34" s="74">
        <f>O18+O32</f>
        <v>-9056.055736659</v>
      </c>
      <c r="P34" s="74">
        <f t="shared" si="4"/>
        <v>-16868.49</v>
      </c>
      <c r="Q34" s="69"/>
      <c r="R34" s="68"/>
    </row>
    <row r="35" spans="1:18" ht="12.75">
      <c r="A35" s="173" t="s">
        <v>91</v>
      </c>
      <c r="B35" s="79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"/>
      <c r="R35" s="1"/>
    </row>
    <row r="36" spans="1:16" ht="12.75">
      <c r="A36" s="21" t="s">
        <v>45</v>
      </c>
      <c r="B36" s="79">
        <f>Лист1!B28</f>
        <v>739.7</v>
      </c>
      <c r="C36" s="141">
        <f aca="true" t="shared" si="5" ref="C36:C47">B36*0.8</f>
        <v>591.7600000000001</v>
      </c>
      <c r="D36" s="16">
        <f>Лист1!D28</f>
        <v>6.394884621840902E-14</v>
      </c>
      <c r="E36" s="16">
        <f>Лист1!S28</f>
        <v>543.83</v>
      </c>
      <c r="F36" s="16">
        <f>Лист1!T28</f>
        <v>47.93</v>
      </c>
      <c r="G36" s="21">
        <f>Лист1!AB28</f>
        <v>205.76</v>
      </c>
      <c r="H36" s="16">
        <f>Лист1!AC28</f>
        <v>253.69000000000005</v>
      </c>
      <c r="I36" s="16">
        <f>Лист1!AH28+Лист1!AG28</f>
        <v>591.76</v>
      </c>
      <c r="J36" s="120">
        <f>Лист1!AI28+Лист1!AJ28</f>
        <v>0</v>
      </c>
      <c r="K36" s="16">
        <f>Лист1!AK28+Лист1!AL28+Лист1!AM28+Лист1!AN28+Лист1!AO28+Лист1!AP28+Лист1!AQ28+Лист1!AR28</f>
        <v>0</v>
      </c>
      <c r="L36" s="16">
        <f>Лист1!AS28+Лист1!AT28+Лист1!AU28+Лист1!AY28+Лист1!AZ28</f>
        <v>0</v>
      </c>
      <c r="M36" s="16">
        <f>Лист1!AX28</f>
        <v>213.35999999999999</v>
      </c>
      <c r="N36" s="16">
        <f>Лист1!BB28</f>
        <v>805.1199999999999</v>
      </c>
      <c r="O36" s="16">
        <f>Лист1!BD28</f>
        <v>-551.4299999999998</v>
      </c>
      <c r="P36" s="16">
        <f>Лист1!BE28</f>
        <v>-338.07000000000005</v>
      </c>
    </row>
    <row r="37" spans="1:16" ht="12.75">
      <c r="A37" s="21" t="s">
        <v>46</v>
      </c>
      <c r="B37" s="79">
        <f>Лист1!B29</f>
        <v>739.7</v>
      </c>
      <c r="C37" s="141">
        <f t="shared" si="5"/>
        <v>591.7600000000001</v>
      </c>
      <c r="D37" s="16">
        <f>Лист1!D29</f>
        <v>1.1396439347777232E-13</v>
      </c>
      <c r="E37" s="16">
        <f>Лист1!S29</f>
        <v>543.76</v>
      </c>
      <c r="F37" s="16">
        <f>Лист1!T29</f>
        <v>47.93</v>
      </c>
      <c r="G37" s="21">
        <f>Лист1!AB29</f>
        <v>954.6800000000001</v>
      </c>
      <c r="H37" s="16">
        <f>Лист1!AC29</f>
        <v>1002.6100000000001</v>
      </c>
      <c r="I37" s="16">
        <f>Лист1!AH29+Лист1!AG29</f>
        <v>591.76</v>
      </c>
      <c r="J37" s="120">
        <f>Лист1!AI29+Лист1!AJ29</f>
        <v>0</v>
      </c>
      <c r="K37" s="16">
        <f>Лист1!AK29+Лист1!AL29+Лист1!AM29+Лист1!AN29+Лист1!AO29+Лист1!AP29+Лист1!AQ29+Лист1!AR29</f>
        <v>0</v>
      </c>
      <c r="L37" s="16">
        <f>Лист1!AS29+Лист1!AT29+Лист1!AU29+Лист1!AY29+Лист1!AZ29</f>
        <v>0</v>
      </c>
      <c r="M37" s="16">
        <f>Лист1!AX29</f>
        <v>170.93999999999997</v>
      </c>
      <c r="N37" s="16">
        <f>Лист1!BB29</f>
        <v>762.7</v>
      </c>
      <c r="O37" s="16">
        <f>Лист1!BD29</f>
        <v>239.91000000000008</v>
      </c>
      <c r="P37" s="16">
        <f>Лист1!BE29</f>
        <v>410.9200000000001</v>
      </c>
    </row>
    <row r="38" spans="1:16" ht="12.75">
      <c r="A38" s="21" t="s">
        <v>47</v>
      </c>
      <c r="B38" s="79">
        <f>Лист1!B30</f>
        <v>739.7</v>
      </c>
      <c r="C38" s="141">
        <f t="shared" si="5"/>
        <v>591.7600000000001</v>
      </c>
      <c r="D38" s="16">
        <f>Лист1!D30</f>
        <v>6.394884621840902E-14</v>
      </c>
      <c r="E38" s="16">
        <f>Лист1!S30</f>
        <v>543.83</v>
      </c>
      <c r="F38" s="16">
        <f>Лист1!T30</f>
        <v>47.93</v>
      </c>
      <c r="G38" s="21">
        <f>Лист1!AB30</f>
        <v>776.81</v>
      </c>
      <c r="H38" s="16">
        <f>Лист1!AC30</f>
        <v>824.74</v>
      </c>
      <c r="I38" s="16">
        <f>Лист1!AH30+Лист1!AG30</f>
        <v>591.76</v>
      </c>
      <c r="J38" s="120">
        <f>Лист1!AI30+Лист1!AJ30</f>
        <v>0</v>
      </c>
      <c r="K38" s="16">
        <f>Лист1!AK30+Лист1!AL30+Лист1!AM30+Лист1!AN30+Лист1!AO30+Лист1!AP30+Лист1!AQ30+Лист1!AR30</f>
        <v>0</v>
      </c>
      <c r="L38" s="16">
        <f>Лист1!AS30+Лист1!AT30+Лист1!AU30+Лист1!AY30+Лист1!AZ30</f>
        <v>0</v>
      </c>
      <c r="M38" s="16">
        <f>Лист1!AX30</f>
        <v>160.85999999999999</v>
      </c>
      <c r="N38" s="16">
        <f>Лист1!BB30</f>
        <v>752.6199999999999</v>
      </c>
      <c r="O38" s="16">
        <f>Лист1!BD30</f>
        <v>72.12000000000012</v>
      </c>
      <c r="P38" s="16">
        <f>Лист1!BE30</f>
        <v>232.9799999999999</v>
      </c>
    </row>
    <row r="39" spans="1:16" ht="12.75">
      <c r="A39" s="21" t="s">
        <v>48</v>
      </c>
      <c r="B39" s="79">
        <f>Лист1!B31</f>
        <v>739.7</v>
      </c>
      <c r="C39" s="141">
        <f t="shared" si="5"/>
        <v>591.7600000000001</v>
      </c>
      <c r="D39" s="16">
        <f>Лист1!D31</f>
        <v>6.394884621840902E-14</v>
      </c>
      <c r="E39" s="16">
        <f>Лист1!S31</f>
        <v>543.83</v>
      </c>
      <c r="F39" s="16">
        <f>Лист1!T31</f>
        <v>47.93</v>
      </c>
      <c r="G39" s="21">
        <f>Лист1!AB31</f>
        <v>211.46</v>
      </c>
      <c r="H39" s="16">
        <f>Лист1!AC31</f>
        <v>259.3900000000001</v>
      </c>
      <c r="I39" s="16">
        <f>Лист1!AH31+Лист1!AG31</f>
        <v>591.76</v>
      </c>
      <c r="J39" s="120">
        <f>Лист1!AI31+Лист1!AJ31</f>
        <v>0</v>
      </c>
      <c r="K39" s="16">
        <f>Лист1!AK31+Лист1!AL31+Лист1!AM31+Лист1!AN31+Лист1!AO31+Лист1!AP31+Лист1!AQ31+Лист1!AR31</f>
        <v>0</v>
      </c>
      <c r="L39" s="16">
        <f>Лист1!AS31+Лист1!AT31+Лист1!AU31+Лист1!AY31+Лист1!AZ31</f>
        <v>500</v>
      </c>
      <c r="M39" s="16">
        <f>Лист1!AX31</f>
        <v>128.94</v>
      </c>
      <c r="N39" s="16">
        <f>Лист1!BB31</f>
        <v>1220.7</v>
      </c>
      <c r="O39" s="16">
        <f>Лист1!BD31</f>
        <v>-961.31</v>
      </c>
      <c r="P39" s="16">
        <f>Лист1!BE31</f>
        <v>-332.37</v>
      </c>
    </row>
    <row r="40" spans="1:16" ht="12.75">
      <c r="A40" s="21" t="s">
        <v>49</v>
      </c>
      <c r="B40" s="79">
        <f>Лист1!B32</f>
        <v>739.7</v>
      </c>
      <c r="C40" s="141">
        <f t="shared" si="5"/>
        <v>591.7600000000001</v>
      </c>
      <c r="D40" s="16">
        <f>Лист1!D32</f>
        <v>6.394884621840902E-14</v>
      </c>
      <c r="E40" s="16">
        <f>Лист1!S32</f>
        <v>543.83</v>
      </c>
      <c r="F40" s="16">
        <f>Лист1!T32</f>
        <v>47.93</v>
      </c>
      <c r="G40" s="21">
        <f>Лист1!AB32</f>
        <v>158.55</v>
      </c>
      <c r="H40" s="16">
        <f>Лист1!AC32</f>
        <v>206.48000000000008</v>
      </c>
      <c r="I40" s="16">
        <f>Лист1!AH32+Лист1!AG32</f>
        <v>591.76</v>
      </c>
      <c r="J40" s="120">
        <f>Лист1!AI32+Лист1!AJ32</f>
        <v>0</v>
      </c>
      <c r="K40" s="16">
        <f>Лист1!AK32+Лист1!AL32+Лист1!AM32+Лист1!AN32+Лист1!AO32+Лист1!AP32+Лист1!AQ32+Лист1!AR32</f>
        <v>0</v>
      </c>
      <c r="L40" s="16">
        <f>Лист1!AS32+Лист1!AT32+Лист1!AU32+Лист1!AY32+Лист1!AZ32</f>
        <v>0</v>
      </c>
      <c r="M40" s="16">
        <f>Лист1!AX32</f>
        <v>110.45999999999998</v>
      </c>
      <c r="N40" s="16">
        <f>Лист1!BB32</f>
        <v>702.22</v>
      </c>
      <c r="O40" s="16">
        <f>Лист1!BD32</f>
        <v>-495.73999999999995</v>
      </c>
      <c r="P40" s="16">
        <f>Лист1!BE32</f>
        <v>-385.28000000000003</v>
      </c>
    </row>
    <row r="41" spans="1:16" ht="12.75">
      <c r="A41" s="21" t="s">
        <v>50</v>
      </c>
      <c r="B41" s="79">
        <f>Лист1!B33</f>
        <v>739.7</v>
      </c>
      <c r="C41" s="141">
        <f t="shared" si="5"/>
        <v>591.7600000000001</v>
      </c>
      <c r="D41" s="16">
        <f>Лист1!D33</f>
        <v>6.394884621840902E-14</v>
      </c>
      <c r="E41" s="16">
        <f>Лист1!S33</f>
        <v>543.83</v>
      </c>
      <c r="F41" s="16">
        <f>Лист1!T33</f>
        <v>47.93</v>
      </c>
      <c r="G41" s="21">
        <f>Лист1!AB33</f>
        <v>159.12</v>
      </c>
      <c r="H41" s="16">
        <f>Лист1!AC33</f>
        <v>207.05000000000007</v>
      </c>
      <c r="I41" s="16">
        <f>Лист1!AH33+Лист1!AG33</f>
        <v>591.76</v>
      </c>
      <c r="J41" s="120">
        <f>Лист1!AI33+Лист1!AJ33</f>
        <v>0</v>
      </c>
      <c r="K41" s="16">
        <f>Лист1!AK33+Лист1!AL33+Лист1!AM33+Лист1!AN33+Лист1!AO33+Лист1!AP33+Лист1!AQ33+Лист1!AR33</f>
        <v>0</v>
      </c>
      <c r="L41" s="16">
        <f>Лист1!AS33+Лист1!AT33+Лист1!AU33+Лист1!AY33+Лист1!AZ33</f>
        <v>0</v>
      </c>
      <c r="M41" s="16">
        <f>Лист1!AX33</f>
        <v>97.85999999999999</v>
      </c>
      <c r="N41" s="16">
        <f>Лист1!BB33</f>
        <v>689.62</v>
      </c>
      <c r="O41" s="16">
        <f>Лист1!BD33</f>
        <v>-482.56999999999994</v>
      </c>
      <c r="P41" s="16">
        <f>Лист1!BE33</f>
        <v>-384.71000000000004</v>
      </c>
    </row>
    <row r="42" spans="1:16" ht="12.75">
      <c r="A42" s="21" t="s">
        <v>51</v>
      </c>
      <c r="B42" s="79">
        <f>Лист1!B34</f>
        <v>739.7</v>
      </c>
      <c r="C42" s="141">
        <f t="shared" si="5"/>
        <v>591.7600000000001</v>
      </c>
      <c r="D42" s="16">
        <f>Лист1!D34</f>
        <v>1.1368683772161603E-13</v>
      </c>
      <c r="E42" s="16">
        <f>Лист1!S34</f>
        <v>591.76</v>
      </c>
      <c r="F42" s="16">
        <f>Лист1!T34</f>
        <v>0</v>
      </c>
      <c r="G42" s="21">
        <f>Лист1!AB34</f>
        <v>5861.610000000001</v>
      </c>
      <c r="H42" s="16">
        <f>Лист1!AC34</f>
        <v>5861.610000000001</v>
      </c>
      <c r="I42" s="16">
        <f>Лист1!AH34+Лист1!AG34</f>
        <v>591.76</v>
      </c>
      <c r="J42" s="120">
        <f>Лист1!AI34+Лист1!AJ34</f>
        <v>0</v>
      </c>
      <c r="K42" s="16">
        <f>Лист1!AK34+Лист1!AL34+Лист1!AM34+Лист1!AN34+Лист1!AO34+Лист1!AP34+Лист1!AQ34+Лист1!AR34</f>
        <v>0</v>
      </c>
      <c r="L42" s="16">
        <f>Лист1!AS34+Лист1!AT34+Лист1!AU34+Лист1!AY34+Лист1!AZ34</f>
        <v>0</v>
      </c>
      <c r="M42" s="16">
        <f>Лист1!AX34</f>
        <v>104.15999999999998</v>
      </c>
      <c r="N42" s="16">
        <f>Лист1!BB34</f>
        <v>695.92</v>
      </c>
      <c r="O42" s="16">
        <f>Лист1!BD34</f>
        <v>5165.6900000000005</v>
      </c>
      <c r="P42" s="16">
        <f>Лист1!BE34</f>
        <v>5269.85</v>
      </c>
    </row>
    <row r="43" spans="1:16" ht="12.75">
      <c r="A43" s="21" t="s">
        <v>52</v>
      </c>
      <c r="B43" s="79">
        <f>Лист1!B35</f>
        <v>739.7</v>
      </c>
      <c r="C43" s="141">
        <f t="shared" si="5"/>
        <v>591.7600000000001</v>
      </c>
      <c r="D43" s="16">
        <f>Лист1!D35</f>
        <v>1.1368683772161603E-13</v>
      </c>
      <c r="E43" s="16">
        <f>Лист1!S35</f>
        <v>591.76</v>
      </c>
      <c r="F43" s="16">
        <f>Лист1!T35</f>
        <v>0</v>
      </c>
      <c r="G43" s="21">
        <f>Лист1!AB35</f>
        <v>300.39</v>
      </c>
      <c r="H43" s="16">
        <f>Лист1!AC35</f>
        <v>300.3900000000001</v>
      </c>
      <c r="I43" s="16">
        <f>Лист1!AH35+Лист1!AG35</f>
        <v>591.76</v>
      </c>
      <c r="J43" s="120">
        <f>Лист1!AI35+Лист1!AJ35</f>
        <v>0</v>
      </c>
      <c r="K43" s="16">
        <f>Лист1!AK35+Лист1!AL35+Лист1!AM35+Лист1!AN35+Лист1!AO35+Лист1!AP35+Лист1!AQ35+Лист1!AR35</f>
        <v>0</v>
      </c>
      <c r="L43" s="16">
        <f>Лист1!AS35+Лист1!AT35+Лист1!AU35+Лист1!AY35+Лист1!AZ35</f>
        <v>47.8</v>
      </c>
      <c r="M43" s="16">
        <f>Лист1!AX35</f>
        <v>123.05999999999997</v>
      </c>
      <c r="N43" s="16">
        <f>Лист1!BB35</f>
        <v>762.6199999999999</v>
      </c>
      <c r="O43" s="16">
        <f>Лист1!BD35</f>
        <v>-462.2299999999998</v>
      </c>
      <c r="P43" s="16">
        <f>Лист1!BE35</f>
        <v>-291.37</v>
      </c>
    </row>
    <row r="44" spans="1:16" ht="12.75">
      <c r="A44" s="21" t="s">
        <v>53</v>
      </c>
      <c r="B44" s="79">
        <f>Лист1!B36</f>
        <v>739.7</v>
      </c>
      <c r="C44" s="141">
        <f t="shared" si="5"/>
        <v>591.7600000000001</v>
      </c>
      <c r="D44" s="16">
        <f>Лист1!D36</f>
        <v>1.1368683772161603E-13</v>
      </c>
      <c r="E44" s="16">
        <f>Лист1!S36</f>
        <v>591.76</v>
      </c>
      <c r="F44" s="16">
        <f>Лист1!T36</f>
        <v>0</v>
      </c>
      <c r="G44" s="21">
        <f>Лист1!AB36</f>
        <v>411.09</v>
      </c>
      <c r="H44" s="16">
        <f>Лист1!AC36</f>
        <v>411.0900000000001</v>
      </c>
      <c r="I44" s="16">
        <f>Лист1!AH36+Лист1!AG36</f>
        <v>591.76</v>
      </c>
      <c r="J44" s="120">
        <f>Лист1!AI36+Лист1!AJ36</f>
        <v>0</v>
      </c>
      <c r="K44" s="16">
        <f>Лист1!AK36+Лист1!AL36+Лист1!AM36+Лист1!AN36+Лист1!AO36+Лист1!AP36+Лист1!AQ36+Лист1!AR36</f>
        <v>0</v>
      </c>
      <c r="L44" s="16">
        <f>Лист1!AS36+Лист1!AT36+Лист1!AU36+Лист1!AY36+Лист1!AZ36</f>
        <v>0</v>
      </c>
      <c r="M44" s="16">
        <f>Лист1!AX36</f>
        <v>146.57999999999998</v>
      </c>
      <c r="N44" s="16">
        <f>Лист1!BB36</f>
        <v>738.3399999999999</v>
      </c>
      <c r="O44" s="16">
        <f>Лист1!BD36</f>
        <v>-327.24999999999983</v>
      </c>
      <c r="P44" s="16">
        <f>Лист1!BE36</f>
        <v>-180.67000000000002</v>
      </c>
    </row>
    <row r="45" spans="1:16" ht="12.75">
      <c r="A45" s="21" t="s">
        <v>41</v>
      </c>
      <c r="B45" s="79">
        <f>Лист1!B37</f>
        <v>739.7</v>
      </c>
      <c r="C45" s="141">
        <f t="shared" si="5"/>
        <v>591.7600000000001</v>
      </c>
      <c r="D45" s="16">
        <f>Лист1!D37</f>
        <v>1.1368683772161603E-13</v>
      </c>
      <c r="E45" s="16">
        <f>Лист1!S37</f>
        <v>591.76</v>
      </c>
      <c r="F45" s="16">
        <f>Лист1!T37</f>
        <v>0</v>
      </c>
      <c r="G45" s="21">
        <f>Лист1!AB37</f>
        <v>338.41</v>
      </c>
      <c r="H45" s="16">
        <f>Лист1!AC37</f>
        <v>338.41000000000014</v>
      </c>
      <c r="I45" s="16">
        <f>Лист1!AH37+Лист1!AG37</f>
        <v>591.76</v>
      </c>
      <c r="J45" s="120">
        <f>Лист1!AI37+Лист1!AJ37</f>
        <v>0</v>
      </c>
      <c r="K45" s="16">
        <f>Лист1!AK37+Лист1!AL37+Лист1!AM37+Лист1!AN37+Лист1!AO37+Лист1!AP37+Лист1!AQ37+Лист1!AR37</f>
        <v>0</v>
      </c>
      <c r="L45" s="16">
        <f>Лист1!AS37+Лист1!AT37+Лист1!AU37+Лист1!AY37+Лист1!AZ37</f>
        <v>0</v>
      </c>
      <c r="M45" s="16">
        <f>Лист1!AX37</f>
        <v>178.5</v>
      </c>
      <c r="N45" s="16">
        <f>Лист1!BB37</f>
        <v>770.26</v>
      </c>
      <c r="O45" s="16">
        <f>Лист1!BD37</f>
        <v>-431.84999999999985</v>
      </c>
      <c r="P45" s="16">
        <f>Лист1!BE37</f>
        <v>-253.34999999999997</v>
      </c>
    </row>
    <row r="46" spans="1:16" ht="12.75">
      <c r="A46" s="21" t="s">
        <v>42</v>
      </c>
      <c r="B46" s="79">
        <f>Лист1!B38</f>
        <v>739.7</v>
      </c>
      <c r="C46" s="141">
        <f t="shared" si="5"/>
        <v>591.7600000000001</v>
      </c>
      <c r="D46" s="16">
        <f>Лист1!D38</f>
        <v>1.1368683772161603E-13</v>
      </c>
      <c r="E46" s="16">
        <f>Лист1!S38</f>
        <v>591.76</v>
      </c>
      <c r="F46" s="16">
        <f>Лист1!T38</f>
        <v>0</v>
      </c>
      <c r="G46" s="21">
        <f>Лист1!AB38</f>
        <v>265.55</v>
      </c>
      <c r="H46" s="16">
        <f>Лист1!AC38</f>
        <v>265.5500000000001</v>
      </c>
      <c r="I46" s="16">
        <f>Лист1!AH38+Лист1!AG38</f>
        <v>591.76</v>
      </c>
      <c r="J46" s="120">
        <f>Лист1!AI38+Лист1!AJ38</f>
        <v>0</v>
      </c>
      <c r="K46" s="16">
        <f>Лист1!AK38+Лист1!AL38+Лист1!AM38+Лист1!AN38+Лист1!AO38+Лист1!AP38+Лист1!AQ38+Лист1!AR38</f>
        <v>0</v>
      </c>
      <c r="L46" s="16">
        <f>Лист1!AS38+Лист1!AT38+Лист1!AU38+Лист1!AY38+Лист1!AZ38</f>
        <v>0</v>
      </c>
      <c r="M46" s="16">
        <f>Лист1!AX38</f>
        <v>197.39999999999998</v>
      </c>
      <c r="N46" s="16">
        <f>Лист1!BB38</f>
        <v>789.1600000000001</v>
      </c>
      <c r="O46" s="16">
        <f>Лист1!BD38</f>
        <v>-523.6099999999999</v>
      </c>
      <c r="P46" s="16">
        <f>Лист1!BE38</f>
        <v>-326.21</v>
      </c>
    </row>
    <row r="47" spans="1:16" ht="13.5" thickBot="1">
      <c r="A47" s="171" t="s">
        <v>43</v>
      </c>
      <c r="B47" s="79">
        <f>Лист1!B39</f>
        <v>739.7</v>
      </c>
      <c r="C47" s="141">
        <f t="shared" si="5"/>
        <v>591.7600000000001</v>
      </c>
      <c r="D47" s="16">
        <f>Лист1!D39</f>
        <v>1.1368683772161603E-13</v>
      </c>
      <c r="E47" s="16">
        <f>Лист1!S39</f>
        <v>591.76</v>
      </c>
      <c r="F47" s="16">
        <f>Лист1!T39</f>
        <v>0</v>
      </c>
      <c r="G47" s="21">
        <f>Лист1!AB39</f>
        <v>484.04</v>
      </c>
      <c r="H47" s="16">
        <f>Лист1!AC39</f>
        <v>484.04000000000013</v>
      </c>
      <c r="I47" s="16">
        <f>Лист1!AH39+Лист1!AG39</f>
        <v>591.76</v>
      </c>
      <c r="J47" s="120">
        <f>Лист1!AI39+Лист1!AJ39</f>
        <v>0</v>
      </c>
      <c r="K47" s="16">
        <f>Лист1!AK39+Лист1!AL39+Лист1!AM39+Лист1!AN39+Лист1!AO39+Лист1!AP39+Лист1!AQ39+Лист1!AR39</f>
        <v>0</v>
      </c>
      <c r="L47" s="16">
        <f>Лист1!AS39+Лист1!AT39+Лист1!AU39+Лист1!AY39+Лист1!AZ39</f>
        <v>0</v>
      </c>
      <c r="M47" s="16">
        <f>Лист1!AX39</f>
        <v>215.87999999999997</v>
      </c>
      <c r="N47" s="16">
        <f>Лист1!BB39</f>
        <v>807.6399999999999</v>
      </c>
      <c r="O47" s="16">
        <f>Лист1!BD39</f>
        <v>-323.59999999999974</v>
      </c>
      <c r="P47" s="16">
        <f>Лист1!BE39</f>
        <v>-107.71999999999997</v>
      </c>
    </row>
    <row r="48" spans="1:16" s="20" customFormat="1" ht="13.5" thickBot="1">
      <c r="A48" s="33" t="s">
        <v>5</v>
      </c>
      <c r="B48" s="176">
        <f>SUM(B36:B47)</f>
        <v>8876.4</v>
      </c>
      <c r="C48" s="176">
        <f>SUM(C36:C47)</f>
        <v>7101.120000000002</v>
      </c>
      <c r="D48" s="176">
        <f>SUM(D36:D47)</f>
        <v>1.1158296508995136E-12</v>
      </c>
      <c r="E48" s="176">
        <f aca="true" t="shared" si="6" ref="E48:J48">SUM(E36:E47)</f>
        <v>6813.470000000001</v>
      </c>
      <c r="F48" s="176">
        <f t="shared" si="6"/>
        <v>287.58</v>
      </c>
      <c r="G48" s="176">
        <f t="shared" si="6"/>
        <v>10127.470000000001</v>
      </c>
      <c r="H48" s="176">
        <f t="shared" si="6"/>
        <v>10415.050000000001</v>
      </c>
      <c r="I48" s="176">
        <f t="shared" si="6"/>
        <v>7101.120000000002</v>
      </c>
      <c r="J48" s="176">
        <f t="shared" si="6"/>
        <v>0</v>
      </c>
      <c r="K48" s="176">
        <f aca="true" t="shared" si="7" ref="K48:P48">SUM(K36:K47)</f>
        <v>0</v>
      </c>
      <c r="L48" s="176">
        <f t="shared" si="7"/>
        <v>547.8</v>
      </c>
      <c r="M48" s="176">
        <f t="shared" si="7"/>
        <v>1847.9999999999998</v>
      </c>
      <c r="N48" s="176">
        <f t="shared" si="7"/>
        <v>9496.92</v>
      </c>
      <c r="O48" s="176">
        <f t="shared" si="7"/>
        <v>918.1300000000019</v>
      </c>
      <c r="P48" s="176">
        <f t="shared" si="7"/>
        <v>3314</v>
      </c>
    </row>
    <row r="49" spans="1:16" ht="13.5" thickBot="1">
      <c r="A49" s="254" t="s">
        <v>70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172"/>
    </row>
    <row r="50" spans="1:16" s="20" customFormat="1" ht="13.5" thickBot="1">
      <c r="A50" s="77" t="s">
        <v>54</v>
      </c>
      <c r="B50" s="175">
        <f aca="true" t="shared" si="8" ref="B50:M50">SUM(B34,B48)</f>
        <v>8876.4</v>
      </c>
      <c r="C50" s="175">
        <f t="shared" si="8"/>
        <v>44872.345</v>
      </c>
      <c r="D50" s="175">
        <f t="shared" si="8"/>
        <v>6190.643478550002</v>
      </c>
      <c r="E50" s="175">
        <f t="shared" si="8"/>
        <v>34371.07</v>
      </c>
      <c r="F50" s="175">
        <f t="shared" si="8"/>
        <v>2348.8799999999997</v>
      </c>
      <c r="G50" s="175">
        <f t="shared" si="8"/>
        <v>20816.58</v>
      </c>
      <c r="H50" s="175">
        <f t="shared" si="8"/>
        <v>29356.10347855001</v>
      </c>
      <c r="I50" s="175">
        <f t="shared" si="8"/>
        <v>13571.532000000003</v>
      </c>
      <c r="J50" s="175">
        <f t="shared" si="8"/>
        <v>4142.12664347</v>
      </c>
      <c r="K50" s="175">
        <f t="shared" si="8"/>
        <v>15640.058571739</v>
      </c>
      <c r="L50" s="175">
        <f t="shared" si="8"/>
        <v>547.8</v>
      </c>
      <c r="M50" s="175">
        <f t="shared" si="8"/>
        <v>3592.5119999999997</v>
      </c>
      <c r="N50" s="175">
        <f>SUM(N34,N48)</f>
        <v>37494.029215209</v>
      </c>
      <c r="O50" s="175">
        <f>SUM(O34,O48)</f>
        <v>-8137.925736658998</v>
      </c>
      <c r="P50" s="175">
        <f>SUM(P34,P48)</f>
        <v>-13554.490000000002</v>
      </c>
    </row>
    <row r="53" spans="1:18" ht="12.75">
      <c r="A53" s="20" t="s">
        <v>88</v>
      </c>
      <c r="D53" s="80" t="s">
        <v>93</v>
      </c>
      <c r="Q53" s="1"/>
      <c r="R53" s="1"/>
    </row>
    <row r="54" spans="1:18" ht="12.75">
      <c r="A54" s="21" t="s">
        <v>71</v>
      </c>
      <c r="B54" s="21" t="s">
        <v>72</v>
      </c>
      <c r="C54" s="260" t="s">
        <v>73</v>
      </c>
      <c r="D54" s="260"/>
      <c r="Q54" s="1"/>
      <c r="R54" s="1"/>
    </row>
    <row r="55" spans="1:18" ht="12.75">
      <c r="A55" s="111">
        <v>54505.97</v>
      </c>
      <c r="B55" s="111">
        <v>0</v>
      </c>
      <c r="C55" s="256">
        <f>A55-B55</f>
        <v>54505.97</v>
      </c>
      <c r="D55" s="257"/>
      <c r="Q55" s="1"/>
      <c r="R55" s="1"/>
    </row>
    <row r="56" spans="1:18" ht="12.75">
      <c r="A56" s="45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B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4" sqref="BF24"/>
    </sheetView>
  </sheetViews>
  <sheetFormatPr defaultColWidth="9.00390625" defaultRowHeight="12.75"/>
  <cols>
    <col min="1" max="1" width="8.75390625" style="272" bestFit="1" customWidth="1"/>
    <col min="2" max="2" width="9.125" style="272" customWidth="1"/>
    <col min="3" max="3" width="11.375" style="272" customWidth="1"/>
    <col min="4" max="4" width="10.375" style="272" customWidth="1"/>
    <col min="5" max="5" width="10.125" style="272" bestFit="1" customWidth="1"/>
    <col min="6" max="6" width="9.125" style="272" customWidth="1"/>
    <col min="7" max="7" width="10.25390625" style="272" customWidth="1"/>
    <col min="8" max="8" width="9.125" style="272" customWidth="1"/>
    <col min="9" max="9" width="9.875" style="272" customWidth="1"/>
    <col min="10" max="10" width="9.125" style="272" customWidth="1"/>
    <col min="11" max="11" width="10.375" style="272" customWidth="1"/>
    <col min="12" max="12" width="9.125" style="272" customWidth="1"/>
    <col min="13" max="13" width="10.125" style="272" bestFit="1" customWidth="1"/>
    <col min="14" max="14" width="9.125" style="272" customWidth="1"/>
    <col min="15" max="15" width="10.125" style="272" bestFit="1" customWidth="1"/>
    <col min="16" max="18" width="9.125" style="272" customWidth="1"/>
    <col min="19" max="19" width="10.125" style="272" bestFit="1" customWidth="1"/>
    <col min="20" max="20" width="10.125" style="272" customWidth="1"/>
    <col min="21" max="21" width="10.125" style="272" bestFit="1" customWidth="1"/>
    <col min="22" max="22" width="10.25390625" style="272" customWidth="1"/>
    <col min="23" max="23" width="10.625" style="272" customWidth="1"/>
    <col min="24" max="24" width="10.125" style="272" customWidth="1"/>
    <col min="25" max="28" width="10.125" style="272" bestFit="1" customWidth="1"/>
    <col min="29" max="30" width="11.375" style="272" customWidth="1"/>
    <col min="31" max="31" width="9.25390625" style="272" bestFit="1" customWidth="1"/>
    <col min="32" max="32" width="10.125" style="272" bestFit="1" customWidth="1"/>
    <col min="33" max="33" width="12.00390625" style="272" customWidth="1"/>
    <col min="34" max="34" width="14.25390625" style="272" customWidth="1"/>
    <col min="35" max="35" width="9.25390625" style="272" bestFit="1" customWidth="1"/>
    <col min="36" max="36" width="12.625" style="272" customWidth="1"/>
    <col min="37" max="38" width="9.25390625" style="272" bestFit="1" customWidth="1"/>
    <col min="39" max="39" width="10.125" style="272" bestFit="1" customWidth="1"/>
    <col min="40" max="40" width="9.25390625" style="272" bestFit="1" customWidth="1"/>
    <col min="41" max="42" width="10.125" style="272" bestFit="1" customWidth="1"/>
    <col min="43" max="44" width="9.25390625" style="272" customWidth="1"/>
    <col min="45" max="45" width="10.125" style="272" bestFit="1" customWidth="1"/>
    <col min="46" max="46" width="11.625" style="272" customWidth="1"/>
    <col min="47" max="47" width="10.875" style="272" customWidth="1"/>
    <col min="48" max="48" width="10.625" style="272" customWidth="1"/>
    <col min="49" max="49" width="10.25390625" style="272" customWidth="1"/>
    <col min="50" max="50" width="10.625" style="272" customWidth="1"/>
    <col min="51" max="53" width="10.125" style="272" bestFit="1" customWidth="1"/>
    <col min="54" max="54" width="11.625" style="272" customWidth="1"/>
    <col min="55" max="55" width="11.75390625" style="272" customWidth="1"/>
    <col min="56" max="56" width="12.125" style="272" customWidth="1"/>
    <col min="57" max="57" width="13.625" style="272" customWidth="1"/>
    <col min="58" max="58" width="11.00390625" style="272" customWidth="1"/>
    <col min="59" max="59" width="11.375" style="272" customWidth="1"/>
    <col min="60" max="16384" width="9.125" style="272" customWidth="1"/>
  </cols>
  <sheetData>
    <row r="1" spans="1:18" ht="21" customHeight="1">
      <c r="A1" s="179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71"/>
      <c r="P1" s="271"/>
      <c r="Q1" s="271"/>
      <c r="R1" s="271"/>
    </row>
    <row r="2" spans="1:18" ht="13.5" thickBot="1">
      <c r="A2" s="271"/>
      <c r="B2" s="273"/>
      <c r="C2" s="274"/>
      <c r="D2" s="274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59" ht="29.25" customHeight="1" thickBot="1">
      <c r="A3" s="275" t="s">
        <v>0</v>
      </c>
      <c r="B3" s="276" t="s">
        <v>1</v>
      </c>
      <c r="C3" s="277" t="s">
        <v>2</v>
      </c>
      <c r="D3" s="278" t="s">
        <v>3</v>
      </c>
      <c r="E3" s="275" t="s">
        <v>96</v>
      </c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47"/>
      <c r="S3" s="275"/>
      <c r="T3" s="279"/>
      <c r="U3" s="275" t="s">
        <v>5</v>
      </c>
      <c r="V3" s="279"/>
      <c r="W3" s="280" t="s">
        <v>6</v>
      </c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283" t="s">
        <v>74</v>
      </c>
      <c r="AK3" s="284" t="s">
        <v>10</v>
      </c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6"/>
      <c r="BF3" s="287" t="s">
        <v>11</v>
      </c>
      <c r="BG3" s="288" t="s">
        <v>12</v>
      </c>
    </row>
    <row r="4" spans="1:59" ht="51.75" customHeight="1" hidden="1" thickBot="1">
      <c r="A4" s="289"/>
      <c r="B4" s="290"/>
      <c r="C4" s="291"/>
      <c r="D4" s="292"/>
      <c r="E4" s="289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39"/>
      <c r="S4" s="294"/>
      <c r="T4" s="295"/>
      <c r="U4" s="294"/>
      <c r="V4" s="295"/>
      <c r="W4" s="296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8"/>
      <c r="AJ4" s="299"/>
      <c r="AK4" s="300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2"/>
      <c r="BF4" s="303"/>
      <c r="BG4" s="304"/>
    </row>
    <row r="5" spans="1:61" ht="19.5" customHeight="1">
      <c r="A5" s="289"/>
      <c r="B5" s="290"/>
      <c r="C5" s="291"/>
      <c r="D5" s="292"/>
      <c r="E5" s="305" t="s">
        <v>13</v>
      </c>
      <c r="F5" s="306"/>
      <c r="G5" s="305" t="s">
        <v>97</v>
      </c>
      <c r="H5" s="306"/>
      <c r="I5" s="305" t="s">
        <v>14</v>
      </c>
      <c r="J5" s="306"/>
      <c r="K5" s="305" t="s">
        <v>16</v>
      </c>
      <c r="L5" s="306"/>
      <c r="M5" s="305" t="s">
        <v>15</v>
      </c>
      <c r="N5" s="306"/>
      <c r="O5" s="307" t="s">
        <v>17</v>
      </c>
      <c r="P5" s="307"/>
      <c r="Q5" s="305" t="s">
        <v>98</v>
      </c>
      <c r="R5" s="306"/>
      <c r="S5" s="307" t="s">
        <v>18</v>
      </c>
      <c r="T5" s="306"/>
      <c r="U5" s="308" t="s">
        <v>20</v>
      </c>
      <c r="V5" s="309" t="s">
        <v>21</v>
      </c>
      <c r="W5" s="310" t="s">
        <v>22</v>
      </c>
      <c r="X5" s="310" t="s">
        <v>99</v>
      </c>
      <c r="Y5" s="310" t="s">
        <v>23</v>
      </c>
      <c r="Z5" s="310" t="s">
        <v>25</v>
      </c>
      <c r="AA5" s="310" t="s">
        <v>24</v>
      </c>
      <c r="AB5" s="310" t="s">
        <v>26</v>
      </c>
      <c r="AC5" s="310" t="s">
        <v>27</v>
      </c>
      <c r="AD5" s="311" t="s">
        <v>28</v>
      </c>
      <c r="AE5" s="311" t="s">
        <v>100</v>
      </c>
      <c r="AF5" s="312" t="s">
        <v>29</v>
      </c>
      <c r="AG5" s="313" t="s">
        <v>86</v>
      </c>
      <c r="AH5" s="314" t="s">
        <v>8</v>
      </c>
      <c r="AI5" s="315" t="s">
        <v>9</v>
      </c>
      <c r="AJ5" s="299"/>
      <c r="AK5" s="316" t="s">
        <v>101</v>
      </c>
      <c r="AL5" s="317" t="s">
        <v>102</v>
      </c>
      <c r="AM5" s="317" t="s">
        <v>103</v>
      </c>
      <c r="AN5" s="318" t="s">
        <v>104</v>
      </c>
      <c r="AO5" s="317" t="s">
        <v>105</v>
      </c>
      <c r="AP5" s="318" t="s">
        <v>106</v>
      </c>
      <c r="AQ5" s="318" t="s">
        <v>107</v>
      </c>
      <c r="AR5" s="318" t="s">
        <v>108</v>
      </c>
      <c r="AS5" s="318" t="s">
        <v>109</v>
      </c>
      <c r="AT5" s="318" t="s">
        <v>36</v>
      </c>
      <c r="AU5" s="193" t="s">
        <v>110</v>
      </c>
      <c r="AV5" s="222" t="s">
        <v>111</v>
      </c>
      <c r="AW5" s="193" t="s">
        <v>112</v>
      </c>
      <c r="AX5" s="214" t="s">
        <v>113</v>
      </c>
      <c r="AY5" s="177"/>
      <c r="AZ5" s="319" t="s">
        <v>19</v>
      </c>
      <c r="BA5" s="318" t="s">
        <v>38</v>
      </c>
      <c r="BB5" s="318" t="s">
        <v>33</v>
      </c>
      <c r="BC5" s="320" t="s">
        <v>39</v>
      </c>
      <c r="BD5" s="321" t="s">
        <v>75</v>
      </c>
      <c r="BE5" s="318" t="s">
        <v>114</v>
      </c>
      <c r="BF5" s="303"/>
      <c r="BG5" s="304"/>
      <c r="BH5" s="322"/>
      <c r="BI5" s="323"/>
    </row>
    <row r="6" spans="1:61" ht="56.25" customHeight="1" thickBot="1">
      <c r="A6" s="289"/>
      <c r="B6" s="290"/>
      <c r="C6" s="291"/>
      <c r="D6" s="292"/>
      <c r="E6" s="324"/>
      <c r="F6" s="325"/>
      <c r="G6" s="324"/>
      <c r="H6" s="325"/>
      <c r="I6" s="324"/>
      <c r="J6" s="325"/>
      <c r="K6" s="324"/>
      <c r="L6" s="325"/>
      <c r="M6" s="324"/>
      <c r="N6" s="325"/>
      <c r="O6" s="326"/>
      <c r="P6" s="326"/>
      <c r="Q6" s="324"/>
      <c r="R6" s="325"/>
      <c r="S6" s="327"/>
      <c r="T6" s="325"/>
      <c r="U6" s="328"/>
      <c r="V6" s="329"/>
      <c r="W6" s="330"/>
      <c r="X6" s="330"/>
      <c r="Y6" s="330"/>
      <c r="Z6" s="330"/>
      <c r="AA6" s="330"/>
      <c r="AB6" s="330"/>
      <c r="AC6" s="330"/>
      <c r="AD6" s="331"/>
      <c r="AE6" s="331"/>
      <c r="AF6" s="332"/>
      <c r="AG6" s="333"/>
      <c r="AH6" s="334"/>
      <c r="AI6" s="335"/>
      <c r="AJ6" s="336"/>
      <c r="AK6" s="337"/>
      <c r="AL6" s="338"/>
      <c r="AM6" s="338"/>
      <c r="AN6" s="339"/>
      <c r="AO6" s="338"/>
      <c r="AP6" s="339"/>
      <c r="AQ6" s="339"/>
      <c r="AR6" s="339"/>
      <c r="AS6" s="339"/>
      <c r="AT6" s="339"/>
      <c r="AU6" s="194"/>
      <c r="AV6" s="223"/>
      <c r="AW6" s="194"/>
      <c r="AX6" s="215"/>
      <c r="AY6" s="178" t="s">
        <v>115</v>
      </c>
      <c r="AZ6" s="340"/>
      <c r="BA6" s="339"/>
      <c r="BB6" s="339"/>
      <c r="BC6" s="341"/>
      <c r="BD6" s="342"/>
      <c r="BE6" s="339"/>
      <c r="BF6" s="343"/>
      <c r="BG6" s="344"/>
      <c r="BH6" s="322"/>
      <c r="BI6" s="323"/>
    </row>
    <row r="7" spans="1:61" ht="19.5" customHeight="1" thickBot="1">
      <c r="A7" s="345">
        <v>1</v>
      </c>
      <c r="B7" s="346">
        <v>2</v>
      </c>
      <c r="C7" s="346">
        <v>3</v>
      </c>
      <c r="D7" s="345">
        <v>4</v>
      </c>
      <c r="E7" s="346">
        <v>5</v>
      </c>
      <c r="F7" s="346">
        <v>6</v>
      </c>
      <c r="G7" s="345">
        <v>7</v>
      </c>
      <c r="H7" s="346">
        <v>8</v>
      </c>
      <c r="I7" s="346">
        <v>9</v>
      </c>
      <c r="J7" s="345">
        <v>10</v>
      </c>
      <c r="K7" s="346">
        <v>11</v>
      </c>
      <c r="L7" s="346">
        <v>12</v>
      </c>
      <c r="M7" s="345">
        <v>13</v>
      </c>
      <c r="N7" s="346">
        <v>14</v>
      </c>
      <c r="O7" s="346">
        <v>15</v>
      </c>
      <c r="P7" s="345">
        <v>16</v>
      </c>
      <c r="Q7" s="346">
        <v>17</v>
      </c>
      <c r="R7" s="346">
        <v>18</v>
      </c>
      <c r="S7" s="345">
        <v>19</v>
      </c>
      <c r="T7" s="346">
        <v>20</v>
      </c>
      <c r="U7" s="346">
        <v>21</v>
      </c>
      <c r="V7" s="345">
        <v>22</v>
      </c>
      <c r="W7" s="346">
        <v>23</v>
      </c>
      <c r="X7" s="345">
        <v>24</v>
      </c>
      <c r="Y7" s="346">
        <v>25</v>
      </c>
      <c r="Z7" s="345">
        <v>26</v>
      </c>
      <c r="AA7" s="346">
        <v>27</v>
      </c>
      <c r="AB7" s="345">
        <v>28</v>
      </c>
      <c r="AC7" s="346">
        <v>29</v>
      </c>
      <c r="AD7" s="345">
        <v>30</v>
      </c>
      <c r="AE7" s="345">
        <v>31</v>
      </c>
      <c r="AF7" s="346">
        <v>32</v>
      </c>
      <c r="AG7" s="345">
        <v>33</v>
      </c>
      <c r="AH7" s="346">
        <v>34</v>
      </c>
      <c r="AI7" s="345">
        <v>35</v>
      </c>
      <c r="AJ7" s="346">
        <v>36</v>
      </c>
      <c r="AK7" s="345">
        <v>37</v>
      </c>
      <c r="AL7" s="346">
        <v>38</v>
      </c>
      <c r="AM7" s="345">
        <v>39</v>
      </c>
      <c r="AN7" s="345">
        <v>40</v>
      </c>
      <c r="AO7" s="346">
        <v>41</v>
      </c>
      <c r="AP7" s="345">
        <v>42</v>
      </c>
      <c r="AQ7" s="346">
        <v>43</v>
      </c>
      <c r="AR7" s="345"/>
      <c r="AS7" s="345">
        <v>44</v>
      </c>
      <c r="AT7" s="346">
        <v>45</v>
      </c>
      <c r="AU7" s="345">
        <v>46</v>
      </c>
      <c r="AV7" s="346">
        <v>47</v>
      </c>
      <c r="AW7" s="345">
        <v>48</v>
      </c>
      <c r="AX7" s="345">
        <v>49</v>
      </c>
      <c r="AY7" s="346"/>
      <c r="AZ7" s="346">
        <v>50</v>
      </c>
      <c r="BA7" s="346">
        <v>51</v>
      </c>
      <c r="BB7" s="346">
        <v>52</v>
      </c>
      <c r="BC7" s="346">
        <v>53</v>
      </c>
      <c r="BD7" s="346">
        <v>54</v>
      </c>
      <c r="BE7" s="346"/>
      <c r="BF7" s="346">
        <v>55</v>
      </c>
      <c r="BG7" s="346">
        <v>56</v>
      </c>
      <c r="BH7" s="323"/>
      <c r="BI7" s="323"/>
    </row>
    <row r="8" spans="1:59" s="20" customFormat="1" ht="13.5" thickBot="1">
      <c r="A8" s="22" t="s">
        <v>54</v>
      </c>
      <c r="B8" s="347">
        <f>'[1]ЛИЦ.СЧЕТ'!B42</f>
        <v>0</v>
      </c>
      <c r="C8" s="347">
        <f>Лист1!C42</f>
        <v>44872.345</v>
      </c>
      <c r="D8" s="347">
        <f>Лист1!D42</f>
        <v>6190.643478550002</v>
      </c>
      <c r="E8" s="347">
        <f>Лист1!E42</f>
        <v>2886.2</v>
      </c>
      <c r="F8" s="347">
        <f>Лист1!F42</f>
        <v>206.2</v>
      </c>
      <c r="G8" s="347"/>
      <c r="H8" s="347"/>
      <c r="I8" s="347">
        <f>Лист1!G42</f>
        <v>1051.9</v>
      </c>
      <c r="J8" s="347">
        <f>Лист1!H42</f>
        <v>74.75</v>
      </c>
      <c r="K8" s="347">
        <f>Лист1!K42</f>
        <v>6494.049999999999</v>
      </c>
      <c r="L8" s="347">
        <f>Лист1!L42</f>
        <v>463.95000000000005</v>
      </c>
      <c r="M8" s="347">
        <f>Лист1!I42</f>
        <v>9380.2</v>
      </c>
      <c r="N8" s="347">
        <f>Лист1!J42</f>
        <v>670.1500000000001</v>
      </c>
      <c r="O8" s="347">
        <f>Лист1!M42</f>
        <v>14558.720000000001</v>
      </c>
      <c r="P8" s="347">
        <f>Лист1!N42</f>
        <v>933.8299999999999</v>
      </c>
      <c r="Q8" s="347">
        <f>'[3]Лист1'!O44</f>
        <v>0</v>
      </c>
      <c r="R8" s="347"/>
      <c r="S8" s="347">
        <f>'[3]Лист1'!O44</f>
        <v>0</v>
      </c>
      <c r="T8" s="347">
        <f>'[3]Лист1'!P44</f>
        <v>0</v>
      </c>
      <c r="U8" s="347">
        <f>Лист1!S42</f>
        <v>34371.07</v>
      </c>
      <c r="V8" s="347">
        <f>Лист1!T42</f>
        <v>2348.8799999999997</v>
      </c>
      <c r="W8" s="347">
        <f>Лист1!U42</f>
        <v>1551.23</v>
      </c>
      <c r="X8" s="347"/>
      <c r="Y8" s="347">
        <f>Лист1!V42</f>
        <v>500.6</v>
      </c>
      <c r="Z8" s="347">
        <f>Лист1!X42</f>
        <v>3490.3199999999997</v>
      </c>
      <c r="AA8" s="347">
        <f>Лист1!W42</f>
        <v>5041.53</v>
      </c>
      <c r="AB8" s="347">
        <f>Лист1!Y42</f>
        <v>10232.9</v>
      </c>
      <c r="AC8" s="347">
        <f>'[4]Лист1'!Z44</f>
        <v>0</v>
      </c>
      <c r="AD8" s="347"/>
      <c r="AE8" s="347"/>
      <c r="AF8" s="347">
        <f>Лист1!AB42</f>
        <v>20816.58</v>
      </c>
      <c r="AG8" s="347">
        <f>Лист1!AC42</f>
        <v>29356.10347855001</v>
      </c>
      <c r="AH8" s="347"/>
      <c r="AI8" s="347"/>
      <c r="AJ8" s="347">
        <f>Лист1!AF42</f>
        <v>0</v>
      </c>
      <c r="AK8" s="347">
        <f>Лист1!AG42</f>
        <v>11796.252</v>
      </c>
      <c r="AL8" s="347">
        <f>Лист1!AH42</f>
        <v>3952.6421124000008</v>
      </c>
      <c r="AM8" s="347">
        <f>Лист1!AI42+Лист1!AJ42</f>
        <v>4142.12664347</v>
      </c>
      <c r="AN8" s="347">
        <f>0</f>
        <v>0</v>
      </c>
      <c r="AO8" s="347">
        <f>Лист1!AK42+Лист1!AL42</f>
        <v>4441.1808136492</v>
      </c>
      <c r="AP8" s="347">
        <f>Лист1!AM42+Лист1!AN42</f>
        <v>9021.5156456898</v>
      </c>
      <c r="AQ8" s="347">
        <f>0</f>
        <v>0</v>
      </c>
      <c r="AR8" s="347">
        <f>0</f>
        <v>0</v>
      </c>
      <c r="AS8" s="347">
        <f>0</f>
        <v>0</v>
      </c>
      <c r="AT8" s="347">
        <f>Лист1!AO42</f>
        <v>0</v>
      </c>
      <c r="AU8" s="347">
        <f>Лист1!AS42+Лист1!AU42</f>
        <v>0</v>
      </c>
      <c r="AV8" s="347">
        <f>0</f>
        <v>0</v>
      </c>
      <c r="AW8" s="347">
        <f>Лист1!AT42</f>
        <v>547.8</v>
      </c>
      <c r="AX8" s="347">
        <f>'[3]Лист1'!AQ44+'[3]Лист1'!AR44</f>
        <v>0</v>
      </c>
      <c r="AY8" s="348">
        <f>Лист1!AX42</f>
        <v>3592.5119999999997</v>
      </c>
      <c r="AZ8" s="348"/>
      <c r="BA8" s="348"/>
      <c r="BB8" s="348"/>
      <c r="BC8" s="348">
        <f>Лист1!BB42</f>
        <v>37494.029215209</v>
      </c>
      <c r="BD8" s="347">
        <f>0</f>
        <v>0</v>
      </c>
      <c r="BE8" s="347">
        <f>BC8</f>
        <v>37494.029215209</v>
      </c>
      <c r="BF8" s="349">
        <f>Лист1!BD42</f>
        <v>-8137.925736658998</v>
      </c>
      <c r="BG8" s="349">
        <f>Лист1!BE42</f>
        <v>-13554.490000000002</v>
      </c>
    </row>
    <row r="9" spans="1:59" ht="12.75">
      <c r="A9" s="5" t="s">
        <v>116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1"/>
      <c r="BF9" s="349"/>
      <c r="BG9" s="352"/>
    </row>
    <row r="10" spans="1:135" ht="12.75">
      <c r="A10" s="353" t="s">
        <v>45</v>
      </c>
      <c r="B10" s="159">
        <v>739.7</v>
      </c>
      <c r="C10" s="141">
        <f>B10*0.8</f>
        <v>591.7600000000001</v>
      </c>
      <c r="D10" s="124">
        <v>29.45</v>
      </c>
      <c r="E10" s="152">
        <v>0</v>
      </c>
      <c r="F10" s="153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546.74</v>
      </c>
      <c r="P10" s="153">
        <v>0</v>
      </c>
      <c r="Q10" s="355">
        <v>0</v>
      </c>
      <c r="R10" s="356">
        <v>0</v>
      </c>
      <c r="S10" s="357">
        <v>0</v>
      </c>
      <c r="T10" s="356">
        <v>0</v>
      </c>
      <c r="U10" s="358">
        <f aca="true" t="shared" si="0" ref="U10:V21">E10+G10+I10+K10+M10+O10+Q10+S10</f>
        <v>546.74</v>
      </c>
      <c r="V10" s="359">
        <f t="shared" si="0"/>
        <v>0</v>
      </c>
      <c r="W10" s="155">
        <v>0</v>
      </c>
      <c r="X10" s="155"/>
      <c r="Y10" s="155">
        <v>0</v>
      </c>
      <c r="Z10" s="155">
        <v>0</v>
      </c>
      <c r="AA10" s="155">
        <v>0</v>
      </c>
      <c r="AB10" s="156">
        <v>265.43</v>
      </c>
      <c r="AC10" s="157">
        <v>0</v>
      </c>
      <c r="AD10" s="157">
        <v>0</v>
      </c>
      <c r="AE10" s="360">
        <v>0</v>
      </c>
      <c r="AF10" s="360">
        <f>SUM(W10:AE10)</f>
        <v>265.43</v>
      </c>
      <c r="AG10" s="361">
        <f>AF10+V10+D10</f>
        <v>294.88</v>
      </c>
      <c r="AH10" s="464">
        <f aca="true" t="shared" si="1" ref="AH10:AI21">AC10</f>
        <v>0</v>
      </c>
      <c r="AI10" s="464">
        <f t="shared" si="1"/>
        <v>0</v>
      </c>
      <c r="AJ10" s="112"/>
      <c r="AK10" s="113">
        <f aca="true" t="shared" si="2" ref="AK10:AK21">0.67*B10</f>
        <v>495.59900000000005</v>
      </c>
      <c r="AL10" s="113">
        <f aca="true" t="shared" si="3" ref="AL10:AL21">B10*0.2</f>
        <v>147.94000000000003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13"/>
      <c r="AU10" s="134"/>
      <c r="AV10" s="133"/>
      <c r="AW10" s="134"/>
      <c r="AX10" s="134"/>
      <c r="AY10" s="134"/>
      <c r="AZ10" s="113"/>
      <c r="BA10" s="115"/>
      <c r="BB10" s="115">
        <f>BA10*0.18</f>
        <v>0</v>
      </c>
      <c r="BC10" s="151">
        <f>SUM(AK10:BB10)</f>
        <v>643.5390000000001</v>
      </c>
      <c r="BD10" s="116"/>
      <c r="BE10" s="165">
        <f>BC10</f>
        <v>643.5390000000001</v>
      </c>
      <c r="BF10" s="165">
        <f>AG10-BE10</f>
        <v>-348.6590000000001</v>
      </c>
      <c r="BG10" s="165">
        <f aca="true" t="shared" si="4" ref="BG10:BG21">AF10-U10</f>
        <v>-281.31</v>
      </c>
      <c r="BH10" s="364"/>
      <c r="BI10" s="365"/>
      <c r="BJ10" s="365"/>
      <c r="BK10" s="365"/>
      <c r="BL10" s="365"/>
      <c r="BM10" s="365"/>
      <c r="BN10" s="365"/>
      <c r="BO10" s="366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7"/>
      <c r="CD10" s="367"/>
      <c r="CE10" s="368"/>
      <c r="CF10" s="165"/>
      <c r="CG10" s="116"/>
      <c r="CH10" s="165"/>
      <c r="CI10" s="165"/>
      <c r="CJ10" s="165"/>
      <c r="CK10" s="165"/>
      <c r="CL10" s="165"/>
      <c r="CM10" s="165"/>
      <c r="CN10" s="165"/>
      <c r="CO10" s="116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16"/>
      <c r="DL10" s="116"/>
      <c r="DM10" s="116"/>
      <c r="DN10" s="116"/>
      <c r="DO10" s="116"/>
      <c r="DP10" s="116"/>
      <c r="DQ10" s="165"/>
      <c r="DR10" s="165"/>
      <c r="DS10" s="165"/>
      <c r="DT10" s="165"/>
      <c r="DU10" s="165"/>
      <c r="DV10" s="364"/>
      <c r="DW10" s="364"/>
      <c r="DX10" s="151"/>
      <c r="DY10" s="349"/>
      <c r="DZ10" s="349"/>
      <c r="EA10" s="352"/>
      <c r="EB10" s="369"/>
      <c r="EC10" s="370"/>
      <c r="ED10" s="371"/>
      <c r="EE10" s="372"/>
    </row>
    <row r="11" spans="1:133" ht="12.75">
      <c r="A11" s="353" t="s">
        <v>46</v>
      </c>
      <c r="B11" s="137">
        <v>739.7</v>
      </c>
      <c r="C11" s="141">
        <f>B11*0.8</f>
        <v>591.7600000000001</v>
      </c>
      <c r="D11" s="124">
        <v>29.447999999999997</v>
      </c>
      <c r="E11" s="152">
        <v>0</v>
      </c>
      <c r="F11" s="153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546.72</v>
      </c>
      <c r="P11" s="152">
        <v>0</v>
      </c>
      <c r="Q11" s="153">
        <v>0</v>
      </c>
      <c r="R11" s="153">
        <v>0</v>
      </c>
      <c r="S11" s="157">
        <v>0</v>
      </c>
      <c r="T11" s="155">
        <v>0</v>
      </c>
      <c r="U11" s="373">
        <f t="shared" si="0"/>
        <v>546.72</v>
      </c>
      <c r="V11" s="359">
        <f t="shared" si="0"/>
        <v>0</v>
      </c>
      <c r="W11" s="155">
        <v>143.27</v>
      </c>
      <c r="X11" s="157">
        <v>0</v>
      </c>
      <c r="Y11" s="155">
        <v>51.93</v>
      </c>
      <c r="Z11" s="155">
        <v>322.35</v>
      </c>
      <c r="AA11" s="155">
        <v>465.61</v>
      </c>
      <c r="AB11" s="156">
        <v>2624.92</v>
      </c>
      <c r="AC11" s="157">
        <v>0</v>
      </c>
      <c r="AD11" s="157">
        <v>0</v>
      </c>
      <c r="AE11" s="157">
        <v>0</v>
      </c>
      <c r="AF11" s="360">
        <f>SUM(W11:AE11)</f>
        <v>3608.08</v>
      </c>
      <c r="AG11" s="361">
        <f>AF11+V11+D11</f>
        <v>3637.528</v>
      </c>
      <c r="AH11" s="362">
        <f t="shared" si="1"/>
        <v>0</v>
      </c>
      <c r="AI11" s="362">
        <f t="shared" si="1"/>
        <v>0</v>
      </c>
      <c r="AJ11" s="112"/>
      <c r="AK11" s="113">
        <f t="shared" si="2"/>
        <v>495.59900000000005</v>
      </c>
      <c r="AL11" s="113">
        <f t="shared" si="3"/>
        <v>147.94000000000003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/>
      <c r="AU11" s="134"/>
      <c r="AV11" s="133"/>
      <c r="AW11" s="134"/>
      <c r="AX11" s="134">
        <v>80</v>
      </c>
      <c r="AY11" s="134"/>
      <c r="AZ11" s="113"/>
      <c r="BA11" s="115"/>
      <c r="BB11" s="115">
        <f>BA11*0.18</f>
        <v>0</v>
      </c>
      <c r="BC11" s="115">
        <f>SUM(AK11:BB11)</f>
        <v>723.5390000000001</v>
      </c>
      <c r="BD11" s="116"/>
      <c r="BE11" s="165">
        <f aca="true" t="shared" si="5" ref="BE11:BE21">BC11</f>
        <v>723.5390000000001</v>
      </c>
      <c r="BF11" s="165">
        <f>AG11-BE11</f>
        <v>2913.9889999999996</v>
      </c>
      <c r="BG11" s="165">
        <f t="shared" si="4"/>
        <v>3061.3599999999997</v>
      </c>
      <c r="BH11" s="364"/>
      <c r="BI11" s="365"/>
      <c r="BJ11" s="365"/>
      <c r="BK11" s="365"/>
      <c r="BL11" s="365"/>
      <c r="BM11" s="365"/>
      <c r="BN11" s="365"/>
      <c r="BO11" s="366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7"/>
      <c r="CD11" s="367"/>
      <c r="CE11" s="368"/>
      <c r="CF11" s="165"/>
      <c r="CG11" s="116"/>
      <c r="CH11" s="165"/>
      <c r="CI11" s="165"/>
      <c r="CJ11" s="165"/>
      <c r="CK11" s="165"/>
      <c r="CL11" s="165"/>
      <c r="CM11" s="165"/>
      <c r="CN11" s="165"/>
      <c r="CO11" s="116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16"/>
      <c r="DL11" s="116"/>
      <c r="DM11" s="116"/>
      <c r="DN11" s="116"/>
      <c r="DO11" s="116"/>
      <c r="DP11" s="116"/>
      <c r="DQ11" s="165"/>
      <c r="DR11" s="165"/>
      <c r="DS11" s="165"/>
      <c r="DT11" s="165"/>
      <c r="DU11" s="165"/>
      <c r="DV11" s="364"/>
      <c r="DW11" s="364"/>
      <c r="DX11" s="151"/>
      <c r="DY11" s="349"/>
      <c r="DZ11" s="349"/>
      <c r="EA11" s="352"/>
      <c r="EB11" s="370"/>
      <c r="EC11" s="374"/>
    </row>
    <row r="12" spans="1:134" ht="12.75">
      <c r="A12" s="353" t="s">
        <v>47</v>
      </c>
      <c r="B12" s="159">
        <v>739.7</v>
      </c>
      <c r="C12" s="141">
        <f>B12*0.8</f>
        <v>591.7600000000001</v>
      </c>
      <c r="D12" s="124">
        <v>29.447999999999997</v>
      </c>
      <c r="E12" s="152">
        <v>0</v>
      </c>
      <c r="F12" s="153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544.39</v>
      </c>
      <c r="P12" s="152">
        <v>0</v>
      </c>
      <c r="Q12" s="152">
        <v>0</v>
      </c>
      <c r="R12" s="152">
        <v>0</v>
      </c>
      <c r="S12" s="152">
        <v>0</v>
      </c>
      <c r="T12" s="155">
        <v>0</v>
      </c>
      <c r="U12" s="155">
        <f t="shared" si="0"/>
        <v>544.39</v>
      </c>
      <c r="V12" s="375">
        <f t="shared" si="0"/>
        <v>0</v>
      </c>
      <c r="W12" s="154">
        <v>0</v>
      </c>
      <c r="X12" s="157">
        <v>0</v>
      </c>
      <c r="Y12" s="155">
        <v>0</v>
      </c>
      <c r="Z12" s="155">
        <v>0</v>
      </c>
      <c r="AA12" s="155">
        <v>0</v>
      </c>
      <c r="AB12" s="156">
        <v>381.84</v>
      </c>
      <c r="AC12" s="157">
        <v>0</v>
      </c>
      <c r="AD12" s="157">
        <v>0</v>
      </c>
      <c r="AE12" s="155">
        <v>0</v>
      </c>
      <c r="AF12" s="376">
        <f>SUM(W12:AE12)</f>
        <v>381.84</v>
      </c>
      <c r="AG12" s="361">
        <f>AF12+V12+D12</f>
        <v>411.28799999999995</v>
      </c>
      <c r="AH12" s="362">
        <f t="shared" si="1"/>
        <v>0</v>
      </c>
      <c r="AI12" s="362">
        <f t="shared" si="1"/>
        <v>0</v>
      </c>
      <c r="AJ12" s="363"/>
      <c r="AK12" s="113">
        <f t="shared" si="2"/>
        <v>495.59900000000005</v>
      </c>
      <c r="AL12" s="113">
        <f t="shared" si="3"/>
        <v>147.94000000000003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13">
        <v>0</v>
      </c>
      <c r="AT12" s="161"/>
      <c r="AU12" s="158"/>
      <c r="AV12" s="162"/>
      <c r="AW12" s="158"/>
      <c r="AX12" s="158"/>
      <c r="AY12" s="158"/>
      <c r="AZ12" s="113"/>
      <c r="BA12" s="151"/>
      <c r="BB12" s="151">
        <f>BA12*0.18</f>
        <v>0</v>
      </c>
      <c r="BC12" s="151">
        <f>SUM(AK12:BB12)</f>
        <v>643.5390000000001</v>
      </c>
      <c r="BD12" s="165"/>
      <c r="BE12" s="165">
        <f t="shared" si="5"/>
        <v>643.5390000000001</v>
      </c>
      <c r="BF12" s="165">
        <f>AG12-BE12</f>
        <v>-232.25100000000015</v>
      </c>
      <c r="BG12" s="165">
        <f t="shared" si="4"/>
        <v>-162.55</v>
      </c>
      <c r="BH12" s="364"/>
      <c r="BI12" s="365"/>
      <c r="BJ12" s="365"/>
      <c r="BK12" s="365"/>
      <c r="BL12" s="365"/>
      <c r="BM12" s="365"/>
      <c r="BN12" s="365"/>
      <c r="BO12" s="365"/>
      <c r="BP12" s="365"/>
      <c r="BQ12" s="366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7"/>
      <c r="CD12" s="367"/>
      <c r="CE12" s="368"/>
      <c r="CF12" s="165"/>
      <c r="CG12" s="165"/>
      <c r="CH12" s="165"/>
      <c r="CI12" s="116"/>
      <c r="CJ12" s="165"/>
      <c r="CK12" s="165"/>
      <c r="CL12" s="165"/>
      <c r="CM12" s="165"/>
      <c r="CN12" s="165"/>
      <c r="CO12" s="165"/>
      <c r="CP12" s="165"/>
      <c r="CQ12" s="116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16"/>
      <c r="DN12" s="116"/>
      <c r="DO12" s="116"/>
      <c r="DP12" s="116"/>
      <c r="DQ12" s="116"/>
      <c r="DR12" s="116"/>
      <c r="DS12" s="165"/>
      <c r="DT12" s="165"/>
      <c r="DU12" s="165"/>
      <c r="DV12" s="165"/>
      <c r="DW12" s="165"/>
      <c r="DX12" s="364"/>
      <c r="DY12" s="364"/>
      <c r="DZ12" s="151"/>
      <c r="EA12" s="349"/>
      <c r="EB12" s="349"/>
      <c r="EC12" s="370"/>
      <c r="ED12" s="374"/>
    </row>
    <row r="13" spans="1:134" ht="12.75">
      <c r="A13" s="353" t="s">
        <v>48</v>
      </c>
      <c r="B13" s="137">
        <v>739.7</v>
      </c>
      <c r="C13" s="141">
        <f>B13*0.8</f>
        <v>591.7600000000001</v>
      </c>
      <c r="D13" s="465">
        <v>29.447999999999997</v>
      </c>
      <c r="E13" s="466">
        <v>0</v>
      </c>
      <c r="F13" s="125">
        <v>0</v>
      </c>
      <c r="G13" s="149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546.72</v>
      </c>
      <c r="P13" s="125">
        <v>0</v>
      </c>
      <c r="Q13" s="126">
        <v>0</v>
      </c>
      <c r="R13" s="126">
        <v>0</v>
      </c>
      <c r="S13" s="467">
        <v>0</v>
      </c>
      <c r="T13" s="131">
        <v>0</v>
      </c>
      <c r="U13" s="468">
        <f t="shared" si="0"/>
        <v>546.72</v>
      </c>
      <c r="V13" s="128">
        <f t="shared" si="0"/>
        <v>0</v>
      </c>
      <c r="W13" s="127">
        <v>13.43</v>
      </c>
      <c r="X13" s="130">
        <v>0</v>
      </c>
      <c r="Y13" s="127">
        <v>4.87</v>
      </c>
      <c r="Z13" s="127">
        <v>30.22</v>
      </c>
      <c r="AA13" s="127">
        <v>43.66</v>
      </c>
      <c r="AB13" s="469">
        <v>985.91</v>
      </c>
      <c r="AC13" s="127">
        <v>0</v>
      </c>
      <c r="AD13" s="130">
        <v>0</v>
      </c>
      <c r="AE13" s="130">
        <v>0</v>
      </c>
      <c r="AF13" s="470">
        <f>SUM(W13:AD13)</f>
        <v>1078.09</v>
      </c>
      <c r="AG13" s="405">
        <f>AF13+V13+D13</f>
        <v>1107.538</v>
      </c>
      <c r="AH13" s="471">
        <f t="shared" si="1"/>
        <v>0</v>
      </c>
      <c r="AI13" s="471">
        <f t="shared" si="1"/>
        <v>0</v>
      </c>
      <c r="AJ13" s="472"/>
      <c r="AK13" s="113">
        <f t="shared" si="2"/>
        <v>495.59900000000005</v>
      </c>
      <c r="AL13" s="113">
        <f t="shared" si="3"/>
        <v>147.94000000000003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13"/>
      <c r="AT13" s="473"/>
      <c r="AU13" s="474"/>
      <c r="AV13" s="474"/>
      <c r="AW13" s="474"/>
      <c r="AX13" s="474"/>
      <c r="AY13" s="474"/>
      <c r="AZ13" s="113"/>
      <c r="BA13" s="473"/>
      <c r="BB13" s="473"/>
      <c r="BC13" s="125">
        <f>SUM(AK13:BB13)</f>
        <v>643.5390000000001</v>
      </c>
      <c r="BD13" s="475"/>
      <c r="BE13" s="165">
        <f t="shared" si="5"/>
        <v>643.5390000000001</v>
      </c>
      <c r="BF13" s="165">
        <f>AG13-BE13</f>
        <v>463.9989999999999</v>
      </c>
      <c r="BG13" s="165">
        <f t="shared" si="4"/>
        <v>531.3699999999999</v>
      </c>
      <c r="BH13" s="364"/>
      <c r="BI13" s="365"/>
      <c r="BJ13" s="365"/>
      <c r="BK13" s="365"/>
      <c r="BL13" s="365"/>
      <c r="BM13" s="365"/>
      <c r="BN13" s="365"/>
      <c r="BO13" s="366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7"/>
      <c r="CD13" s="367"/>
      <c r="CE13" s="368"/>
      <c r="CF13" s="165"/>
      <c r="CG13" s="116"/>
      <c r="CH13" s="165"/>
      <c r="CI13" s="165"/>
      <c r="CJ13" s="165"/>
      <c r="CK13" s="165"/>
      <c r="CL13" s="165"/>
      <c r="CM13" s="165"/>
      <c r="CN13" s="165"/>
      <c r="CO13" s="116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16"/>
      <c r="DL13" s="116"/>
      <c r="DM13" s="116"/>
      <c r="DN13" s="116"/>
      <c r="DO13" s="116"/>
      <c r="DP13" s="116"/>
      <c r="DQ13" s="165"/>
      <c r="DR13" s="165"/>
      <c r="DS13" s="165"/>
      <c r="DT13" s="165"/>
      <c r="DU13" s="165"/>
      <c r="DV13" s="364"/>
      <c r="DW13" s="364"/>
      <c r="DX13" s="151"/>
      <c r="DY13" s="349"/>
      <c r="DZ13" s="349"/>
      <c r="EA13" s="349"/>
      <c r="EB13" s="352"/>
      <c r="EC13" s="370"/>
      <c r="ED13" s="374"/>
    </row>
    <row r="14" spans="1:133" ht="12.75">
      <c r="A14" s="353" t="s">
        <v>49</v>
      </c>
      <c r="B14" s="385">
        <v>739.7</v>
      </c>
      <c r="C14" s="141">
        <f>B14*0.8</f>
        <v>591.7600000000001</v>
      </c>
      <c r="D14" s="377">
        <v>29.447999999999997</v>
      </c>
      <c r="E14" s="378">
        <v>0</v>
      </c>
      <c r="F14" s="153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546.72</v>
      </c>
      <c r="P14" s="152">
        <v>0</v>
      </c>
      <c r="Q14" s="153">
        <v>0</v>
      </c>
      <c r="R14" s="153">
        <v>0</v>
      </c>
      <c r="S14" s="152">
        <v>0</v>
      </c>
      <c r="T14" s="157">
        <v>0</v>
      </c>
      <c r="U14" s="386">
        <f t="shared" si="0"/>
        <v>546.72</v>
      </c>
      <c r="V14" s="387">
        <f>F14+H14+J14+L14+N14++R14+T14</f>
        <v>0</v>
      </c>
      <c r="W14" s="155">
        <v>0</v>
      </c>
      <c r="X14" s="157">
        <v>0</v>
      </c>
      <c r="Y14" s="155">
        <v>0</v>
      </c>
      <c r="Z14" s="155">
        <v>0</v>
      </c>
      <c r="AA14" s="155">
        <v>0</v>
      </c>
      <c r="AB14" s="156">
        <v>254.88</v>
      </c>
      <c r="AC14" s="157">
        <v>0</v>
      </c>
      <c r="AD14" s="157">
        <v>0</v>
      </c>
      <c r="AE14" s="360">
        <v>0</v>
      </c>
      <c r="AF14" s="388">
        <f>SUM(W14:AE14)</f>
        <v>254.88</v>
      </c>
      <c r="AG14" s="379">
        <f aca="true" t="shared" si="6" ref="AG14:AG21">D14+V14+AF14</f>
        <v>284.328</v>
      </c>
      <c r="AH14" s="380">
        <f t="shared" si="1"/>
        <v>0</v>
      </c>
      <c r="AI14" s="380">
        <f t="shared" si="1"/>
        <v>0</v>
      </c>
      <c r="AJ14" s="381"/>
      <c r="AK14" s="113">
        <f t="shared" si="2"/>
        <v>495.59900000000005</v>
      </c>
      <c r="AL14" s="113">
        <f t="shared" si="3"/>
        <v>147.94000000000003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13"/>
      <c r="AT14" s="382"/>
      <c r="AU14" s="383"/>
      <c r="AV14" s="383"/>
      <c r="AW14" s="383"/>
      <c r="AX14" s="383">
        <v>10</v>
      </c>
      <c r="AY14" s="383"/>
      <c r="AZ14" s="113"/>
      <c r="BA14" s="382"/>
      <c r="BB14" s="382"/>
      <c r="BC14" s="152">
        <f>SUM(AK14:BB14)</f>
        <v>653.5390000000001</v>
      </c>
      <c r="BD14" s="384"/>
      <c r="BE14" s="165">
        <f t="shared" si="5"/>
        <v>653.5390000000001</v>
      </c>
      <c r="BF14" s="165">
        <f>AG14-BE14</f>
        <v>-369.2110000000001</v>
      </c>
      <c r="BG14" s="165">
        <f t="shared" si="4"/>
        <v>-291.84000000000003</v>
      </c>
      <c r="BH14" s="364"/>
      <c r="BI14" s="365"/>
      <c r="BJ14" s="365"/>
      <c r="BK14" s="365"/>
      <c r="BL14" s="365"/>
      <c r="BM14" s="365"/>
      <c r="BN14" s="365"/>
      <c r="BO14" s="366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7"/>
      <c r="CD14" s="367"/>
      <c r="CE14" s="368"/>
      <c r="CF14" s="165"/>
      <c r="CG14" s="116"/>
      <c r="CH14" s="165"/>
      <c r="CI14" s="165"/>
      <c r="CJ14" s="165"/>
      <c r="CK14" s="165"/>
      <c r="CL14" s="165"/>
      <c r="CM14" s="165"/>
      <c r="CN14" s="165"/>
      <c r="CO14" s="116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16"/>
      <c r="DL14" s="116"/>
      <c r="DM14" s="116"/>
      <c r="DN14" s="116"/>
      <c r="DO14" s="116"/>
      <c r="DP14" s="116"/>
      <c r="DQ14" s="165"/>
      <c r="DR14" s="165"/>
      <c r="DS14" s="165"/>
      <c r="DT14" s="165"/>
      <c r="DU14" s="165"/>
      <c r="DV14" s="364"/>
      <c r="DW14" s="364"/>
      <c r="DX14" s="151"/>
      <c r="DY14" s="349"/>
      <c r="DZ14" s="349"/>
      <c r="EA14" s="352"/>
      <c r="EB14" s="370"/>
      <c r="EC14" s="374"/>
    </row>
    <row r="15" spans="1:133" ht="13.5" thickBot="1">
      <c r="A15" s="353" t="s">
        <v>50</v>
      </c>
      <c r="B15" s="159">
        <v>739.7</v>
      </c>
      <c r="C15" s="354">
        <f>B15*0.8</f>
        <v>591.7600000000001</v>
      </c>
      <c r="D15" s="377">
        <v>29.447999999999997</v>
      </c>
      <c r="E15" s="389">
        <v>0</v>
      </c>
      <c r="F15" s="389"/>
      <c r="G15" s="389">
        <v>0</v>
      </c>
      <c r="H15" s="389"/>
      <c r="I15" s="390">
        <v>0</v>
      </c>
      <c r="J15" s="390"/>
      <c r="K15" s="390">
        <v>0</v>
      </c>
      <c r="L15" s="390"/>
      <c r="M15" s="390"/>
      <c r="N15" s="390"/>
      <c r="O15" s="390">
        <v>546.72</v>
      </c>
      <c r="P15" s="390"/>
      <c r="Q15" s="390">
        <v>0</v>
      </c>
      <c r="R15" s="391"/>
      <c r="S15" s="391">
        <v>0</v>
      </c>
      <c r="T15" s="390"/>
      <c r="U15" s="392">
        <f t="shared" si="0"/>
        <v>546.72</v>
      </c>
      <c r="V15" s="393">
        <f t="shared" si="0"/>
        <v>0</v>
      </c>
      <c r="W15" s="394">
        <v>0</v>
      </c>
      <c r="X15" s="389">
        <v>0</v>
      </c>
      <c r="Y15" s="389">
        <v>0</v>
      </c>
      <c r="Z15" s="389">
        <v>0</v>
      </c>
      <c r="AA15" s="389">
        <v>0</v>
      </c>
      <c r="AB15" s="389">
        <v>190.18</v>
      </c>
      <c r="AC15" s="389">
        <v>0</v>
      </c>
      <c r="AD15" s="389">
        <v>0</v>
      </c>
      <c r="AE15" s="395">
        <v>0</v>
      </c>
      <c r="AF15" s="396">
        <f aca="true" t="shared" si="7" ref="AF15:AF21">SUM(W15:AE15)</f>
        <v>190.18</v>
      </c>
      <c r="AG15" s="379">
        <f t="shared" si="6"/>
        <v>219.62800000000001</v>
      </c>
      <c r="AH15" s="380">
        <f t="shared" si="1"/>
        <v>0</v>
      </c>
      <c r="AI15" s="380">
        <f t="shared" si="1"/>
        <v>0</v>
      </c>
      <c r="AJ15" s="381"/>
      <c r="AK15" s="161">
        <f t="shared" si="2"/>
        <v>495.59900000000005</v>
      </c>
      <c r="AL15" s="161">
        <f t="shared" si="3"/>
        <v>147.94000000000003</v>
      </c>
      <c r="AM15" s="397">
        <v>0</v>
      </c>
      <c r="AN15" s="397">
        <v>0</v>
      </c>
      <c r="AO15" s="397">
        <v>0</v>
      </c>
      <c r="AP15" s="397">
        <v>0</v>
      </c>
      <c r="AQ15" s="397">
        <v>0</v>
      </c>
      <c r="AR15" s="397">
        <v>0</v>
      </c>
      <c r="AS15" s="161"/>
      <c r="AT15" s="382"/>
      <c r="AU15" s="383"/>
      <c r="AV15" s="383"/>
      <c r="AW15" s="383"/>
      <c r="AX15" s="383"/>
      <c r="AY15" s="383"/>
      <c r="AZ15" s="161"/>
      <c r="BA15" s="382"/>
      <c r="BB15" s="382"/>
      <c r="BC15" s="398">
        <f>SUM(AK15:BB15)</f>
        <v>643.5390000000001</v>
      </c>
      <c r="BD15" s="384"/>
      <c r="BE15" s="165">
        <f t="shared" si="5"/>
        <v>643.5390000000001</v>
      </c>
      <c r="BF15" s="165">
        <f>AG15-BE15</f>
        <v>-423.91100000000006</v>
      </c>
      <c r="BG15" s="165">
        <f t="shared" si="4"/>
        <v>-356.54</v>
      </c>
      <c r="BH15" s="364"/>
      <c r="BI15" s="365"/>
      <c r="BJ15" s="365"/>
      <c r="BK15" s="365"/>
      <c r="BL15" s="365"/>
      <c r="BM15" s="365"/>
      <c r="BN15" s="365"/>
      <c r="BO15" s="366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7"/>
      <c r="CD15" s="367"/>
      <c r="CE15" s="368"/>
      <c r="CF15" s="165"/>
      <c r="CG15" s="116"/>
      <c r="CH15" s="165"/>
      <c r="CI15" s="165"/>
      <c r="CJ15" s="165"/>
      <c r="CK15" s="165"/>
      <c r="CL15" s="165"/>
      <c r="CM15" s="165"/>
      <c r="CN15" s="165"/>
      <c r="CO15" s="116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16"/>
      <c r="DL15" s="116"/>
      <c r="DM15" s="116"/>
      <c r="DN15" s="116"/>
      <c r="DO15" s="116"/>
      <c r="DP15" s="116"/>
      <c r="DQ15" s="165"/>
      <c r="DR15" s="165"/>
      <c r="DS15" s="165"/>
      <c r="DT15" s="165"/>
      <c r="DU15" s="165"/>
      <c r="DV15" s="364"/>
      <c r="DW15" s="364"/>
      <c r="DX15" s="151"/>
      <c r="DY15" s="349"/>
      <c r="DZ15" s="349"/>
      <c r="EA15" s="352"/>
      <c r="EB15" s="399"/>
      <c r="EC15" s="374"/>
    </row>
    <row r="16" spans="1:130" ht="12.75">
      <c r="A16" s="353" t="s">
        <v>51</v>
      </c>
      <c r="B16" s="159">
        <v>739.7</v>
      </c>
      <c r="C16" s="141">
        <f>B16*0.8</f>
        <v>591.7600000000001</v>
      </c>
      <c r="D16" s="377">
        <v>32.024699999999996</v>
      </c>
      <c r="E16" s="400">
        <v>-2.42</v>
      </c>
      <c r="F16" s="400"/>
      <c r="G16" s="400">
        <v>-19</v>
      </c>
      <c r="H16" s="400"/>
      <c r="I16" s="400">
        <v>-0.88</v>
      </c>
      <c r="J16" s="400"/>
      <c r="K16" s="400">
        <v>-5.48</v>
      </c>
      <c r="L16" s="400"/>
      <c r="M16" s="400">
        <v>-7.9</v>
      </c>
      <c r="N16" s="400"/>
      <c r="O16" s="400">
        <v>544.37</v>
      </c>
      <c r="P16" s="400"/>
      <c r="Q16" s="400"/>
      <c r="R16" s="400"/>
      <c r="S16" s="401"/>
      <c r="T16" s="394"/>
      <c r="U16" s="402">
        <f t="shared" si="0"/>
        <v>508.69</v>
      </c>
      <c r="V16" s="403">
        <f t="shared" si="0"/>
        <v>0</v>
      </c>
      <c r="W16" s="404">
        <v>19.87</v>
      </c>
      <c r="X16" s="400">
        <v>0</v>
      </c>
      <c r="Y16" s="400">
        <v>7.2</v>
      </c>
      <c r="Z16" s="400">
        <v>44.7</v>
      </c>
      <c r="AA16" s="400">
        <v>64.57</v>
      </c>
      <c r="AB16" s="400">
        <v>1110.56</v>
      </c>
      <c r="AC16" s="389"/>
      <c r="AD16" s="400"/>
      <c r="AE16" s="401"/>
      <c r="AF16" s="396">
        <f t="shared" si="7"/>
        <v>1246.8999999999999</v>
      </c>
      <c r="AG16" s="405">
        <f t="shared" si="6"/>
        <v>1278.9246999999998</v>
      </c>
      <c r="AH16" s="380">
        <f t="shared" si="1"/>
        <v>0</v>
      </c>
      <c r="AI16" s="380">
        <f t="shared" si="1"/>
        <v>0</v>
      </c>
      <c r="AJ16" s="381"/>
      <c r="AK16" s="161">
        <f t="shared" si="2"/>
        <v>495.59900000000005</v>
      </c>
      <c r="AL16" s="161">
        <f t="shared" si="3"/>
        <v>147.94000000000003</v>
      </c>
      <c r="AM16" s="397">
        <v>0</v>
      </c>
      <c r="AN16" s="397">
        <v>0</v>
      </c>
      <c r="AO16" s="397">
        <v>0</v>
      </c>
      <c r="AP16" s="397">
        <v>0</v>
      </c>
      <c r="AQ16" s="397">
        <v>0</v>
      </c>
      <c r="AR16" s="397">
        <v>0</v>
      </c>
      <c r="AS16" s="113"/>
      <c r="AT16" s="382"/>
      <c r="AU16" s="383"/>
      <c r="AV16" s="383"/>
      <c r="AW16" s="383"/>
      <c r="AX16" s="383"/>
      <c r="AY16" s="383"/>
      <c r="AZ16" s="113"/>
      <c r="BA16" s="382">
        <v>6124.26</v>
      </c>
      <c r="BB16" s="382"/>
      <c r="BC16" s="152">
        <f>SUM(AK16:BB16)</f>
        <v>6767.799</v>
      </c>
      <c r="BD16" s="384"/>
      <c r="BE16" s="165">
        <f t="shared" si="5"/>
        <v>6767.799</v>
      </c>
      <c r="BF16" s="165">
        <f>AG16-BE16</f>
        <v>-5488.8743</v>
      </c>
      <c r="BG16" s="165">
        <f t="shared" si="4"/>
        <v>738.2099999999998</v>
      </c>
      <c r="BH16" s="364"/>
      <c r="BI16" s="365"/>
      <c r="BJ16" s="365"/>
      <c r="BK16" s="365"/>
      <c r="BL16" s="365"/>
      <c r="BM16" s="365"/>
      <c r="BN16" s="365"/>
      <c r="BO16" s="366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7"/>
      <c r="CD16" s="367"/>
      <c r="CE16" s="368"/>
      <c r="CF16" s="165"/>
      <c r="CG16" s="116"/>
      <c r="CH16" s="165"/>
      <c r="CI16" s="165"/>
      <c r="CJ16" s="165"/>
      <c r="CK16" s="165"/>
      <c r="CL16" s="165"/>
      <c r="CM16" s="165"/>
      <c r="CN16" s="165"/>
      <c r="CO16" s="116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16"/>
      <c r="DL16" s="116"/>
      <c r="DM16" s="116"/>
      <c r="DN16" s="116"/>
      <c r="DO16" s="116"/>
      <c r="DP16" s="116"/>
      <c r="DQ16" s="165"/>
      <c r="DR16" s="165"/>
      <c r="DS16" s="165"/>
      <c r="DT16" s="165"/>
      <c r="DU16" s="165"/>
      <c r="DV16" s="364"/>
      <c r="DW16" s="364"/>
      <c r="DX16" s="151"/>
      <c r="DY16" s="349"/>
      <c r="DZ16" s="349"/>
    </row>
    <row r="17" spans="1:130" ht="12.75">
      <c r="A17" s="353" t="s">
        <v>52</v>
      </c>
      <c r="B17" s="476">
        <v>739.7</v>
      </c>
      <c r="C17" s="477">
        <f>B17*0.8</f>
        <v>591.7600000000001</v>
      </c>
      <c r="D17" s="478">
        <v>32.024699999999996</v>
      </c>
      <c r="E17" s="479">
        <v>0</v>
      </c>
      <c r="F17" s="479"/>
      <c r="G17" s="479">
        <v>0</v>
      </c>
      <c r="H17" s="479"/>
      <c r="I17" s="479">
        <v>0</v>
      </c>
      <c r="J17" s="479"/>
      <c r="K17" s="479">
        <v>0</v>
      </c>
      <c r="L17" s="479"/>
      <c r="M17" s="479">
        <v>0</v>
      </c>
      <c r="N17" s="479"/>
      <c r="O17" s="479">
        <v>539.15</v>
      </c>
      <c r="P17" s="479"/>
      <c r="Q17" s="479"/>
      <c r="R17" s="479"/>
      <c r="S17" s="480"/>
      <c r="T17" s="481"/>
      <c r="U17" s="482">
        <f t="shared" si="0"/>
        <v>539.15</v>
      </c>
      <c r="V17" s="483">
        <f t="shared" si="0"/>
        <v>0</v>
      </c>
      <c r="W17" s="484">
        <v>0</v>
      </c>
      <c r="X17" s="484">
        <v>0</v>
      </c>
      <c r="Y17" s="484">
        <v>0</v>
      </c>
      <c r="Z17" s="484">
        <v>0</v>
      </c>
      <c r="AA17" s="484">
        <v>0</v>
      </c>
      <c r="AB17" s="484">
        <v>401.04</v>
      </c>
      <c r="AC17" s="484"/>
      <c r="AD17" s="484"/>
      <c r="AE17" s="485"/>
      <c r="AF17" s="486">
        <f t="shared" si="7"/>
        <v>401.04</v>
      </c>
      <c r="AG17" s="487">
        <f t="shared" si="6"/>
        <v>433.0647</v>
      </c>
      <c r="AH17" s="488">
        <f t="shared" si="1"/>
        <v>0</v>
      </c>
      <c r="AI17" s="488">
        <f t="shared" si="1"/>
        <v>0</v>
      </c>
      <c r="AJ17" s="489"/>
      <c r="AK17" s="106">
        <f t="shared" si="2"/>
        <v>495.59900000000005</v>
      </c>
      <c r="AL17" s="106">
        <f t="shared" si="3"/>
        <v>147.94000000000003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106"/>
      <c r="AT17" s="491"/>
      <c r="AU17" s="492"/>
      <c r="AV17" s="492"/>
      <c r="AW17" s="492"/>
      <c r="AX17" s="492"/>
      <c r="AY17" s="492"/>
      <c r="AZ17" s="106"/>
      <c r="BA17" s="491"/>
      <c r="BB17" s="491"/>
      <c r="BC17" s="493">
        <f>SUM(AK17:BB17)</f>
        <v>643.5390000000001</v>
      </c>
      <c r="BD17" s="494"/>
      <c r="BE17" s="165">
        <f t="shared" si="5"/>
        <v>643.5390000000001</v>
      </c>
      <c r="BF17" s="165">
        <f>AG17-BE17</f>
        <v>-210.47430000000008</v>
      </c>
      <c r="BG17" s="165">
        <f t="shared" si="4"/>
        <v>-138.10999999999996</v>
      </c>
      <c r="BH17" s="364"/>
      <c r="BI17" s="365"/>
      <c r="BJ17" s="365"/>
      <c r="BK17" s="365"/>
      <c r="BL17" s="365"/>
      <c r="BM17" s="365"/>
      <c r="BN17" s="365"/>
      <c r="BO17" s="366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7"/>
      <c r="CD17" s="367"/>
      <c r="CE17" s="368"/>
      <c r="CF17" s="165"/>
      <c r="CG17" s="116"/>
      <c r="CH17" s="165"/>
      <c r="CI17" s="165"/>
      <c r="CJ17" s="165"/>
      <c r="CK17" s="165"/>
      <c r="CL17" s="165"/>
      <c r="CM17" s="165"/>
      <c r="CN17" s="165"/>
      <c r="CO17" s="116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16"/>
      <c r="DL17" s="116"/>
      <c r="DM17" s="116"/>
      <c r="DN17" s="116"/>
      <c r="DO17" s="116"/>
      <c r="DP17" s="116"/>
      <c r="DQ17" s="165"/>
      <c r="DR17" s="165"/>
      <c r="DS17" s="165"/>
      <c r="DT17" s="165"/>
      <c r="DU17" s="165"/>
      <c r="DV17" s="364"/>
      <c r="DW17" s="364"/>
      <c r="DX17" s="151"/>
      <c r="DY17" s="349"/>
      <c r="DZ17" s="349"/>
    </row>
    <row r="18" spans="1:130" ht="12.75">
      <c r="A18" s="353" t="s">
        <v>53</v>
      </c>
      <c r="B18" s="476">
        <v>739.7</v>
      </c>
      <c r="C18" s="477">
        <f>B18*0.8</f>
        <v>591.7600000000001</v>
      </c>
      <c r="D18" s="478">
        <v>23.881500000000003</v>
      </c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>
        <v>591.76</v>
      </c>
      <c r="P18" s="484"/>
      <c r="Q18" s="484"/>
      <c r="R18" s="484"/>
      <c r="S18" s="485"/>
      <c r="T18" s="495"/>
      <c r="U18" s="495">
        <f t="shared" si="0"/>
        <v>591.76</v>
      </c>
      <c r="V18" s="496">
        <f t="shared" si="0"/>
        <v>0</v>
      </c>
      <c r="W18" s="484">
        <v>0</v>
      </c>
      <c r="X18" s="484">
        <v>0</v>
      </c>
      <c r="Y18" s="484">
        <v>0</v>
      </c>
      <c r="Z18" s="484">
        <v>0</v>
      </c>
      <c r="AA18" s="484">
        <v>0</v>
      </c>
      <c r="AB18" s="484">
        <v>346.53</v>
      </c>
      <c r="AC18" s="484"/>
      <c r="AD18" s="484"/>
      <c r="AE18" s="485"/>
      <c r="AF18" s="486">
        <f t="shared" si="7"/>
        <v>346.53</v>
      </c>
      <c r="AG18" s="487">
        <f t="shared" si="6"/>
        <v>370.4115</v>
      </c>
      <c r="AH18" s="488">
        <f t="shared" si="1"/>
        <v>0</v>
      </c>
      <c r="AI18" s="488">
        <f t="shared" si="1"/>
        <v>0</v>
      </c>
      <c r="AJ18" s="489"/>
      <c r="AK18" s="106">
        <f t="shared" si="2"/>
        <v>495.59900000000005</v>
      </c>
      <c r="AL18" s="106">
        <f t="shared" si="3"/>
        <v>147.94000000000003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106"/>
      <c r="AT18" s="491"/>
      <c r="AU18" s="492"/>
      <c r="AV18" s="492"/>
      <c r="AW18" s="492"/>
      <c r="AX18" s="492"/>
      <c r="AY18" s="492"/>
      <c r="AZ18" s="106"/>
      <c r="BA18" s="491"/>
      <c r="BB18" s="491"/>
      <c r="BC18" s="493">
        <f>SUM(AK18:BB18)</f>
        <v>643.5390000000001</v>
      </c>
      <c r="BD18" s="494"/>
      <c r="BE18" s="165">
        <f t="shared" si="5"/>
        <v>643.5390000000001</v>
      </c>
      <c r="BF18" s="165">
        <f>AG18-BE18</f>
        <v>-273.1275000000001</v>
      </c>
      <c r="BG18" s="165">
        <f t="shared" si="4"/>
        <v>-245.23000000000002</v>
      </c>
      <c r="BH18" s="364"/>
      <c r="BI18" s="365"/>
      <c r="BJ18" s="365"/>
      <c r="BK18" s="365"/>
      <c r="BL18" s="365"/>
      <c r="BM18" s="365"/>
      <c r="BN18" s="365"/>
      <c r="BO18" s="366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7"/>
      <c r="CD18" s="367"/>
      <c r="CE18" s="368"/>
      <c r="CF18" s="165"/>
      <c r="CG18" s="116"/>
      <c r="CH18" s="165"/>
      <c r="CI18" s="165"/>
      <c r="CJ18" s="165"/>
      <c r="CK18" s="165"/>
      <c r="CL18" s="165"/>
      <c r="CM18" s="165"/>
      <c r="CN18" s="165"/>
      <c r="CO18" s="116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16"/>
      <c r="DL18" s="116"/>
      <c r="DM18" s="116"/>
      <c r="DN18" s="116"/>
      <c r="DO18" s="116"/>
      <c r="DP18" s="116"/>
      <c r="DQ18" s="165"/>
      <c r="DR18" s="165"/>
      <c r="DS18" s="165"/>
      <c r="DT18" s="165"/>
      <c r="DU18" s="165"/>
      <c r="DV18" s="364"/>
      <c r="DW18" s="364"/>
      <c r="DX18" s="151"/>
      <c r="DY18" s="406"/>
      <c r="DZ18" s="69"/>
    </row>
    <row r="19" spans="1:128" ht="12.75">
      <c r="A19" s="353" t="s">
        <v>41</v>
      </c>
      <c r="B19" s="476">
        <v>739.7</v>
      </c>
      <c r="C19" s="477">
        <f>B19*0.8</f>
        <v>591.7600000000001</v>
      </c>
      <c r="D19" s="497">
        <v>23.881500000000003</v>
      </c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>
        <v>591.76</v>
      </c>
      <c r="P19" s="498"/>
      <c r="Q19" s="498"/>
      <c r="R19" s="498"/>
      <c r="S19" s="481"/>
      <c r="T19" s="499"/>
      <c r="U19" s="500">
        <f t="shared" si="0"/>
        <v>591.76</v>
      </c>
      <c r="V19" s="501">
        <f t="shared" si="0"/>
        <v>0</v>
      </c>
      <c r="W19" s="498">
        <v>0</v>
      </c>
      <c r="X19" s="498">
        <v>0</v>
      </c>
      <c r="Y19" s="498">
        <v>0</v>
      </c>
      <c r="Z19" s="498">
        <v>0</v>
      </c>
      <c r="AA19" s="498">
        <v>0</v>
      </c>
      <c r="AB19" s="498">
        <v>327</v>
      </c>
      <c r="AC19" s="498"/>
      <c r="AD19" s="498"/>
      <c r="AE19" s="481"/>
      <c r="AF19" s="486">
        <f t="shared" si="7"/>
        <v>327</v>
      </c>
      <c r="AG19" s="487">
        <f t="shared" si="6"/>
        <v>350.8815</v>
      </c>
      <c r="AH19" s="488">
        <f t="shared" si="1"/>
        <v>0</v>
      </c>
      <c r="AI19" s="488">
        <f t="shared" si="1"/>
        <v>0</v>
      </c>
      <c r="AJ19" s="489"/>
      <c r="AK19" s="106">
        <f t="shared" si="2"/>
        <v>495.59900000000005</v>
      </c>
      <c r="AL19" s="106">
        <f t="shared" si="3"/>
        <v>147.94000000000003</v>
      </c>
      <c r="AM19" s="490">
        <v>0</v>
      </c>
      <c r="AN19" s="490">
        <v>0</v>
      </c>
      <c r="AO19" s="490">
        <v>0</v>
      </c>
      <c r="AP19" s="490">
        <v>0</v>
      </c>
      <c r="AQ19" s="490">
        <v>0</v>
      </c>
      <c r="AR19" s="490">
        <v>0</v>
      </c>
      <c r="AS19" s="490">
        <v>0</v>
      </c>
      <c r="AT19" s="491"/>
      <c r="AU19" s="492"/>
      <c r="AV19" s="492"/>
      <c r="AW19" s="492"/>
      <c r="AX19" s="492"/>
      <c r="AY19" s="492"/>
      <c r="AZ19" s="106"/>
      <c r="BA19" s="491"/>
      <c r="BB19" s="491"/>
      <c r="BC19" s="493">
        <f>SUM(AK19:BB19)</f>
        <v>643.5390000000001</v>
      </c>
      <c r="BD19" s="494"/>
      <c r="BE19" s="165">
        <f t="shared" si="5"/>
        <v>643.5390000000001</v>
      </c>
      <c r="BF19" s="165">
        <f>AG19-BE19</f>
        <v>-292.6575000000001</v>
      </c>
      <c r="BG19" s="165">
        <f t="shared" si="4"/>
        <v>-264.76</v>
      </c>
      <c r="BH19" s="364"/>
      <c r="BI19" s="365"/>
      <c r="BJ19" s="365"/>
      <c r="BK19" s="365"/>
      <c r="BL19" s="365"/>
      <c r="BM19" s="365"/>
      <c r="BN19" s="365"/>
      <c r="BO19" s="366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7"/>
      <c r="CD19" s="367"/>
      <c r="CE19" s="368"/>
      <c r="CF19" s="165"/>
      <c r="CG19" s="116"/>
      <c r="CH19" s="165"/>
      <c r="CI19" s="165"/>
      <c r="CJ19" s="165"/>
      <c r="CK19" s="165"/>
      <c r="CL19" s="165"/>
      <c r="CM19" s="165"/>
      <c r="CN19" s="165"/>
      <c r="CO19" s="116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16"/>
      <c r="DM19" s="116"/>
      <c r="DN19" s="116"/>
      <c r="DO19" s="116"/>
      <c r="DP19" s="116"/>
      <c r="DQ19" s="116"/>
      <c r="DR19" s="165"/>
      <c r="DS19" s="165"/>
      <c r="DT19" s="165"/>
      <c r="DU19" s="165"/>
      <c r="DV19" s="165"/>
      <c r="DW19" s="364"/>
      <c r="DX19" s="407"/>
    </row>
    <row r="20" spans="1:127" ht="12.75">
      <c r="A20" s="353" t="s">
        <v>42</v>
      </c>
      <c r="B20" s="476">
        <v>739.7</v>
      </c>
      <c r="C20" s="477">
        <f>B20*0.8</f>
        <v>591.7600000000001</v>
      </c>
      <c r="D20" s="497">
        <v>23.881500000000003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>
        <v>591.76</v>
      </c>
      <c r="P20" s="498"/>
      <c r="Q20" s="498"/>
      <c r="R20" s="498"/>
      <c r="S20" s="481"/>
      <c r="T20" s="499"/>
      <c r="U20" s="500">
        <f t="shared" si="0"/>
        <v>591.76</v>
      </c>
      <c r="V20" s="501">
        <f t="shared" si="0"/>
        <v>0</v>
      </c>
      <c r="W20" s="498">
        <v>0</v>
      </c>
      <c r="X20" s="498">
        <v>0</v>
      </c>
      <c r="Y20" s="498">
        <v>0</v>
      </c>
      <c r="Z20" s="498">
        <v>0</v>
      </c>
      <c r="AA20" s="498">
        <v>0</v>
      </c>
      <c r="AB20" s="498">
        <v>398.43</v>
      </c>
      <c r="AC20" s="498"/>
      <c r="AD20" s="498"/>
      <c r="AE20" s="481"/>
      <c r="AF20" s="486">
        <f t="shared" si="7"/>
        <v>398.43</v>
      </c>
      <c r="AG20" s="487">
        <f t="shared" si="6"/>
        <v>422.3115</v>
      </c>
      <c r="AH20" s="488">
        <f t="shared" si="1"/>
        <v>0</v>
      </c>
      <c r="AI20" s="488">
        <f t="shared" si="1"/>
        <v>0</v>
      </c>
      <c r="AJ20" s="489"/>
      <c r="AK20" s="106">
        <f t="shared" si="2"/>
        <v>495.59900000000005</v>
      </c>
      <c r="AL20" s="106">
        <f t="shared" si="3"/>
        <v>147.94000000000003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1"/>
      <c r="AU20" s="492"/>
      <c r="AV20" s="492"/>
      <c r="AW20" s="492"/>
      <c r="AX20" s="492"/>
      <c r="AY20" s="492"/>
      <c r="AZ20" s="106"/>
      <c r="BA20" s="491"/>
      <c r="BB20" s="491"/>
      <c r="BC20" s="493">
        <f>SUM(AK20:BB20)</f>
        <v>643.5390000000001</v>
      </c>
      <c r="BD20" s="494"/>
      <c r="BE20" s="165">
        <f t="shared" si="5"/>
        <v>643.5390000000001</v>
      </c>
      <c r="BF20" s="165">
        <f>AG20-BE20</f>
        <v>-221.22750000000008</v>
      </c>
      <c r="BG20" s="165">
        <f t="shared" si="4"/>
        <v>-193.32999999999998</v>
      </c>
      <c r="BH20" s="364"/>
      <c r="BI20" s="365"/>
      <c r="BJ20" s="365"/>
      <c r="BK20" s="365"/>
      <c r="BL20" s="365"/>
      <c r="BM20" s="365"/>
      <c r="BN20" s="365"/>
      <c r="BO20" s="366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7"/>
      <c r="CD20" s="367"/>
      <c r="CE20" s="368"/>
      <c r="CF20" s="165"/>
      <c r="CG20" s="116"/>
      <c r="CH20" s="165"/>
      <c r="CI20" s="165"/>
      <c r="CJ20" s="165"/>
      <c r="CK20" s="165"/>
      <c r="CL20" s="165"/>
      <c r="CM20" s="165"/>
      <c r="CN20" s="165"/>
      <c r="CO20" s="116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16"/>
      <c r="DL20" s="116"/>
      <c r="DM20" s="116"/>
      <c r="DN20" s="116"/>
      <c r="DO20" s="116"/>
      <c r="DP20" s="116"/>
      <c r="DQ20" s="165"/>
      <c r="DR20" s="165"/>
      <c r="DS20" s="165"/>
      <c r="DT20" s="165"/>
      <c r="DU20" s="165"/>
      <c r="DV20" s="408"/>
      <c r="DW20" s="407"/>
    </row>
    <row r="21" spans="1:127" ht="13.5" thickBot="1">
      <c r="A21" s="353" t="s">
        <v>43</v>
      </c>
      <c r="B21" s="476">
        <v>739.7</v>
      </c>
      <c r="C21" s="477">
        <f>B21*0.8</f>
        <v>591.7600000000001</v>
      </c>
      <c r="D21" s="497">
        <v>23.881500000000003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>
        <v>591.76</v>
      </c>
      <c r="P21" s="502"/>
      <c r="Q21" s="502"/>
      <c r="R21" s="502"/>
      <c r="S21" s="503"/>
      <c r="T21" s="504"/>
      <c r="U21" s="500">
        <f t="shared" si="0"/>
        <v>591.76</v>
      </c>
      <c r="V21" s="501">
        <f t="shared" si="0"/>
        <v>0</v>
      </c>
      <c r="W21" s="498">
        <v>0</v>
      </c>
      <c r="X21" s="498">
        <v>0</v>
      </c>
      <c r="Y21" s="498">
        <v>0</v>
      </c>
      <c r="Z21" s="498">
        <v>0</v>
      </c>
      <c r="AA21" s="498">
        <v>0</v>
      </c>
      <c r="AB21" s="498">
        <v>397.06</v>
      </c>
      <c r="AC21" s="498"/>
      <c r="AD21" s="498"/>
      <c r="AE21" s="481"/>
      <c r="AF21" s="486">
        <f t="shared" si="7"/>
        <v>397.06</v>
      </c>
      <c r="AG21" s="487">
        <f t="shared" si="6"/>
        <v>420.9415</v>
      </c>
      <c r="AH21" s="488">
        <f t="shared" si="1"/>
        <v>0</v>
      </c>
      <c r="AI21" s="488">
        <f t="shared" si="1"/>
        <v>0</v>
      </c>
      <c r="AJ21" s="489"/>
      <c r="AK21" s="106">
        <f t="shared" si="2"/>
        <v>495.59900000000005</v>
      </c>
      <c r="AL21" s="106">
        <f t="shared" si="3"/>
        <v>147.94000000000003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1"/>
      <c r="AU21" s="492"/>
      <c r="AV21" s="492"/>
      <c r="AW21" s="492"/>
      <c r="AX21" s="492"/>
      <c r="AY21" s="492"/>
      <c r="AZ21" s="106"/>
      <c r="BA21" s="491"/>
      <c r="BB21" s="491"/>
      <c r="BC21" s="493">
        <f>SUM(AK21:BB21)</f>
        <v>643.5390000000001</v>
      </c>
      <c r="BD21" s="494"/>
      <c r="BE21" s="165">
        <f t="shared" si="5"/>
        <v>643.5390000000001</v>
      </c>
      <c r="BF21" s="165">
        <f>AG21-BE21</f>
        <v>-222.59750000000008</v>
      </c>
      <c r="BG21" s="165">
        <f t="shared" si="4"/>
        <v>-194.7</v>
      </c>
      <c r="BH21" s="364"/>
      <c r="BI21" s="365"/>
      <c r="BJ21" s="365"/>
      <c r="BK21" s="365"/>
      <c r="BL21" s="365"/>
      <c r="BM21" s="365"/>
      <c r="BN21" s="365"/>
      <c r="BO21" s="366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7"/>
      <c r="CD21" s="367"/>
      <c r="CE21" s="368"/>
      <c r="CF21" s="165"/>
      <c r="CG21" s="116"/>
      <c r="CH21" s="165"/>
      <c r="CI21" s="165"/>
      <c r="CJ21" s="165"/>
      <c r="CK21" s="165"/>
      <c r="CL21" s="165"/>
      <c r="CM21" s="165"/>
      <c r="CN21" s="165"/>
      <c r="CO21" s="116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16"/>
      <c r="DL21" s="116"/>
      <c r="DM21" s="116"/>
      <c r="DN21" s="116"/>
      <c r="DO21" s="116"/>
      <c r="DP21" s="116"/>
      <c r="DQ21" s="165"/>
      <c r="DR21" s="165"/>
      <c r="DS21" s="165"/>
      <c r="DT21" s="165"/>
      <c r="DU21" s="165"/>
      <c r="DV21" s="408"/>
      <c r="DW21" s="407"/>
    </row>
    <row r="22" spans="1:82" s="20" customFormat="1" ht="13.5" thickBot="1">
      <c r="A22" s="409" t="s">
        <v>5</v>
      </c>
      <c r="B22" s="410"/>
      <c r="C22" s="410">
        <f aca="true" t="shared" si="8" ref="C22:AX22">SUM(C10:C21)</f>
        <v>7101.120000000002</v>
      </c>
      <c r="D22" s="410">
        <f t="shared" si="8"/>
        <v>336.26540000000006</v>
      </c>
      <c r="E22" s="410">
        <f t="shared" si="8"/>
        <v>-2.42</v>
      </c>
      <c r="F22" s="410">
        <f t="shared" si="8"/>
        <v>0</v>
      </c>
      <c r="G22" s="410">
        <f t="shared" si="8"/>
        <v>-19</v>
      </c>
      <c r="H22" s="410">
        <f t="shared" si="8"/>
        <v>0</v>
      </c>
      <c r="I22" s="410">
        <f t="shared" si="8"/>
        <v>-0.88</v>
      </c>
      <c r="J22" s="410">
        <f t="shared" si="8"/>
        <v>0</v>
      </c>
      <c r="K22" s="410">
        <f t="shared" si="8"/>
        <v>-5.48</v>
      </c>
      <c r="L22" s="410">
        <f t="shared" si="8"/>
        <v>0</v>
      </c>
      <c r="M22" s="410">
        <f t="shared" si="8"/>
        <v>-7.9</v>
      </c>
      <c r="N22" s="410">
        <f t="shared" si="8"/>
        <v>0</v>
      </c>
      <c r="O22" s="410">
        <f t="shared" si="8"/>
        <v>6728.570000000001</v>
      </c>
      <c r="P22" s="410">
        <f t="shared" si="8"/>
        <v>0</v>
      </c>
      <c r="Q22" s="410">
        <f t="shared" si="8"/>
        <v>0</v>
      </c>
      <c r="R22" s="410">
        <f t="shared" si="8"/>
        <v>0</v>
      </c>
      <c r="S22" s="410">
        <f t="shared" si="8"/>
        <v>0</v>
      </c>
      <c r="T22" s="410">
        <f t="shared" si="8"/>
        <v>0</v>
      </c>
      <c r="U22" s="410">
        <f t="shared" si="8"/>
        <v>6692.890000000001</v>
      </c>
      <c r="V22" s="410">
        <f t="shared" si="8"/>
        <v>0</v>
      </c>
      <c r="W22" s="410">
        <f t="shared" si="8"/>
        <v>176.57000000000002</v>
      </c>
      <c r="X22" s="410">
        <f t="shared" si="8"/>
        <v>0</v>
      </c>
      <c r="Y22" s="410">
        <f t="shared" si="8"/>
        <v>64</v>
      </c>
      <c r="Z22" s="410">
        <f t="shared" si="8"/>
        <v>397.27000000000004</v>
      </c>
      <c r="AA22" s="410">
        <f t="shared" si="8"/>
        <v>573.8399999999999</v>
      </c>
      <c r="AB22" s="410">
        <f t="shared" si="8"/>
        <v>7683.780000000002</v>
      </c>
      <c r="AC22" s="410">
        <f t="shared" si="8"/>
        <v>0</v>
      </c>
      <c r="AD22" s="410">
        <f t="shared" si="8"/>
        <v>0</v>
      </c>
      <c r="AE22" s="410">
        <f t="shared" si="8"/>
        <v>0</v>
      </c>
      <c r="AF22" s="410">
        <f t="shared" si="8"/>
        <v>8895.46</v>
      </c>
      <c r="AG22" s="410">
        <f t="shared" si="8"/>
        <v>9231.7254</v>
      </c>
      <c r="AH22" s="410">
        <f t="shared" si="8"/>
        <v>0</v>
      </c>
      <c r="AI22" s="410">
        <f t="shared" si="8"/>
        <v>0</v>
      </c>
      <c r="AJ22" s="410">
        <f t="shared" si="8"/>
        <v>0</v>
      </c>
      <c r="AK22" s="410">
        <f t="shared" si="8"/>
        <v>5947.188000000001</v>
      </c>
      <c r="AL22" s="410">
        <f t="shared" si="8"/>
        <v>1775.2800000000004</v>
      </c>
      <c r="AM22" s="410">
        <f t="shared" si="8"/>
        <v>0</v>
      </c>
      <c r="AN22" s="410">
        <f t="shared" si="8"/>
        <v>0</v>
      </c>
      <c r="AO22" s="410">
        <f t="shared" si="8"/>
        <v>0</v>
      </c>
      <c r="AP22" s="410">
        <f t="shared" si="8"/>
        <v>0</v>
      </c>
      <c r="AQ22" s="410">
        <f t="shared" si="8"/>
        <v>0</v>
      </c>
      <c r="AR22" s="410">
        <f t="shared" si="8"/>
        <v>0</v>
      </c>
      <c r="AS22" s="410">
        <f t="shared" si="8"/>
        <v>0</v>
      </c>
      <c r="AT22" s="410">
        <f t="shared" si="8"/>
        <v>0</v>
      </c>
      <c r="AU22" s="410">
        <f t="shared" si="8"/>
        <v>0</v>
      </c>
      <c r="AV22" s="410">
        <f t="shared" si="8"/>
        <v>0</v>
      </c>
      <c r="AW22" s="410">
        <f t="shared" si="8"/>
        <v>0</v>
      </c>
      <c r="AX22" s="410">
        <f t="shared" si="8"/>
        <v>90</v>
      </c>
      <c r="AY22" s="410">
        <f>SUM(BD10:BD21)</f>
        <v>0</v>
      </c>
      <c r="AZ22" s="410">
        <f>SUM(BB10:BB21)</f>
        <v>0</v>
      </c>
      <c r="BA22" s="410">
        <f>SUM(BB10:BB21)</f>
        <v>0</v>
      </c>
      <c r="BB22" s="410">
        <f>SUM(BB10:BB21)</f>
        <v>0</v>
      </c>
      <c r="BC22" s="410">
        <f>SUM(BC10:BC21)</f>
        <v>13936.728000000005</v>
      </c>
      <c r="BD22" s="410">
        <f>SUM(BD10:BD21)</f>
        <v>0</v>
      </c>
      <c r="BE22" s="410">
        <f>SUM(BE10:BE21)</f>
        <v>13936.728000000005</v>
      </c>
      <c r="BF22" s="410">
        <f>SUM(BF10:BF21)</f>
        <v>-4705.002600000002</v>
      </c>
      <c r="BG22" s="410">
        <f>SUM(BG10:BG21)</f>
        <v>2202.569999999999</v>
      </c>
      <c r="BH22" s="411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68"/>
      <c r="CD22" s="68"/>
    </row>
    <row r="23" spans="1:61" s="20" customFormat="1" ht="13.5" thickBot="1">
      <c r="A23" s="413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5"/>
      <c r="BF23" s="414"/>
      <c r="BG23" s="416"/>
      <c r="BI23" s="68"/>
    </row>
    <row r="24" spans="1:59" s="20" customFormat="1" ht="13.5" thickBot="1">
      <c r="A24" s="22" t="s">
        <v>54</v>
      </c>
      <c r="B24" s="414"/>
      <c r="C24" s="417">
        <f aca="true" t="shared" si="9" ref="C24:L24">C22+C8</f>
        <v>51973.465000000004</v>
      </c>
      <c r="D24" s="417">
        <f t="shared" si="9"/>
        <v>6526.908878550003</v>
      </c>
      <c r="E24" s="417">
        <f t="shared" si="9"/>
        <v>2883.7799999999997</v>
      </c>
      <c r="F24" s="417">
        <f t="shared" si="9"/>
        <v>206.2</v>
      </c>
      <c r="G24" s="417">
        <f t="shared" si="9"/>
        <v>-19</v>
      </c>
      <c r="H24" s="417">
        <f t="shared" si="9"/>
        <v>0</v>
      </c>
      <c r="I24" s="417">
        <f t="shared" si="9"/>
        <v>1051.02</v>
      </c>
      <c r="J24" s="417">
        <f t="shared" si="9"/>
        <v>74.75</v>
      </c>
      <c r="K24" s="417">
        <f t="shared" si="9"/>
        <v>6488.57</v>
      </c>
      <c r="L24" s="417">
        <f t="shared" si="9"/>
        <v>463.95000000000005</v>
      </c>
      <c r="M24" s="417" t="e">
        <f>#REF!</f>
        <v>#REF!</v>
      </c>
      <c r="N24" s="417">
        <f aca="true" t="shared" si="10" ref="N24:BG24">N22+N8</f>
        <v>670.1500000000001</v>
      </c>
      <c r="O24" s="417">
        <f t="shared" si="10"/>
        <v>21287.29</v>
      </c>
      <c r="P24" s="417">
        <f t="shared" si="10"/>
        <v>933.8299999999999</v>
      </c>
      <c r="Q24" s="417">
        <f t="shared" si="10"/>
        <v>0</v>
      </c>
      <c r="R24" s="417">
        <f t="shared" si="10"/>
        <v>0</v>
      </c>
      <c r="S24" s="417">
        <f t="shared" si="10"/>
        <v>0</v>
      </c>
      <c r="T24" s="417">
        <f t="shared" si="10"/>
        <v>0</v>
      </c>
      <c r="U24" s="417">
        <f t="shared" si="10"/>
        <v>41063.96</v>
      </c>
      <c r="V24" s="417">
        <f t="shared" si="10"/>
        <v>2348.8799999999997</v>
      </c>
      <c r="W24" s="417">
        <f t="shared" si="10"/>
        <v>1727.8</v>
      </c>
      <c r="X24" s="417">
        <f t="shared" si="10"/>
        <v>0</v>
      </c>
      <c r="Y24" s="417">
        <f t="shared" si="10"/>
        <v>564.6</v>
      </c>
      <c r="Z24" s="417">
        <f t="shared" si="10"/>
        <v>3887.5899999999997</v>
      </c>
      <c r="AA24" s="417">
        <f t="shared" si="10"/>
        <v>5615.37</v>
      </c>
      <c r="AB24" s="417">
        <f t="shared" si="10"/>
        <v>17916.68</v>
      </c>
      <c r="AC24" s="417">
        <f t="shared" si="10"/>
        <v>0</v>
      </c>
      <c r="AD24" s="417">
        <f t="shared" si="10"/>
        <v>0</v>
      </c>
      <c r="AE24" s="417">
        <f t="shared" si="10"/>
        <v>0</v>
      </c>
      <c r="AF24" s="417">
        <f t="shared" si="10"/>
        <v>29712.04</v>
      </c>
      <c r="AG24" s="417">
        <f t="shared" si="10"/>
        <v>38587.828878550004</v>
      </c>
      <c r="AH24" s="417">
        <f t="shared" si="10"/>
        <v>0</v>
      </c>
      <c r="AI24" s="417">
        <f t="shared" si="10"/>
        <v>0</v>
      </c>
      <c r="AJ24" s="417">
        <f t="shared" si="10"/>
        <v>0</v>
      </c>
      <c r="AK24" s="417">
        <f t="shared" si="10"/>
        <v>17743.440000000002</v>
      </c>
      <c r="AL24" s="417">
        <f t="shared" si="10"/>
        <v>5727.922112400001</v>
      </c>
      <c r="AM24" s="417">
        <f t="shared" si="10"/>
        <v>4142.12664347</v>
      </c>
      <c r="AN24" s="417">
        <f t="shared" si="10"/>
        <v>0</v>
      </c>
      <c r="AO24" s="417">
        <f t="shared" si="10"/>
        <v>4441.1808136492</v>
      </c>
      <c r="AP24" s="417">
        <f t="shared" si="10"/>
        <v>9021.5156456898</v>
      </c>
      <c r="AQ24" s="417">
        <f t="shared" si="10"/>
        <v>0</v>
      </c>
      <c r="AR24" s="417">
        <f t="shared" si="10"/>
        <v>0</v>
      </c>
      <c r="AS24" s="417">
        <f t="shared" si="10"/>
        <v>0</v>
      </c>
      <c r="AT24" s="417">
        <f t="shared" si="10"/>
        <v>0</v>
      </c>
      <c r="AU24" s="417">
        <f t="shared" si="10"/>
        <v>0</v>
      </c>
      <c r="AV24" s="417">
        <f t="shared" si="10"/>
        <v>0</v>
      </c>
      <c r="AW24" s="418">
        <f t="shared" si="10"/>
        <v>547.8</v>
      </c>
      <c r="AX24" s="418">
        <f t="shared" si="10"/>
        <v>90</v>
      </c>
      <c r="AY24" s="418">
        <f t="shared" si="10"/>
        <v>3592.5119999999997</v>
      </c>
      <c r="AZ24" s="418">
        <f t="shared" si="10"/>
        <v>0</v>
      </c>
      <c r="BA24" s="418">
        <f t="shared" si="10"/>
        <v>0</v>
      </c>
      <c r="BB24" s="418">
        <f t="shared" si="10"/>
        <v>0</v>
      </c>
      <c r="BC24" s="418">
        <f t="shared" si="10"/>
        <v>51430.757215209</v>
      </c>
      <c r="BD24" s="418">
        <f t="shared" si="10"/>
        <v>0</v>
      </c>
      <c r="BE24" s="418">
        <f t="shared" si="10"/>
        <v>51430.757215209</v>
      </c>
      <c r="BF24" s="418">
        <f>BF22+BF8</f>
        <v>-12842.928336658999</v>
      </c>
      <c r="BG24" s="418">
        <f t="shared" si="10"/>
        <v>-11351.920000000002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7">
      <selection activeCell="G10" sqref="G10"/>
    </sheetView>
  </sheetViews>
  <sheetFormatPr defaultColWidth="9.00390625" defaultRowHeight="12.75"/>
  <cols>
    <col min="1" max="1" width="10.00390625" style="272" customWidth="1"/>
    <col min="2" max="2" width="10.625" style="272" customWidth="1"/>
    <col min="3" max="3" width="11.875" style="272" customWidth="1"/>
    <col min="4" max="4" width="9.25390625" style="272" customWidth="1"/>
    <col min="5" max="5" width="10.875" style="272" customWidth="1"/>
    <col min="6" max="6" width="11.75390625" style="272" customWidth="1"/>
    <col min="7" max="7" width="11.00390625" style="272" customWidth="1"/>
    <col min="8" max="8" width="11.25390625" style="272" customWidth="1"/>
    <col min="9" max="9" width="10.625" style="272" customWidth="1"/>
    <col min="10" max="10" width="9.25390625" style="272" customWidth="1"/>
    <col min="11" max="11" width="11.25390625" style="272" customWidth="1"/>
    <col min="12" max="12" width="9.625" style="272" customWidth="1"/>
    <col min="13" max="13" width="11.25390625" style="272" customWidth="1"/>
    <col min="14" max="14" width="11.625" style="272" customWidth="1"/>
    <col min="15" max="15" width="13.625" style="272" customWidth="1"/>
    <col min="16" max="16384" width="9.125" style="272" customWidth="1"/>
  </cols>
  <sheetData>
    <row r="1" spans="2:8" ht="20.25" customHeight="1">
      <c r="B1" s="231" t="s">
        <v>55</v>
      </c>
      <c r="C1" s="231"/>
      <c r="D1" s="231"/>
      <c r="E1" s="231"/>
      <c r="F1" s="231"/>
      <c r="G1" s="231"/>
      <c r="H1" s="231"/>
    </row>
    <row r="2" spans="2:11" ht="21" customHeight="1">
      <c r="B2" s="231" t="s">
        <v>56</v>
      </c>
      <c r="C2" s="231"/>
      <c r="D2" s="231"/>
      <c r="E2" s="231"/>
      <c r="F2" s="231"/>
      <c r="G2" s="231"/>
      <c r="H2" s="231"/>
      <c r="J2" s="271"/>
      <c r="K2" s="271"/>
    </row>
    <row r="5" spans="1:12" ht="12.75">
      <c r="A5" s="233" t="s">
        <v>121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ht="12.75">
      <c r="A6" s="234" t="s">
        <v>117</v>
      </c>
      <c r="B6" s="234"/>
      <c r="C6" s="234"/>
      <c r="D6" s="234"/>
      <c r="E6" s="234"/>
      <c r="F6" s="234"/>
      <c r="G6" s="234"/>
      <c r="H6" s="91"/>
      <c r="I6" s="91"/>
      <c r="J6" s="91"/>
      <c r="K6" s="91"/>
      <c r="L6" s="91"/>
    </row>
    <row r="7" spans="1:13" ht="13.5" thickBot="1">
      <c r="A7" s="419" t="s">
        <v>57</v>
      </c>
      <c r="B7" s="419"/>
      <c r="C7" s="419"/>
      <c r="D7" s="419"/>
      <c r="E7" s="420">
        <v>0.8</v>
      </c>
      <c r="F7" s="419"/>
      <c r="I7" s="421"/>
      <c r="J7" s="421"/>
      <c r="K7" s="421"/>
      <c r="L7" s="421"/>
      <c r="M7" s="421"/>
    </row>
    <row r="8" spans="1:15" ht="12.75" customHeight="1">
      <c r="A8" s="180" t="s">
        <v>58</v>
      </c>
      <c r="B8" s="262" t="s">
        <v>1</v>
      </c>
      <c r="C8" s="265" t="s">
        <v>122</v>
      </c>
      <c r="D8" s="268" t="s">
        <v>3</v>
      </c>
      <c r="E8" s="246" t="s">
        <v>60</v>
      </c>
      <c r="F8" s="247"/>
      <c r="G8" s="250" t="s">
        <v>61</v>
      </c>
      <c r="H8" s="251"/>
      <c r="I8" s="422" t="s">
        <v>10</v>
      </c>
      <c r="J8" s="423"/>
      <c r="K8" s="423"/>
      <c r="L8" s="423"/>
      <c r="M8" s="424"/>
      <c r="N8" s="425" t="s">
        <v>62</v>
      </c>
      <c r="O8" s="425" t="s">
        <v>12</v>
      </c>
    </row>
    <row r="9" spans="1:15" ht="12.75">
      <c r="A9" s="181"/>
      <c r="B9" s="263"/>
      <c r="C9" s="266"/>
      <c r="D9" s="269"/>
      <c r="E9" s="248"/>
      <c r="F9" s="249"/>
      <c r="G9" s="252"/>
      <c r="H9" s="253"/>
      <c r="I9" s="426"/>
      <c r="J9" s="427"/>
      <c r="K9" s="427"/>
      <c r="L9" s="427"/>
      <c r="M9" s="428"/>
      <c r="N9" s="429"/>
      <c r="O9" s="429"/>
    </row>
    <row r="10" spans="1:15" ht="26.25" customHeight="1">
      <c r="A10" s="181"/>
      <c r="B10" s="263"/>
      <c r="C10" s="266"/>
      <c r="D10" s="269"/>
      <c r="E10" s="238" t="s">
        <v>63</v>
      </c>
      <c r="F10" s="239"/>
      <c r="G10" s="81" t="s">
        <v>64</v>
      </c>
      <c r="H10" s="240" t="s">
        <v>7</v>
      </c>
      <c r="I10" s="242" t="s">
        <v>65</v>
      </c>
      <c r="J10" s="244" t="s">
        <v>118</v>
      </c>
      <c r="K10" s="244" t="s">
        <v>66</v>
      </c>
      <c r="L10" s="244" t="s">
        <v>37</v>
      </c>
      <c r="M10" s="241" t="s">
        <v>39</v>
      </c>
      <c r="N10" s="429"/>
      <c r="O10" s="429"/>
    </row>
    <row r="11" spans="1:15" ht="66.75" customHeight="1" thickBot="1">
      <c r="A11" s="261"/>
      <c r="B11" s="264"/>
      <c r="C11" s="267"/>
      <c r="D11" s="270"/>
      <c r="E11" s="60" t="s">
        <v>68</v>
      </c>
      <c r="F11" s="63" t="s">
        <v>21</v>
      </c>
      <c r="G11" s="78" t="s">
        <v>69</v>
      </c>
      <c r="H11" s="241"/>
      <c r="I11" s="243"/>
      <c r="J11" s="245"/>
      <c r="K11" s="245"/>
      <c r="L11" s="245"/>
      <c r="M11" s="430"/>
      <c r="N11" s="431"/>
      <c r="O11" s="431"/>
    </row>
    <row r="12" spans="1:15" ht="13.5" thickBot="1">
      <c r="A12" s="432">
        <v>1</v>
      </c>
      <c r="B12" s="433">
        <v>2</v>
      </c>
      <c r="C12" s="432">
        <v>3</v>
      </c>
      <c r="D12" s="433">
        <v>4</v>
      </c>
      <c r="E12" s="432">
        <v>5</v>
      </c>
      <c r="F12" s="433">
        <v>6</v>
      </c>
      <c r="G12" s="433">
        <v>7</v>
      </c>
      <c r="H12" s="432">
        <v>8</v>
      </c>
      <c r="I12" s="433">
        <v>9</v>
      </c>
      <c r="J12" s="433">
        <v>10</v>
      </c>
      <c r="K12" s="432">
        <v>11</v>
      </c>
      <c r="L12" s="433">
        <v>12</v>
      </c>
      <c r="M12" s="433">
        <v>13</v>
      </c>
      <c r="N12" s="432">
        <v>14</v>
      </c>
      <c r="O12" s="433">
        <v>15</v>
      </c>
    </row>
    <row r="13" spans="1:15" ht="13.5" thickBot="1">
      <c r="A13" s="61" t="s">
        <v>5</v>
      </c>
      <c r="B13" s="434"/>
      <c r="C13" s="434">
        <f>'2011 полн'!C8</f>
        <v>44872.345</v>
      </c>
      <c r="D13" s="434">
        <f>'2011 полн'!D8</f>
        <v>6190.643478550002</v>
      </c>
      <c r="E13" s="434">
        <f>'2011 полн'!U8</f>
        <v>34371.07</v>
      </c>
      <c r="F13" s="434">
        <f>'2011 полн'!V8</f>
        <v>2348.8799999999997</v>
      </c>
      <c r="G13" s="434">
        <f>'2011 полн'!AF8</f>
        <v>20816.58</v>
      </c>
      <c r="H13" s="434">
        <f>'2011 полн'!AG8</f>
        <v>29356.10347855001</v>
      </c>
      <c r="I13" s="434">
        <f>'2011 полн'!AK8</f>
        <v>11796.252</v>
      </c>
      <c r="J13" s="434">
        <f>'2011 полн'!AL8</f>
        <v>3952.6421124000008</v>
      </c>
      <c r="K13" s="434">
        <f>'2011 полн'!AM8+'2011 полн'!AN8+'2011 полн'!AO8+'2011 полн'!AP8+'2011 полн'!AQ8+'2011 полн'!AR8+'2011 полн'!AX8+'2011 полн'!AY8+'2011 полн'!BA16</f>
        <v>27321.595102809</v>
      </c>
      <c r="L13" s="434">
        <f>'2011 полн'!AU8+'2011 полн'!AV8+'2011 полн'!AW8</f>
        <v>547.8</v>
      </c>
      <c r="M13" s="434">
        <f>SUM(I13:L14)</f>
        <v>43618.289215209006</v>
      </c>
      <c r="N13" s="434">
        <f>H13-M13</f>
        <v>-14262.185736658997</v>
      </c>
      <c r="O13" s="434">
        <f>'2011 полн'!BG8</f>
        <v>-13554.490000000002</v>
      </c>
    </row>
    <row r="14" spans="1:15" ht="13.5" thickBot="1">
      <c r="A14" s="435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</row>
    <row r="15" spans="1:17" ht="13.5" thickBot="1">
      <c r="A15" s="61" t="s">
        <v>116</v>
      </c>
      <c r="B15" s="436"/>
      <c r="C15" s="437"/>
      <c r="D15" s="437"/>
      <c r="E15" s="438"/>
      <c r="F15" s="438"/>
      <c r="G15" s="438"/>
      <c r="H15" s="438"/>
      <c r="I15" s="438"/>
      <c r="J15" s="438"/>
      <c r="K15" s="438"/>
      <c r="L15" s="439"/>
      <c r="M15" s="438"/>
      <c r="N15" s="438"/>
      <c r="O15" s="440"/>
      <c r="P15" s="271"/>
      <c r="Q15" s="271"/>
    </row>
    <row r="16" spans="1:17" ht="12.75">
      <c r="A16" s="441" t="s">
        <v>45</v>
      </c>
      <c r="B16" s="442">
        <f>'2011 полн'!B10</f>
        <v>739.7</v>
      </c>
      <c r="C16" s="442">
        <f>'2011 полн'!C10</f>
        <v>591.7600000000001</v>
      </c>
      <c r="D16" s="442">
        <f>'2011 полн'!D10</f>
        <v>29.45</v>
      </c>
      <c r="E16" s="443">
        <f>'2011 полн'!U10</f>
        <v>546.74</v>
      </c>
      <c r="F16" s="443">
        <f>'2011 полн'!V10</f>
        <v>0</v>
      </c>
      <c r="G16" s="444">
        <f>'2011 полн'!AF10</f>
        <v>265.43</v>
      </c>
      <c r="H16" s="444">
        <f>'2011 полн'!AG10</f>
        <v>294.88</v>
      </c>
      <c r="I16" s="444">
        <f>'2011 полн'!AK10</f>
        <v>495.59900000000005</v>
      </c>
      <c r="J16" s="444">
        <f>'2011 полн'!AL10</f>
        <v>147.94000000000003</v>
      </c>
      <c r="K16" s="443">
        <f>'2011 полн'!AX10</f>
        <v>0</v>
      </c>
      <c r="L16" s="445">
        <f>'2011 полн'!AU10+'2011 полн'!AV10+'2011 полн'!AW10</f>
        <v>0</v>
      </c>
      <c r="M16" s="446">
        <f>SUM(I16:L16)</f>
        <v>643.5390000000001</v>
      </c>
      <c r="N16" s="446">
        <f>H16-M16</f>
        <v>-348.6590000000001</v>
      </c>
      <c r="O16" s="446">
        <f>'2011 полн'!BG10</f>
        <v>-281.31</v>
      </c>
      <c r="P16" s="271"/>
      <c r="Q16" s="271"/>
    </row>
    <row r="17" spans="1:17" ht="12.75">
      <c r="A17" s="353" t="s">
        <v>46</v>
      </c>
      <c r="B17" s="442">
        <f>'2011 полн'!B11</f>
        <v>739.7</v>
      </c>
      <c r="C17" s="442">
        <f>'2011 полн'!C11</f>
        <v>591.7600000000001</v>
      </c>
      <c r="D17" s="442">
        <f>'2011 полн'!D11</f>
        <v>29.447999999999997</v>
      </c>
      <c r="E17" s="443">
        <f>'2011 полн'!U11</f>
        <v>546.72</v>
      </c>
      <c r="F17" s="443">
        <f>'2011 полн'!V11</f>
        <v>0</v>
      </c>
      <c r="G17" s="444">
        <f>'2011 полн'!AF11</f>
        <v>3608.08</v>
      </c>
      <c r="H17" s="444">
        <f>'2011 полн'!AG11</f>
        <v>3637.528</v>
      </c>
      <c r="I17" s="444">
        <f>'2011 полн'!AK11</f>
        <v>495.59900000000005</v>
      </c>
      <c r="J17" s="444">
        <f>'2011 полн'!AL11</f>
        <v>147.94000000000003</v>
      </c>
      <c r="K17" s="443">
        <f>'2011 полн'!AX11</f>
        <v>80</v>
      </c>
      <c r="L17" s="445">
        <f>'2011 полн'!AU11+'2011 полн'!AV11+'2011 полн'!AW11</f>
        <v>0</v>
      </c>
      <c r="M17" s="446">
        <f aca="true" t="shared" si="0" ref="M17:M27">SUM(I17:L17)</f>
        <v>723.5390000000001</v>
      </c>
      <c r="N17" s="446">
        <f aca="true" t="shared" si="1" ref="N17:N27">H17-M17</f>
        <v>2913.9889999999996</v>
      </c>
      <c r="O17" s="446">
        <f>'2011 полн'!BG11</f>
        <v>3061.3599999999997</v>
      </c>
      <c r="P17" s="271"/>
      <c r="Q17" s="271"/>
    </row>
    <row r="18" spans="1:17" ht="12.75">
      <c r="A18" s="353" t="s">
        <v>47</v>
      </c>
      <c r="B18" s="442">
        <f>'2011 полн'!B12</f>
        <v>739.7</v>
      </c>
      <c r="C18" s="442">
        <f>'2011 полн'!C12</f>
        <v>591.7600000000001</v>
      </c>
      <c r="D18" s="442">
        <f>'2011 полн'!D12</f>
        <v>29.447999999999997</v>
      </c>
      <c r="E18" s="443">
        <f>'2011 полн'!U12</f>
        <v>544.39</v>
      </c>
      <c r="F18" s="443">
        <f>'2011 полн'!V12</f>
        <v>0</v>
      </c>
      <c r="G18" s="444">
        <f>'2011 полн'!AF12</f>
        <v>381.84</v>
      </c>
      <c r="H18" s="444">
        <f>'2011 полн'!AG12</f>
        <v>411.28799999999995</v>
      </c>
      <c r="I18" s="444">
        <f>'2011 полн'!AK12</f>
        <v>495.59900000000005</v>
      </c>
      <c r="J18" s="444">
        <f>'2011 полн'!AL12</f>
        <v>147.94000000000003</v>
      </c>
      <c r="K18" s="443">
        <f>'2011 полн'!AX12</f>
        <v>0</v>
      </c>
      <c r="L18" s="445">
        <f>'2011 полн'!AU12+'2011 полн'!AV12+'2011 полн'!AW12</f>
        <v>0</v>
      </c>
      <c r="M18" s="446">
        <f t="shared" si="0"/>
        <v>643.5390000000001</v>
      </c>
      <c r="N18" s="446">
        <f t="shared" si="1"/>
        <v>-232.25100000000015</v>
      </c>
      <c r="O18" s="446">
        <f>'2011 полн'!BG12</f>
        <v>-162.55</v>
      </c>
      <c r="P18" s="271"/>
      <c r="Q18" s="271"/>
    </row>
    <row r="19" spans="1:17" ht="12.75">
      <c r="A19" s="353" t="s">
        <v>48</v>
      </c>
      <c r="B19" s="442">
        <f>'2011 полн'!B13</f>
        <v>739.7</v>
      </c>
      <c r="C19" s="442">
        <f>'2011 полн'!C13</f>
        <v>591.7600000000001</v>
      </c>
      <c r="D19" s="442">
        <f>'2011 полн'!D13</f>
        <v>29.447999999999997</v>
      </c>
      <c r="E19" s="443">
        <f>'2011 полн'!U13</f>
        <v>546.72</v>
      </c>
      <c r="F19" s="443">
        <f>'2011 полн'!V13</f>
        <v>0</v>
      </c>
      <c r="G19" s="444">
        <f>'2011 полн'!AF13</f>
        <v>1078.09</v>
      </c>
      <c r="H19" s="444">
        <f>'2011 полн'!AG13</f>
        <v>1107.538</v>
      </c>
      <c r="I19" s="444">
        <f>'2011 полн'!AK13</f>
        <v>495.59900000000005</v>
      </c>
      <c r="J19" s="444">
        <f>'2011 полн'!AL13</f>
        <v>147.94000000000003</v>
      </c>
      <c r="K19" s="443">
        <f>'2011 полн'!AX13</f>
        <v>0</v>
      </c>
      <c r="L19" s="445">
        <f>'2011 полн'!AU13+'2011 полн'!AV13+'2011 полн'!AW13</f>
        <v>0</v>
      </c>
      <c r="M19" s="446">
        <f t="shared" si="0"/>
        <v>643.5390000000001</v>
      </c>
      <c r="N19" s="446">
        <f t="shared" si="1"/>
        <v>463.9989999999999</v>
      </c>
      <c r="O19" s="446">
        <f>'2011 полн'!BG13</f>
        <v>531.3699999999999</v>
      </c>
      <c r="P19" s="271"/>
      <c r="Q19" s="271"/>
    </row>
    <row r="20" spans="1:17" ht="12.75">
      <c r="A20" s="353" t="s">
        <v>49</v>
      </c>
      <c r="B20" s="442">
        <f>'2011 полн'!B14</f>
        <v>739.7</v>
      </c>
      <c r="C20" s="442">
        <f>'2011 полн'!C14</f>
        <v>591.7600000000001</v>
      </c>
      <c r="D20" s="442">
        <f>'2011 полн'!D14</f>
        <v>29.447999999999997</v>
      </c>
      <c r="E20" s="443">
        <f>'2011 полн'!U14</f>
        <v>546.72</v>
      </c>
      <c r="F20" s="443">
        <f>'2011 полн'!V14</f>
        <v>0</v>
      </c>
      <c r="G20" s="444">
        <f>'2011 полн'!AF14</f>
        <v>254.88</v>
      </c>
      <c r="H20" s="444">
        <f>'2011 полн'!AG14</f>
        <v>284.328</v>
      </c>
      <c r="I20" s="444">
        <f>'2011 полн'!AK14</f>
        <v>495.59900000000005</v>
      </c>
      <c r="J20" s="444">
        <f>'2011 полн'!AL14</f>
        <v>147.94000000000003</v>
      </c>
      <c r="K20" s="443">
        <f>'2011 полн'!AX14</f>
        <v>10</v>
      </c>
      <c r="L20" s="445">
        <f>'2011 полн'!AU14+'2011 полн'!AV14+'2011 полн'!AW14</f>
        <v>0</v>
      </c>
      <c r="M20" s="446">
        <f t="shared" si="0"/>
        <v>653.5390000000001</v>
      </c>
      <c r="N20" s="446">
        <f t="shared" si="1"/>
        <v>-369.2110000000001</v>
      </c>
      <c r="O20" s="446">
        <f>'2011 полн'!BG14</f>
        <v>-291.84000000000003</v>
      </c>
      <c r="P20" s="271"/>
      <c r="Q20" s="271"/>
    </row>
    <row r="21" spans="1:17" ht="12.75">
      <c r="A21" s="353" t="s">
        <v>50</v>
      </c>
      <c r="B21" s="442">
        <f>'2011 полн'!B15</f>
        <v>739.7</v>
      </c>
      <c r="C21" s="442">
        <f>'2011 полн'!C15</f>
        <v>591.7600000000001</v>
      </c>
      <c r="D21" s="442">
        <f>'2011 полн'!D15</f>
        <v>29.447999999999997</v>
      </c>
      <c r="E21" s="443">
        <f>'2011 полн'!U15</f>
        <v>546.72</v>
      </c>
      <c r="F21" s="443">
        <f>'2011 полн'!V15</f>
        <v>0</v>
      </c>
      <c r="G21" s="444">
        <f>'2011 полн'!AF15</f>
        <v>190.18</v>
      </c>
      <c r="H21" s="444">
        <f>'2011 полн'!AG15</f>
        <v>219.62800000000001</v>
      </c>
      <c r="I21" s="444">
        <f>'2011 полн'!AK15</f>
        <v>495.59900000000005</v>
      </c>
      <c r="J21" s="444">
        <f>'2011 полн'!AL15</f>
        <v>147.94000000000003</v>
      </c>
      <c r="K21" s="443">
        <f>'2011 полн'!AX15</f>
        <v>0</v>
      </c>
      <c r="L21" s="445">
        <f>'2011 полн'!AU15+'2011 полн'!AV15+'2011 полн'!AW15</f>
        <v>0</v>
      </c>
      <c r="M21" s="446">
        <f t="shared" si="0"/>
        <v>643.5390000000001</v>
      </c>
      <c r="N21" s="446">
        <f t="shared" si="1"/>
        <v>-423.91100000000006</v>
      </c>
      <c r="O21" s="446">
        <f>'2011 полн'!BG15</f>
        <v>-356.54</v>
      </c>
      <c r="P21" s="271"/>
      <c r="Q21" s="271"/>
    </row>
    <row r="22" spans="1:15" ht="12.75">
      <c r="A22" s="353" t="s">
        <v>51</v>
      </c>
      <c r="B22" s="442">
        <f>'2011 полн'!B16</f>
        <v>739.7</v>
      </c>
      <c r="C22" s="442">
        <f>'2011 полн'!C16</f>
        <v>591.7600000000001</v>
      </c>
      <c r="D22" s="442">
        <f>'2011 полн'!D16</f>
        <v>32.024699999999996</v>
      </c>
      <c r="E22" s="443">
        <f>'2011 полн'!U16</f>
        <v>508.69</v>
      </c>
      <c r="F22" s="443">
        <f>'2011 полн'!V16</f>
        <v>0</v>
      </c>
      <c r="G22" s="444">
        <f>'2011 полн'!AF16</f>
        <v>1246.8999999999999</v>
      </c>
      <c r="H22" s="444">
        <f>'2011 полн'!AG16</f>
        <v>1278.9246999999998</v>
      </c>
      <c r="I22" s="444">
        <f>'2011 полн'!AK16</f>
        <v>495.59900000000005</v>
      </c>
      <c r="J22" s="444">
        <f>'2011 полн'!AL16</f>
        <v>147.94000000000003</v>
      </c>
      <c r="K22" s="443">
        <f>'2011 полн'!AX16</f>
        <v>0</v>
      </c>
      <c r="L22" s="445">
        <f>'2011 полн'!AU16+'2011 полн'!AV16+'2011 полн'!AW16</f>
        <v>0</v>
      </c>
      <c r="M22" s="446">
        <f t="shared" si="0"/>
        <v>643.5390000000001</v>
      </c>
      <c r="N22" s="446">
        <f t="shared" si="1"/>
        <v>635.3856999999997</v>
      </c>
      <c r="O22" s="446">
        <f>'2011 полн'!BG16</f>
        <v>738.2099999999998</v>
      </c>
    </row>
    <row r="23" spans="1:15" ht="12.75">
      <c r="A23" s="353" t="s">
        <v>52</v>
      </c>
      <c r="B23" s="442">
        <f>'2011 полн'!B17</f>
        <v>739.7</v>
      </c>
      <c r="C23" s="442">
        <f>'2011 полн'!C17</f>
        <v>591.7600000000001</v>
      </c>
      <c r="D23" s="442">
        <f>'2011 полн'!D17</f>
        <v>32.024699999999996</v>
      </c>
      <c r="E23" s="443">
        <f>'2011 полн'!U17</f>
        <v>539.15</v>
      </c>
      <c r="F23" s="443">
        <f>'2011 полн'!V17</f>
        <v>0</v>
      </c>
      <c r="G23" s="444">
        <f>'2011 полн'!AF17</f>
        <v>401.04</v>
      </c>
      <c r="H23" s="444">
        <f>'2011 полн'!AG17</f>
        <v>433.0647</v>
      </c>
      <c r="I23" s="444">
        <f>'2011 полн'!AK17</f>
        <v>495.59900000000005</v>
      </c>
      <c r="J23" s="444">
        <f>'2011 полн'!AL17</f>
        <v>147.94000000000003</v>
      </c>
      <c r="K23" s="443">
        <f>'2011 полн'!AX17</f>
        <v>0</v>
      </c>
      <c r="L23" s="445">
        <f>'2011 полн'!AU17+'2011 полн'!AV17+'2011 полн'!AW17</f>
        <v>0</v>
      </c>
      <c r="M23" s="446">
        <f t="shared" si="0"/>
        <v>643.5390000000001</v>
      </c>
      <c r="N23" s="446">
        <f t="shared" si="1"/>
        <v>-210.47430000000008</v>
      </c>
      <c r="O23" s="446">
        <f>'2011 полн'!BG17</f>
        <v>-138.10999999999996</v>
      </c>
    </row>
    <row r="24" spans="1:15" ht="12.75">
      <c r="A24" s="353" t="s">
        <v>53</v>
      </c>
      <c r="B24" s="442">
        <f>'2011 полн'!B18</f>
        <v>739.7</v>
      </c>
      <c r="C24" s="442">
        <f>'2011 полн'!C18</f>
        <v>591.7600000000001</v>
      </c>
      <c r="D24" s="442">
        <f>'2011 полн'!D18</f>
        <v>23.881500000000003</v>
      </c>
      <c r="E24" s="443">
        <f>'2011 полн'!U18</f>
        <v>591.76</v>
      </c>
      <c r="F24" s="443">
        <f>'2011 полн'!V18</f>
        <v>0</v>
      </c>
      <c r="G24" s="444">
        <f>'2011 полн'!AF18</f>
        <v>346.53</v>
      </c>
      <c r="H24" s="444">
        <f>'2011 полн'!AG18</f>
        <v>370.4115</v>
      </c>
      <c r="I24" s="444">
        <f>'2011 полн'!AK18</f>
        <v>495.59900000000005</v>
      </c>
      <c r="J24" s="444">
        <f>'2011 полн'!AL18</f>
        <v>147.94000000000003</v>
      </c>
      <c r="K24" s="443">
        <f>'2011 полн'!AX18</f>
        <v>0</v>
      </c>
      <c r="L24" s="445">
        <f>'2011 полн'!AU18+'2011 полн'!AV18+'2011 полн'!AW18</f>
        <v>0</v>
      </c>
      <c r="M24" s="446">
        <f t="shared" si="0"/>
        <v>643.5390000000001</v>
      </c>
      <c r="N24" s="446">
        <f t="shared" si="1"/>
        <v>-273.1275000000001</v>
      </c>
      <c r="O24" s="446">
        <f>'2011 полн'!BG18</f>
        <v>-245.23000000000002</v>
      </c>
    </row>
    <row r="25" spans="1:15" ht="12.75">
      <c r="A25" s="353" t="s">
        <v>41</v>
      </c>
      <c r="B25" s="442">
        <f>'2011 полн'!B19</f>
        <v>739.7</v>
      </c>
      <c r="C25" s="442">
        <f>'2011 полн'!C19</f>
        <v>591.7600000000001</v>
      </c>
      <c r="D25" s="442">
        <f>'2011 полн'!D19</f>
        <v>23.881500000000003</v>
      </c>
      <c r="E25" s="443">
        <f>'2011 полн'!U19</f>
        <v>591.76</v>
      </c>
      <c r="F25" s="443">
        <f>'2011 полн'!V19</f>
        <v>0</v>
      </c>
      <c r="G25" s="444">
        <f>'2011 полн'!AF19</f>
        <v>327</v>
      </c>
      <c r="H25" s="444">
        <f>'2011 полн'!AG19</f>
        <v>350.8815</v>
      </c>
      <c r="I25" s="444">
        <f>'2011 полн'!AK19</f>
        <v>495.59900000000005</v>
      </c>
      <c r="J25" s="444">
        <f>'2011 полн'!AL19</f>
        <v>147.94000000000003</v>
      </c>
      <c r="K25" s="443">
        <f>'2011 полн'!AX19</f>
        <v>0</v>
      </c>
      <c r="L25" s="445">
        <f>'2011 полн'!AU19+'2011 полн'!AV19+'2011 полн'!AW19</f>
        <v>0</v>
      </c>
      <c r="M25" s="446">
        <f t="shared" si="0"/>
        <v>643.5390000000001</v>
      </c>
      <c r="N25" s="446">
        <f t="shared" si="1"/>
        <v>-292.6575000000001</v>
      </c>
      <c r="O25" s="446">
        <f>'2011 полн'!BG19</f>
        <v>-264.76</v>
      </c>
    </row>
    <row r="26" spans="1:15" ht="12.75">
      <c r="A26" s="353" t="s">
        <v>42</v>
      </c>
      <c r="B26" s="442">
        <f>'2011 полн'!B20</f>
        <v>739.7</v>
      </c>
      <c r="C26" s="442">
        <f>'2011 полн'!C20</f>
        <v>591.7600000000001</v>
      </c>
      <c r="D26" s="442">
        <f>'2011 полн'!D20</f>
        <v>23.881500000000003</v>
      </c>
      <c r="E26" s="443">
        <f>'2011 полн'!U20</f>
        <v>591.76</v>
      </c>
      <c r="F26" s="443">
        <f>'2011 полн'!V20</f>
        <v>0</v>
      </c>
      <c r="G26" s="444">
        <f>'2011 полн'!AF20</f>
        <v>398.43</v>
      </c>
      <c r="H26" s="444">
        <f>'2011 полн'!AG20</f>
        <v>422.3115</v>
      </c>
      <c r="I26" s="444">
        <f>'2011 полн'!AK20</f>
        <v>495.59900000000005</v>
      </c>
      <c r="J26" s="444">
        <f>'2011 полн'!AL20</f>
        <v>147.94000000000003</v>
      </c>
      <c r="K26" s="443">
        <f>'2011 полн'!AX20</f>
        <v>0</v>
      </c>
      <c r="L26" s="445">
        <f>'2011 полн'!AU20+'2011 полн'!AV20+'2011 полн'!AW20</f>
        <v>0</v>
      </c>
      <c r="M26" s="446">
        <f t="shared" si="0"/>
        <v>643.5390000000001</v>
      </c>
      <c r="N26" s="446">
        <f t="shared" si="1"/>
        <v>-221.22750000000008</v>
      </c>
      <c r="O26" s="446">
        <f>'2011 полн'!BG20</f>
        <v>-193.32999999999998</v>
      </c>
    </row>
    <row r="27" spans="1:15" ht="13.5" thickBot="1">
      <c r="A27" s="447" t="s">
        <v>43</v>
      </c>
      <c r="B27" s="442">
        <f>'2011 полн'!B21</f>
        <v>739.7</v>
      </c>
      <c r="C27" s="442">
        <f>'2011 полн'!C21</f>
        <v>591.7600000000001</v>
      </c>
      <c r="D27" s="442">
        <f>'2011 полн'!D21</f>
        <v>23.881500000000003</v>
      </c>
      <c r="E27" s="443">
        <f>'2011 полн'!U21</f>
        <v>591.76</v>
      </c>
      <c r="F27" s="443">
        <f>'2011 полн'!V21</f>
        <v>0</v>
      </c>
      <c r="G27" s="444">
        <f>'2011 полн'!AF21</f>
        <v>397.06</v>
      </c>
      <c r="H27" s="444">
        <f>'2011 полн'!AG21</f>
        <v>420.9415</v>
      </c>
      <c r="I27" s="444">
        <f>'2011 полн'!AK21</f>
        <v>495.59900000000005</v>
      </c>
      <c r="J27" s="444">
        <f>'2011 полн'!AL21</f>
        <v>147.94000000000003</v>
      </c>
      <c r="K27" s="443">
        <f>'2011 полн'!AX21</f>
        <v>0</v>
      </c>
      <c r="L27" s="445">
        <f>'2011 полн'!AU21+'2011 полн'!AV21+'2011 полн'!AW21</f>
        <v>0</v>
      </c>
      <c r="M27" s="446">
        <f t="shared" si="0"/>
        <v>643.5390000000001</v>
      </c>
      <c r="N27" s="446">
        <f t="shared" si="1"/>
        <v>-222.59750000000008</v>
      </c>
      <c r="O27" s="446">
        <f>'2011 полн'!BG21</f>
        <v>-194.7</v>
      </c>
    </row>
    <row r="28" spans="1:15" ht="13.5" thickBot="1">
      <c r="A28" s="448" t="s">
        <v>5</v>
      </c>
      <c r="B28" s="449"/>
      <c r="C28" s="450">
        <f>SUM(C16:C27)</f>
        <v>7101.120000000002</v>
      </c>
      <c r="D28" s="450">
        <f aca="true" t="shared" si="2" ref="D28:O28">SUM(D16:D27)</f>
        <v>336.26540000000006</v>
      </c>
      <c r="E28" s="450">
        <f t="shared" si="2"/>
        <v>6692.890000000001</v>
      </c>
      <c r="F28" s="450">
        <f t="shared" si="2"/>
        <v>0</v>
      </c>
      <c r="G28" s="450">
        <f t="shared" si="2"/>
        <v>8895.46</v>
      </c>
      <c r="H28" s="450">
        <f t="shared" si="2"/>
        <v>9231.7254</v>
      </c>
      <c r="I28" s="450">
        <f t="shared" si="2"/>
        <v>5947.188000000001</v>
      </c>
      <c r="J28" s="450">
        <f t="shared" si="2"/>
        <v>1775.2800000000004</v>
      </c>
      <c r="K28" s="450">
        <f t="shared" si="2"/>
        <v>90</v>
      </c>
      <c r="L28" s="450">
        <f t="shared" si="2"/>
        <v>0</v>
      </c>
      <c r="M28" s="450">
        <f t="shared" si="2"/>
        <v>7812.468</v>
      </c>
      <c r="N28" s="450">
        <f t="shared" si="2"/>
        <v>1419.257399999998</v>
      </c>
      <c r="O28" s="450">
        <f t="shared" si="2"/>
        <v>2202.569999999999</v>
      </c>
    </row>
    <row r="29" spans="1:15" ht="13.5" thickBot="1">
      <c r="A29" s="451" t="s">
        <v>70</v>
      </c>
      <c r="B29" s="452"/>
      <c r="C29" s="452"/>
      <c r="D29" s="452"/>
      <c r="E29" s="453"/>
      <c r="F29" s="453"/>
      <c r="G29" s="454"/>
      <c r="H29" s="453"/>
      <c r="I29" s="454"/>
      <c r="J29" s="453"/>
      <c r="K29" s="453"/>
      <c r="L29" s="453"/>
      <c r="M29" s="455"/>
      <c r="N29" s="456"/>
      <c r="O29" s="457"/>
    </row>
    <row r="30" spans="1:17" s="20" customFormat="1" ht="13.5" thickBot="1">
      <c r="A30" s="458" t="s">
        <v>54</v>
      </c>
      <c r="B30" s="459"/>
      <c r="C30" s="460">
        <f aca="true" t="shared" si="3" ref="C30:N30">C28+C13</f>
        <v>51973.465000000004</v>
      </c>
      <c r="D30" s="460">
        <f t="shared" si="3"/>
        <v>6526.908878550003</v>
      </c>
      <c r="E30" s="460">
        <f t="shared" si="3"/>
        <v>41063.96</v>
      </c>
      <c r="F30" s="460">
        <f t="shared" si="3"/>
        <v>2348.8799999999997</v>
      </c>
      <c r="G30" s="460">
        <f t="shared" si="3"/>
        <v>29712.04</v>
      </c>
      <c r="H30" s="460">
        <f t="shared" si="3"/>
        <v>38587.828878550004</v>
      </c>
      <c r="I30" s="460">
        <f t="shared" si="3"/>
        <v>17743.440000000002</v>
      </c>
      <c r="J30" s="460">
        <f t="shared" si="3"/>
        <v>5727.922112400001</v>
      </c>
      <c r="K30" s="460">
        <f t="shared" si="3"/>
        <v>27411.595102809</v>
      </c>
      <c r="L30" s="460">
        <f t="shared" si="3"/>
        <v>547.8</v>
      </c>
      <c r="M30" s="460">
        <f t="shared" si="3"/>
        <v>51430.75721520901</v>
      </c>
      <c r="N30" s="460">
        <f t="shared" si="3"/>
        <v>-12842.928336658999</v>
      </c>
      <c r="O30" s="460">
        <f>O28+O13</f>
        <v>-11351.920000000002</v>
      </c>
      <c r="P30" s="69"/>
      <c r="Q30" s="68"/>
    </row>
    <row r="32" spans="1:16" ht="12.75">
      <c r="A32" s="20" t="s">
        <v>88</v>
      </c>
      <c r="D32" s="80" t="s">
        <v>119</v>
      </c>
      <c r="O32" s="271"/>
      <c r="P32" s="271"/>
    </row>
    <row r="33" spans="1:16" ht="12.75">
      <c r="A33" s="350" t="s">
        <v>71</v>
      </c>
      <c r="B33" s="350" t="s">
        <v>72</v>
      </c>
      <c r="C33" s="461" t="s">
        <v>73</v>
      </c>
      <c r="D33" s="461"/>
      <c r="O33" s="271"/>
      <c r="P33" s="271"/>
    </row>
    <row r="34" spans="1:16" ht="12.75">
      <c r="A34" s="111">
        <v>82856.08</v>
      </c>
      <c r="B34" s="111">
        <v>0</v>
      </c>
      <c r="C34" s="462">
        <f>A34-B34</f>
        <v>82856.08</v>
      </c>
      <c r="D34" s="463"/>
      <c r="O34" s="271"/>
      <c r="P34" s="271"/>
    </row>
    <row r="35" spans="1:16" ht="12.75">
      <c r="A35" s="45"/>
      <c r="O35" s="271"/>
      <c r="P35" s="271"/>
    </row>
    <row r="36" spans="1:16" ht="12.75">
      <c r="A36" s="272" t="s">
        <v>76</v>
      </c>
      <c r="G36" s="272" t="s">
        <v>77</v>
      </c>
      <c r="O36" s="271"/>
      <c r="P36" s="271"/>
    </row>
    <row r="37" ht="12.75">
      <c r="A37" s="271"/>
    </row>
    <row r="38" ht="12.75">
      <c r="A38" s="80" t="s">
        <v>120</v>
      </c>
    </row>
    <row r="39" ht="12.75">
      <c r="A39" s="272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2012-05-28T08:51:04Z</dcterms:modified>
  <cp:category/>
  <cp:version/>
  <cp:contentType/>
  <cp:contentStatus/>
</cp:coreProperties>
</file>