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<sst xmlns="http://schemas.openxmlformats.org/spreadsheetml/2006/main" count="290" uniqueCount="121">
  <si>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</si>
  <si>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</si>
  <si>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</si>
  <si>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</si>
  <si>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</si>
  <si>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</si>
  <si>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</si>
  <si>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</si>
  <si>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</si>
  <si>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</si>
  <si>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</si>
  <si>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</si>
  <si>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</si>
  <si>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</si>
  <si>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</si>
  <si>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</si>
  <si>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</si>
  <si>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</si>
  <si>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</si>
  <si>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</si>
  <si>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</si>
  <si>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</si>
  <si>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</si>
  <si>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</si>
  <si>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</si>
  <si>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</si>
  <si>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</si>
  <si>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</si>
  <si>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</si>
  <si>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</si>
  <si>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</si>
  <si>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</si>
  <si>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</si>
  <si>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</si>
  <si>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</si>
  <si>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</si>
  <si>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</si>
  <si>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</si>
  <si>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</si>
  <si>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</si>
  <si>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</si>
  <si>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</si>
  <si>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</si>
  <si>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</si>
  <si>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</si>
  <si>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</si>
  <si>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</si>
  <si>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</si>
  <si>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</si>
  <si>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</si>
  <si>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</si>
  <si>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</si>
  <si>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</si>
  <si>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</si>
  <si>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</si>
  <si>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</si>
  <si>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</si>
  <si>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</si>
  <si>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</si>
  <si>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</si>
  <si>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</si>
  <si>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</si>
  <si>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</si>
  <si>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</si>
  <si>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</si>
  <si>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</si>
  <si>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</si>
  <si>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</si>
  <si>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</si>
  <si>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</si>
  <si>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</si>
  <si>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</si>
  <si>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</si>
  <si>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</si>
  <si>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</si>
  <si>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</si>
  <si>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</si>
  <si>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</si>
  <si>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</si>
  <si>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</si>
  <si>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</si>
  <si>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</si>
  <si>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</si>
  <si>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</si>
  <si>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</si>
  <si>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</si>
  <si>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</si>
  <si>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</si>
  <si>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Выписка по лицевому счету по адресу г. Таштагол ул. Увальная, д.12</t>
  </si>
  <si>
    <t>Лицевой счет по адресу г. Таштагол, ул. Увальная, д.12</t>
  </si>
  <si>
    <t>2010 год</t>
  </si>
  <si>
    <t>*по состоянию на 01.01.2011 г.</t>
  </si>
  <si>
    <t>на 01.01.2011 г.</t>
  </si>
  <si>
    <t>на начало отчетного периода</t>
  </si>
  <si>
    <t>Начислено населению</t>
  </si>
  <si>
    <t>Содержание жилья</t>
  </si>
  <si>
    <t xml:space="preserve">     Лифты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</si>
  <si>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</si>
  <si>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</si>
  <si>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</si>
  <si>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</si>
  <si>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</si>
  <si>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</si>
  <si>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</si>
  <si>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</si>
  <si>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</si>
  <si>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</si>
  <si>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</si>
  <si>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</si>
  <si>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</si>
  <si>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</si>
  <si>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</si>
  <si>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</si>
  <si>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</si>
  <si>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</si>
  <si>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на 01.01.2012 г.</t>
  </si>
  <si>
    <t>Тариф по содержанию и тек.ремонту 100 % (8,55 руб.*площадь)</t>
  </si>
  <si>
    <t>Услуга начисления</t>
  </si>
  <si>
    <t>*по состоянию на 01.01.2012 г.</t>
  </si>
  <si>
    <t>Исп. В.В. Колмогорова</t>
  </si>
  <si>
    <t>Выписка по лицевому счету по адресу г. Таштагол ул. Увальная, д. 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</si>
</sst>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 wrapText="1"/>
    </xf>
    <xf numFmtId="4" fontId="2" fillId="0" borderId="14" xfId="34" applyNumberFormat="1" applyFont="1" applyFill="1" applyBorder="1" applyAlignment="1">
      <alignment horizontal="right" vertical="center" wrapText="1"/>
      <protection/>
    </xf>
    <xf numFmtId="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2" fillId="0" borderId="17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4" fontId="2" fillId="0" borderId="24" xfId="34" applyNumberFormat="1" applyFont="1" applyFill="1" applyBorder="1" applyAlignment="1">
      <alignment horizontal="right" vertical="center" wrapText="1"/>
      <protection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33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4" fontId="0" fillId="34" borderId="14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vertical="center" wrapText="1"/>
    </xf>
    <xf numFmtId="4" fontId="1" fillId="33" borderId="14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4" fontId="2" fillId="0" borderId="14" xfId="34" applyNumberFormat="1" applyFont="1" applyFill="1" applyBorder="1" applyAlignment="1">
      <alignment vertical="center" wrapText="1"/>
      <protection/>
    </xf>
    <xf numFmtId="4" fontId="1" fillId="0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wrapText="1"/>
    </xf>
    <xf numFmtId="0" fontId="0" fillId="34" borderId="14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 wrapText="1"/>
    </xf>
    <xf numFmtId="4" fontId="0" fillId="0" borderId="3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0" fillId="0" borderId="13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right"/>
    </xf>
    <xf numFmtId="4" fontId="1" fillId="34" borderId="14" xfId="0" applyNumberFormat="1" applyFont="1" applyFill="1" applyBorder="1" applyAlignment="1">
      <alignment horizontal="right" wrapText="1"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center" wrapText="1"/>
    </xf>
    <xf numFmtId="4" fontId="2" fillId="0" borderId="33" xfId="34" applyNumberFormat="1" applyFont="1" applyFill="1" applyBorder="1" applyAlignment="1">
      <alignment horizontal="center" vertical="center" wrapText="1"/>
      <protection/>
    </xf>
    <xf numFmtId="4" fontId="2" fillId="34" borderId="12" xfId="34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ont="1" applyBorder="1" applyAlignment="1">
      <alignment horizontal="center"/>
    </xf>
    <xf numFmtId="4" fontId="0" fillId="35" borderId="13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center"/>
    </xf>
    <xf numFmtId="4" fontId="0" fillId="36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37" borderId="14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 horizontal="center"/>
    </xf>
    <xf numFmtId="4" fontId="2" fillId="34" borderId="14" xfId="34" applyNumberFormat="1" applyFont="1" applyFill="1" applyBorder="1" applyAlignment="1">
      <alignment horizontal="center" vertical="center" wrapText="1"/>
      <protection/>
    </xf>
    <xf numFmtId="4" fontId="2" fillId="0" borderId="32" xfId="34" applyNumberFormat="1" applyFont="1" applyFill="1" applyBorder="1" applyAlignment="1">
      <alignment horizontal="center" vertical="center" wrapText="1"/>
      <protection/>
    </xf>
    <xf numFmtId="4" fontId="0" fillId="37" borderId="17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 horizontal="center"/>
    </xf>
    <xf numFmtId="165" fontId="0" fillId="0" borderId="14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4" fontId="0" fillId="35" borderId="13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0" fillId="37" borderId="17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 wrapText="1"/>
    </xf>
    <xf numFmtId="165" fontId="0" fillId="0" borderId="14" xfId="0" applyNumberFormat="1" applyFont="1" applyFill="1" applyBorder="1" applyAlignment="1">
      <alignment/>
    </xf>
    <xf numFmtId="4" fontId="0" fillId="36" borderId="14" xfId="0" applyNumberFormat="1" applyFont="1" applyFill="1" applyBorder="1" applyAlignment="1">
      <alignment/>
    </xf>
    <xf numFmtId="4" fontId="10" fillId="34" borderId="14" xfId="0" applyNumberFormat="1" applyFont="1" applyFill="1" applyBorder="1" applyAlignment="1">
      <alignment/>
    </xf>
    <xf numFmtId="4" fontId="10" fillId="36" borderId="14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4" fontId="10" fillId="37" borderId="14" xfId="0" applyNumberFormat="1" applyFont="1" applyFill="1" applyBorder="1" applyAlignment="1">
      <alignment/>
    </xf>
    <xf numFmtId="4" fontId="10" fillId="34" borderId="17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36" borderId="32" xfId="0" applyNumberFormat="1" applyFont="1" applyFill="1" applyBorder="1" applyAlignment="1">
      <alignment horizontal="center"/>
    </xf>
    <xf numFmtId="4" fontId="0" fillId="36" borderId="14" xfId="0" applyNumberFormat="1" applyFont="1" applyFill="1" applyBorder="1" applyAlignment="1">
      <alignment horizontal="center"/>
    </xf>
    <xf numFmtId="4" fontId="0" fillId="36" borderId="17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33" borderId="26" xfId="0" applyNumberFormat="1" applyFont="1" applyFill="1" applyBorder="1" applyAlignment="1">
      <alignment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0" fontId="1" fillId="0" borderId="3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2" fontId="1" fillId="34" borderId="35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14" xfId="0" applyNumberFormat="1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7" fillId="34" borderId="35" xfId="0" applyNumberFormat="1" applyFont="1" applyFill="1" applyBorder="1" applyAlignment="1">
      <alignment horizontal="center" vertical="center" wrapText="1"/>
    </xf>
    <xf numFmtId="2" fontId="7" fillId="34" borderId="45" xfId="0" applyNumberFormat="1" applyFont="1" applyFill="1" applyBorder="1" applyAlignment="1">
      <alignment horizontal="center" vertical="center" wrapText="1"/>
    </xf>
    <xf numFmtId="2" fontId="7" fillId="34" borderId="34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36" borderId="26" xfId="0" applyNumberFormat="1" applyFont="1" applyFill="1" applyBorder="1" applyAlignment="1">
      <alignment horizontal="center" vertical="center" wrapText="1"/>
    </xf>
    <xf numFmtId="2" fontId="1" fillId="36" borderId="44" xfId="0" applyNumberFormat="1" applyFont="1" applyFill="1" applyBorder="1" applyAlignment="1">
      <alignment horizontal="center" vertical="center" wrapText="1"/>
    </xf>
    <xf numFmtId="2" fontId="1" fillId="36" borderId="35" xfId="0" applyNumberFormat="1" applyFont="1" applyFill="1" applyBorder="1" applyAlignment="1">
      <alignment horizontal="center" vertical="center" wrapText="1"/>
    </xf>
    <xf numFmtId="2" fontId="1" fillId="36" borderId="34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left"/>
    </xf>
    <xf numFmtId="0" fontId="1" fillId="0" borderId="58" xfId="0" applyFont="1" applyFill="1" applyBorder="1" applyAlignment="1">
      <alignment horizontal="left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textRotation="90" wrapText="1"/>
    </xf>
    <xf numFmtId="4" fontId="1" fillId="0" borderId="14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59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36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34" borderId="35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2" fontId="7" fillId="0" borderId="35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0" fontId="1" fillId="38" borderId="56" xfId="0" applyFont="1" applyFill="1" applyBorder="1" applyAlignment="1">
      <alignment horizontal="center" vertical="center" wrapText="1"/>
    </xf>
    <xf numFmtId="0" fontId="1" fillId="38" borderId="5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34" borderId="4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0" fontId="1" fillId="38" borderId="6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textRotation="90"/>
    </xf>
    <xf numFmtId="0" fontId="1" fillId="35" borderId="35" xfId="0" applyFont="1" applyFill="1" applyBorder="1" applyAlignment="1">
      <alignment horizontal="center" textRotation="90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34" borderId="56" xfId="0" applyNumberFormat="1" applyFont="1" applyFill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28" fillId="0" borderId="35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37" borderId="35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textRotation="90"/>
    </xf>
    <xf numFmtId="0" fontId="1" fillId="35" borderId="34" xfId="0" applyFont="1" applyFill="1" applyBorder="1" applyAlignment="1">
      <alignment horizontal="center" textRotation="90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34" borderId="64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28" fillId="0" borderId="34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37" borderId="34" xfId="0" applyNumberFormat="1" applyFont="1" applyFill="1" applyBorder="1" applyAlignment="1">
      <alignment horizontal="center" vertical="center" wrapText="1"/>
    </xf>
    <xf numFmtId="0" fontId="1" fillId="38" borderId="61" xfId="0" applyFont="1" applyFill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right"/>
    </xf>
    <xf numFmtId="4" fontId="1" fillId="0" borderId="43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center" wrapText="1"/>
    </xf>
    <xf numFmtId="4" fontId="0" fillId="0" borderId="14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66" xfId="0" applyNumberFormat="1" applyFont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2" fillId="34" borderId="17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4" fontId="0" fillId="36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37" borderId="17" xfId="0" applyNumberFormat="1" applyFont="1" applyFill="1" applyBorder="1" applyAlignment="1">
      <alignment/>
    </xf>
    <xf numFmtId="4" fontId="0" fillId="39" borderId="17" xfId="0" applyNumberFormat="1" applyFont="1" applyFill="1" applyBorder="1" applyAlignment="1">
      <alignment/>
    </xf>
    <xf numFmtId="4" fontId="0" fillId="39" borderId="0" xfId="0" applyNumberFormat="1" applyFont="1" applyFill="1" applyBorder="1" applyAlignment="1">
      <alignment/>
    </xf>
    <xf numFmtId="4" fontId="10" fillId="39" borderId="0" xfId="0" applyNumberFormat="1" applyFont="1" applyFill="1" applyBorder="1" applyAlignment="1">
      <alignment/>
    </xf>
    <xf numFmtId="4" fontId="0" fillId="37" borderId="0" xfId="0" applyNumberFormat="1" applyFont="1" applyFill="1" applyBorder="1" applyAlignment="1">
      <alignment/>
    </xf>
    <xf numFmtId="4" fontId="0" fillId="37" borderId="66" xfId="0" applyNumberFormat="1" applyFont="1" applyFill="1" applyBorder="1" applyAlignment="1">
      <alignment/>
    </xf>
    <xf numFmtId="4" fontId="10" fillId="37" borderId="17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4" fontId="1" fillId="0" borderId="6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67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35" borderId="13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2" fontId="0" fillId="34" borderId="14" xfId="0" applyNumberFormat="1" applyFont="1" applyFill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68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 horizontal="center"/>
    </xf>
    <xf numFmtId="0" fontId="0" fillId="37" borderId="14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wrapText="1"/>
    </xf>
    <xf numFmtId="4" fontId="0" fillId="0" borderId="68" xfId="0" applyNumberFormat="1" applyFont="1" applyFill="1" applyBorder="1" applyAlignment="1">
      <alignment horizontal="center"/>
    </xf>
    <xf numFmtId="4" fontId="0" fillId="35" borderId="29" xfId="0" applyNumberFormat="1" applyFont="1" applyFill="1" applyBorder="1" applyAlignment="1">
      <alignment horizontal="center"/>
    </xf>
    <xf numFmtId="4" fontId="0" fillId="0" borderId="69" xfId="0" applyNumberFormat="1" applyFont="1" applyFill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1" fillId="0" borderId="39" xfId="0" applyNumberFormat="1" applyFont="1" applyFill="1" applyBorder="1" applyAlignment="1">
      <alignment/>
    </xf>
    <xf numFmtId="0" fontId="29" fillId="0" borderId="14" xfId="0" applyFont="1" applyBorder="1" applyAlignment="1">
      <alignment wrapText="1"/>
    </xf>
    <xf numFmtId="0" fontId="29" fillId="0" borderId="17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2" fillId="35" borderId="29" xfId="0" applyFont="1" applyFill="1" applyBorder="1" applyAlignment="1">
      <alignment/>
    </xf>
    <xf numFmtId="0" fontId="29" fillId="0" borderId="3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70" xfId="0" applyFont="1" applyBorder="1" applyAlignment="1">
      <alignment wrapText="1"/>
    </xf>
    <xf numFmtId="4" fontId="0" fillId="37" borderId="14" xfId="0" applyNumberFormat="1" applyFont="1" applyFill="1" applyBorder="1" applyAlignment="1">
      <alignment/>
    </xf>
    <xf numFmtId="4" fontId="1" fillId="0" borderId="53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4" fontId="0" fillId="39" borderId="53" xfId="0" applyNumberFormat="1" applyFont="1" applyFill="1" applyBorder="1" applyAlignment="1">
      <alignment/>
    </xf>
    <xf numFmtId="0" fontId="1" fillId="0" borderId="36" xfId="0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/>
    </xf>
    <xf numFmtId="0" fontId="1" fillId="39" borderId="0" xfId="0" applyFont="1" applyFill="1" applyAlignment="1">
      <alignment/>
    </xf>
    <xf numFmtId="0" fontId="1" fillId="39" borderId="0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0" fontId="1" fillId="0" borderId="44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4" fontId="1" fillId="0" borderId="44" xfId="0" applyNumberFormat="1" applyFont="1" applyFill="1" applyBorder="1" applyAlignment="1">
      <alignment/>
    </xf>
    <xf numFmtId="4" fontId="1" fillId="0" borderId="71" xfId="0" applyNumberFormat="1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1" xfId="0" applyFont="1" applyFill="1" applyBorder="1" applyAlignment="1">
      <alignment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right" wrapText="1"/>
    </xf>
    <xf numFmtId="4" fontId="2" fillId="0" borderId="21" xfId="34" applyNumberFormat="1" applyFont="1" applyFill="1" applyBorder="1" applyAlignment="1">
      <alignment horizontal="right" vertical="center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2" fontId="0" fillId="0" borderId="25" xfId="0" applyNumberFormat="1" applyBorder="1" applyAlignment="1">
      <alignment horizontal="center"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vertical="center" wrapText="1"/>
    </xf>
    <xf numFmtId="4" fontId="0" fillId="0" borderId="25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2" fontId="1" fillId="0" borderId="30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left"/>
    </xf>
    <xf numFmtId="0" fontId="1" fillId="0" borderId="49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4" fontId="0" fillId="0" borderId="49" xfId="0" applyNumberFormat="1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1" fillId="0" borderId="74" xfId="0" applyFont="1" applyFill="1" applyBorder="1" applyAlignment="1">
      <alignment horizontal="left"/>
    </xf>
    <xf numFmtId="4" fontId="1" fillId="0" borderId="44" xfId="0" applyNumberFormat="1" applyFont="1" applyFill="1" applyBorder="1" applyAlignment="1">
      <alignment horizontal="right"/>
    </xf>
    <xf numFmtId="4" fontId="1" fillId="0" borderId="71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35" borderId="29" xfId="0" applyFont="1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29" fillId="0" borderId="14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" fillId="0" borderId="57" xfId="0" applyFont="1" applyBorder="1" applyAlignment="1">
      <alignment wrapText="1"/>
    </xf>
    <xf numFmtId="0" fontId="2" fillId="35" borderId="13" xfId="0" applyFont="1" applyFill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4" fontId="0" fillId="34" borderId="69" xfId="0" applyNumberFormat="1" applyFill="1" applyBorder="1" applyAlignment="1">
      <alignment horizontal="right" wrapText="1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3" xfId="0" applyFont="1" applyFill="1" applyBorder="1" applyAlignment="1">
      <alignment wrapText="1"/>
    </xf>
    <xf numFmtId="4" fontId="2" fillId="34" borderId="69" xfId="0" applyNumberFormat="1" applyFont="1" applyFill="1" applyBorder="1" applyAlignment="1">
      <alignment horizontal="right" wrapText="1"/>
    </xf>
    <xf numFmtId="4" fontId="2" fillId="34" borderId="69" xfId="0" applyNumberFormat="1" applyFont="1" applyFill="1" applyBorder="1" applyAlignment="1">
      <alignment horizontal="right" wrapText="1"/>
    </xf>
    <xf numFmtId="4" fontId="2" fillId="0" borderId="14" xfId="0" applyNumberFormat="1" applyFont="1" applyBorder="1" applyAlignment="1">
      <alignment wrapText="1"/>
    </xf>
    <xf numFmtId="4" fontId="2" fillId="0" borderId="17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4;.&#1044;&#1091;&#1085;&#1076;&#1080;&#1095;&#1072;%201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9;&#1074;&#1072;&#1083;&#1100;&#1085;&#1072;&#1103;,%2010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7;&#1086;&#1083;&#1085;&#1077;&#1095;&#1085;&#1072;&#1103;,%2048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7;&#1091;&#1074;&#1086;&#1088;&#1086;&#1074;&#1072;,%209%20&#1089;%20201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"/>
      <sheetName val="для печати"/>
      <sheetName val="2011 полн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ечать"/>
      <sheetName val="2011 полн"/>
    </sheetNames>
    <sheetDataSet>
      <sheetData sheetId="0">
        <row r="44">
          <cell r="AF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Z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олн (2)"/>
      <sheetName val="2011 печать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9"/>
  <sheetViews>
    <sheetView zoomScalePageLayoutView="0" workbookViewId="0" topLeftCell="A1">
      <pane xSplit="1" ySplit="1" topLeftCell="AO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X9" sqref="AX9:AX1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39" t="s">
        <v>89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40" t="s">
        <v>0</v>
      </c>
      <c r="B3" s="143" t="s">
        <v>1</v>
      </c>
      <c r="C3" s="143" t="s">
        <v>2</v>
      </c>
      <c r="D3" s="143" t="s">
        <v>3</v>
      </c>
      <c r="E3" s="146" t="s">
        <v>4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63" t="s">
        <v>5</v>
      </c>
      <c r="T3" s="163"/>
      <c r="U3" s="164" t="s">
        <v>6</v>
      </c>
      <c r="V3" s="164"/>
      <c r="W3" s="164"/>
      <c r="X3" s="164"/>
      <c r="Y3" s="164"/>
      <c r="Z3" s="164"/>
      <c r="AA3" s="164"/>
      <c r="AB3" s="164"/>
      <c r="AC3" s="166" t="s">
        <v>85</v>
      </c>
      <c r="AD3" s="166" t="s">
        <v>8</v>
      </c>
      <c r="AE3" s="169" t="s">
        <v>9</v>
      </c>
      <c r="AF3" s="176" t="s">
        <v>73</v>
      </c>
      <c r="AG3" s="179" t="s">
        <v>10</v>
      </c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55" t="s">
        <v>74</v>
      </c>
      <c r="BD3" s="160" t="s">
        <v>11</v>
      </c>
      <c r="BE3" s="148" t="s">
        <v>12</v>
      </c>
    </row>
    <row r="4" spans="1:57" ht="36" customHeight="1" thickBot="1">
      <c r="A4" s="141"/>
      <c r="B4" s="144"/>
      <c r="C4" s="144"/>
      <c r="D4" s="144"/>
      <c r="E4" s="147" t="s">
        <v>13</v>
      </c>
      <c r="F4" s="147"/>
      <c r="G4" s="147" t="s">
        <v>14</v>
      </c>
      <c r="H4" s="147"/>
      <c r="I4" s="147" t="s">
        <v>15</v>
      </c>
      <c r="J4" s="147"/>
      <c r="K4" s="147" t="s">
        <v>16</v>
      </c>
      <c r="L4" s="147"/>
      <c r="M4" s="147" t="s">
        <v>17</v>
      </c>
      <c r="N4" s="147"/>
      <c r="O4" s="147" t="s">
        <v>18</v>
      </c>
      <c r="P4" s="147"/>
      <c r="Q4" s="147" t="s">
        <v>19</v>
      </c>
      <c r="R4" s="147"/>
      <c r="S4" s="147"/>
      <c r="T4" s="147"/>
      <c r="U4" s="165"/>
      <c r="V4" s="165"/>
      <c r="W4" s="165"/>
      <c r="X4" s="165"/>
      <c r="Y4" s="165"/>
      <c r="Z4" s="165"/>
      <c r="AA4" s="165"/>
      <c r="AB4" s="165"/>
      <c r="AC4" s="167"/>
      <c r="AD4" s="167"/>
      <c r="AE4" s="170"/>
      <c r="AF4" s="177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6"/>
      <c r="BD4" s="161"/>
      <c r="BE4" s="149"/>
    </row>
    <row r="5" spans="1:57" ht="29.25" customHeight="1" thickBot="1">
      <c r="A5" s="141"/>
      <c r="B5" s="144"/>
      <c r="C5" s="144"/>
      <c r="D5" s="144"/>
      <c r="E5" s="158" t="s">
        <v>20</v>
      </c>
      <c r="F5" s="158" t="s">
        <v>21</v>
      </c>
      <c r="G5" s="158" t="s">
        <v>20</v>
      </c>
      <c r="H5" s="158" t="s">
        <v>21</v>
      </c>
      <c r="I5" s="158" t="s">
        <v>20</v>
      </c>
      <c r="J5" s="158" t="s">
        <v>21</v>
      </c>
      <c r="K5" s="158" t="s">
        <v>20</v>
      </c>
      <c r="L5" s="158" t="s">
        <v>21</v>
      </c>
      <c r="M5" s="158" t="s">
        <v>20</v>
      </c>
      <c r="N5" s="158" t="s">
        <v>21</v>
      </c>
      <c r="O5" s="158" t="s">
        <v>20</v>
      </c>
      <c r="P5" s="158" t="s">
        <v>21</v>
      </c>
      <c r="Q5" s="158" t="s">
        <v>20</v>
      </c>
      <c r="R5" s="158" t="s">
        <v>21</v>
      </c>
      <c r="S5" s="158" t="s">
        <v>20</v>
      </c>
      <c r="T5" s="158" t="s">
        <v>21</v>
      </c>
      <c r="U5" s="172" t="s">
        <v>22</v>
      </c>
      <c r="V5" s="172" t="s">
        <v>23</v>
      </c>
      <c r="W5" s="172" t="s">
        <v>24</v>
      </c>
      <c r="X5" s="172" t="s">
        <v>25</v>
      </c>
      <c r="Y5" s="172" t="s">
        <v>26</v>
      </c>
      <c r="Z5" s="172" t="s">
        <v>27</v>
      </c>
      <c r="AA5" s="172" t="s">
        <v>28</v>
      </c>
      <c r="AB5" s="172" t="s">
        <v>29</v>
      </c>
      <c r="AC5" s="167"/>
      <c r="AD5" s="167"/>
      <c r="AE5" s="170"/>
      <c r="AF5" s="177"/>
      <c r="AG5" s="151" t="s">
        <v>30</v>
      </c>
      <c r="AH5" s="151" t="s">
        <v>31</v>
      </c>
      <c r="AI5" s="151" t="s">
        <v>32</v>
      </c>
      <c r="AJ5" s="151" t="s">
        <v>33</v>
      </c>
      <c r="AK5" s="151" t="s">
        <v>34</v>
      </c>
      <c r="AL5" s="151" t="s">
        <v>33</v>
      </c>
      <c r="AM5" s="151" t="s">
        <v>35</v>
      </c>
      <c r="AN5" s="151" t="s">
        <v>33</v>
      </c>
      <c r="AO5" s="151" t="s">
        <v>36</v>
      </c>
      <c r="AP5" s="151" t="s">
        <v>33</v>
      </c>
      <c r="AQ5" s="183" t="s">
        <v>78</v>
      </c>
      <c r="AR5" s="185" t="s">
        <v>33</v>
      </c>
      <c r="AS5" s="153" t="s">
        <v>79</v>
      </c>
      <c r="AT5" s="174" t="s">
        <v>80</v>
      </c>
      <c r="AU5" s="174" t="s">
        <v>33</v>
      </c>
      <c r="AV5" s="180" t="s">
        <v>81</v>
      </c>
      <c r="AW5" s="181"/>
      <c r="AX5" s="182"/>
      <c r="AY5" s="151" t="s">
        <v>19</v>
      </c>
      <c r="AZ5" s="151" t="s">
        <v>38</v>
      </c>
      <c r="BA5" s="151" t="s">
        <v>33</v>
      </c>
      <c r="BB5" s="151" t="s">
        <v>39</v>
      </c>
      <c r="BC5" s="156"/>
      <c r="BD5" s="161"/>
      <c r="BE5" s="149"/>
    </row>
    <row r="6" spans="1:57" ht="54" customHeight="1" thickBot="1">
      <c r="A6" s="142"/>
      <c r="B6" s="145"/>
      <c r="C6" s="145"/>
      <c r="D6" s="145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73"/>
      <c r="V6" s="173"/>
      <c r="W6" s="173"/>
      <c r="X6" s="173"/>
      <c r="Y6" s="173"/>
      <c r="Z6" s="173"/>
      <c r="AA6" s="173"/>
      <c r="AB6" s="173"/>
      <c r="AC6" s="168"/>
      <c r="AD6" s="168"/>
      <c r="AE6" s="171"/>
      <c r="AF6" s="178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84"/>
      <c r="AR6" s="186"/>
      <c r="AS6" s="154"/>
      <c r="AT6" s="175"/>
      <c r="AU6" s="175"/>
      <c r="AV6" s="97" t="s">
        <v>82</v>
      </c>
      <c r="AW6" s="97" t="s">
        <v>83</v>
      </c>
      <c r="AX6" s="97" t="s">
        <v>84</v>
      </c>
      <c r="AY6" s="152"/>
      <c r="AZ6" s="152"/>
      <c r="BA6" s="152"/>
      <c r="BB6" s="152"/>
      <c r="BC6" s="157"/>
      <c r="BD6" s="162"/>
      <c r="BE6" s="150"/>
    </row>
    <row r="7" spans="1:57" ht="12.75">
      <c r="A7" s="6">
        <v>1</v>
      </c>
      <c r="B7" s="7">
        <v>2</v>
      </c>
      <c r="C7" s="6">
        <v>3</v>
      </c>
      <c r="D7" s="7">
        <v>4</v>
      </c>
      <c r="E7" s="6">
        <v>5</v>
      </c>
      <c r="F7" s="7">
        <v>6</v>
      </c>
      <c r="G7" s="6">
        <v>7</v>
      </c>
      <c r="H7" s="7">
        <v>8</v>
      </c>
      <c r="I7" s="6">
        <v>9</v>
      </c>
      <c r="J7" s="7">
        <v>10</v>
      </c>
      <c r="K7" s="6">
        <v>11</v>
      </c>
      <c r="L7" s="7">
        <v>12</v>
      </c>
      <c r="M7" s="6">
        <v>13</v>
      </c>
      <c r="N7" s="7">
        <v>14</v>
      </c>
      <c r="O7" s="6">
        <v>15</v>
      </c>
      <c r="P7" s="7">
        <v>16</v>
      </c>
      <c r="Q7" s="6">
        <v>17</v>
      </c>
      <c r="R7" s="7">
        <v>18</v>
      </c>
      <c r="S7" s="6">
        <v>19</v>
      </c>
      <c r="T7" s="7">
        <v>20</v>
      </c>
      <c r="U7" s="6">
        <v>21</v>
      </c>
      <c r="V7" s="7">
        <v>22</v>
      </c>
      <c r="W7" s="6">
        <v>23</v>
      </c>
      <c r="X7" s="7">
        <v>24</v>
      </c>
      <c r="Y7" s="6">
        <v>25</v>
      </c>
      <c r="Z7" s="7">
        <v>26</v>
      </c>
      <c r="AA7" s="6">
        <v>27</v>
      </c>
      <c r="AB7" s="7">
        <v>28</v>
      </c>
      <c r="AC7" s="6">
        <v>29</v>
      </c>
      <c r="AD7" s="7">
        <v>30</v>
      </c>
      <c r="AE7" s="6">
        <v>31</v>
      </c>
      <c r="AF7" s="7">
        <v>32</v>
      </c>
      <c r="AG7" s="6">
        <v>33</v>
      </c>
      <c r="AH7" s="7">
        <v>34</v>
      </c>
      <c r="AI7" s="6">
        <v>35</v>
      </c>
      <c r="AJ7" s="7">
        <v>36</v>
      </c>
      <c r="AK7" s="6">
        <v>37</v>
      </c>
      <c r="AL7" s="7">
        <v>38</v>
      </c>
      <c r="AM7" s="6">
        <v>39</v>
      </c>
      <c r="AN7" s="7">
        <v>40</v>
      </c>
      <c r="AO7" s="6">
        <v>41</v>
      </c>
      <c r="AP7" s="7">
        <v>42</v>
      </c>
      <c r="AQ7" s="6">
        <v>43</v>
      </c>
      <c r="AR7" s="7">
        <v>44</v>
      </c>
      <c r="AS7" s="6">
        <v>45</v>
      </c>
      <c r="AT7" s="7">
        <v>46</v>
      </c>
      <c r="AU7" s="6">
        <v>47</v>
      </c>
      <c r="AV7" s="7">
        <v>48</v>
      </c>
      <c r="AW7" s="6">
        <v>49</v>
      </c>
      <c r="AX7" s="7">
        <v>50</v>
      </c>
      <c r="AY7" s="6">
        <v>51</v>
      </c>
      <c r="AZ7" s="7">
        <v>52</v>
      </c>
      <c r="BA7" s="6">
        <v>53</v>
      </c>
      <c r="BB7" s="7">
        <v>54</v>
      </c>
      <c r="BC7" s="6">
        <v>55</v>
      </c>
      <c r="BD7" s="7">
        <v>56</v>
      </c>
      <c r="BE7" s="6">
        <v>57</v>
      </c>
    </row>
    <row r="8" spans="1:57" ht="15" customHeight="1">
      <c r="A8" s="5" t="s">
        <v>43</v>
      </c>
      <c r="B8" s="49"/>
      <c r="C8" s="50"/>
      <c r="D8" s="50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6"/>
      <c r="R8" s="46"/>
      <c r="S8" s="46"/>
      <c r="T8" s="46"/>
      <c r="U8" s="53"/>
      <c r="V8" s="53"/>
      <c r="W8" s="53"/>
      <c r="X8" s="53"/>
      <c r="Y8" s="53"/>
      <c r="Z8" s="53"/>
      <c r="AA8" s="45"/>
      <c r="AB8" s="45"/>
      <c r="AC8" s="78"/>
      <c r="AD8" s="78"/>
      <c r="AE8" s="79"/>
      <c r="AF8" s="79"/>
      <c r="AG8" s="12"/>
      <c r="AH8" s="12"/>
      <c r="AI8" s="12"/>
      <c r="AJ8" s="12"/>
      <c r="AK8" s="12"/>
      <c r="AL8" s="12"/>
      <c r="AM8" s="12"/>
      <c r="AN8" s="12"/>
      <c r="AO8" s="27"/>
      <c r="AP8" s="27"/>
      <c r="AQ8" s="27"/>
      <c r="AR8" s="27"/>
      <c r="AS8" s="75"/>
      <c r="AT8" s="75"/>
      <c r="AU8" s="42"/>
      <c r="AV8" s="42"/>
      <c r="AW8" s="42"/>
      <c r="AX8" s="27"/>
      <c r="AY8" s="27"/>
      <c r="AZ8" s="27"/>
      <c r="BA8" s="12"/>
      <c r="BB8" s="12"/>
      <c r="BC8" s="12"/>
      <c r="BD8" s="12"/>
      <c r="BE8" s="26"/>
    </row>
    <row r="9" spans="1:57" ht="12.75">
      <c r="A9" s="9" t="s">
        <v>44</v>
      </c>
      <c r="B9" s="93">
        <v>352.9</v>
      </c>
      <c r="C9" s="85">
        <f aca="true" t="shared" si="0" ref="C9:C20">B9*8.65</f>
        <v>3052.585</v>
      </c>
      <c r="D9" s="86">
        <f>C9*0.125</f>
        <v>381.573125</v>
      </c>
      <c r="E9" s="87">
        <v>265.8</v>
      </c>
      <c r="F9" s="87">
        <v>24</v>
      </c>
      <c r="G9" s="87">
        <v>96.63</v>
      </c>
      <c r="H9" s="87">
        <v>8.7</v>
      </c>
      <c r="I9" s="87">
        <v>863.86</v>
      </c>
      <c r="J9" s="87">
        <v>78</v>
      </c>
      <c r="K9" s="87">
        <v>598.06</v>
      </c>
      <c r="L9" s="87">
        <v>54</v>
      </c>
      <c r="M9" s="87">
        <v>212.64</v>
      </c>
      <c r="N9" s="87">
        <v>19.2</v>
      </c>
      <c r="O9" s="87">
        <v>0</v>
      </c>
      <c r="P9" s="92">
        <v>0</v>
      </c>
      <c r="Q9" s="87">
        <v>0</v>
      </c>
      <c r="R9" s="92">
        <v>0</v>
      </c>
      <c r="S9" s="72">
        <f aca="true" t="shared" si="1" ref="S9:S20">E9+G9+I9+K9+M9+O9+Q9</f>
        <v>2036.9899999999998</v>
      </c>
      <c r="T9" s="113">
        <f aca="true" t="shared" si="2" ref="T9:T20">P9+N9+L9+J9+H9+F9+R9</f>
        <v>183.89999999999998</v>
      </c>
      <c r="U9" s="71">
        <v>124.2</v>
      </c>
      <c r="V9" s="71">
        <v>45.25</v>
      </c>
      <c r="W9" s="71">
        <v>403.64</v>
      </c>
      <c r="X9" s="71">
        <v>279.45</v>
      </c>
      <c r="Y9" s="71">
        <v>99.36</v>
      </c>
      <c r="Z9" s="89">
        <v>0</v>
      </c>
      <c r="AA9" s="89">
        <v>0</v>
      </c>
      <c r="AB9" s="94">
        <f aca="true" t="shared" si="3" ref="AB9:AB17">SUM(U9:AA9)</f>
        <v>951.9</v>
      </c>
      <c r="AC9" s="114">
        <f aca="true" t="shared" si="4" ref="AC9:AC17">D9+T9+AB9</f>
        <v>1517.373125</v>
      </c>
      <c r="AD9" s="115">
        <f aca="true" t="shared" si="5" ref="AD9:AD20">P9+Z9</f>
        <v>0</v>
      </c>
      <c r="AE9" s="115">
        <f aca="true" t="shared" si="6" ref="AE9:AE20">R9+AA9</f>
        <v>0</v>
      </c>
      <c r="AF9" s="115"/>
      <c r="AG9" s="14">
        <f>0.6*B9*0.9</f>
        <v>190.56599999999997</v>
      </c>
      <c r="AH9" s="14">
        <f>B9*0.2*0.891</f>
        <v>62.88678</v>
      </c>
      <c r="AI9" s="14">
        <f>0.85*B9*0.867-0.02</f>
        <v>260.049655</v>
      </c>
      <c r="AJ9" s="101">
        <f aca="true" t="shared" si="7" ref="AJ9:AJ20">AI9*0.18</f>
        <v>46.8089379</v>
      </c>
      <c r="AK9" s="14">
        <f>0.83*B9*0.8686</f>
        <v>254.4190202</v>
      </c>
      <c r="AL9" s="101">
        <f aca="true" t="shared" si="8" ref="AL9:AL20">AK9*0.18</f>
        <v>45.795423636</v>
      </c>
      <c r="AM9" s="14">
        <f>1.91*B9*0.8686</f>
        <v>585.4702753999999</v>
      </c>
      <c r="AN9" s="101">
        <f aca="true" t="shared" si="9" ref="AN9:AN20">AM9*0.18</f>
        <v>105.38464957199997</v>
      </c>
      <c r="AO9" s="101"/>
      <c r="AP9" s="101">
        <f aca="true" t="shared" si="10" ref="AP9:AP20">AO9*0.18</f>
        <v>0</v>
      </c>
      <c r="AQ9" s="123"/>
      <c r="AR9" s="95">
        <f>AQ9*0.18</f>
        <v>0</v>
      </c>
      <c r="AS9" s="116"/>
      <c r="AT9" s="116"/>
      <c r="AU9" s="77">
        <f aca="true" t="shared" si="11" ref="AU9:AU20">(AS9+AT9)*0.18</f>
        <v>0</v>
      </c>
      <c r="AV9" s="117">
        <v>508</v>
      </c>
      <c r="AW9" s="122">
        <v>0.15</v>
      </c>
      <c r="AX9" s="101"/>
      <c r="AY9" s="101"/>
      <c r="AZ9" s="118"/>
      <c r="BA9" s="118">
        <f>AZ9*0.18</f>
        <v>0</v>
      </c>
      <c r="BB9" s="99">
        <f>SUM(AG9:AU9)</f>
        <v>1551.3807417079997</v>
      </c>
      <c r="BC9" s="119"/>
      <c r="BD9" s="12">
        <f>AC9+AF9-BB9-BC9</f>
        <v>-34.00761670799966</v>
      </c>
      <c r="BE9" s="26">
        <f>AB9-S9</f>
        <v>-1085.0899999999997</v>
      </c>
    </row>
    <row r="10" spans="1:57" ht="12.75">
      <c r="A10" s="9" t="s">
        <v>45</v>
      </c>
      <c r="B10" s="93">
        <v>352.9</v>
      </c>
      <c r="C10" s="85">
        <f t="shared" si="0"/>
        <v>3052.585</v>
      </c>
      <c r="D10" s="86">
        <f>C10*0.125</f>
        <v>381.573125</v>
      </c>
      <c r="E10" s="87">
        <v>265.77</v>
      </c>
      <c r="F10" s="87">
        <v>24</v>
      </c>
      <c r="G10" s="87">
        <v>96.62</v>
      </c>
      <c r="H10" s="87">
        <v>8.7</v>
      </c>
      <c r="I10" s="87">
        <v>863.76</v>
      </c>
      <c r="J10" s="87">
        <v>78</v>
      </c>
      <c r="K10" s="87">
        <v>597.99</v>
      </c>
      <c r="L10" s="87">
        <v>54</v>
      </c>
      <c r="M10" s="87">
        <v>212.61</v>
      </c>
      <c r="N10" s="87">
        <v>19.2</v>
      </c>
      <c r="O10" s="87">
        <v>0</v>
      </c>
      <c r="P10" s="92">
        <v>0</v>
      </c>
      <c r="Q10" s="87">
        <v>0</v>
      </c>
      <c r="R10" s="92">
        <v>0</v>
      </c>
      <c r="S10" s="71">
        <f t="shared" si="1"/>
        <v>2036.75</v>
      </c>
      <c r="T10" s="88">
        <f t="shared" si="2"/>
        <v>183.89999999999998</v>
      </c>
      <c r="U10" s="71">
        <v>159.6</v>
      </c>
      <c r="V10" s="71">
        <v>58.1</v>
      </c>
      <c r="W10" s="71">
        <v>518.71</v>
      </c>
      <c r="X10" s="71">
        <v>359.12</v>
      </c>
      <c r="Y10" s="71">
        <v>127.68</v>
      </c>
      <c r="Z10" s="89">
        <v>0</v>
      </c>
      <c r="AA10" s="89">
        <v>0</v>
      </c>
      <c r="AB10" s="90">
        <f t="shared" si="3"/>
        <v>1223.2100000000003</v>
      </c>
      <c r="AC10" s="91">
        <f t="shared" si="4"/>
        <v>1788.6831250000002</v>
      </c>
      <c r="AD10" s="82">
        <f t="shared" si="5"/>
        <v>0</v>
      </c>
      <c r="AE10" s="82">
        <f t="shared" si="6"/>
        <v>0</v>
      </c>
      <c r="AF10" s="82"/>
      <c r="AG10" s="14">
        <f>0.6*B10*0.9</f>
        <v>190.56599999999997</v>
      </c>
      <c r="AH10" s="14">
        <f>B10*0.2*0.9153</f>
        <v>64.601874</v>
      </c>
      <c r="AI10" s="14">
        <f>0.85*B10*0.866</f>
        <v>259.76968999999997</v>
      </c>
      <c r="AJ10" s="14">
        <f t="shared" si="7"/>
        <v>46.758544199999996</v>
      </c>
      <c r="AK10" s="14">
        <f>0.83*B10*0.8685</f>
        <v>254.3897295</v>
      </c>
      <c r="AL10" s="14">
        <f t="shared" si="8"/>
        <v>45.79015131</v>
      </c>
      <c r="AM10" s="14">
        <f>(1.91)*B10*0.8684</f>
        <v>585.3354675999999</v>
      </c>
      <c r="AN10" s="14">
        <f t="shared" si="9"/>
        <v>105.36038416799998</v>
      </c>
      <c r="AO10" s="14"/>
      <c r="AP10" s="14">
        <f t="shared" si="10"/>
        <v>0</v>
      </c>
      <c r="AQ10" s="123"/>
      <c r="AR10" s="95">
        <f>AQ10*0.18</f>
        <v>0</v>
      </c>
      <c r="AS10" s="77"/>
      <c r="AT10" s="116"/>
      <c r="AU10" s="77">
        <f t="shared" si="11"/>
        <v>0</v>
      </c>
      <c r="AV10" s="96">
        <v>407</v>
      </c>
      <c r="AW10" s="111">
        <v>0.15</v>
      </c>
      <c r="AX10" s="14"/>
      <c r="AY10" s="14"/>
      <c r="AZ10" s="99"/>
      <c r="BA10" s="99">
        <f>AZ10*0.18</f>
        <v>0</v>
      </c>
      <c r="BB10" s="99">
        <f>SUM(AG10:AU10)</f>
        <v>1552.5718407779998</v>
      </c>
      <c r="BC10" s="105"/>
      <c r="BD10" s="12">
        <f aca="true" t="shared" si="12" ref="BD10:BD17">AC10+AF10-BB10-BC10</f>
        <v>236.11128422200045</v>
      </c>
      <c r="BE10" s="26">
        <f aca="true" t="shared" si="13" ref="BE10:BE20">AB10-S10</f>
        <v>-813.5399999999997</v>
      </c>
    </row>
    <row r="11" spans="1:57" ht="12.75">
      <c r="A11" s="9" t="s">
        <v>46</v>
      </c>
      <c r="B11" s="106">
        <v>352.9</v>
      </c>
      <c r="C11" s="85">
        <f t="shared" si="0"/>
        <v>3052.585</v>
      </c>
      <c r="D11" s="86">
        <f>C11*0.125</f>
        <v>381.573125</v>
      </c>
      <c r="E11" s="87">
        <v>265.8</v>
      </c>
      <c r="F11" s="87">
        <v>24</v>
      </c>
      <c r="G11" s="87">
        <v>96.63</v>
      </c>
      <c r="H11" s="87">
        <v>8.7</v>
      </c>
      <c r="I11" s="87">
        <v>863.86</v>
      </c>
      <c r="J11" s="87">
        <v>78</v>
      </c>
      <c r="K11" s="87">
        <v>598.06</v>
      </c>
      <c r="L11" s="87">
        <v>54</v>
      </c>
      <c r="M11" s="87">
        <v>212.64</v>
      </c>
      <c r="N11" s="87">
        <v>19.2</v>
      </c>
      <c r="O11" s="87">
        <v>0</v>
      </c>
      <c r="P11" s="92">
        <v>0</v>
      </c>
      <c r="Q11" s="87">
        <v>0</v>
      </c>
      <c r="R11" s="92">
        <v>0</v>
      </c>
      <c r="S11" s="72">
        <f t="shared" si="1"/>
        <v>2036.9899999999998</v>
      </c>
      <c r="T11" s="113">
        <f t="shared" si="2"/>
        <v>183.89999999999998</v>
      </c>
      <c r="U11" s="72">
        <v>165</v>
      </c>
      <c r="V11" s="72">
        <v>60.07</v>
      </c>
      <c r="W11" s="72">
        <v>536.25</v>
      </c>
      <c r="X11" s="72">
        <v>371.24</v>
      </c>
      <c r="Y11" s="72">
        <v>131.98</v>
      </c>
      <c r="Z11" s="100">
        <v>0</v>
      </c>
      <c r="AA11" s="100">
        <v>0</v>
      </c>
      <c r="AB11" s="94">
        <f t="shared" si="3"/>
        <v>1264.54</v>
      </c>
      <c r="AC11" s="114">
        <f t="shared" si="4"/>
        <v>1830.013125</v>
      </c>
      <c r="AD11" s="115">
        <f t="shared" si="5"/>
        <v>0</v>
      </c>
      <c r="AE11" s="115">
        <f t="shared" si="6"/>
        <v>0</v>
      </c>
      <c r="AF11" s="82"/>
      <c r="AG11" s="101">
        <f>0.6*B11*0.9</f>
        <v>190.56599999999997</v>
      </c>
      <c r="AH11" s="101">
        <f>B11*0.2*0.9082-0.01</f>
        <v>64.090756</v>
      </c>
      <c r="AI11" s="14">
        <f>0.85*B11*0.8675+0.01</f>
        <v>260.22963749999997</v>
      </c>
      <c r="AJ11" s="101">
        <f t="shared" si="7"/>
        <v>46.841334749999994</v>
      </c>
      <c r="AK11" s="101">
        <f>0.83*B11*0.838</f>
        <v>245.45606599999996</v>
      </c>
      <c r="AL11" s="101">
        <f t="shared" si="8"/>
        <v>44.182091879999994</v>
      </c>
      <c r="AM11" s="14">
        <f>1.91*B11*0.838</f>
        <v>564.8446819999999</v>
      </c>
      <c r="AN11" s="101">
        <f t="shared" si="9"/>
        <v>101.67204275999998</v>
      </c>
      <c r="AO11" s="101"/>
      <c r="AP11" s="101">
        <f t="shared" si="10"/>
        <v>0</v>
      </c>
      <c r="AQ11" s="123"/>
      <c r="AR11" s="95">
        <f>AQ11*0.18</f>
        <v>0</v>
      </c>
      <c r="AS11" s="116">
        <v>415</v>
      </c>
      <c r="AT11" s="116"/>
      <c r="AU11" s="77">
        <f t="shared" si="11"/>
        <v>74.7</v>
      </c>
      <c r="AV11" s="96">
        <v>383</v>
      </c>
      <c r="AW11" s="111">
        <v>0.15</v>
      </c>
      <c r="AX11" s="101"/>
      <c r="AY11" s="101"/>
      <c r="AZ11" s="118"/>
      <c r="BA11" s="118">
        <f>AZ11*0.18</f>
        <v>0</v>
      </c>
      <c r="BB11" s="99">
        <f>SUM(AG11:AU11)</f>
        <v>2007.58261089</v>
      </c>
      <c r="BC11" s="105"/>
      <c r="BD11" s="12">
        <f t="shared" si="12"/>
        <v>-177.56948589000012</v>
      </c>
      <c r="BE11" s="26">
        <f t="shared" si="13"/>
        <v>-772.4499999999998</v>
      </c>
    </row>
    <row r="12" spans="1:57" ht="12.75">
      <c r="A12" s="9" t="s">
        <v>47</v>
      </c>
      <c r="B12" s="102">
        <v>352.9</v>
      </c>
      <c r="C12" s="85">
        <f t="shared" si="0"/>
        <v>3052.585</v>
      </c>
      <c r="D12" s="86">
        <f>C12*0.125</f>
        <v>381.573125</v>
      </c>
      <c r="E12" s="103">
        <v>265.8</v>
      </c>
      <c r="F12" s="103">
        <v>24</v>
      </c>
      <c r="G12" s="103">
        <v>96.63</v>
      </c>
      <c r="H12" s="103">
        <v>8.7</v>
      </c>
      <c r="I12" s="103">
        <v>863.86</v>
      </c>
      <c r="J12" s="103">
        <v>78</v>
      </c>
      <c r="K12" s="103">
        <v>598.06</v>
      </c>
      <c r="L12" s="103">
        <v>54</v>
      </c>
      <c r="M12" s="103">
        <v>212.64</v>
      </c>
      <c r="N12" s="103">
        <v>19.2</v>
      </c>
      <c r="O12" s="103">
        <v>0</v>
      </c>
      <c r="P12" s="104">
        <v>0</v>
      </c>
      <c r="Q12" s="103">
        <v>0</v>
      </c>
      <c r="R12" s="104">
        <v>0</v>
      </c>
      <c r="S12" s="72">
        <f t="shared" si="1"/>
        <v>2036.9899999999998</v>
      </c>
      <c r="T12" s="113">
        <f t="shared" si="2"/>
        <v>183.89999999999998</v>
      </c>
      <c r="U12" s="71">
        <v>99.72</v>
      </c>
      <c r="V12" s="71">
        <v>36.42</v>
      </c>
      <c r="W12" s="71">
        <v>324.11</v>
      </c>
      <c r="X12" s="71">
        <v>224.39</v>
      </c>
      <c r="Y12" s="71">
        <v>79.78</v>
      </c>
      <c r="Z12" s="71">
        <v>0</v>
      </c>
      <c r="AA12" s="71">
        <v>0</v>
      </c>
      <c r="AB12" s="94">
        <f t="shared" si="3"/>
        <v>764.42</v>
      </c>
      <c r="AC12" s="114">
        <f t="shared" si="4"/>
        <v>1329.893125</v>
      </c>
      <c r="AD12" s="115">
        <f t="shared" si="5"/>
        <v>0</v>
      </c>
      <c r="AE12" s="115">
        <f t="shared" si="6"/>
        <v>0</v>
      </c>
      <c r="AF12" s="82"/>
      <c r="AG12" s="14">
        <f>0.6*B12*0.9</f>
        <v>190.56599999999997</v>
      </c>
      <c r="AH12" s="101">
        <f>B12*0.2*0.9234</f>
        <v>65.173572</v>
      </c>
      <c r="AI12" s="14">
        <f>0.85*B12*0.893</f>
        <v>267.868745</v>
      </c>
      <c r="AJ12" s="14">
        <f t="shared" si="7"/>
        <v>48.216374099999996</v>
      </c>
      <c r="AK12" s="14">
        <f>0.83*B12*0.8498</f>
        <v>248.91236859999998</v>
      </c>
      <c r="AL12" s="14">
        <f t="shared" si="8"/>
        <v>44.80422634799999</v>
      </c>
      <c r="AM12" s="14">
        <f>(1.91)*B12*0.8498</f>
        <v>572.7983421999999</v>
      </c>
      <c r="AN12" s="14">
        <f t="shared" si="9"/>
        <v>103.10370159599996</v>
      </c>
      <c r="AO12" s="14"/>
      <c r="AP12" s="14">
        <f t="shared" si="10"/>
        <v>0</v>
      </c>
      <c r="AQ12" s="95"/>
      <c r="AR12" s="95">
        <f>AQ12*0.18</f>
        <v>0</v>
      </c>
      <c r="AS12" s="77">
        <v>0</v>
      </c>
      <c r="AT12" s="77"/>
      <c r="AU12" s="77">
        <f t="shared" si="11"/>
        <v>0</v>
      </c>
      <c r="AV12" s="96">
        <v>307</v>
      </c>
      <c r="AW12" s="111">
        <v>0.15</v>
      </c>
      <c r="AX12" s="14">
        <v>318.18</v>
      </c>
      <c r="AY12" s="98"/>
      <c r="AZ12" s="99"/>
      <c r="BA12" s="99">
        <f>AZ12*0.18</f>
        <v>0</v>
      </c>
      <c r="BB12" s="99">
        <f aca="true" t="shared" si="14" ref="BB12:BB17">SUM(AG12:BA12)-AV12-AW12</f>
        <v>1859.6233298439997</v>
      </c>
      <c r="BC12" s="120"/>
      <c r="BD12" s="12">
        <f t="shared" si="12"/>
        <v>-529.7302048439997</v>
      </c>
      <c r="BE12" s="26">
        <f t="shared" si="13"/>
        <v>-1272.5699999999997</v>
      </c>
    </row>
    <row r="13" spans="1:57" ht="12.75">
      <c r="A13" s="9" t="s">
        <v>48</v>
      </c>
      <c r="B13" s="106">
        <v>352.9</v>
      </c>
      <c r="C13" s="85">
        <f t="shared" si="0"/>
        <v>3052.585</v>
      </c>
      <c r="D13" s="107">
        <f>C13-E13-F13-G13-H13-I13-J13-K13-L13-M13-N13</f>
        <v>563.6850000000004</v>
      </c>
      <c r="E13" s="103">
        <v>296.85</v>
      </c>
      <c r="F13" s="103">
        <v>27</v>
      </c>
      <c r="G13" s="103">
        <v>111.66</v>
      </c>
      <c r="H13" s="103">
        <v>10.2</v>
      </c>
      <c r="I13" s="103">
        <v>966.08</v>
      </c>
      <c r="J13" s="103">
        <v>87.9</v>
      </c>
      <c r="K13" s="103">
        <v>669.23</v>
      </c>
      <c r="L13" s="103">
        <v>60.9</v>
      </c>
      <c r="M13" s="103">
        <v>237.48</v>
      </c>
      <c r="N13" s="103">
        <v>21.6</v>
      </c>
      <c r="O13" s="103">
        <v>0</v>
      </c>
      <c r="P13" s="104">
        <v>0</v>
      </c>
      <c r="Q13" s="103">
        <v>0</v>
      </c>
      <c r="R13" s="104">
        <v>0</v>
      </c>
      <c r="S13" s="72">
        <f t="shared" si="1"/>
        <v>2281.3</v>
      </c>
      <c r="T13" s="113">
        <f t="shared" si="2"/>
        <v>207.6</v>
      </c>
      <c r="U13" s="72">
        <v>244.43</v>
      </c>
      <c r="V13" s="72">
        <v>88.87</v>
      </c>
      <c r="W13" s="72">
        <v>794.41</v>
      </c>
      <c r="X13" s="72">
        <v>549.98</v>
      </c>
      <c r="Y13" s="72">
        <v>195.55</v>
      </c>
      <c r="Z13" s="100">
        <v>0</v>
      </c>
      <c r="AA13" s="100">
        <v>0</v>
      </c>
      <c r="AB13" s="94">
        <f t="shared" si="3"/>
        <v>1873.24</v>
      </c>
      <c r="AC13" s="114">
        <f t="shared" si="4"/>
        <v>2644.5250000000005</v>
      </c>
      <c r="AD13" s="115">
        <f t="shared" si="5"/>
        <v>0</v>
      </c>
      <c r="AE13" s="115">
        <f t="shared" si="6"/>
        <v>0</v>
      </c>
      <c r="AF13" s="82"/>
      <c r="AG13" s="101">
        <f>0.6*B13</f>
        <v>211.73999999999998</v>
      </c>
      <c r="AH13" s="14">
        <f>B13*0.2*1.01</f>
        <v>71.2858</v>
      </c>
      <c r="AI13" s="14">
        <f>0.85*B13</f>
        <v>299.965</v>
      </c>
      <c r="AJ13" s="101">
        <f t="shared" si="7"/>
        <v>53.9937</v>
      </c>
      <c r="AK13" s="101">
        <f>0.83*B13</f>
        <v>292.907</v>
      </c>
      <c r="AL13" s="101">
        <f t="shared" si="8"/>
        <v>52.723259999999996</v>
      </c>
      <c r="AM13" s="14">
        <f>(1.91)*B13</f>
        <v>674.0389999999999</v>
      </c>
      <c r="AN13" s="101">
        <f t="shared" si="9"/>
        <v>121.32701999999998</v>
      </c>
      <c r="AO13" s="101"/>
      <c r="AP13" s="101">
        <f t="shared" si="10"/>
        <v>0</v>
      </c>
      <c r="AQ13" s="95"/>
      <c r="AR13" s="95">
        <f>AQ13*0.18</f>
        <v>0</v>
      </c>
      <c r="AS13" s="116"/>
      <c r="AT13" s="116"/>
      <c r="AU13" s="77">
        <f t="shared" si="11"/>
        <v>0</v>
      </c>
      <c r="AV13" s="117">
        <v>263</v>
      </c>
      <c r="AW13" s="122">
        <v>0.15</v>
      </c>
      <c r="AX13" s="101">
        <f aca="true" t="shared" si="15" ref="AX9:AX20">AV13*AW13*1.12*1.18</f>
        <v>52.137119999999996</v>
      </c>
      <c r="AY13" s="101"/>
      <c r="AZ13" s="118"/>
      <c r="BA13" s="118">
        <f aca="true" t="shared" si="16" ref="BA13:BA20">AZ13*0.18</f>
        <v>0</v>
      </c>
      <c r="BB13" s="118">
        <f t="shared" si="14"/>
        <v>1830.1178999999997</v>
      </c>
      <c r="BC13" s="120"/>
      <c r="BD13" s="12">
        <f t="shared" si="12"/>
        <v>814.4071000000008</v>
      </c>
      <c r="BE13" s="26">
        <f t="shared" si="13"/>
        <v>-408.0600000000002</v>
      </c>
    </row>
    <row r="14" spans="1:57" ht="12.75">
      <c r="A14" s="9" t="s">
        <v>49</v>
      </c>
      <c r="B14" s="106">
        <v>352.9</v>
      </c>
      <c r="C14" s="85">
        <f t="shared" si="0"/>
        <v>3052.585</v>
      </c>
      <c r="D14" s="107">
        <f aca="true" t="shared" si="17" ref="D14:D20">C14-E14-F14-G14-H14-I14-J14-K14-L14-M14-N14</f>
        <v>561.6650000000003</v>
      </c>
      <c r="E14" s="103">
        <v>297.12</v>
      </c>
      <c r="F14" s="103">
        <v>27</v>
      </c>
      <c r="G14" s="103">
        <v>111.74</v>
      </c>
      <c r="H14" s="103">
        <v>10.2</v>
      </c>
      <c r="I14" s="103">
        <v>966.94</v>
      </c>
      <c r="J14" s="103">
        <v>87.9</v>
      </c>
      <c r="K14" s="103">
        <v>669.82</v>
      </c>
      <c r="L14" s="103">
        <v>60.9</v>
      </c>
      <c r="M14" s="103">
        <v>237.7</v>
      </c>
      <c r="N14" s="103">
        <v>21.6</v>
      </c>
      <c r="O14" s="103">
        <v>0</v>
      </c>
      <c r="P14" s="104">
        <v>0</v>
      </c>
      <c r="Q14" s="103">
        <v>0</v>
      </c>
      <c r="R14" s="104">
        <v>0</v>
      </c>
      <c r="S14" s="72">
        <f t="shared" si="1"/>
        <v>2283.32</v>
      </c>
      <c r="T14" s="113">
        <f t="shared" si="2"/>
        <v>207.6</v>
      </c>
      <c r="U14" s="72">
        <v>192.93</v>
      </c>
      <c r="V14" s="72">
        <v>71.83</v>
      </c>
      <c r="W14" s="72">
        <v>627.55</v>
      </c>
      <c r="X14" s="72">
        <v>434.62</v>
      </c>
      <c r="Y14" s="72">
        <v>154.34</v>
      </c>
      <c r="Z14" s="100">
        <v>0</v>
      </c>
      <c r="AA14" s="100">
        <v>0</v>
      </c>
      <c r="AB14" s="94">
        <f t="shared" si="3"/>
        <v>1481.2699999999998</v>
      </c>
      <c r="AC14" s="114">
        <f t="shared" si="4"/>
        <v>2250.535</v>
      </c>
      <c r="AD14" s="115">
        <f t="shared" si="5"/>
        <v>0</v>
      </c>
      <c r="AE14" s="115">
        <f t="shared" si="6"/>
        <v>0</v>
      </c>
      <c r="AF14" s="124"/>
      <c r="AG14" s="101">
        <f aca="true" t="shared" si="18" ref="AG14:AG20">0.6*B14</f>
        <v>211.73999999999998</v>
      </c>
      <c r="AH14" s="14">
        <f>B14*0.2*1.01045</f>
        <v>71.317561</v>
      </c>
      <c r="AI14" s="101">
        <f>0.85*B14</f>
        <v>299.965</v>
      </c>
      <c r="AJ14" s="101">
        <f t="shared" si="7"/>
        <v>53.9937</v>
      </c>
      <c r="AK14" s="101">
        <f>0.83*B14</f>
        <v>292.907</v>
      </c>
      <c r="AL14" s="101">
        <f t="shared" si="8"/>
        <v>52.723259999999996</v>
      </c>
      <c r="AM14" s="14">
        <f>(1.91)*B14</f>
        <v>674.0389999999999</v>
      </c>
      <c r="AN14" s="101">
        <f t="shared" si="9"/>
        <v>121.32701999999998</v>
      </c>
      <c r="AO14" s="101"/>
      <c r="AP14" s="101">
        <f t="shared" si="10"/>
        <v>0</v>
      </c>
      <c r="AQ14" s="95"/>
      <c r="AR14" s="125">
        <v>0</v>
      </c>
      <c r="AS14" s="116"/>
      <c r="AT14" s="116"/>
      <c r="AU14" s="77">
        <f t="shared" si="11"/>
        <v>0</v>
      </c>
      <c r="AV14" s="117">
        <v>233</v>
      </c>
      <c r="AW14" s="122">
        <v>0.15</v>
      </c>
      <c r="AX14" s="101">
        <f t="shared" si="15"/>
        <v>46.189919999999994</v>
      </c>
      <c r="AY14" s="126"/>
      <c r="AZ14" s="112"/>
      <c r="BA14" s="99">
        <f t="shared" si="16"/>
        <v>0</v>
      </c>
      <c r="BB14" s="99">
        <f t="shared" si="14"/>
        <v>1824.2024609999999</v>
      </c>
      <c r="BC14" s="127"/>
      <c r="BD14" s="12">
        <f t="shared" si="12"/>
        <v>426.332539</v>
      </c>
      <c r="BE14" s="26">
        <f t="shared" si="13"/>
        <v>-802.0500000000004</v>
      </c>
    </row>
    <row r="15" spans="1:57" ht="12.75">
      <c r="A15" s="9" t="s">
        <v>50</v>
      </c>
      <c r="B15" s="121">
        <v>352.9</v>
      </c>
      <c r="C15" s="85">
        <f t="shared" si="0"/>
        <v>3052.585</v>
      </c>
      <c r="D15" s="107">
        <f t="shared" si="17"/>
        <v>561.6650000000003</v>
      </c>
      <c r="E15" s="103">
        <v>297.12</v>
      </c>
      <c r="F15" s="103">
        <v>27</v>
      </c>
      <c r="G15" s="103">
        <v>111.74</v>
      </c>
      <c r="H15" s="103">
        <v>10.2</v>
      </c>
      <c r="I15" s="103">
        <v>966.94</v>
      </c>
      <c r="J15" s="103">
        <v>87.9</v>
      </c>
      <c r="K15" s="103">
        <v>669.82</v>
      </c>
      <c r="L15" s="103">
        <v>60.9</v>
      </c>
      <c r="M15" s="103">
        <v>237.7</v>
      </c>
      <c r="N15" s="103">
        <v>21.6</v>
      </c>
      <c r="O15" s="103">
        <v>0</v>
      </c>
      <c r="P15" s="104">
        <v>0</v>
      </c>
      <c r="Q15" s="103">
        <v>0</v>
      </c>
      <c r="R15" s="104">
        <v>0</v>
      </c>
      <c r="S15" s="71">
        <f t="shared" si="1"/>
        <v>2283.32</v>
      </c>
      <c r="T15" s="113">
        <f t="shared" si="2"/>
        <v>207.6</v>
      </c>
      <c r="U15" s="72">
        <v>705.06</v>
      </c>
      <c r="V15" s="72">
        <v>259.47</v>
      </c>
      <c r="W15" s="72">
        <v>2292.69</v>
      </c>
      <c r="X15" s="72">
        <v>1587.59</v>
      </c>
      <c r="Y15" s="72">
        <v>564.05</v>
      </c>
      <c r="Z15" s="100">
        <v>0</v>
      </c>
      <c r="AA15" s="100">
        <v>0</v>
      </c>
      <c r="AB15" s="94">
        <f t="shared" si="3"/>
        <v>5408.860000000001</v>
      </c>
      <c r="AC15" s="114">
        <f t="shared" si="4"/>
        <v>6178.125000000001</v>
      </c>
      <c r="AD15" s="115">
        <f t="shared" si="5"/>
        <v>0</v>
      </c>
      <c r="AE15" s="115">
        <f t="shared" si="6"/>
        <v>0</v>
      </c>
      <c r="AF15" s="115"/>
      <c r="AG15" s="101">
        <f t="shared" si="18"/>
        <v>211.73999999999998</v>
      </c>
      <c r="AH15" s="14">
        <f>B15*0.2*0.99425</f>
        <v>70.174165</v>
      </c>
      <c r="AI15" s="14">
        <f>0.85*B15*0.9858</f>
        <v>295.705497</v>
      </c>
      <c r="AJ15" s="101">
        <f t="shared" si="7"/>
        <v>53.22698945999999</v>
      </c>
      <c r="AK15" s="14">
        <f>0.83*B15*0.9905</f>
        <v>290.1243835</v>
      </c>
      <c r="AL15" s="101">
        <f t="shared" si="8"/>
        <v>52.22238903</v>
      </c>
      <c r="AM15" s="14">
        <f>(1.91)*B15*0.9904</f>
        <v>667.5682255999999</v>
      </c>
      <c r="AN15" s="101">
        <f t="shared" si="9"/>
        <v>120.16228060799997</v>
      </c>
      <c r="AO15" s="101"/>
      <c r="AP15" s="101">
        <f t="shared" si="10"/>
        <v>0</v>
      </c>
      <c r="AQ15" s="95"/>
      <c r="AR15" s="95">
        <f aca="true" t="shared" si="19" ref="AR15:AR20">AQ15*0.18</f>
        <v>0</v>
      </c>
      <c r="AS15" s="116"/>
      <c r="AT15" s="77"/>
      <c r="AU15" s="77">
        <f t="shared" si="11"/>
        <v>0</v>
      </c>
      <c r="AV15" s="117">
        <v>248</v>
      </c>
      <c r="AW15" s="122">
        <v>0.15</v>
      </c>
      <c r="AX15" s="101">
        <f t="shared" si="15"/>
        <v>49.16352</v>
      </c>
      <c r="AY15" s="101"/>
      <c r="AZ15" s="118"/>
      <c r="BA15" s="118">
        <f t="shared" si="16"/>
        <v>0</v>
      </c>
      <c r="BB15" s="118">
        <f t="shared" si="14"/>
        <v>1810.0874501979997</v>
      </c>
      <c r="BC15" s="120"/>
      <c r="BD15" s="12">
        <f t="shared" si="12"/>
        <v>4368.037549802001</v>
      </c>
      <c r="BE15" s="26">
        <f t="shared" si="13"/>
        <v>3125.5400000000004</v>
      </c>
    </row>
    <row r="16" spans="1:57" ht="12.75">
      <c r="A16" s="9" t="s">
        <v>51</v>
      </c>
      <c r="B16" s="93">
        <v>352.9</v>
      </c>
      <c r="C16" s="85">
        <f t="shared" si="0"/>
        <v>3052.585</v>
      </c>
      <c r="D16" s="107">
        <f t="shared" si="17"/>
        <v>561.6650000000003</v>
      </c>
      <c r="E16" s="103">
        <v>297.12</v>
      </c>
      <c r="F16" s="103">
        <v>27</v>
      </c>
      <c r="G16" s="103">
        <v>111.74</v>
      </c>
      <c r="H16" s="103">
        <v>10.2</v>
      </c>
      <c r="I16" s="103">
        <v>966.94</v>
      </c>
      <c r="J16" s="103">
        <v>87.9</v>
      </c>
      <c r="K16" s="103">
        <v>669.82</v>
      </c>
      <c r="L16" s="103">
        <v>60.9</v>
      </c>
      <c r="M16" s="103">
        <v>237.7</v>
      </c>
      <c r="N16" s="103">
        <v>21.6</v>
      </c>
      <c r="O16" s="103">
        <v>0</v>
      </c>
      <c r="P16" s="104">
        <v>0</v>
      </c>
      <c r="Q16" s="72">
        <v>0</v>
      </c>
      <c r="R16" s="72">
        <v>0</v>
      </c>
      <c r="S16" s="72">
        <f t="shared" si="1"/>
        <v>2283.32</v>
      </c>
      <c r="T16" s="113">
        <f t="shared" si="2"/>
        <v>207.6</v>
      </c>
      <c r="U16" s="72">
        <v>571.98</v>
      </c>
      <c r="V16" s="72">
        <v>212.17</v>
      </c>
      <c r="W16" s="72">
        <v>1860.47</v>
      </c>
      <c r="X16" s="72">
        <v>1288.51</v>
      </c>
      <c r="Y16" s="72">
        <v>457.6</v>
      </c>
      <c r="Z16" s="100">
        <v>0</v>
      </c>
      <c r="AA16" s="100">
        <v>0</v>
      </c>
      <c r="AB16" s="94">
        <f t="shared" si="3"/>
        <v>4390.7300000000005</v>
      </c>
      <c r="AC16" s="128">
        <f t="shared" si="4"/>
        <v>5159.995000000001</v>
      </c>
      <c r="AD16" s="115">
        <f t="shared" si="5"/>
        <v>0</v>
      </c>
      <c r="AE16" s="115">
        <f t="shared" si="6"/>
        <v>0</v>
      </c>
      <c r="AF16" s="115"/>
      <c r="AG16" s="101">
        <f t="shared" si="18"/>
        <v>211.73999999999998</v>
      </c>
      <c r="AH16" s="14">
        <f>B16*0.2*0.99876</f>
        <v>70.4924808</v>
      </c>
      <c r="AI16" s="14">
        <f>0.85*B16*0.98525</f>
        <v>295.54051624999994</v>
      </c>
      <c r="AJ16" s="101">
        <f t="shared" si="7"/>
        <v>53.197292924999985</v>
      </c>
      <c r="AK16" s="14">
        <f>0.83*B16*0.99</f>
        <v>289.97792999999996</v>
      </c>
      <c r="AL16" s="101">
        <f t="shared" si="8"/>
        <v>52.19602739999999</v>
      </c>
      <c r="AM16" s="14">
        <f>(1.91)*B16*0.9899</f>
        <v>667.2312060999999</v>
      </c>
      <c r="AN16" s="101">
        <f t="shared" si="9"/>
        <v>120.10161709799998</v>
      </c>
      <c r="AO16" s="101"/>
      <c r="AP16" s="101">
        <f t="shared" si="10"/>
        <v>0</v>
      </c>
      <c r="AQ16" s="95"/>
      <c r="AR16" s="95">
        <f t="shared" si="19"/>
        <v>0</v>
      </c>
      <c r="AS16" s="116"/>
      <c r="AT16" s="77"/>
      <c r="AU16" s="77">
        <f t="shared" si="11"/>
        <v>0</v>
      </c>
      <c r="AV16" s="117">
        <v>293</v>
      </c>
      <c r="AW16" s="122">
        <v>0.15</v>
      </c>
      <c r="AX16" s="101">
        <f t="shared" si="15"/>
        <v>58.08431999999999</v>
      </c>
      <c r="AY16" s="101"/>
      <c r="AZ16" s="118"/>
      <c r="BA16" s="118">
        <f t="shared" si="16"/>
        <v>0</v>
      </c>
      <c r="BB16" s="118">
        <f t="shared" si="14"/>
        <v>1818.5613905729997</v>
      </c>
      <c r="BC16" s="120"/>
      <c r="BD16" s="12">
        <f t="shared" si="12"/>
        <v>3341.433609427001</v>
      </c>
      <c r="BE16" s="26">
        <f t="shared" si="13"/>
        <v>2107.4100000000003</v>
      </c>
    </row>
    <row r="17" spans="1:57" ht="12.75">
      <c r="A17" s="9" t="s">
        <v>52</v>
      </c>
      <c r="B17" s="84">
        <v>352.9</v>
      </c>
      <c r="C17" s="85">
        <f t="shared" si="0"/>
        <v>3052.585</v>
      </c>
      <c r="D17" s="107">
        <f t="shared" si="17"/>
        <v>561.6650000000003</v>
      </c>
      <c r="E17" s="87">
        <v>297.12</v>
      </c>
      <c r="F17" s="87">
        <v>27</v>
      </c>
      <c r="G17" s="87">
        <v>111.74</v>
      </c>
      <c r="H17" s="87">
        <v>10.2</v>
      </c>
      <c r="I17" s="87">
        <v>966.94</v>
      </c>
      <c r="J17" s="87">
        <v>87.9</v>
      </c>
      <c r="K17" s="87">
        <v>669.82</v>
      </c>
      <c r="L17" s="87">
        <v>60.9</v>
      </c>
      <c r="M17" s="87">
        <v>237.7</v>
      </c>
      <c r="N17" s="87">
        <v>21.6</v>
      </c>
      <c r="O17" s="103">
        <v>0</v>
      </c>
      <c r="P17" s="104">
        <v>0</v>
      </c>
      <c r="Q17" s="72">
        <v>0</v>
      </c>
      <c r="R17" s="72">
        <v>0</v>
      </c>
      <c r="S17" s="72">
        <f t="shared" si="1"/>
        <v>2283.32</v>
      </c>
      <c r="T17" s="113">
        <f t="shared" si="2"/>
        <v>207.6</v>
      </c>
      <c r="U17" s="71">
        <v>136.4</v>
      </c>
      <c r="V17" s="71">
        <v>51.24</v>
      </c>
      <c r="W17" s="71">
        <v>443.87</v>
      </c>
      <c r="X17" s="71">
        <v>307.45</v>
      </c>
      <c r="Y17" s="71">
        <v>109.11</v>
      </c>
      <c r="Z17" s="89">
        <v>0</v>
      </c>
      <c r="AA17" s="89">
        <v>0</v>
      </c>
      <c r="AB17" s="94">
        <f t="shared" si="3"/>
        <v>1048.07</v>
      </c>
      <c r="AC17" s="128">
        <f t="shared" si="4"/>
        <v>1817.3350000000003</v>
      </c>
      <c r="AD17" s="115">
        <f t="shared" si="5"/>
        <v>0</v>
      </c>
      <c r="AE17" s="115">
        <f t="shared" si="6"/>
        <v>0</v>
      </c>
      <c r="AF17" s="115"/>
      <c r="AG17" s="101">
        <f t="shared" si="18"/>
        <v>211.73999999999998</v>
      </c>
      <c r="AH17" s="14">
        <f>B17*0.2*0.9996</f>
        <v>70.551768</v>
      </c>
      <c r="AI17" s="14">
        <f>0.85*B17*0.98508</f>
        <v>295.48952219999995</v>
      </c>
      <c r="AJ17" s="101">
        <f t="shared" si="7"/>
        <v>53.18811399599999</v>
      </c>
      <c r="AK17" s="14">
        <f>0.83*B17*0.98981</f>
        <v>289.92227766999997</v>
      </c>
      <c r="AL17" s="101">
        <f t="shared" si="8"/>
        <v>52.18600998059999</v>
      </c>
      <c r="AM17" s="14">
        <f>(1.91)*B17*0.98981</f>
        <v>667.1705425899999</v>
      </c>
      <c r="AN17" s="101">
        <f t="shared" si="9"/>
        <v>120.09069766619997</v>
      </c>
      <c r="AO17" s="101"/>
      <c r="AP17" s="101">
        <f t="shared" si="10"/>
        <v>0</v>
      </c>
      <c r="AQ17" s="95"/>
      <c r="AR17" s="95">
        <f t="shared" si="19"/>
        <v>0</v>
      </c>
      <c r="AS17" s="116"/>
      <c r="AT17" s="77"/>
      <c r="AU17" s="77">
        <f t="shared" si="11"/>
        <v>0</v>
      </c>
      <c r="AV17" s="117">
        <v>349</v>
      </c>
      <c r="AW17" s="122">
        <v>0.15</v>
      </c>
      <c r="AX17" s="101">
        <f t="shared" si="15"/>
        <v>69.18576</v>
      </c>
      <c r="AY17" s="101"/>
      <c r="AZ17" s="118"/>
      <c r="BA17" s="118">
        <f t="shared" si="16"/>
        <v>0</v>
      </c>
      <c r="BB17" s="118">
        <f t="shared" si="14"/>
        <v>1829.5246921027997</v>
      </c>
      <c r="BC17" s="120"/>
      <c r="BD17" s="12">
        <f t="shared" si="12"/>
        <v>-12.189692102799427</v>
      </c>
      <c r="BE17" s="26">
        <f t="shared" si="13"/>
        <v>-1235.2500000000002</v>
      </c>
    </row>
    <row r="18" spans="1:57" ht="12.75">
      <c r="A18" s="9" t="s">
        <v>40</v>
      </c>
      <c r="B18" s="84">
        <v>352.9</v>
      </c>
      <c r="C18" s="108">
        <f t="shared" si="0"/>
        <v>3052.585</v>
      </c>
      <c r="D18" s="107">
        <f t="shared" si="17"/>
        <v>571.3650000000004</v>
      </c>
      <c r="E18" s="73">
        <v>290.02</v>
      </c>
      <c r="F18" s="71">
        <v>32.81</v>
      </c>
      <c r="G18" s="71">
        <v>109.16</v>
      </c>
      <c r="H18" s="71">
        <v>12.39</v>
      </c>
      <c r="I18" s="71">
        <v>943.9</v>
      </c>
      <c r="J18" s="71">
        <v>106.8</v>
      </c>
      <c r="K18" s="71">
        <v>653.88</v>
      </c>
      <c r="L18" s="71">
        <v>74</v>
      </c>
      <c r="M18" s="71">
        <v>232.02</v>
      </c>
      <c r="N18" s="71">
        <v>26.24</v>
      </c>
      <c r="O18" s="71">
        <v>0</v>
      </c>
      <c r="P18" s="89">
        <v>0</v>
      </c>
      <c r="Q18" s="71">
        <v>0</v>
      </c>
      <c r="R18" s="71">
        <v>0</v>
      </c>
      <c r="S18" s="71">
        <f t="shared" si="1"/>
        <v>2228.98</v>
      </c>
      <c r="T18" s="88">
        <f t="shared" si="2"/>
        <v>252.24</v>
      </c>
      <c r="U18" s="74">
        <v>299.82</v>
      </c>
      <c r="V18" s="71">
        <v>112.55</v>
      </c>
      <c r="W18" s="71">
        <v>975.59</v>
      </c>
      <c r="X18" s="71">
        <v>675.79</v>
      </c>
      <c r="Y18" s="71">
        <v>239.86</v>
      </c>
      <c r="Z18" s="89">
        <v>0</v>
      </c>
      <c r="AA18" s="89">
        <v>0</v>
      </c>
      <c r="AB18" s="89">
        <f>SUM(U18:AA18)</f>
        <v>2303.61</v>
      </c>
      <c r="AC18" s="91">
        <f>AB18+T18+D18</f>
        <v>3127.2150000000006</v>
      </c>
      <c r="AD18" s="82">
        <f t="shared" si="5"/>
        <v>0</v>
      </c>
      <c r="AE18" s="82">
        <f t="shared" si="6"/>
        <v>0</v>
      </c>
      <c r="AF18" s="82"/>
      <c r="AG18" s="14">
        <f t="shared" si="18"/>
        <v>211.73999999999998</v>
      </c>
      <c r="AH18" s="14">
        <f>B18*0.2</f>
        <v>70.58</v>
      </c>
      <c r="AI18" s="14">
        <f>(0.847*B18)</f>
        <v>298.9063</v>
      </c>
      <c r="AJ18" s="14">
        <f t="shared" si="7"/>
        <v>53.80313399999999</v>
      </c>
      <c r="AK18" s="14">
        <f>0.83*B18</f>
        <v>292.907</v>
      </c>
      <c r="AL18" s="14">
        <f t="shared" si="8"/>
        <v>52.723259999999996</v>
      </c>
      <c r="AM18" s="14">
        <f>(2.25/1.18)*B18</f>
        <v>672.9025423728813</v>
      </c>
      <c r="AN18" s="14">
        <f t="shared" si="9"/>
        <v>121.12245762711862</v>
      </c>
      <c r="AO18" s="14"/>
      <c r="AP18" s="14">
        <f t="shared" si="10"/>
        <v>0</v>
      </c>
      <c r="AQ18" s="95"/>
      <c r="AR18" s="95">
        <f t="shared" si="19"/>
        <v>0</v>
      </c>
      <c r="AS18" s="77">
        <v>0</v>
      </c>
      <c r="AT18" s="116"/>
      <c r="AU18" s="77">
        <f t="shared" si="11"/>
        <v>0</v>
      </c>
      <c r="AV18" s="96">
        <v>425</v>
      </c>
      <c r="AW18" s="111">
        <v>0.15</v>
      </c>
      <c r="AX18" s="14">
        <f t="shared" si="15"/>
        <v>84.252</v>
      </c>
      <c r="AY18" s="98"/>
      <c r="AZ18" s="112"/>
      <c r="BA18" s="99">
        <f t="shared" si="16"/>
        <v>0</v>
      </c>
      <c r="BB18" s="99">
        <f>SUM(AG18:AU18)+AX18+AY18+AZ18+BA18</f>
        <v>1858.9366939999998</v>
      </c>
      <c r="BC18" s="105"/>
      <c r="BD18" s="12">
        <f>AC18+AF18-BB18-BC18</f>
        <v>1268.2783060000008</v>
      </c>
      <c r="BE18" s="26">
        <f t="shared" si="13"/>
        <v>74.63000000000011</v>
      </c>
    </row>
    <row r="19" spans="1:57" ht="12.75">
      <c r="A19" s="9" t="s">
        <v>41</v>
      </c>
      <c r="B19" s="93">
        <v>352.9</v>
      </c>
      <c r="C19" s="108">
        <f t="shared" si="0"/>
        <v>3052.585</v>
      </c>
      <c r="D19" s="107">
        <f t="shared" si="17"/>
        <v>576.6650000000004</v>
      </c>
      <c r="E19" s="87">
        <v>286.12</v>
      </c>
      <c r="F19" s="87">
        <v>36</v>
      </c>
      <c r="G19" s="87">
        <v>107.74</v>
      </c>
      <c r="H19" s="87">
        <v>13.6</v>
      </c>
      <c r="I19" s="87">
        <v>931.24</v>
      </c>
      <c r="J19" s="87">
        <v>117.2</v>
      </c>
      <c r="K19" s="87">
        <v>645.12</v>
      </c>
      <c r="L19" s="87">
        <v>81.2</v>
      </c>
      <c r="M19" s="87">
        <v>228.9</v>
      </c>
      <c r="N19" s="87">
        <v>28.8</v>
      </c>
      <c r="O19" s="87">
        <v>0</v>
      </c>
      <c r="P19" s="92">
        <v>0</v>
      </c>
      <c r="Q19" s="92">
        <v>0</v>
      </c>
      <c r="R19" s="92">
        <v>0</v>
      </c>
      <c r="S19" s="71">
        <f t="shared" si="1"/>
        <v>2199.12</v>
      </c>
      <c r="T19" s="88">
        <f t="shared" si="2"/>
        <v>276.79999999999995</v>
      </c>
      <c r="U19" s="71">
        <v>131.63</v>
      </c>
      <c r="V19" s="71">
        <v>49.39</v>
      </c>
      <c r="W19" s="71">
        <v>428.29</v>
      </c>
      <c r="X19" s="71">
        <v>296.64</v>
      </c>
      <c r="Y19" s="71">
        <v>105.3</v>
      </c>
      <c r="Z19" s="89">
        <v>0</v>
      </c>
      <c r="AA19" s="89">
        <v>0</v>
      </c>
      <c r="AB19" s="89">
        <f>SUM(U19:AA19)</f>
        <v>1011.2499999999999</v>
      </c>
      <c r="AC19" s="91">
        <f>D19+T19+AB19</f>
        <v>1864.7150000000001</v>
      </c>
      <c r="AD19" s="82">
        <f t="shared" si="5"/>
        <v>0</v>
      </c>
      <c r="AE19" s="82">
        <f t="shared" si="6"/>
        <v>0</v>
      </c>
      <c r="AF19" s="82"/>
      <c r="AG19" s="14">
        <f t="shared" si="18"/>
        <v>211.73999999999998</v>
      </c>
      <c r="AH19" s="14">
        <f>B19*0.2</f>
        <v>70.58</v>
      </c>
      <c r="AI19" s="14">
        <f>0.85*B19</f>
        <v>299.965</v>
      </c>
      <c r="AJ19" s="14">
        <f t="shared" si="7"/>
        <v>53.9937</v>
      </c>
      <c r="AK19" s="14">
        <f>0.83*B19</f>
        <v>292.907</v>
      </c>
      <c r="AL19" s="14">
        <f t="shared" si="8"/>
        <v>52.723259999999996</v>
      </c>
      <c r="AM19" s="14">
        <f>(1.91)*B19</f>
        <v>674.0389999999999</v>
      </c>
      <c r="AN19" s="14">
        <f t="shared" si="9"/>
        <v>121.32701999999998</v>
      </c>
      <c r="AO19" s="14"/>
      <c r="AP19" s="14">
        <f t="shared" si="10"/>
        <v>0</v>
      </c>
      <c r="AQ19" s="95"/>
      <c r="AR19" s="95">
        <f t="shared" si="19"/>
        <v>0</v>
      </c>
      <c r="AS19" s="77">
        <v>0</v>
      </c>
      <c r="AT19" s="116"/>
      <c r="AU19" s="77">
        <f t="shared" si="11"/>
        <v>0</v>
      </c>
      <c r="AV19" s="96">
        <v>470</v>
      </c>
      <c r="AW19" s="111">
        <v>0.15</v>
      </c>
      <c r="AX19" s="14">
        <f t="shared" si="15"/>
        <v>93.17280000000001</v>
      </c>
      <c r="AY19" s="98"/>
      <c r="AZ19" s="99"/>
      <c r="BA19" s="99">
        <f t="shared" si="16"/>
        <v>0</v>
      </c>
      <c r="BB19" s="99">
        <f>SUM(AG19:AU19)+AX19+AY19+AZ19+BA19</f>
        <v>1870.44778</v>
      </c>
      <c r="BC19" s="109"/>
      <c r="BD19" s="12">
        <f>AC19+AF19-BB19-BC19</f>
        <v>-5.732779999999821</v>
      </c>
      <c r="BE19" s="26">
        <f t="shared" si="13"/>
        <v>-1187.87</v>
      </c>
    </row>
    <row r="20" spans="1:57" ht="12.75">
      <c r="A20" s="9" t="s">
        <v>42</v>
      </c>
      <c r="B20" s="84">
        <v>352.9</v>
      </c>
      <c r="C20" s="108">
        <f t="shared" si="0"/>
        <v>3052.585</v>
      </c>
      <c r="D20" s="107">
        <f t="shared" si="17"/>
        <v>576.6650000000002</v>
      </c>
      <c r="E20" s="87">
        <v>264.35</v>
      </c>
      <c r="F20" s="87">
        <v>57.77</v>
      </c>
      <c r="G20" s="87">
        <v>99.51</v>
      </c>
      <c r="H20" s="87">
        <v>21.83</v>
      </c>
      <c r="I20" s="87">
        <v>860.35</v>
      </c>
      <c r="J20" s="87">
        <v>188.09</v>
      </c>
      <c r="K20" s="87">
        <v>596.01</v>
      </c>
      <c r="L20" s="87">
        <v>130.31</v>
      </c>
      <c r="M20" s="87">
        <v>211.48</v>
      </c>
      <c r="N20" s="87">
        <v>46.22</v>
      </c>
      <c r="O20" s="87">
        <v>0</v>
      </c>
      <c r="P20" s="92">
        <v>0</v>
      </c>
      <c r="Q20" s="92"/>
      <c r="R20" s="92"/>
      <c r="S20" s="71">
        <f t="shared" si="1"/>
        <v>2031.7</v>
      </c>
      <c r="T20" s="88">
        <f t="shared" si="2"/>
        <v>444.21999999999997</v>
      </c>
      <c r="U20" s="71">
        <v>173.97</v>
      </c>
      <c r="V20" s="71">
        <v>65.35</v>
      </c>
      <c r="W20" s="71">
        <v>566.09</v>
      </c>
      <c r="X20" s="71">
        <v>392.14</v>
      </c>
      <c r="Y20" s="71">
        <v>139.17</v>
      </c>
      <c r="Z20" s="89">
        <v>0</v>
      </c>
      <c r="AA20" s="89">
        <v>0</v>
      </c>
      <c r="AB20" s="89">
        <f>SUM(U20:AA20)</f>
        <v>1336.7200000000003</v>
      </c>
      <c r="AC20" s="91">
        <f>D20+T20+AB20</f>
        <v>2357.6050000000005</v>
      </c>
      <c r="AD20" s="82">
        <f t="shared" si="5"/>
        <v>0</v>
      </c>
      <c r="AE20" s="82">
        <f t="shared" si="6"/>
        <v>0</v>
      </c>
      <c r="AF20" s="82"/>
      <c r="AG20" s="14">
        <f t="shared" si="18"/>
        <v>211.73999999999998</v>
      </c>
      <c r="AH20" s="14">
        <f>B20*0.2</f>
        <v>70.58</v>
      </c>
      <c r="AI20" s="14">
        <f>0.85*B20</f>
        <v>299.965</v>
      </c>
      <c r="AJ20" s="14">
        <f t="shared" si="7"/>
        <v>53.9937</v>
      </c>
      <c r="AK20" s="14">
        <f>0.83*B20</f>
        <v>292.907</v>
      </c>
      <c r="AL20" s="14">
        <f t="shared" si="8"/>
        <v>52.723259999999996</v>
      </c>
      <c r="AM20" s="14">
        <f>(1.91)*B20</f>
        <v>674.0389999999999</v>
      </c>
      <c r="AN20" s="14">
        <f t="shared" si="9"/>
        <v>121.32701999999998</v>
      </c>
      <c r="AO20" s="14"/>
      <c r="AP20" s="14">
        <f t="shared" si="10"/>
        <v>0</v>
      </c>
      <c r="AQ20" s="95"/>
      <c r="AR20" s="95">
        <f t="shared" si="19"/>
        <v>0</v>
      </c>
      <c r="AS20" s="77">
        <v>0</v>
      </c>
      <c r="AT20" s="116"/>
      <c r="AU20" s="77">
        <f t="shared" si="11"/>
        <v>0</v>
      </c>
      <c r="AV20" s="96">
        <v>514</v>
      </c>
      <c r="AW20" s="111">
        <v>0.15</v>
      </c>
      <c r="AX20" s="14">
        <f t="shared" si="15"/>
        <v>101.89536</v>
      </c>
      <c r="AY20" s="98"/>
      <c r="AZ20" s="99"/>
      <c r="BA20" s="99">
        <f t="shared" si="16"/>
        <v>0</v>
      </c>
      <c r="BB20" s="99">
        <f>SUM(AG20:BA20)-AV20-AW20</f>
        <v>1879.1703400000001</v>
      </c>
      <c r="BC20" s="109"/>
      <c r="BD20" s="12">
        <f>AC20+AF20-BB20-BC20</f>
        <v>478.43466000000035</v>
      </c>
      <c r="BE20" s="26">
        <f t="shared" si="13"/>
        <v>-694.9799999999998</v>
      </c>
    </row>
    <row r="21" spans="1:57" s="18" customFormat="1" ht="12.75">
      <c r="A21" s="15" t="s">
        <v>5</v>
      </c>
      <c r="B21" s="51"/>
      <c r="C21" s="51">
        <f aca="true" t="shared" si="20" ref="C21:BC21">SUM(C9:C20)</f>
        <v>36631.02</v>
      </c>
      <c r="D21" s="51">
        <f t="shared" si="20"/>
        <v>6061.332500000003</v>
      </c>
      <c r="E21" s="48">
        <f t="shared" si="20"/>
        <v>3388.9899999999993</v>
      </c>
      <c r="F21" s="48">
        <f t="shared" si="20"/>
        <v>357.58</v>
      </c>
      <c r="G21" s="48">
        <f t="shared" si="20"/>
        <v>1261.54</v>
      </c>
      <c r="H21" s="48">
        <f t="shared" si="20"/>
        <v>133.62</v>
      </c>
      <c r="I21" s="48">
        <f t="shared" si="20"/>
        <v>11024.670000000002</v>
      </c>
      <c r="J21" s="48">
        <f t="shared" si="20"/>
        <v>1163.59</v>
      </c>
      <c r="K21" s="48">
        <f t="shared" si="20"/>
        <v>7635.69</v>
      </c>
      <c r="L21" s="48">
        <f t="shared" si="20"/>
        <v>806.01</v>
      </c>
      <c r="M21" s="48">
        <f t="shared" si="20"/>
        <v>2711.2100000000005</v>
      </c>
      <c r="N21" s="48">
        <f t="shared" si="20"/>
        <v>286.06</v>
      </c>
      <c r="O21" s="48">
        <f t="shared" si="20"/>
        <v>0</v>
      </c>
      <c r="P21" s="48">
        <f t="shared" si="20"/>
        <v>0</v>
      </c>
      <c r="Q21" s="48">
        <f t="shared" si="20"/>
        <v>0</v>
      </c>
      <c r="R21" s="48">
        <f t="shared" si="20"/>
        <v>0</v>
      </c>
      <c r="S21" s="48">
        <f t="shared" si="20"/>
        <v>26022.1</v>
      </c>
      <c r="T21" s="48">
        <f t="shared" si="20"/>
        <v>2746.859999999999</v>
      </c>
      <c r="U21" s="52">
        <f t="shared" si="20"/>
        <v>3004.7400000000002</v>
      </c>
      <c r="V21" s="52">
        <f t="shared" si="20"/>
        <v>1110.7099999999998</v>
      </c>
      <c r="W21" s="52">
        <f t="shared" si="20"/>
        <v>9771.670000000002</v>
      </c>
      <c r="X21" s="52">
        <f t="shared" si="20"/>
        <v>6766.92</v>
      </c>
      <c r="Y21" s="52">
        <f t="shared" si="20"/>
        <v>2403.7799999999997</v>
      </c>
      <c r="Z21" s="52">
        <f t="shared" si="20"/>
        <v>0</v>
      </c>
      <c r="AA21" s="52">
        <f t="shared" si="20"/>
        <v>0</v>
      </c>
      <c r="AB21" s="52">
        <f t="shared" si="20"/>
        <v>23057.82</v>
      </c>
      <c r="AC21" s="52">
        <f t="shared" si="20"/>
        <v>31866.0125</v>
      </c>
      <c r="AD21" s="52">
        <f t="shared" si="20"/>
        <v>0</v>
      </c>
      <c r="AE21" s="80">
        <f t="shared" si="20"/>
        <v>0</v>
      </c>
      <c r="AF21" s="80">
        <f t="shared" si="20"/>
        <v>0</v>
      </c>
      <c r="AG21" s="16">
        <f t="shared" si="20"/>
        <v>2456.1839999999997</v>
      </c>
      <c r="AH21" s="16">
        <f t="shared" si="20"/>
        <v>822.3147568000002</v>
      </c>
      <c r="AI21" s="16">
        <f t="shared" si="20"/>
        <v>3433.41956295</v>
      </c>
      <c r="AJ21" s="16">
        <f t="shared" si="20"/>
        <v>618.015521331</v>
      </c>
      <c r="AK21" s="16">
        <f t="shared" si="20"/>
        <v>3337.73677547</v>
      </c>
      <c r="AL21" s="16">
        <f t="shared" si="20"/>
        <v>600.7926195846</v>
      </c>
      <c r="AM21" s="16">
        <f t="shared" si="20"/>
        <v>7679.47728386288</v>
      </c>
      <c r="AN21" s="16">
        <f t="shared" si="20"/>
        <v>1382.3059110953182</v>
      </c>
      <c r="AO21" s="16">
        <f t="shared" si="20"/>
        <v>0</v>
      </c>
      <c r="AP21" s="16">
        <f t="shared" si="20"/>
        <v>0</v>
      </c>
      <c r="AQ21" s="16">
        <f>SUM(AQ9:AQ20)</f>
        <v>0</v>
      </c>
      <c r="AR21" s="16">
        <f>SUM(AR9:AR20)</f>
        <v>0</v>
      </c>
      <c r="AS21" s="16">
        <f>SUM(AS9:AS20)</f>
        <v>415</v>
      </c>
      <c r="AT21" s="16">
        <f>SUM(AT9:AT20)</f>
        <v>0</v>
      </c>
      <c r="AU21" s="16">
        <f>SUM(AU9:AU20)</f>
        <v>74.7</v>
      </c>
      <c r="AV21" s="16"/>
      <c r="AW21" s="16"/>
      <c r="AX21" s="16">
        <f t="shared" si="20"/>
        <v>872.2607999999999</v>
      </c>
      <c r="AY21" s="16">
        <f t="shared" si="20"/>
        <v>0</v>
      </c>
      <c r="AZ21" s="16">
        <f t="shared" si="20"/>
        <v>0</v>
      </c>
      <c r="BA21" s="16">
        <f t="shared" si="20"/>
        <v>0</v>
      </c>
      <c r="BB21" s="16">
        <f t="shared" si="20"/>
        <v>21692.207231093795</v>
      </c>
      <c r="BC21" s="16">
        <f t="shared" si="20"/>
        <v>0</v>
      </c>
      <c r="BD21" s="16">
        <f>SUM(BD9:BD20)</f>
        <v>10173.805268906204</v>
      </c>
      <c r="BE21" s="17">
        <f>SUM(BE9:BE20)</f>
        <v>-2964.279999999998</v>
      </c>
    </row>
    <row r="22" spans="1:57" ht="12.75">
      <c r="A22" s="9"/>
      <c r="B22" s="10"/>
      <c r="C22" s="11"/>
      <c r="D22" s="11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2"/>
      <c r="T22" s="42"/>
      <c r="U22" s="44"/>
      <c r="V22" s="44"/>
      <c r="W22" s="44"/>
      <c r="X22" s="44"/>
      <c r="Y22" s="44"/>
      <c r="Z22" s="44"/>
      <c r="AA22" s="44"/>
      <c r="AB22" s="44"/>
      <c r="AC22" s="81"/>
      <c r="AD22" s="81"/>
      <c r="AE22" s="82"/>
      <c r="AF22" s="82"/>
      <c r="AG22" s="14"/>
      <c r="AH22" s="14"/>
      <c r="AI22" s="14"/>
      <c r="AJ22" s="14"/>
      <c r="AK22" s="14"/>
      <c r="AL22" s="14"/>
      <c r="AM22" s="14"/>
      <c r="AN22" s="14"/>
      <c r="AO22" s="13"/>
      <c r="AP22" s="13"/>
      <c r="AQ22" s="13"/>
      <c r="AR22" s="13"/>
      <c r="AS22" s="76"/>
      <c r="AT22" s="76"/>
      <c r="AU22" s="77"/>
      <c r="AV22" s="77"/>
      <c r="AW22" s="77"/>
      <c r="AX22" s="19"/>
      <c r="AY22" s="13"/>
      <c r="AZ22" s="13"/>
      <c r="BA22" s="14"/>
      <c r="BB22" s="14"/>
      <c r="BC22" s="14"/>
      <c r="BD22" s="14"/>
      <c r="BE22" s="8"/>
    </row>
    <row r="23" spans="1:57" s="18" customFormat="1" ht="13.5" thickBot="1">
      <c r="A23" s="20" t="s">
        <v>53</v>
      </c>
      <c r="B23" s="21"/>
      <c r="C23" s="21">
        <f>C21</f>
        <v>36631.02</v>
      </c>
      <c r="D23" s="21">
        <f aca="true" t="shared" si="21" ref="D23:BE23">D21</f>
        <v>6061.332500000003</v>
      </c>
      <c r="E23" s="21">
        <f t="shared" si="21"/>
        <v>3388.9899999999993</v>
      </c>
      <c r="F23" s="21">
        <f t="shared" si="21"/>
        <v>357.58</v>
      </c>
      <c r="G23" s="21">
        <f t="shared" si="21"/>
        <v>1261.54</v>
      </c>
      <c r="H23" s="21">
        <f t="shared" si="21"/>
        <v>133.62</v>
      </c>
      <c r="I23" s="21">
        <f t="shared" si="21"/>
        <v>11024.670000000002</v>
      </c>
      <c r="J23" s="21">
        <f t="shared" si="21"/>
        <v>1163.59</v>
      </c>
      <c r="K23" s="21">
        <f t="shared" si="21"/>
        <v>7635.69</v>
      </c>
      <c r="L23" s="21">
        <f t="shared" si="21"/>
        <v>806.01</v>
      </c>
      <c r="M23" s="21">
        <f t="shared" si="21"/>
        <v>2711.2100000000005</v>
      </c>
      <c r="N23" s="21">
        <f t="shared" si="21"/>
        <v>286.06</v>
      </c>
      <c r="O23" s="21">
        <f t="shared" si="21"/>
        <v>0</v>
      </c>
      <c r="P23" s="21">
        <f t="shared" si="21"/>
        <v>0</v>
      </c>
      <c r="Q23" s="21">
        <f t="shared" si="21"/>
        <v>0</v>
      </c>
      <c r="R23" s="21">
        <f t="shared" si="21"/>
        <v>0</v>
      </c>
      <c r="S23" s="21">
        <f t="shared" si="21"/>
        <v>26022.1</v>
      </c>
      <c r="T23" s="21">
        <f t="shared" si="21"/>
        <v>2746.859999999999</v>
      </c>
      <c r="U23" s="21">
        <f t="shared" si="21"/>
        <v>3004.7400000000002</v>
      </c>
      <c r="V23" s="21">
        <f t="shared" si="21"/>
        <v>1110.7099999999998</v>
      </c>
      <c r="W23" s="21">
        <f t="shared" si="21"/>
        <v>9771.670000000002</v>
      </c>
      <c r="X23" s="21">
        <f t="shared" si="21"/>
        <v>6766.92</v>
      </c>
      <c r="Y23" s="21">
        <f t="shared" si="21"/>
        <v>2403.7799999999997</v>
      </c>
      <c r="Z23" s="21">
        <f t="shared" si="21"/>
        <v>0</v>
      </c>
      <c r="AA23" s="21">
        <f t="shared" si="21"/>
        <v>0</v>
      </c>
      <c r="AB23" s="21">
        <f t="shared" si="21"/>
        <v>23057.82</v>
      </c>
      <c r="AC23" s="21">
        <f t="shared" si="21"/>
        <v>31866.0125</v>
      </c>
      <c r="AD23" s="21">
        <f t="shared" si="21"/>
        <v>0</v>
      </c>
      <c r="AE23" s="21">
        <f t="shared" si="21"/>
        <v>0</v>
      </c>
      <c r="AF23" s="21">
        <f t="shared" si="21"/>
        <v>0</v>
      </c>
      <c r="AG23" s="21">
        <f t="shared" si="21"/>
        <v>2456.1839999999997</v>
      </c>
      <c r="AH23" s="21">
        <f t="shared" si="21"/>
        <v>822.3147568000002</v>
      </c>
      <c r="AI23" s="21">
        <f t="shared" si="21"/>
        <v>3433.41956295</v>
      </c>
      <c r="AJ23" s="21">
        <f t="shared" si="21"/>
        <v>618.015521331</v>
      </c>
      <c r="AK23" s="21">
        <f t="shared" si="21"/>
        <v>3337.73677547</v>
      </c>
      <c r="AL23" s="21">
        <f t="shared" si="21"/>
        <v>600.7926195846</v>
      </c>
      <c r="AM23" s="21">
        <f t="shared" si="21"/>
        <v>7679.47728386288</v>
      </c>
      <c r="AN23" s="21">
        <f t="shared" si="21"/>
        <v>1382.3059110953182</v>
      </c>
      <c r="AO23" s="21">
        <f t="shared" si="21"/>
        <v>0</v>
      </c>
      <c r="AP23" s="21">
        <f t="shared" si="21"/>
        <v>0</v>
      </c>
      <c r="AQ23" s="21">
        <f t="shared" si="21"/>
        <v>0</v>
      </c>
      <c r="AR23" s="21">
        <f t="shared" si="21"/>
        <v>0</v>
      </c>
      <c r="AS23" s="21">
        <f t="shared" si="21"/>
        <v>415</v>
      </c>
      <c r="AT23" s="21">
        <f t="shared" si="21"/>
        <v>0</v>
      </c>
      <c r="AU23" s="21">
        <f t="shared" si="21"/>
        <v>74.7</v>
      </c>
      <c r="AV23" s="21">
        <f t="shared" si="21"/>
        <v>0</v>
      </c>
      <c r="AW23" s="21">
        <f t="shared" si="21"/>
        <v>0</v>
      </c>
      <c r="AX23" s="21">
        <f t="shared" si="21"/>
        <v>872.2607999999999</v>
      </c>
      <c r="AY23" s="21">
        <f t="shared" si="21"/>
        <v>0</v>
      </c>
      <c r="AZ23" s="21">
        <f t="shared" si="21"/>
        <v>0</v>
      </c>
      <c r="BA23" s="21">
        <f t="shared" si="21"/>
        <v>0</v>
      </c>
      <c r="BB23" s="21">
        <f t="shared" si="21"/>
        <v>21692.207231093795</v>
      </c>
      <c r="BC23" s="21">
        <f t="shared" si="21"/>
        <v>0</v>
      </c>
      <c r="BD23" s="21">
        <f t="shared" si="21"/>
        <v>10173.805268906204</v>
      </c>
      <c r="BE23" s="21">
        <f t="shared" si="21"/>
        <v>-2964.279999999998</v>
      </c>
    </row>
    <row r="24" spans="1:57" ht="15" customHeight="1">
      <c r="A24" s="5" t="s">
        <v>90</v>
      </c>
      <c r="B24" s="49"/>
      <c r="C24" s="50"/>
      <c r="D24" s="50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6"/>
      <c r="R24" s="46"/>
      <c r="S24" s="46"/>
      <c r="T24" s="46"/>
      <c r="U24" s="53"/>
      <c r="V24" s="53"/>
      <c r="W24" s="53"/>
      <c r="X24" s="53"/>
      <c r="Y24" s="53"/>
      <c r="Z24" s="53"/>
      <c r="AA24" s="45"/>
      <c r="AB24" s="45"/>
      <c r="AC24" s="78"/>
      <c r="AD24" s="78"/>
      <c r="AE24" s="79"/>
      <c r="AF24" s="79"/>
      <c r="AG24" s="12"/>
      <c r="AH24" s="12"/>
      <c r="AI24" s="12"/>
      <c r="AJ24" s="12"/>
      <c r="AK24" s="12"/>
      <c r="AL24" s="12"/>
      <c r="AM24" s="12"/>
      <c r="AN24" s="12"/>
      <c r="AO24" s="27"/>
      <c r="AP24" s="27"/>
      <c r="AQ24" s="27"/>
      <c r="AR24" s="27"/>
      <c r="AS24" s="75"/>
      <c r="AT24" s="75"/>
      <c r="AU24" s="42"/>
      <c r="AV24" s="42"/>
      <c r="AW24" s="42"/>
      <c r="AX24" s="27"/>
      <c r="AY24" s="27"/>
      <c r="AZ24" s="27"/>
      <c r="BA24" s="12"/>
      <c r="BB24" s="12"/>
      <c r="BC24" s="12"/>
      <c r="BD24" s="12"/>
      <c r="BE24" s="26"/>
    </row>
    <row r="25" spans="1:57" ht="12.75">
      <c r="A25" s="9" t="s">
        <v>44</v>
      </c>
      <c r="B25" s="84">
        <v>352.9</v>
      </c>
      <c r="C25" s="108">
        <f aca="true" t="shared" si="22" ref="C25:C36">B25*8.65</f>
        <v>3052.585</v>
      </c>
      <c r="D25" s="107">
        <f aca="true" t="shared" si="23" ref="D25:D36">C25-E25-F25-G25-H25-I25-J25-K25-L25-M25-N25</f>
        <v>576.6649999999998</v>
      </c>
      <c r="E25" s="87">
        <v>259.12</v>
      </c>
      <c r="F25" s="87">
        <v>63</v>
      </c>
      <c r="G25" s="87">
        <v>97.54</v>
      </c>
      <c r="H25" s="87">
        <v>23.8</v>
      </c>
      <c r="I25" s="87">
        <v>843.34</v>
      </c>
      <c r="J25" s="87">
        <v>205.1</v>
      </c>
      <c r="K25" s="87">
        <v>584.22</v>
      </c>
      <c r="L25" s="87">
        <v>142.1</v>
      </c>
      <c r="M25" s="87">
        <v>207.3</v>
      </c>
      <c r="N25" s="87">
        <v>50.4</v>
      </c>
      <c r="O25" s="87">
        <v>0</v>
      </c>
      <c r="P25" s="92">
        <v>0</v>
      </c>
      <c r="Q25" s="92"/>
      <c r="R25" s="92"/>
      <c r="S25" s="71">
        <f aca="true" t="shared" si="24" ref="S25:S36">E25+G25+I25+K25+M25+O25+Q25</f>
        <v>1991.52</v>
      </c>
      <c r="T25" s="88">
        <f aca="true" t="shared" si="25" ref="T25:T36">P25+N25+L25+J25+H25+F25+R25</f>
        <v>484.40000000000003</v>
      </c>
      <c r="U25" s="71">
        <v>59.92</v>
      </c>
      <c r="V25" s="71">
        <v>22.42</v>
      </c>
      <c r="W25" s="71">
        <v>194.91</v>
      </c>
      <c r="X25" s="71">
        <v>134.99</v>
      </c>
      <c r="Y25" s="71">
        <v>47.93</v>
      </c>
      <c r="Z25" s="89">
        <v>0</v>
      </c>
      <c r="AA25" s="89">
        <v>0</v>
      </c>
      <c r="AB25" s="89">
        <f>SUM(U25:AA25)</f>
        <v>460.17</v>
      </c>
      <c r="AC25" s="91">
        <f aca="true" t="shared" si="26" ref="AC25:AC36">D25+T25+AB25</f>
        <v>1521.235</v>
      </c>
      <c r="AD25" s="82">
        <f aca="true" t="shared" si="27" ref="AD25:AD36">P25+Z25</f>
        <v>0</v>
      </c>
      <c r="AE25" s="82">
        <f aca="true" t="shared" si="28" ref="AE25:AE36">R25+AA25</f>
        <v>0</v>
      </c>
      <c r="AF25" s="82"/>
      <c r="AG25" s="14">
        <f aca="true" t="shared" si="29" ref="AG25:AG36">0.6*B25</f>
        <v>211.73999999999998</v>
      </c>
      <c r="AH25" s="14">
        <f aca="true" t="shared" si="30" ref="AH25:AH36">B25*0.2</f>
        <v>70.58</v>
      </c>
      <c r="AI25" s="14">
        <f aca="true" t="shared" si="31" ref="AI25:AI36">1*B25</f>
        <v>352.9</v>
      </c>
      <c r="AJ25" s="14">
        <v>0</v>
      </c>
      <c r="AK25" s="14">
        <f aca="true" t="shared" si="32" ref="AK25:AK36">0.98*B25</f>
        <v>345.842</v>
      </c>
      <c r="AL25" s="14">
        <v>0</v>
      </c>
      <c r="AM25" s="14">
        <f aca="true" t="shared" si="33" ref="AM25:AM36">2.25*B25</f>
        <v>794.025</v>
      </c>
      <c r="AN25" s="14">
        <v>0</v>
      </c>
      <c r="AO25" s="14"/>
      <c r="AP25" s="14">
        <v>0</v>
      </c>
      <c r="AQ25" s="95"/>
      <c r="AR25" s="95"/>
      <c r="AS25" s="77">
        <v>0</v>
      </c>
      <c r="AT25" s="77"/>
      <c r="AU25" s="77">
        <f aca="true" t="shared" si="34" ref="AU25:AU36">AT25*0.18</f>
        <v>0</v>
      </c>
      <c r="AV25" s="96">
        <v>508</v>
      </c>
      <c r="AW25" s="111">
        <v>0.15</v>
      </c>
      <c r="AX25" s="129">
        <f aca="true" t="shared" si="35" ref="AX25:AX36">AV25*AW25*1.4</f>
        <v>106.67999999999999</v>
      </c>
      <c r="AY25" s="98"/>
      <c r="AZ25" s="99"/>
      <c r="BA25" s="99">
        <f aca="true" t="shared" si="36" ref="BA25:BA36">AZ25*0.18</f>
        <v>0</v>
      </c>
      <c r="BB25" s="99">
        <f aca="true" t="shared" si="37" ref="BB25:BB36">SUM(AG25:BA25)-AV25-AW25</f>
        <v>1881.7669999999998</v>
      </c>
      <c r="BC25" s="109"/>
      <c r="BD25" s="12">
        <f>AC25+AF25-BB25-BC25</f>
        <v>-360.5319999999999</v>
      </c>
      <c r="BE25" s="26">
        <f>AB25-S25</f>
        <v>-1531.35</v>
      </c>
    </row>
    <row r="26" spans="1:57" ht="12.75">
      <c r="A26" s="9" t="s">
        <v>45</v>
      </c>
      <c r="B26" s="84">
        <v>352.9</v>
      </c>
      <c r="C26" s="108">
        <f t="shared" si="22"/>
        <v>3052.585</v>
      </c>
      <c r="D26" s="107">
        <f t="shared" si="23"/>
        <v>576.6649999999998</v>
      </c>
      <c r="E26" s="130">
        <v>259.12</v>
      </c>
      <c r="F26" s="131">
        <v>63</v>
      </c>
      <c r="G26" s="131">
        <v>97.54</v>
      </c>
      <c r="H26" s="131">
        <v>23.8</v>
      </c>
      <c r="I26" s="131">
        <v>843.34</v>
      </c>
      <c r="J26" s="131">
        <v>205.1</v>
      </c>
      <c r="K26" s="131">
        <v>584.22</v>
      </c>
      <c r="L26" s="131">
        <v>142.1</v>
      </c>
      <c r="M26" s="131">
        <v>207.3</v>
      </c>
      <c r="N26" s="131">
        <v>50.4</v>
      </c>
      <c r="O26" s="131">
        <v>0</v>
      </c>
      <c r="P26" s="132">
        <v>0</v>
      </c>
      <c r="Q26" s="132">
        <v>0</v>
      </c>
      <c r="R26" s="132">
        <v>0</v>
      </c>
      <c r="S26" s="71">
        <f t="shared" si="24"/>
        <v>1991.52</v>
      </c>
      <c r="T26" s="88">
        <f t="shared" si="25"/>
        <v>484.40000000000003</v>
      </c>
      <c r="U26" s="71">
        <v>636.44</v>
      </c>
      <c r="V26" s="71">
        <v>240.06</v>
      </c>
      <c r="W26" s="71">
        <v>2071.68</v>
      </c>
      <c r="X26" s="71">
        <v>1435.22</v>
      </c>
      <c r="Y26" s="71">
        <v>509.18</v>
      </c>
      <c r="Z26" s="89">
        <v>0</v>
      </c>
      <c r="AA26" s="89">
        <v>0</v>
      </c>
      <c r="AB26" s="89">
        <f>SUM(U26:AA26)</f>
        <v>4892.58</v>
      </c>
      <c r="AC26" s="91">
        <f t="shared" si="26"/>
        <v>5953.6449999999995</v>
      </c>
      <c r="AD26" s="82">
        <f t="shared" si="27"/>
        <v>0</v>
      </c>
      <c r="AE26" s="82">
        <f t="shared" si="28"/>
        <v>0</v>
      </c>
      <c r="AF26" s="82"/>
      <c r="AG26" s="14">
        <f t="shared" si="29"/>
        <v>211.73999999999998</v>
      </c>
      <c r="AH26" s="14">
        <f t="shared" si="30"/>
        <v>70.58</v>
      </c>
      <c r="AI26" s="14">
        <f t="shared" si="31"/>
        <v>352.9</v>
      </c>
      <c r="AJ26" s="14">
        <v>0</v>
      </c>
      <c r="AK26" s="14">
        <f t="shared" si="32"/>
        <v>345.842</v>
      </c>
      <c r="AL26" s="14">
        <v>0</v>
      </c>
      <c r="AM26" s="14">
        <f t="shared" si="33"/>
        <v>794.025</v>
      </c>
      <c r="AN26" s="14">
        <v>0</v>
      </c>
      <c r="AO26" s="14"/>
      <c r="AP26" s="14"/>
      <c r="AQ26" s="95"/>
      <c r="AR26" s="95"/>
      <c r="AS26" s="77"/>
      <c r="AT26" s="77"/>
      <c r="AU26" s="77">
        <f t="shared" si="34"/>
        <v>0</v>
      </c>
      <c r="AV26" s="96">
        <v>407</v>
      </c>
      <c r="AW26" s="111">
        <v>0.15</v>
      </c>
      <c r="AX26" s="14">
        <f t="shared" si="35"/>
        <v>85.46999999999998</v>
      </c>
      <c r="AY26" s="98"/>
      <c r="AZ26" s="99"/>
      <c r="BA26" s="99">
        <f t="shared" si="36"/>
        <v>0</v>
      </c>
      <c r="BB26" s="99">
        <f t="shared" si="37"/>
        <v>1860.5569999999998</v>
      </c>
      <c r="BC26" s="109"/>
      <c r="BD26" s="12">
        <f aca="true" t="shared" si="38" ref="BD26:BD36">AC26+AF26-BB26-BC26</f>
        <v>4093.0879999999997</v>
      </c>
      <c r="BE26" s="26">
        <f aca="true" t="shared" si="39" ref="BE26:BE36">AB26-S26</f>
        <v>2901.06</v>
      </c>
    </row>
    <row r="27" spans="1:57" ht="12.75">
      <c r="A27" s="9" t="s">
        <v>46</v>
      </c>
      <c r="B27" s="84">
        <v>352.9</v>
      </c>
      <c r="C27" s="108">
        <f t="shared" si="22"/>
        <v>3052.585</v>
      </c>
      <c r="D27" s="107">
        <f t="shared" si="23"/>
        <v>576.6649999999998</v>
      </c>
      <c r="E27" s="87">
        <v>259.12</v>
      </c>
      <c r="F27" s="87">
        <v>63</v>
      </c>
      <c r="G27" s="87">
        <v>97.54</v>
      </c>
      <c r="H27" s="87">
        <v>23.8</v>
      </c>
      <c r="I27" s="87">
        <v>843.34</v>
      </c>
      <c r="J27" s="87">
        <v>205.1</v>
      </c>
      <c r="K27" s="87">
        <v>584.22</v>
      </c>
      <c r="L27" s="87">
        <v>142.1</v>
      </c>
      <c r="M27" s="87">
        <v>207.3</v>
      </c>
      <c r="N27" s="87">
        <v>50.4</v>
      </c>
      <c r="O27" s="87">
        <v>0</v>
      </c>
      <c r="P27" s="92">
        <v>0</v>
      </c>
      <c r="Q27" s="92">
        <v>0</v>
      </c>
      <c r="R27" s="92">
        <v>0</v>
      </c>
      <c r="S27" s="71">
        <f t="shared" si="24"/>
        <v>1991.52</v>
      </c>
      <c r="T27" s="88">
        <f t="shared" si="25"/>
        <v>484.40000000000003</v>
      </c>
      <c r="U27" s="71">
        <v>368.48</v>
      </c>
      <c r="V27" s="71">
        <v>138.72</v>
      </c>
      <c r="W27" s="71">
        <v>1199.29</v>
      </c>
      <c r="X27" s="71">
        <v>830.83</v>
      </c>
      <c r="Y27" s="71">
        <v>294.78</v>
      </c>
      <c r="Z27" s="89">
        <v>0</v>
      </c>
      <c r="AA27" s="89">
        <v>0</v>
      </c>
      <c r="AB27" s="89">
        <f>SUM(U27:AA27)</f>
        <v>2832.1000000000004</v>
      </c>
      <c r="AC27" s="91">
        <f t="shared" si="26"/>
        <v>3893.165</v>
      </c>
      <c r="AD27" s="82">
        <f t="shared" si="27"/>
        <v>0</v>
      </c>
      <c r="AE27" s="82">
        <f t="shared" si="28"/>
        <v>0</v>
      </c>
      <c r="AF27" s="82"/>
      <c r="AG27" s="14">
        <f t="shared" si="29"/>
        <v>211.73999999999998</v>
      </c>
      <c r="AH27" s="14">
        <f t="shared" si="30"/>
        <v>70.58</v>
      </c>
      <c r="AI27" s="14">
        <f t="shared" si="31"/>
        <v>352.9</v>
      </c>
      <c r="AJ27" s="14">
        <v>0</v>
      </c>
      <c r="AK27" s="14">
        <f t="shared" si="32"/>
        <v>345.842</v>
      </c>
      <c r="AL27" s="14">
        <v>0</v>
      </c>
      <c r="AM27" s="14">
        <f t="shared" si="33"/>
        <v>794.025</v>
      </c>
      <c r="AN27" s="14">
        <v>0</v>
      </c>
      <c r="AO27" s="14"/>
      <c r="AP27" s="14"/>
      <c r="AQ27" s="95"/>
      <c r="AR27" s="95"/>
      <c r="AS27" s="77"/>
      <c r="AT27" s="77"/>
      <c r="AU27" s="77">
        <f t="shared" si="34"/>
        <v>0</v>
      </c>
      <c r="AV27" s="96">
        <v>383</v>
      </c>
      <c r="AW27" s="111">
        <v>0.15</v>
      </c>
      <c r="AX27" s="14">
        <f t="shared" si="35"/>
        <v>80.42999999999999</v>
      </c>
      <c r="AY27" s="98"/>
      <c r="AZ27" s="99"/>
      <c r="BA27" s="99">
        <f t="shared" si="36"/>
        <v>0</v>
      </c>
      <c r="BB27" s="99">
        <f t="shared" si="37"/>
        <v>1855.5169999999998</v>
      </c>
      <c r="BC27" s="109"/>
      <c r="BD27" s="12">
        <f t="shared" si="38"/>
        <v>2037.6480000000001</v>
      </c>
      <c r="BE27" s="26">
        <f t="shared" si="39"/>
        <v>840.5800000000004</v>
      </c>
    </row>
    <row r="28" spans="1:57" ht="12.75">
      <c r="A28" s="9" t="s">
        <v>47</v>
      </c>
      <c r="B28" s="84">
        <v>352.9</v>
      </c>
      <c r="C28" s="108">
        <f t="shared" si="22"/>
        <v>3052.585</v>
      </c>
      <c r="D28" s="107">
        <f t="shared" si="23"/>
        <v>576.6649999999998</v>
      </c>
      <c r="E28" s="87">
        <v>259.12</v>
      </c>
      <c r="F28" s="87">
        <v>63</v>
      </c>
      <c r="G28" s="87">
        <v>97.54</v>
      </c>
      <c r="H28" s="87">
        <v>23.8</v>
      </c>
      <c r="I28" s="87">
        <v>843.34</v>
      </c>
      <c r="J28" s="87">
        <v>205.1</v>
      </c>
      <c r="K28" s="87">
        <v>584.22</v>
      </c>
      <c r="L28" s="87">
        <v>142.1</v>
      </c>
      <c r="M28" s="87">
        <v>207.3</v>
      </c>
      <c r="N28" s="87">
        <v>50.4</v>
      </c>
      <c r="O28" s="87">
        <v>0</v>
      </c>
      <c r="P28" s="92">
        <v>0</v>
      </c>
      <c r="Q28" s="92"/>
      <c r="R28" s="92"/>
      <c r="S28" s="71">
        <f t="shared" si="24"/>
        <v>1991.52</v>
      </c>
      <c r="T28" s="88">
        <f t="shared" si="25"/>
        <v>484.40000000000003</v>
      </c>
      <c r="U28" s="71">
        <v>99.72</v>
      </c>
      <c r="V28" s="71">
        <v>36.42</v>
      </c>
      <c r="W28" s="71">
        <v>324.11</v>
      </c>
      <c r="X28" s="71">
        <v>224.39</v>
      </c>
      <c r="Y28" s="71">
        <v>79.78</v>
      </c>
      <c r="Z28" s="89">
        <v>0</v>
      </c>
      <c r="AA28" s="89">
        <v>0</v>
      </c>
      <c r="AB28" s="89">
        <f>SUM(U28:AA28)</f>
        <v>764.42</v>
      </c>
      <c r="AC28" s="91">
        <f t="shared" si="26"/>
        <v>1825.4849999999997</v>
      </c>
      <c r="AD28" s="82">
        <f t="shared" si="27"/>
        <v>0</v>
      </c>
      <c r="AE28" s="82">
        <f t="shared" si="28"/>
        <v>0</v>
      </c>
      <c r="AF28" s="82"/>
      <c r="AG28" s="14">
        <f t="shared" si="29"/>
        <v>211.73999999999998</v>
      </c>
      <c r="AH28" s="14">
        <f t="shared" si="30"/>
        <v>70.58</v>
      </c>
      <c r="AI28" s="14">
        <f t="shared" si="31"/>
        <v>352.9</v>
      </c>
      <c r="AJ28" s="14">
        <v>0</v>
      </c>
      <c r="AK28" s="14">
        <f t="shared" si="32"/>
        <v>345.842</v>
      </c>
      <c r="AL28" s="14">
        <v>0</v>
      </c>
      <c r="AM28" s="14">
        <f t="shared" si="33"/>
        <v>794.025</v>
      </c>
      <c r="AN28" s="14">
        <v>0</v>
      </c>
      <c r="AO28" s="14"/>
      <c r="AP28" s="14"/>
      <c r="AQ28" s="95"/>
      <c r="AR28" s="95"/>
      <c r="AS28" s="77">
        <v>280</v>
      </c>
      <c r="AT28" s="77">
        <f>500</f>
        <v>500</v>
      </c>
      <c r="AU28" s="77"/>
      <c r="AV28" s="96">
        <v>307</v>
      </c>
      <c r="AW28" s="111">
        <v>0.15</v>
      </c>
      <c r="AX28" s="14">
        <f t="shared" si="35"/>
        <v>64.47</v>
      </c>
      <c r="AY28" s="98"/>
      <c r="AZ28" s="99"/>
      <c r="BA28" s="99">
        <f t="shared" si="36"/>
        <v>0</v>
      </c>
      <c r="BB28" s="99">
        <f t="shared" si="37"/>
        <v>2619.557</v>
      </c>
      <c r="BC28" s="109"/>
      <c r="BD28" s="12">
        <f t="shared" si="38"/>
        <v>-794.0720000000001</v>
      </c>
      <c r="BE28" s="26">
        <f t="shared" si="39"/>
        <v>-1227.1</v>
      </c>
    </row>
    <row r="29" spans="1:57" ht="12.75">
      <c r="A29" s="9" t="s">
        <v>48</v>
      </c>
      <c r="B29" s="84">
        <v>352.9</v>
      </c>
      <c r="C29" s="108">
        <f t="shared" si="22"/>
        <v>3052.585</v>
      </c>
      <c r="D29" s="107">
        <f t="shared" si="23"/>
        <v>563.1850000000002</v>
      </c>
      <c r="E29" s="87">
        <v>269.02</v>
      </c>
      <c r="F29" s="87">
        <v>54.9</v>
      </c>
      <c r="G29" s="87">
        <v>101.14</v>
      </c>
      <c r="H29" s="87">
        <v>20.74</v>
      </c>
      <c r="I29" s="87">
        <v>875.46</v>
      </c>
      <c r="J29" s="87">
        <v>178.73</v>
      </c>
      <c r="K29" s="87">
        <v>606.44</v>
      </c>
      <c r="L29" s="87">
        <v>123.83</v>
      </c>
      <c r="M29" s="87">
        <v>215.22</v>
      </c>
      <c r="N29" s="87">
        <v>43.92</v>
      </c>
      <c r="O29" s="87">
        <v>0</v>
      </c>
      <c r="P29" s="92">
        <v>0</v>
      </c>
      <c r="Q29" s="92"/>
      <c r="R29" s="92"/>
      <c r="S29" s="71">
        <f t="shared" si="24"/>
        <v>2067.2799999999997</v>
      </c>
      <c r="T29" s="88">
        <f t="shared" si="25"/>
        <v>422.12</v>
      </c>
      <c r="U29" s="133">
        <v>244.03</v>
      </c>
      <c r="V29" s="133">
        <v>91.8</v>
      </c>
      <c r="W29" s="133">
        <v>794.19</v>
      </c>
      <c r="X29" s="133">
        <v>550.14</v>
      </c>
      <c r="Y29" s="133">
        <v>195.23</v>
      </c>
      <c r="Z29" s="134">
        <v>0</v>
      </c>
      <c r="AA29" s="134">
        <v>0</v>
      </c>
      <c r="AB29" s="89">
        <f aca="true" t="shared" si="40" ref="AB29:AB36">SUM(U29:AA29)</f>
        <v>1875.3899999999999</v>
      </c>
      <c r="AC29" s="91">
        <f t="shared" si="26"/>
        <v>2860.695</v>
      </c>
      <c r="AD29" s="82">
        <f t="shared" si="27"/>
        <v>0</v>
      </c>
      <c r="AE29" s="82">
        <f t="shared" si="28"/>
        <v>0</v>
      </c>
      <c r="AF29" s="82"/>
      <c r="AG29" s="14">
        <f t="shared" si="29"/>
        <v>211.73999999999998</v>
      </c>
      <c r="AH29" s="14">
        <f t="shared" si="30"/>
        <v>70.58</v>
      </c>
      <c r="AI29" s="14">
        <f t="shared" si="31"/>
        <v>352.9</v>
      </c>
      <c r="AJ29" s="14">
        <v>0</v>
      </c>
      <c r="AK29" s="14">
        <f t="shared" si="32"/>
        <v>345.842</v>
      </c>
      <c r="AL29" s="14">
        <v>0</v>
      </c>
      <c r="AM29" s="14">
        <f t="shared" si="33"/>
        <v>794.025</v>
      </c>
      <c r="AN29" s="14">
        <v>0</v>
      </c>
      <c r="AO29" s="14"/>
      <c r="AP29" s="14"/>
      <c r="AQ29" s="95"/>
      <c r="AR29" s="95"/>
      <c r="AS29" s="77"/>
      <c r="AT29" s="77"/>
      <c r="AU29" s="77">
        <f t="shared" si="34"/>
        <v>0</v>
      </c>
      <c r="AV29" s="96">
        <v>263</v>
      </c>
      <c r="AW29" s="111">
        <v>0.15</v>
      </c>
      <c r="AX29" s="14">
        <f t="shared" si="35"/>
        <v>55.22999999999999</v>
      </c>
      <c r="AY29" s="98"/>
      <c r="AZ29" s="99"/>
      <c r="BA29" s="99">
        <f t="shared" si="36"/>
        <v>0</v>
      </c>
      <c r="BB29" s="99">
        <f t="shared" si="37"/>
        <v>1830.317</v>
      </c>
      <c r="BC29" s="109"/>
      <c r="BD29" s="12">
        <f t="shared" si="38"/>
        <v>1030.3780000000002</v>
      </c>
      <c r="BE29" s="26">
        <f t="shared" si="39"/>
        <v>-191.88999999999987</v>
      </c>
    </row>
    <row r="30" spans="1:57" ht="12.75">
      <c r="A30" s="9" t="s">
        <v>49</v>
      </c>
      <c r="B30" s="84">
        <v>352.9</v>
      </c>
      <c r="C30" s="108">
        <f t="shared" si="22"/>
        <v>3052.585</v>
      </c>
      <c r="D30" s="107">
        <f t="shared" si="23"/>
        <v>563.1850000000002</v>
      </c>
      <c r="E30" s="87">
        <v>269.02</v>
      </c>
      <c r="F30" s="87">
        <v>54.9</v>
      </c>
      <c r="G30" s="87">
        <v>101.14</v>
      </c>
      <c r="H30" s="87">
        <v>20.74</v>
      </c>
      <c r="I30" s="87">
        <v>875.46</v>
      </c>
      <c r="J30" s="87">
        <v>178.73</v>
      </c>
      <c r="K30" s="87">
        <v>606.44</v>
      </c>
      <c r="L30" s="87">
        <v>123.83</v>
      </c>
      <c r="M30" s="87">
        <v>215.22</v>
      </c>
      <c r="N30" s="87">
        <v>43.92</v>
      </c>
      <c r="O30" s="87">
        <v>0</v>
      </c>
      <c r="P30" s="92">
        <v>0</v>
      </c>
      <c r="Q30" s="87">
        <v>0</v>
      </c>
      <c r="R30" s="92">
        <v>0</v>
      </c>
      <c r="S30" s="71">
        <f t="shared" si="24"/>
        <v>2067.2799999999997</v>
      </c>
      <c r="T30" s="88">
        <f t="shared" si="25"/>
        <v>422.12</v>
      </c>
      <c r="U30" s="71">
        <v>110.68</v>
      </c>
      <c r="V30" s="71">
        <v>41.37</v>
      </c>
      <c r="W30" s="71">
        <v>359.99</v>
      </c>
      <c r="X30" s="71">
        <v>249.35</v>
      </c>
      <c r="Y30" s="71">
        <v>88.54</v>
      </c>
      <c r="Z30" s="89">
        <v>0</v>
      </c>
      <c r="AA30" s="89">
        <v>0</v>
      </c>
      <c r="AB30" s="89">
        <f t="shared" si="40"/>
        <v>849.93</v>
      </c>
      <c r="AC30" s="91">
        <f t="shared" si="26"/>
        <v>1835.2350000000001</v>
      </c>
      <c r="AD30" s="82">
        <f t="shared" si="27"/>
        <v>0</v>
      </c>
      <c r="AE30" s="82">
        <f t="shared" si="28"/>
        <v>0</v>
      </c>
      <c r="AF30" s="82"/>
      <c r="AG30" s="14">
        <f t="shared" si="29"/>
        <v>211.73999999999998</v>
      </c>
      <c r="AH30" s="14">
        <f t="shared" si="30"/>
        <v>70.58</v>
      </c>
      <c r="AI30" s="14">
        <f t="shared" si="31"/>
        <v>352.9</v>
      </c>
      <c r="AJ30" s="14">
        <v>0</v>
      </c>
      <c r="AK30" s="14">
        <f t="shared" si="32"/>
        <v>345.842</v>
      </c>
      <c r="AL30" s="14">
        <v>0</v>
      </c>
      <c r="AM30" s="14">
        <f t="shared" si="33"/>
        <v>794.025</v>
      </c>
      <c r="AN30" s="14">
        <v>0</v>
      </c>
      <c r="AO30" s="14"/>
      <c r="AP30" s="14"/>
      <c r="AQ30" s="95"/>
      <c r="AR30" s="95"/>
      <c r="AS30" s="77"/>
      <c r="AT30" s="77"/>
      <c r="AU30" s="77">
        <f t="shared" si="34"/>
        <v>0</v>
      </c>
      <c r="AV30" s="96">
        <v>233</v>
      </c>
      <c r="AW30" s="111">
        <v>0.15</v>
      </c>
      <c r="AX30" s="14">
        <f t="shared" si="35"/>
        <v>48.92999999999999</v>
      </c>
      <c r="AY30" s="98"/>
      <c r="AZ30" s="99"/>
      <c r="BA30" s="99">
        <f t="shared" si="36"/>
        <v>0</v>
      </c>
      <c r="BB30" s="99">
        <f t="shared" si="37"/>
        <v>1824.0169999999998</v>
      </c>
      <c r="BC30" s="109"/>
      <c r="BD30" s="12">
        <f t="shared" si="38"/>
        <v>11.218000000000302</v>
      </c>
      <c r="BE30" s="26">
        <f t="shared" si="39"/>
        <v>-1217.35</v>
      </c>
    </row>
    <row r="31" spans="1:57" ht="12.75">
      <c r="A31" s="9" t="s">
        <v>50</v>
      </c>
      <c r="B31" s="84">
        <v>352.9</v>
      </c>
      <c r="C31" s="108">
        <f t="shared" si="22"/>
        <v>3052.585</v>
      </c>
      <c r="D31" s="107">
        <f t="shared" si="23"/>
        <v>563.1849999999998</v>
      </c>
      <c r="E31" s="135">
        <v>323.92</v>
      </c>
      <c r="F31" s="87">
        <v>0</v>
      </c>
      <c r="G31" s="87">
        <v>121.88</v>
      </c>
      <c r="H31" s="87">
        <v>0</v>
      </c>
      <c r="I31" s="87">
        <v>1054.19</v>
      </c>
      <c r="J31" s="87">
        <v>0</v>
      </c>
      <c r="K31" s="87">
        <v>730.27</v>
      </c>
      <c r="L31" s="87">
        <v>0</v>
      </c>
      <c r="M31" s="87">
        <v>259.14</v>
      </c>
      <c r="N31" s="87">
        <v>0</v>
      </c>
      <c r="O31" s="87">
        <v>0</v>
      </c>
      <c r="P31" s="92">
        <v>0</v>
      </c>
      <c r="Q31" s="92"/>
      <c r="R31" s="92"/>
      <c r="S31" s="71">
        <f t="shared" si="24"/>
        <v>2489.4</v>
      </c>
      <c r="T31" s="88">
        <f t="shared" si="25"/>
        <v>0</v>
      </c>
      <c r="U31" s="73">
        <v>318.83</v>
      </c>
      <c r="V31" s="71">
        <v>119.86</v>
      </c>
      <c r="W31" s="71">
        <v>1037.57</v>
      </c>
      <c r="X31" s="71">
        <v>718.74</v>
      </c>
      <c r="Y31" s="71">
        <v>255.06</v>
      </c>
      <c r="Z31" s="89">
        <v>0</v>
      </c>
      <c r="AA31" s="89">
        <v>0</v>
      </c>
      <c r="AB31" s="89">
        <f t="shared" si="40"/>
        <v>2450.06</v>
      </c>
      <c r="AC31" s="91">
        <f t="shared" si="26"/>
        <v>3013.245</v>
      </c>
      <c r="AD31" s="82">
        <f t="shared" si="27"/>
        <v>0</v>
      </c>
      <c r="AE31" s="82">
        <f t="shared" si="28"/>
        <v>0</v>
      </c>
      <c r="AF31" s="82"/>
      <c r="AG31" s="14">
        <f t="shared" si="29"/>
        <v>211.73999999999998</v>
      </c>
      <c r="AH31" s="14">
        <f t="shared" si="30"/>
        <v>70.58</v>
      </c>
      <c r="AI31" s="14">
        <f t="shared" si="31"/>
        <v>352.9</v>
      </c>
      <c r="AJ31" s="14">
        <v>0</v>
      </c>
      <c r="AK31" s="14">
        <f t="shared" si="32"/>
        <v>345.842</v>
      </c>
      <c r="AL31" s="14">
        <v>0</v>
      </c>
      <c r="AM31" s="14">
        <f t="shared" si="33"/>
        <v>794.025</v>
      </c>
      <c r="AN31" s="14">
        <v>0</v>
      </c>
      <c r="AO31" s="14"/>
      <c r="AP31" s="14"/>
      <c r="AQ31" s="95"/>
      <c r="AR31" s="95"/>
      <c r="AS31" s="77"/>
      <c r="AT31" s="77"/>
      <c r="AU31" s="77">
        <f t="shared" si="34"/>
        <v>0</v>
      </c>
      <c r="AV31" s="96">
        <v>248</v>
      </c>
      <c r="AW31" s="111">
        <v>0.15</v>
      </c>
      <c r="AX31" s="14">
        <f t="shared" si="35"/>
        <v>52.07999999999999</v>
      </c>
      <c r="AY31" s="98"/>
      <c r="AZ31" s="99"/>
      <c r="BA31" s="99">
        <f t="shared" si="36"/>
        <v>0</v>
      </c>
      <c r="BB31" s="99">
        <f t="shared" si="37"/>
        <v>1827.167</v>
      </c>
      <c r="BC31" s="109"/>
      <c r="BD31" s="12">
        <f t="shared" si="38"/>
        <v>1186.078</v>
      </c>
      <c r="BE31" s="26">
        <f t="shared" si="39"/>
        <v>-39.340000000000146</v>
      </c>
    </row>
    <row r="32" spans="1:57" ht="12.75">
      <c r="A32" s="9" t="s">
        <v>51</v>
      </c>
      <c r="B32" s="84">
        <v>352.9</v>
      </c>
      <c r="C32" s="108">
        <f t="shared" si="22"/>
        <v>3052.585</v>
      </c>
      <c r="D32" s="107">
        <f t="shared" si="23"/>
        <v>563.1849999999998</v>
      </c>
      <c r="E32" s="135">
        <v>323.92</v>
      </c>
      <c r="F32" s="87">
        <v>0</v>
      </c>
      <c r="G32" s="87">
        <v>121.88</v>
      </c>
      <c r="H32" s="87">
        <v>0</v>
      </c>
      <c r="I32" s="87">
        <v>1054.19</v>
      </c>
      <c r="J32" s="87">
        <v>0</v>
      </c>
      <c r="K32" s="87">
        <v>730.27</v>
      </c>
      <c r="L32" s="87">
        <v>0</v>
      </c>
      <c r="M32" s="87">
        <v>259.14</v>
      </c>
      <c r="N32" s="87">
        <v>0</v>
      </c>
      <c r="O32" s="87">
        <v>0</v>
      </c>
      <c r="P32" s="92">
        <v>0</v>
      </c>
      <c r="Q32" s="92"/>
      <c r="R32" s="92"/>
      <c r="S32" s="71">
        <f t="shared" si="24"/>
        <v>2489.4</v>
      </c>
      <c r="T32" s="88">
        <f t="shared" si="25"/>
        <v>0</v>
      </c>
      <c r="U32" s="133">
        <v>244.89</v>
      </c>
      <c r="V32" s="133">
        <v>92.04</v>
      </c>
      <c r="W32" s="133">
        <v>796.94</v>
      </c>
      <c r="X32" s="133">
        <v>552.03</v>
      </c>
      <c r="Y32" s="133">
        <v>195.92</v>
      </c>
      <c r="Z32" s="134">
        <v>0</v>
      </c>
      <c r="AA32" s="134">
        <v>0</v>
      </c>
      <c r="AB32" s="89">
        <f t="shared" si="40"/>
        <v>1881.8200000000002</v>
      </c>
      <c r="AC32" s="91">
        <f t="shared" si="26"/>
        <v>2445.005</v>
      </c>
      <c r="AD32" s="82">
        <f t="shared" si="27"/>
        <v>0</v>
      </c>
      <c r="AE32" s="82">
        <f t="shared" si="28"/>
        <v>0</v>
      </c>
      <c r="AF32" s="82"/>
      <c r="AG32" s="14">
        <f t="shared" si="29"/>
        <v>211.73999999999998</v>
      </c>
      <c r="AH32" s="14">
        <f t="shared" si="30"/>
        <v>70.58</v>
      </c>
      <c r="AI32" s="14">
        <f t="shared" si="31"/>
        <v>352.9</v>
      </c>
      <c r="AJ32" s="14">
        <v>0</v>
      </c>
      <c r="AK32" s="14">
        <f t="shared" si="32"/>
        <v>345.842</v>
      </c>
      <c r="AL32" s="14">
        <v>0</v>
      </c>
      <c r="AM32" s="14">
        <f t="shared" si="33"/>
        <v>794.025</v>
      </c>
      <c r="AN32" s="14">
        <v>0</v>
      </c>
      <c r="AO32" s="14"/>
      <c r="AP32" s="14"/>
      <c r="AQ32" s="95"/>
      <c r="AR32" s="95"/>
      <c r="AS32" s="77"/>
      <c r="AT32" s="77">
        <f>47.8</f>
        <v>47.8</v>
      </c>
      <c r="AU32" s="77"/>
      <c r="AV32" s="96">
        <v>293</v>
      </c>
      <c r="AW32" s="111">
        <v>0.15</v>
      </c>
      <c r="AX32" s="14">
        <f t="shared" si="35"/>
        <v>61.52999999999999</v>
      </c>
      <c r="AY32" s="98"/>
      <c r="AZ32" s="99"/>
      <c r="BA32" s="99">
        <f t="shared" si="36"/>
        <v>0</v>
      </c>
      <c r="BB32" s="99">
        <f t="shared" si="37"/>
        <v>1884.417</v>
      </c>
      <c r="BC32" s="109"/>
      <c r="BD32" s="12">
        <f t="shared" si="38"/>
        <v>560.5880000000002</v>
      </c>
      <c r="BE32" s="26">
        <f t="shared" si="39"/>
        <v>-607.5799999999999</v>
      </c>
    </row>
    <row r="33" spans="1:57" ht="12.75">
      <c r="A33" s="9" t="s">
        <v>52</v>
      </c>
      <c r="B33" s="84">
        <v>352.9</v>
      </c>
      <c r="C33" s="108">
        <f t="shared" si="22"/>
        <v>3052.585</v>
      </c>
      <c r="D33" s="107">
        <f t="shared" si="23"/>
        <v>563.1849999999998</v>
      </c>
      <c r="E33" s="87">
        <v>323.92</v>
      </c>
      <c r="F33" s="87">
        <v>0</v>
      </c>
      <c r="G33" s="87">
        <v>121.88</v>
      </c>
      <c r="H33" s="87">
        <v>0</v>
      </c>
      <c r="I33" s="87">
        <v>1054.19</v>
      </c>
      <c r="J33" s="87">
        <v>0</v>
      </c>
      <c r="K33" s="87">
        <v>730.27</v>
      </c>
      <c r="L33" s="87">
        <v>0</v>
      </c>
      <c r="M33" s="87">
        <v>259.14</v>
      </c>
      <c r="N33" s="87">
        <v>0</v>
      </c>
      <c r="O33" s="87">
        <v>0</v>
      </c>
      <c r="P33" s="92">
        <v>0</v>
      </c>
      <c r="Q33" s="92"/>
      <c r="R33" s="92"/>
      <c r="S33" s="71">
        <f t="shared" si="24"/>
        <v>2489.4</v>
      </c>
      <c r="T33" s="88">
        <f t="shared" si="25"/>
        <v>0</v>
      </c>
      <c r="U33" s="71">
        <v>165.61</v>
      </c>
      <c r="V33" s="71">
        <v>62.12</v>
      </c>
      <c r="W33" s="71">
        <v>538.82</v>
      </c>
      <c r="X33" s="71">
        <v>373.24</v>
      </c>
      <c r="Y33" s="71">
        <v>132.49</v>
      </c>
      <c r="Z33" s="89">
        <v>0</v>
      </c>
      <c r="AA33" s="89">
        <v>0</v>
      </c>
      <c r="AB33" s="89">
        <f t="shared" si="40"/>
        <v>1272.28</v>
      </c>
      <c r="AC33" s="91">
        <f t="shared" si="26"/>
        <v>1835.4649999999997</v>
      </c>
      <c r="AD33" s="82">
        <f t="shared" si="27"/>
        <v>0</v>
      </c>
      <c r="AE33" s="82">
        <f t="shared" si="28"/>
        <v>0</v>
      </c>
      <c r="AF33" s="82"/>
      <c r="AG33" s="14">
        <f t="shared" si="29"/>
        <v>211.73999999999998</v>
      </c>
      <c r="AH33" s="14">
        <f t="shared" si="30"/>
        <v>70.58</v>
      </c>
      <c r="AI33" s="14">
        <f t="shared" si="31"/>
        <v>352.9</v>
      </c>
      <c r="AJ33" s="14">
        <v>0</v>
      </c>
      <c r="AK33" s="14">
        <f t="shared" si="32"/>
        <v>345.842</v>
      </c>
      <c r="AL33" s="14">
        <v>0</v>
      </c>
      <c r="AM33" s="14">
        <f t="shared" si="33"/>
        <v>794.025</v>
      </c>
      <c r="AN33" s="14">
        <v>0</v>
      </c>
      <c r="AO33" s="14"/>
      <c r="AP33" s="14"/>
      <c r="AQ33" s="95"/>
      <c r="AR33" s="95"/>
      <c r="AS33" s="77"/>
      <c r="AT33" s="77"/>
      <c r="AU33" s="136">
        <f t="shared" si="34"/>
        <v>0</v>
      </c>
      <c r="AV33" s="96">
        <v>349</v>
      </c>
      <c r="AW33" s="111">
        <v>0.15</v>
      </c>
      <c r="AX33" s="14">
        <f t="shared" si="35"/>
        <v>73.28999999999999</v>
      </c>
      <c r="AY33" s="98"/>
      <c r="AZ33" s="99"/>
      <c r="BA33" s="99">
        <f t="shared" si="36"/>
        <v>0</v>
      </c>
      <c r="BB33" s="99">
        <f t="shared" si="37"/>
        <v>1848.377</v>
      </c>
      <c r="BC33" s="109"/>
      <c r="BD33" s="12">
        <f t="shared" si="38"/>
        <v>-12.912000000000262</v>
      </c>
      <c r="BE33" s="26">
        <f t="shared" si="39"/>
        <v>-1217.1200000000001</v>
      </c>
    </row>
    <row r="34" spans="1:57" ht="12.75">
      <c r="A34" s="9" t="s">
        <v>40</v>
      </c>
      <c r="B34" s="84">
        <v>352.9</v>
      </c>
      <c r="C34" s="108">
        <f t="shared" si="22"/>
        <v>3052.585</v>
      </c>
      <c r="D34" s="107">
        <f t="shared" si="23"/>
        <v>563.1849999999998</v>
      </c>
      <c r="E34" s="103">
        <v>323.92</v>
      </c>
      <c r="F34" s="103">
        <v>0</v>
      </c>
      <c r="G34" s="103">
        <v>121.88</v>
      </c>
      <c r="H34" s="103">
        <v>0</v>
      </c>
      <c r="I34" s="103">
        <v>1054.19</v>
      </c>
      <c r="J34" s="103">
        <v>0</v>
      </c>
      <c r="K34" s="103">
        <v>730.27</v>
      </c>
      <c r="L34" s="103">
        <v>0</v>
      </c>
      <c r="M34" s="103">
        <v>259.14</v>
      </c>
      <c r="N34" s="103">
        <v>0</v>
      </c>
      <c r="O34" s="103">
        <v>0</v>
      </c>
      <c r="P34" s="104">
        <v>0</v>
      </c>
      <c r="Q34" s="104"/>
      <c r="R34" s="104"/>
      <c r="S34" s="71">
        <f t="shared" si="24"/>
        <v>2489.4</v>
      </c>
      <c r="T34" s="88">
        <f t="shared" si="25"/>
        <v>0</v>
      </c>
      <c r="U34" s="71">
        <v>165.48</v>
      </c>
      <c r="V34" s="71">
        <v>62.09</v>
      </c>
      <c r="W34" s="71">
        <v>538.42</v>
      </c>
      <c r="X34" s="71">
        <v>372.96</v>
      </c>
      <c r="Y34" s="71">
        <v>132.37</v>
      </c>
      <c r="Z34" s="89">
        <v>0</v>
      </c>
      <c r="AA34" s="89">
        <v>0</v>
      </c>
      <c r="AB34" s="89">
        <f t="shared" si="40"/>
        <v>1271.3200000000002</v>
      </c>
      <c r="AC34" s="91">
        <f t="shared" si="26"/>
        <v>1834.505</v>
      </c>
      <c r="AD34" s="82">
        <f t="shared" si="27"/>
        <v>0</v>
      </c>
      <c r="AE34" s="82">
        <f t="shared" si="28"/>
        <v>0</v>
      </c>
      <c r="AF34" s="82"/>
      <c r="AG34" s="14">
        <f t="shared" si="29"/>
        <v>211.73999999999998</v>
      </c>
      <c r="AH34" s="14">
        <f t="shared" si="30"/>
        <v>70.58</v>
      </c>
      <c r="AI34" s="14">
        <f t="shared" si="31"/>
        <v>352.9</v>
      </c>
      <c r="AJ34" s="14">
        <v>0</v>
      </c>
      <c r="AK34" s="14">
        <f t="shared" si="32"/>
        <v>345.842</v>
      </c>
      <c r="AL34" s="14">
        <v>0</v>
      </c>
      <c r="AM34" s="14">
        <f t="shared" si="33"/>
        <v>794.025</v>
      </c>
      <c r="AN34" s="14">
        <v>0</v>
      </c>
      <c r="AO34" s="14"/>
      <c r="AP34" s="14"/>
      <c r="AQ34" s="95"/>
      <c r="AR34" s="95"/>
      <c r="AS34" s="77"/>
      <c r="AT34" s="77"/>
      <c r="AU34" s="77">
        <f t="shared" si="34"/>
        <v>0</v>
      </c>
      <c r="AV34" s="96">
        <v>425</v>
      </c>
      <c r="AW34" s="111">
        <v>0.15</v>
      </c>
      <c r="AX34" s="14">
        <f t="shared" si="35"/>
        <v>89.25</v>
      </c>
      <c r="AY34" s="98"/>
      <c r="AZ34" s="99"/>
      <c r="BA34" s="99">
        <f t="shared" si="36"/>
        <v>0</v>
      </c>
      <c r="BB34" s="99">
        <f t="shared" si="37"/>
        <v>1864.337</v>
      </c>
      <c r="BC34" s="109"/>
      <c r="BD34" s="12">
        <f t="shared" si="38"/>
        <v>-29.83199999999988</v>
      </c>
      <c r="BE34" s="26">
        <f t="shared" si="39"/>
        <v>-1218.08</v>
      </c>
    </row>
    <row r="35" spans="1:57" ht="12.75">
      <c r="A35" s="9" t="s">
        <v>41</v>
      </c>
      <c r="B35" s="84">
        <v>352.9</v>
      </c>
      <c r="C35" s="108">
        <f t="shared" si="22"/>
        <v>3052.585</v>
      </c>
      <c r="D35" s="107">
        <f t="shared" si="23"/>
        <v>548.195</v>
      </c>
      <c r="E35" s="87">
        <v>325.92</v>
      </c>
      <c r="F35" s="87">
        <v>0</v>
      </c>
      <c r="G35" s="87">
        <v>122.48</v>
      </c>
      <c r="H35" s="87">
        <v>0</v>
      </c>
      <c r="I35" s="87">
        <v>1060.58</v>
      </c>
      <c r="J35" s="87">
        <v>0</v>
      </c>
      <c r="K35" s="87">
        <v>734.67</v>
      </c>
      <c r="L35" s="87">
        <v>0</v>
      </c>
      <c r="M35" s="87">
        <v>260.74</v>
      </c>
      <c r="N35" s="87">
        <v>0</v>
      </c>
      <c r="O35" s="87">
        <v>0</v>
      </c>
      <c r="P35" s="92">
        <v>0</v>
      </c>
      <c r="Q35" s="92"/>
      <c r="R35" s="92"/>
      <c r="S35" s="71">
        <f t="shared" si="24"/>
        <v>2504.3900000000003</v>
      </c>
      <c r="T35" s="88">
        <f t="shared" si="25"/>
        <v>0</v>
      </c>
      <c r="U35" s="73">
        <v>2622.21</v>
      </c>
      <c r="V35" s="71">
        <v>989.71</v>
      </c>
      <c r="W35" s="71">
        <v>8536.1</v>
      </c>
      <c r="X35" s="71">
        <v>5913.8</v>
      </c>
      <c r="Y35" s="71">
        <v>2097.87</v>
      </c>
      <c r="Z35" s="89">
        <v>0</v>
      </c>
      <c r="AA35" s="89">
        <v>0</v>
      </c>
      <c r="AB35" s="89">
        <f t="shared" si="40"/>
        <v>20159.69</v>
      </c>
      <c r="AC35" s="91">
        <f t="shared" si="26"/>
        <v>20707.885</v>
      </c>
      <c r="AD35" s="82">
        <f t="shared" si="27"/>
        <v>0</v>
      </c>
      <c r="AE35" s="82">
        <f t="shared" si="28"/>
        <v>0</v>
      </c>
      <c r="AF35" s="82"/>
      <c r="AG35" s="14">
        <f t="shared" si="29"/>
        <v>211.73999999999998</v>
      </c>
      <c r="AH35" s="14">
        <f t="shared" si="30"/>
        <v>70.58</v>
      </c>
      <c r="AI35" s="14">
        <f t="shared" si="31"/>
        <v>352.9</v>
      </c>
      <c r="AJ35" s="14">
        <v>0</v>
      </c>
      <c r="AK35" s="14">
        <f t="shared" si="32"/>
        <v>345.842</v>
      </c>
      <c r="AL35" s="14">
        <v>0</v>
      </c>
      <c r="AM35" s="14">
        <f t="shared" si="33"/>
        <v>794.025</v>
      </c>
      <c r="AN35" s="14">
        <v>0</v>
      </c>
      <c r="AO35" s="14"/>
      <c r="AP35" s="14"/>
      <c r="AQ35" s="95"/>
      <c r="AR35" s="95"/>
      <c r="AS35" s="77"/>
      <c r="AT35" s="77"/>
      <c r="AU35" s="77">
        <f t="shared" si="34"/>
        <v>0</v>
      </c>
      <c r="AV35" s="96">
        <v>470</v>
      </c>
      <c r="AW35" s="111">
        <v>0.15</v>
      </c>
      <c r="AX35" s="14">
        <f t="shared" si="35"/>
        <v>98.69999999999999</v>
      </c>
      <c r="AY35" s="98"/>
      <c r="AZ35" s="99"/>
      <c r="BA35" s="99">
        <f t="shared" si="36"/>
        <v>0</v>
      </c>
      <c r="BB35" s="99">
        <f t="shared" si="37"/>
        <v>1873.7869999999998</v>
      </c>
      <c r="BC35" s="109"/>
      <c r="BD35" s="12">
        <f t="shared" si="38"/>
        <v>18834.097999999998</v>
      </c>
      <c r="BE35" s="26">
        <f t="shared" si="39"/>
        <v>17655.3</v>
      </c>
    </row>
    <row r="36" spans="1:57" ht="12.75">
      <c r="A36" s="9" t="s">
        <v>42</v>
      </c>
      <c r="B36" s="84">
        <v>352.9</v>
      </c>
      <c r="C36" s="108">
        <f t="shared" si="22"/>
        <v>3052.585</v>
      </c>
      <c r="D36" s="107">
        <f t="shared" si="23"/>
        <v>548.195</v>
      </c>
      <c r="E36" s="87">
        <v>325.92</v>
      </c>
      <c r="F36" s="87">
        <v>0</v>
      </c>
      <c r="G36" s="87">
        <v>122.48</v>
      </c>
      <c r="H36" s="87">
        <v>0</v>
      </c>
      <c r="I36" s="87">
        <v>1060.58</v>
      </c>
      <c r="J36" s="87">
        <v>0</v>
      </c>
      <c r="K36" s="87">
        <v>734.67</v>
      </c>
      <c r="L36" s="87">
        <v>0</v>
      </c>
      <c r="M36" s="87">
        <v>260.74</v>
      </c>
      <c r="N36" s="87">
        <v>0</v>
      </c>
      <c r="O36" s="87">
        <v>0</v>
      </c>
      <c r="P36" s="92">
        <v>0</v>
      </c>
      <c r="Q36" s="92"/>
      <c r="R36" s="92"/>
      <c r="S36" s="71">
        <f t="shared" si="24"/>
        <v>2504.3900000000003</v>
      </c>
      <c r="T36" s="88">
        <f t="shared" si="25"/>
        <v>0</v>
      </c>
      <c r="U36" s="71">
        <v>165.64</v>
      </c>
      <c r="V36" s="71">
        <v>62.15</v>
      </c>
      <c r="W36" s="71">
        <v>538.94</v>
      </c>
      <c r="X36" s="71">
        <v>373.3</v>
      </c>
      <c r="Y36" s="71">
        <v>132.52</v>
      </c>
      <c r="Z36" s="89">
        <v>0</v>
      </c>
      <c r="AA36" s="89">
        <v>0</v>
      </c>
      <c r="AB36" s="89">
        <f t="shared" si="40"/>
        <v>1272.55</v>
      </c>
      <c r="AC36" s="91">
        <f t="shared" si="26"/>
        <v>1820.745</v>
      </c>
      <c r="AD36" s="82">
        <f t="shared" si="27"/>
        <v>0</v>
      </c>
      <c r="AE36" s="82">
        <f t="shared" si="28"/>
        <v>0</v>
      </c>
      <c r="AF36" s="82"/>
      <c r="AG36" s="14">
        <f t="shared" si="29"/>
        <v>211.73999999999998</v>
      </c>
      <c r="AH36" s="14">
        <f t="shared" si="30"/>
        <v>70.58</v>
      </c>
      <c r="AI36" s="14">
        <f t="shared" si="31"/>
        <v>352.9</v>
      </c>
      <c r="AJ36" s="14">
        <v>0</v>
      </c>
      <c r="AK36" s="14">
        <f t="shared" si="32"/>
        <v>345.842</v>
      </c>
      <c r="AL36" s="14">
        <v>0</v>
      </c>
      <c r="AM36" s="14">
        <f t="shared" si="33"/>
        <v>794.025</v>
      </c>
      <c r="AN36" s="14">
        <v>0</v>
      </c>
      <c r="AO36" s="14"/>
      <c r="AP36" s="14"/>
      <c r="AQ36" s="95"/>
      <c r="AR36" s="95"/>
      <c r="AS36" s="77"/>
      <c r="AT36" s="77"/>
      <c r="AU36" s="77">
        <f t="shared" si="34"/>
        <v>0</v>
      </c>
      <c r="AV36" s="96">
        <v>514</v>
      </c>
      <c r="AW36" s="111">
        <v>0.15</v>
      </c>
      <c r="AX36" s="14">
        <f t="shared" si="35"/>
        <v>107.93999999999998</v>
      </c>
      <c r="AY36" s="98"/>
      <c r="AZ36" s="99"/>
      <c r="BA36" s="99">
        <f t="shared" si="36"/>
        <v>0</v>
      </c>
      <c r="BB36" s="99">
        <f t="shared" si="37"/>
        <v>1883.027</v>
      </c>
      <c r="BC36" s="109"/>
      <c r="BD36" s="12">
        <f t="shared" si="38"/>
        <v>-62.28200000000015</v>
      </c>
      <c r="BE36" s="26">
        <f t="shared" si="39"/>
        <v>-1231.8400000000004</v>
      </c>
    </row>
    <row r="37" spans="1:57" s="18" customFormat="1" ht="12.75">
      <c r="A37" s="15" t="s">
        <v>5</v>
      </c>
      <c r="B37" s="51"/>
      <c r="C37" s="51">
        <f aca="true" t="shared" si="41" ref="C37:AU37">SUM(C25:C36)</f>
        <v>36631.02</v>
      </c>
      <c r="D37" s="51">
        <f t="shared" si="41"/>
        <v>6782.159999999998</v>
      </c>
      <c r="E37" s="48">
        <f t="shared" si="41"/>
        <v>3522.0400000000004</v>
      </c>
      <c r="F37" s="48">
        <f t="shared" si="41"/>
        <v>361.79999999999995</v>
      </c>
      <c r="G37" s="48">
        <f t="shared" si="41"/>
        <v>1324.92</v>
      </c>
      <c r="H37" s="48">
        <f t="shared" si="41"/>
        <v>136.68</v>
      </c>
      <c r="I37" s="48">
        <f t="shared" si="41"/>
        <v>11462.2</v>
      </c>
      <c r="J37" s="48">
        <f t="shared" si="41"/>
        <v>1177.86</v>
      </c>
      <c r="K37" s="48">
        <f t="shared" si="41"/>
        <v>7940.180000000002</v>
      </c>
      <c r="L37" s="48">
        <f t="shared" si="41"/>
        <v>816.0600000000001</v>
      </c>
      <c r="M37" s="48">
        <f t="shared" si="41"/>
        <v>2817.6799999999994</v>
      </c>
      <c r="N37" s="48">
        <f t="shared" si="41"/>
        <v>289.44</v>
      </c>
      <c r="O37" s="48">
        <f t="shared" si="41"/>
        <v>0</v>
      </c>
      <c r="P37" s="48">
        <f t="shared" si="41"/>
        <v>0</v>
      </c>
      <c r="Q37" s="48">
        <f t="shared" si="41"/>
        <v>0</v>
      </c>
      <c r="R37" s="48">
        <f t="shared" si="41"/>
        <v>0</v>
      </c>
      <c r="S37" s="48">
        <f t="shared" si="41"/>
        <v>27067.02</v>
      </c>
      <c r="T37" s="48">
        <f t="shared" si="41"/>
        <v>2781.84</v>
      </c>
      <c r="U37" s="52">
        <f t="shared" si="41"/>
        <v>5201.930000000001</v>
      </c>
      <c r="V37" s="52">
        <f t="shared" si="41"/>
        <v>1958.7600000000002</v>
      </c>
      <c r="W37" s="52">
        <f t="shared" si="41"/>
        <v>16930.96</v>
      </c>
      <c r="X37" s="52">
        <f t="shared" si="41"/>
        <v>11728.989999999998</v>
      </c>
      <c r="Y37" s="52">
        <f t="shared" si="41"/>
        <v>4161.67</v>
      </c>
      <c r="Z37" s="52">
        <f t="shared" si="41"/>
        <v>0</v>
      </c>
      <c r="AA37" s="52">
        <f t="shared" si="41"/>
        <v>0</v>
      </c>
      <c r="AB37" s="52">
        <f t="shared" si="41"/>
        <v>39982.31</v>
      </c>
      <c r="AC37" s="52">
        <f t="shared" si="41"/>
        <v>49546.310000000005</v>
      </c>
      <c r="AD37" s="52">
        <f t="shared" si="41"/>
        <v>0</v>
      </c>
      <c r="AE37" s="80">
        <f t="shared" si="41"/>
        <v>0</v>
      </c>
      <c r="AF37" s="80">
        <f t="shared" si="41"/>
        <v>0</v>
      </c>
      <c r="AG37" s="16">
        <f t="shared" si="41"/>
        <v>2540.879999999999</v>
      </c>
      <c r="AH37" s="16">
        <f t="shared" si="41"/>
        <v>846.9600000000002</v>
      </c>
      <c r="AI37" s="16">
        <f t="shared" si="41"/>
        <v>4234.8</v>
      </c>
      <c r="AJ37" s="16">
        <f t="shared" si="41"/>
        <v>0</v>
      </c>
      <c r="AK37" s="16">
        <f t="shared" si="41"/>
        <v>4150.104</v>
      </c>
      <c r="AL37" s="16">
        <f t="shared" si="41"/>
        <v>0</v>
      </c>
      <c r="AM37" s="16">
        <f t="shared" si="41"/>
        <v>9528.299999999997</v>
      </c>
      <c r="AN37" s="16">
        <f t="shared" si="41"/>
        <v>0</v>
      </c>
      <c r="AO37" s="16">
        <f t="shared" si="41"/>
        <v>0</v>
      </c>
      <c r="AP37" s="16">
        <f t="shared" si="41"/>
        <v>0</v>
      </c>
      <c r="AQ37" s="16">
        <f t="shared" si="41"/>
        <v>0</v>
      </c>
      <c r="AR37" s="16">
        <f t="shared" si="41"/>
        <v>0</v>
      </c>
      <c r="AS37" s="16">
        <f t="shared" si="41"/>
        <v>280</v>
      </c>
      <c r="AT37" s="16">
        <f t="shared" si="41"/>
        <v>547.8</v>
      </c>
      <c r="AU37" s="16">
        <f t="shared" si="41"/>
        <v>0</v>
      </c>
      <c r="AV37" s="16"/>
      <c r="AW37" s="16"/>
      <c r="AX37" s="16">
        <f aca="true" t="shared" si="42" ref="AX37:BE37">SUM(AX25:AX36)</f>
        <v>923.9999999999999</v>
      </c>
      <c r="AY37" s="16">
        <f t="shared" si="42"/>
        <v>0</v>
      </c>
      <c r="AZ37" s="16">
        <f t="shared" si="42"/>
        <v>0</v>
      </c>
      <c r="BA37" s="16">
        <f t="shared" si="42"/>
        <v>0</v>
      </c>
      <c r="BB37" s="16">
        <f t="shared" si="42"/>
        <v>23052.843999999997</v>
      </c>
      <c r="BC37" s="16">
        <f t="shared" si="42"/>
        <v>0</v>
      </c>
      <c r="BD37" s="16">
        <f t="shared" si="42"/>
        <v>26493.466</v>
      </c>
      <c r="BE37" s="17">
        <f t="shared" si="42"/>
        <v>12915.29</v>
      </c>
    </row>
    <row r="38" spans="1:57" ht="12.75">
      <c r="A38" s="9"/>
      <c r="B38" s="10"/>
      <c r="C38" s="11"/>
      <c r="D38" s="11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2"/>
      <c r="T38" s="42"/>
      <c r="U38" s="44"/>
      <c r="V38" s="44"/>
      <c r="W38" s="44"/>
      <c r="X38" s="44"/>
      <c r="Y38" s="44"/>
      <c r="Z38" s="44"/>
      <c r="AA38" s="44"/>
      <c r="AB38" s="44"/>
      <c r="AC38" s="81"/>
      <c r="AD38" s="81"/>
      <c r="AE38" s="82"/>
      <c r="AF38" s="82"/>
      <c r="AG38" s="14"/>
      <c r="AH38" s="14"/>
      <c r="AI38" s="14"/>
      <c r="AJ38" s="14"/>
      <c r="AK38" s="14"/>
      <c r="AL38" s="14"/>
      <c r="AM38" s="14"/>
      <c r="AN38" s="14"/>
      <c r="AO38" s="13"/>
      <c r="AP38" s="13"/>
      <c r="AQ38" s="13"/>
      <c r="AR38" s="13"/>
      <c r="AS38" s="76"/>
      <c r="AT38" s="76"/>
      <c r="AU38" s="77"/>
      <c r="AV38" s="77"/>
      <c r="AW38" s="77"/>
      <c r="AX38" s="19"/>
      <c r="AY38" s="13"/>
      <c r="AZ38" s="13"/>
      <c r="BA38" s="14"/>
      <c r="BB38" s="14"/>
      <c r="BC38" s="14"/>
      <c r="BD38" s="14"/>
      <c r="BE38" s="8"/>
    </row>
    <row r="39" spans="1:57" s="18" customFormat="1" ht="13.5" thickBot="1">
      <c r="A39" s="20" t="s">
        <v>53</v>
      </c>
      <c r="B39" s="21"/>
      <c r="C39" s="21">
        <f aca="true" t="shared" si="43" ref="C39:BC39">C37+C23</f>
        <v>73262.04</v>
      </c>
      <c r="D39" s="21">
        <f t="shared" si="43"/>
        <v>12843.4925</v>
      </c>
      <c r="E39" s="21">
        <f t="shared" si="43"/>
        <v>6911.03</v>
      </c>
      <c r="F39" s="21">
        <f t="shared" si="43"/>
        <v>719.3799999999999</v>
      </c>
      <c r="G39" s="21">
        <f t="shared" si="43"/>
        <v>2586.46</v>
      </c>
      <c r="H39" s="21">
        <f t="shared" si="43"/>
        <v>270.3</v>
      </c>
      <c r="I39" s="21">
        <f t="shared" si="43"/>
        <v>22486.870000000003</v>
      </c>
      <c r="J39" s="21">
        <f t="shared" si="43"/>
        <v>2341.45</v>
      </c>
      <c r="K39" s="21">
        <f t="shared" si="43"/>
        <v>15575.870000000003</v>
      </c>
      <c r="L39" s="21">
        <f t="shared" si="43"/>
        <v>1622.0700000000002</v>
      </c>
      <c r="M39" s="21">
        <f t="shared" si="43"/>
        <v>5528.889999999999</v>
      </c>
      <c r="N39" s="21">
        <f t="shared" si="43"/>
        <v>575.5</v>
      </c>
      <c r="O39" s="21">
        <f t="shared" si="43"/>
        <v>0</v>
      </c>
      <c r="P39" s="21">
        <f t="shared" si="43"/>
        <v>0</v>
      </c>
      <c r="Q39" s="21">
        <f t="shared" si="43"/>
        <v>0</v>
      </c>
      <c r="R39" s="21">
        <f t="shared" si="43"/>
        <v>0</v>
      </c>
      <c r="S39" s="21">
        <f t="shared" si="43"/>
        <v>53089.119999999995</v>
      </c>
      <c r="T39" s="21">
        <f t="shared" si="43"/>
        <v>5528.699999999999</v>
      </c>
      <c r="U39" s="21">
        <f t="shared" si="43"/>
        <v>8206.670000000002</v>
      </c>
      <c r="V39" s="21">
        <f t="shared" si="43"/>
        <v>3069.4700000000003</v>
      </c>
      <c r="W39" s="21">
        <f t="shared" si="43"/>
        <v>26702.63</v>
      </c>
      <c r="X39" s="21">
        <f t="shared" si="43"/>
        <v>18495.909999999996</v>
      </c>
      <c r="Y39" s="21">
        <f t="shared" si="43"/>
        <v>6565.45</v>
      </c>
      <c r="Z39" s="21">
        <f t="shared" si="43"/>
        <v>0</v>
      </c>
      <c r="AA39" s="21">
        <f t="shared" si="43"/>
        <v>0</v>
      </c>
      <c r="AB39" s="21">
        <f t="shared" si="43"/>
        <v>63040.13</v>
      </c>
      <c r="AC39" s="21">
        <f t="shared" si="43"/>
        <v>81412.32250000001</v>
      </c>
      <c r="AD39" s="21">
        <f t="shared" si="43"/>
        <v>0</v>
      </c>
      <c r="AE39" s="21">
        <f t="shared" si="43"/>
        <v>0</v>
      </c>
      <c r="AF39" s="21">
        <f t="shared" si="43"/>
        <v>0</v>
      </c>
      <c r="AG39" s="21">
        <f t="shared" si="43"/>
        <v>4997.0639999999985</v>
      </c>
      <c r="AH39" s="21">
        <f t="shared" si="43"/>
        <v>1669.2747568000004</v>
      </c>
      <c r="AI39" s="21">
        <f t="shared" si="43"/>
        <v>7668.21956295</v>
      </c>
      <c r="AJ39" s="21">
        <f t="shared" si="43"/>
        <v>618.015521331</v>
      </c>
      <c r="AK39" s="21">
        <f t="shared" si="43"/>
        <v>7487.84077547</v>
      </c>
      <c r="AL39" s="21">
        <f t="shared" si="43"/>
        <v>600.7926195846</v>
      </c>
      <c r="AM39" s="21">
        <f t="shared" si="43"/>
        <v>17207.777283862877</v>
      </c>
      <c r="AN39" s="21">
        <f t="shared" si="43"/>
        <v>1382.3059110953182</v>
      </c>
      <c r="AO39" s="21">
        <f t="shared" si="43"/>
        <v>0</v>
      </c>
      <c r="AP39" s="21">
        <f t="shared" si="43"/>
        <v>0</v>
      </c>
      <c r="AQ39" s="21">
        <f t="shared" si="43"/>
        <v>0</v>
      </c>
      <c r="AR39" s="21">
        <f t="shared" si="43"/>
        <v>0</v>
      </c>
      <c r="AS39" s="21">
        <f t="shared" si="43"/>
        <v>695</v>
      </c>
      <c r="AT39" s="21">
        <f t="shared" si="43"/>
        <v>547.8</v>
      </c>
      <c r="AU39" s="21">
        <f t="shared" si="43"/>
        <v>74.7</v>
      </c>
      <c r="AV39" s="21">
        <f t="shared" si="43"/>
        <v>0</v>
      </c>
      <c r="AW39" s="21">
        <f t="shared" si="43"/>
        <v>0</v>
      </c>
      <c r="AX39" s="21">
        <f t="shared" si="43"/>
        <v>1796.2607999999998</v>
      </c>
      <c r="AY39" s="21">
        <f t="shared" si="43"/>
        <v>0</v>
      </c>
      <c r="AZ39" s="21">
        <f t="shared" si="43"/>
        <v>0</v>
      </c>
      <c r="BA39" s="21">
        <f t="shared" si="43"/>
        <v>0</v>
      </c>
      <c r="BB39" s="21">
        <f t="shared" si="43"/>
        <v>44745.05123109379</v>
      </c>
      <c r="BC39" s="21">
        <f t="shared" si="43"/>
        <v>0</v>
      </c>
      <c r="BD39" s="21">
        <f>BD37+BD23</f>
        <v>36667.2712689062</v>
      </c>
      <c r="BE39" s="21">
        <f>BE37+BE23</f>
        <v>9951.010000000002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B5:AB6"/>
    <mergeCell ref="AV5:AX5"/>
    <mergeCell ref="AD3:AD6"/>
    <mergeCell ref="BA5:BA6"/>
    <mergeCell ref="AQ5:AQ6"/>
    <mergeCell ref="AR5:AR6"/>
    <mergeCell ref="AT5:AT6"/>
    <mergeCell ref="AZ5:AZ6"/>
    <mergeCell ref="BB5:BB6"/>
    <mergeCell ref="AU5:AU6"/>
    <mergeCell ref="AG5:AG6"/>
    <mergeCell ref="AF3:AF6"/>
    <mergeCell ref="AG3:BB4"/>
    <mergeCell ref="AN5:AN6"/>
    <mergeCell ref="AO5:AO6"/>
    <mergeCell ref="AY5:AY6"/>
    <mergeCell ref="M4:N4"/>
    <mergeCell ref="O4:P4"/>
    <mergeCell ref="Q4:R4"/>
    <mergeCell ref="R5:R6"/>
    <mergeCell ref="L5:L6"/>
    <mergeCell ref="M5:M6"/>
    <mergeCell ref="N5:N6"/>
    <mergeCell ref="O5:O6"/>
    <mergeCell ref="E5:E6"/>
    <mergeCell ref="F5:F6"/>
    <mergeCell ref="G5:G6"/>
    <mergeCell ref="H5:H6"/>
    <mergeCell ref="P5:P6"/>
    <mergeCell ref="Q5:Q6"/>
    <mergeCell ref="I5:I6"/>
    <mergeCell ref="J5:J6"/>
    <mergeCell ref="K5:K6"/>
    <mergeCell ref="BD3:BD6"/>
    <mergeCell ref="S3:T4"/>
    <mergeCell ref="U3:AB4"/>
    <mergeCell ref="AC3:AC6"/>
    <mergeCell ref="AE3:AE6"/>
    <mergeCell ref="T5:T6"/>
    <mergeCell ref="U5:U6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7">
      <selection activeCell="E8" sqref="E8:F8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2" width="10.87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191" t="s">
        <v>54</v>
      </c>
      <c r="C1" s="191"/>
      <c r="D1" s="191"/>
      <c r="E1" s="191"/>
      <c r="F1" s="191"/>
      <c r="G1" s="191"/>
      <c r="H1" s="191"/>
    </row>
    <row r="2" spans="2:8" ht="21" customHeight="1">
      <c r="B2" s="191" t="s">
        <v>55</v>
      </c>
      <c r="C2" s="191"/>
      <c r="D2" s="191"/>
      <c r="E2" s="191"/>
      <c r="F2" s="191"/>
      <c r="G2" s="191"/>
      <c r="H2" s="191"/>
    </row>
    <row r="5" spans="1:15" ht="12.75">
      <c r="A5" s="193" t="s">
        <v>88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2.75">
      <c r="A6" s="194" t="s">
        <v>92</v>
      </c>
      <c r="B6" s="194"/>
      <c r="C6" s="194"/>
      <c r="D6" s="194"/>
      <c r="E6" s="194"/>
      <c r="F6" s="194"/>
      <c r="G6" s="194"/>
      <c r="H6" s="83"/>
      <c r="I6" s="83"/>
      <c r="J6" s="83"/>
      <c r="K6" s="83"/>
      <c r="L6" s="83"/>
      <c r="M6" s="83"/>
      <c r="N6" s="83"/>
      <c r="O6" s="83"/>
    </row>
    <row r="7" spans="1:15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6" ht="13.5" thickBot="1">
      <c r="A8" s="192" t="s">
        <v>56</v>
      </c>
      <c r="B8" s="192"/>
      <c r="C8" s="192"/>
      <c r="D8" s="192"/>
      <c r="E8" s="192">
        <v>8.65</v>
      </c>
      <c r="F8" s="192"/>
    </row>
    <row r="9" spans="1:16" ht="12.75" customHeight="1">
      <c r="A9" s="140" t="s">
        <v>57</v>
      </c>
      <c r="B9" s="220" t="s">
        <v>1</v>
      </c>
      <c r="C9" s="223" t="s">
        <v>58</v>
      </c>
      <c r="D9" s="226" t="s">
        <v>3</v>
      </c>
      <c r="E9" s="206" t="s">
        <v>59</v>
      </c>
      <c r="F9" s="207"/>
      <c r="G9" s="210" t="s">
        <v>60</v>
      </c>
      <c r="H9" s="211"/>
      <c r="I9" s="187" t="s">
        <v>10</v>
      </c>
      <c r="J9" s="179"/>
      <c r="K9" s="179"/>
      <c r="L9" s="179"/>
      <c r="M9" s="179"/>
      <c r="N9" s="188"/>
      <c r="O9" s="195" t="s">
        <v>61</v>
      </c>
      <c r="P9" s="195" t="s">
        <v>12</v>
      </c>
    </row>
    <row r="10" spans="1:16" ht="12.75">
      <c r="A10" s="141"/>
      <c r="B10" s="221"/>
      <c r="C10" s="224"/>
      <c r="D10" s="227"/>
      <c r="E10" s="208"/>
      <c r="F10" s="209"/>
      <c r="G10" s="212"/>
      <c r="H10" s="213"/>
      <c r="I10" s="189"/>
      <c r="J10" s="151"/>
      <c r="K10" s="151"/>
      <c r="L10" s="151"/>
      <c r="M10" s="151"/>
      <c r="N10" s="190"/>
      <c r="O10" s="196"/>
      <c r="P10" s="196"/>
    </row>
    <row r="11" spans="1:16" ht="26.25" customHeight="1">
      <c r="A11" s="141"/>
      <c r="B11" s="221"/>
      <c r="C11" s="224"/>
      <c r="D11" s="227"/>
      <c r="E11" s="198" t="s">
        <v>62</v>
      </c>
      <c r="F11" s="199"/>
      <c r="G11" s="70" t="s">
        <v>63</v>
      </c>
      <c r="H11" s="200" t="s">
        <v>7</v>
      </c>
      <c r="I11" s="202" t="s">
        <v>64</v>
      </c>
      <c r="J11" s="204" t="s">
        <v>32</v>
      </c>
      <c r="K11" s="204" t="s">
        <v>65</v>
      </c>
      <c r="L11" s="204" t="s">
        <v>37</v>
      </c>
      <c r="M11" s="204" t="s">
        <v>66</v>
      </c>
      <c r="N11" s="200" t="s">
        <v>39</v>
      </c>
      <c r="O11" s="196"/>
      <c r="P11" s="196"/>
    </row>
    <row r="12" spans="1:16" ht="66.75" customHeight="1" thickBot="1">
      <c r="A12" s="219"/>
      <c r="B12" s="222"/>
      <c r="C12" s="225"/>
      <c r="D12" s="228"/>
      <c r="E12" s="54" t="s">
        <v>67</v>
      </c>
      <c r="F12" s="57" t="s">
        <v>21</v>
      </c>
      <c r="G12" s="67" t="s">
        <v>68</v>
      </c>
      <c r="H12" s="201"/>
      <c r="I12" s="203"/>
      <c r="J12" s="205"/>
      <c r="K12" s="205"/>
      <c r="L12" s="205"/>
      <c r="M12" s="205"/>
      <c r="N12" s="201"/>
      <c r="O12" s="197"/>
      <c r="P12" s="197"/>
    </row>
    <row r="13" spans="1:16" ht="13.5" thickBot="1">
      <c r="A13" s="55">
        <v>1</v>
      </c>
      <c r="B13" s="56">
        <v>2</v>
      </c>
      <c r="C13" s="55">
        <v>3</v>
      </c>
      <c r="D13" s="56">
        <v>4</v>
      </c>
      <c r="E13" s="55">
        <v>5</v>
      </c>
      <c r="F13" s="56">
        <v>6</v>
      </c>
      <c r="G13" s="55">
        <v>7</v>
      </c>
      <c r="H13" s="56">
        <v>8</v>
      </c>
      <c r="I13" s="55">
        <v>9</v>
      </c>
      <c r="J13" s="56">
        <v>10</v>
      </c>
      <c r="K13" s="55">
        <v>11</v>
      </c>
      <c r="L13" s="56">
        <v>12</v>
      </c>
      <c r="M13" s="55">
        <v>13</v>
      </c>
      <c r="N13" s="56">
        <v>14</v>
      </c>
      <c r="O13" s="55">
        <v>15</v>
      </c>
      <c r="P13" s="56">
        <v>16</v>
      </c>
    </row>
    <row r="14" spans="1:18" ht="12.75" hidden="1">
      <c r="A14" s="6" t="s">
        <v>43</v>
      </c>
      <c r="B14" s="35"/>
      <c r="C14" s="36"/>
      <c r="D14" s="37"/>
      <c r="E14" s="38"/>
      <c r="F14" s="40"/>
      <c r="G14" s="39"/>
      <c r="H14" s="40"/>
      <c r="I14" s="39"/>
      <c r="J14" s="12"/>
      <c r="K14" s="12"/>
      <c r="L14" s="27"/>
      <c r="M14" s="60"/>
      <c r="N14" s="26"/>
      <c r="O14" s="63"/>
      <c r="P14" s="63"/>
      <c r="Q14" s="1"/>
      <c r="R14" s="1"/>
    </row>
    <row r="15" spans="1:18" ht="12.75" hidden="1">
      <c r="A15" s="9" t="s">
        <v>44</v>
      </c>
      <c r="B15" s="68">
        <f>Лист1!B9</f>
        <v>352.9</v>
      </c>
      <c r="C15" s="23">
        <f aca="true" t="shared" si="0" ref="C15:C26">B15*8.65</f>
        <v>3052.585</v>
      </c>
      <c r="D15" s="24">
        <f>Лист1!D9</f>
        <v>381.573125</v>
      </c>
      <c r="E15" s="12">
        <f>Лист1!S9</f>
        <v>2036.9899999999998</v>
      </c>
      <c r="F15" s="26">
        <f>Лист1!T9</f>
        <v>183.89999999999998</v>
      </c>
      <c r="G15" s="25">
        <f>Лист1!AB9</f>
        <v>951.9</v>
      </c>
      <c r="H15" s="26">
        <f>Лист1!AC9</f>
        <v>1517.373125</v>
      </c>
      <c r="I15" s="25">
        <f>Лист1!AG9</f>
        <v>190.56599999999997</v>
      </c>
      <c r="J15" s="12">
        <f>Лист1!AI9+Лист1!AJ9</f>
        <v>306.85859289999996</v>
      </c>
      <c r="K15" s="12">
        <f>Лист1!AH9+Лист1!AK9+Лист1!AL9+Лист1!AM9+Лист1!AN9+Лист1!AO9+Лист1!AP9+Лист1!AQ9+Лист1!AR9</f>
        <v>1053.9561488079999</v>
      </c>
      <c r="L15" s="27">
        <f>Лист1!AS9+Лист1!AT9+Лист1!AU9+Лист1!AZ9+Лист1!BA9</f>
        <v>0</v>
      </c>
      <c r="M15" s="27">
        <f>Лист1!AX9</f>
        <v>0</v>
      </c>
      <c r="N15" s="26">
        <f>Лист1!BB9</f>
        <v>1551.3807417079997</v>
      </c>
      <c r="O15" s="63">
        <f>Лист1!BD9</f>
        <v>-34.00761670799966</v>
      </c>
      <c r="P15" s="63">
        <f>Лист1!BE9</f>
        <v>-1085.0899999999997</v>
      </c>
      <c r="Q15" s="1"/>
      <c r="R15" s="1"/>
    </row>
    <row r="16" spans="1:18" ht="12.75" hidden="1">
      <c r="A16" s="9" t="s">
        <v>45</v>
      </c>
      <c r="B16" s="68">
        <f>Лист1!B10</f>
        <v>352.9</v>
      </c>
      <c r="C16" s="23">
        <f t="shared" si="0"/>
        <v>3052.585</v>
      </c>
      <c r="D16" s="24">
        <f>Лист1!D10</f>
        <v>381.573125</v>
      </c>
      <c r="E16" s="12">
        <f>Лист1!S10</f>
        <v>2036.75</v>
      </c>
      <c r="F16" s="26">
        <f>Лист1!T10</f>
        <v>183.89999999999998</v>
      </c>
      <c r="G16" s="25">
        <f>Лист1!AB10</f>
        <v>1223.2100000000003</v>
      </c>
      <c r="H16" s="26">
        <f>Лист1!AC10</f>
        <v>1788.6831250000002</v>
      </c>
      <c r="I16" s="25">
        <f>Лист1!AG10</f>
        <v>190.56599999999997</v>
      </c>
      <c r="J16" s="12">
        <f>Лист1!AI10+Лист1!AJ10</f>
        <v>306.5282342</v>
      </c>
      <c r="K16" s="12">
        <f>Лист1!AH10+Лист1!AK10+Лист1!AL10+Лист1!AM10+Лист1!AN10+Лист1!AO10+Лист1!AP10+Лист1!AQ10+Лист1!AR10</f>
        <v>1055.4776065779997</v>
      </c>
      <c r="L16" s="27">
        <f>Лист1!AS10+Лист1!AT10+Лист1!AU10+Лист1!AZ10+Лист1!BA10</f>
        <v>0</v>
      </c>
      <c r="M16" s="27">
        <f>Лист1!AX10</f>
        <v>0</v>
      </c>
      <c r="N16" s="26">
        <f>Лист1!BB10</f>
        <v>1552.5718407779998</v>
      </c>
      <c r="O16" s="63">
        <f>Лист1!BD10</f>
        <v>236.11128422200045</v>
      </c>
      <c r="P16" s="63">
        <f>Лист1!BE10</f>
        <v>-813.5399999999997</v>
      </c>
      <c r="Q16" s="1"/>
      <c r="R16" s="1"/>
    </row>
    <row r="17" spans="1:18" ht="12.75" hidden="1">
      <c r="A17" s="9" t="s">
        <v>46</v>
      </c>
      <c r="B17" s="68">
        <f>Лист1!B11</f>
        <v>352.9</v>
      </c>
      <c r="C17" s="23">
        <f t="shared" si="0"/>
        <v>3052.585</v>
      </c>
      <c r="D17" s="24">
        <f>Лист1!D11</f>
        <v>381.573125</v>
      </c>
      <c r="E17" s="12">
        <f>Лист1!S11</f>
        <v>2036.9899999999998</v>
      </c>
      <c r="F17" s="26">
        <f>Лист1!T11</f>
        <v>183.89999999999998</v>
      </c>
      <c r="G17" s="25">
        <f>Лист1!AB11</f>
        <v>1264.54</v>
      </c>
      <c r="H17" s="26">
        <f>Лист1!AC11</f>
        <v>1830.013125</v>
      </c>
      <c r="I17" s="25">
        <f>Лист1!AG11</f>
        <v>190.56599999999997</v>
      </c>
      <c r="J17" s="12">
        <f>Лист1!AI11+Лист1!AJ11</f>
        <v>307.07097224999995</v>
      </c>
      <c r="K17" s="12">
        <f>Лист1!AH11+Лист1!AK11+Лист1!AL11+Лист1!AM11+Лист1!AN11+Лист1!AO11+Лист1!AP11+Лист1!AQ11+Лист1!AR11</f>
        <v>1020.2456386399998</v>
      </c>
      <c r="L17" s="27">
        <f>Лист1!AS11+Лист1!AT11+Лист1!AU11+Лист1!AZ11+Лист1!BA11</f>
        <v>489.7</v>
      </c>
      <c r="M17" s="27">
        <f>Лист1!AX11</f>
        <v>0</v>
      </c>
      <c r="N17" s="26">
        <f>Лист1!BB11</f>
        <v>2007.58261089</v>
      </c>
      <c r="O17" s="63">
        <f>Лист1!BD11</f>
        <v>-177.56948589000012</v>
      </c>
      <c r="P17" s="63">
        <f>Лист1!BE11</f>
        <v>-772.4499999999998</v>
      </c>
      <c r="Q17" s="1"/>
      <c r="R17" s="1"/>
    </row>
    <row r="18" spans="1:18" ht="12.75" hidden="1">
      <c r="A18" s="9" t="s">
        <v>47</v>
      </c>
      <c r="B18" s="68">
        <f>Лист1!B12</f>
        <v>352.9</v>
      </c>
      <c r="C18" s="23">
        <f t="shared" si="0"/>
        <v>3052.585</v>
      </c>
      <c r="D18" s="24">
        <f>Лист1!D12</f>
        <v>381.573125</v>
      </c>
      <c r="E18" s="12">
        <f>Лист1!S12</f>
        <v>2036.9899999999998</v>
      </c>
      <c r="F18" s="26">
        <f>Лист1!T12</f>
        <v>183.89999999999998</v>
      </c>
      <c r="G18" s="25">
        <f>Лист1!AB12</f>
        <v>764.42</v>
      </c>
      <c r="H18" s="26">
        <f>Лист1!AC12</f>
        <v>1329.893125</v>
      </c>
      <c r="I18" s="25">
        <f>Лист1!AG12</f>
        <v>190.56599999999997</v>
      </c>
      <c r="J18" s="12">
        <f>Лист1!AI12+Лист1!AJ12</f>
        <v>316.0851191</v>
      </c>
      <c r="K18" s="12">
        <f>Лист1!AH12+Лист1!AK12+Лист1!AL12+Лист1!AM12+Лист1!AN12+Лист1!AO12+Лист1!AP12+Лист1!AQ12+Лист1!AR12</f>
        <v>1034.792210744</v>
      </c>
      <c r="L18" s="27">
        <f>Лист1!AS12+Лист1!AT12+Лист1!AU12+Лист1!AZ12+Лист1!BA12</f>
        <v>0</v>
      </c>
      <c r="M18" s="27">
        <f>Лист1!AX12</f>
        <v>318.18</v>
      </c>
      <c r="N18" s="26">
        <f>Лист1!BB12</f>
        <v>1859.6233298439997</v>
      </c>
      <c r="O18" s="63">
        <f>Лист1!BD12</f>
        <v>-529.7302048439997</v>
      </c>
      <c r="P18" s="63">
        <f>Лист1!BE12</f>
        <v>-1272.5699999999997</v>
      </c>
      <c r="Q18" s="1"/>
      <c r="R18" s="1"/>
    </row>
    <row r="19" spans="1:18" ht="12.75" hidden="1">
      <c r="A19" s="9" t="s">
        <v>48</v>
      </c>
      <c r="B19" s="68">
        <f>Лист1!B13</f>
        <v>352.9</v>
      </c>
      <c r="C19" s="23">
        <f t="shared" si="0"/>
        <v>3052.585</v>
      </c>
      <c r="D19" s="24">
        <f>Лист1!D13</f>
        <v>563.6850000000004</v>
      </c>
      <c r="E19" s="12">
        <f>Лист1!S13</f>
        <v>2281.3</v>
      </c>
      <c r="F19" s="26">
        <f>Лист1!T13</f>
        <v>207.6</v>
      </c>
      <c r="G19" s="25">
        <f>Лист1!AB13</f>
        <v>1873.24</v>
      </c>
      <c r="H19" s="26">
        <f>Лист1!AC13</f>
        <v>2644.5250000000005</v>
      </c>
      <c r="I19" s="25">
        <f>Лист1!AG13</f>
        <v>211.73999999999998</v>
      </c>
      <c r="J19" s="12">
        <f>Лист1!AI13+Лист1!AJ13</f>
        <v>353.95869999999996</v>
      </c>
      <c r="K19" s="12">
        <f>Лист1!AH13+Лист1!AK13+Лист1!AL13+Лист1!AM13+Лист1!AN13+Лист1!AO13+Лист1!AP13+Лист1!AQ13+Лист1!AR13</f>
        <v>1212.2820799999997</v>
      </c>
      <c r="L19" s="27">
        <f>Лист1!AS13+Лист1!AT13+Лист1!AU13+Лист1!AZ13+Лист1!BA13</f>
        <v>0</v>
      </c>
      <c r="M19" s="27">
        <f>Лист1!AX13</f>
        <v>52.137119999999996</v>
      </c>
      <c r="N19" s="26">
        <f>Лист1!BB13</f>
        <v>1830.1178999999997</v>
      </c>
      <c r="O19" s="63">
        <f>Лист1!BD13</f>
        <v>814.4071000000008</v>
      </c>
      <c r="P19" s="63">
        <f>Лист1!BE13</f>
        <v>-408.0600000000002</v>
      </c>
      <c r="Q19" s="1"/>
      <c r="R19" s="1"/>
    </row>
    <row r="20" spans="1:18" ht="12.75" hidden="1">
      <c r="A20" s="9" t="s">
        <v>49</v>
      </c>
      <c r="B20" s="68">
        <f>Лист1!B14</f>
        <v>352.9</v>
      </c>
      <c r="C20" s="23">
        <f t="shared" si="0"/>
        <v>3052.585</v>
      </c>
      <c r="D20" s="24">
        <f>Лист1!D14</f>
        <v>561.6650000000003</v>
      </c>
      <c r="E20" s="12">
        <f>Лист1!S14</f>
        <v>2283.32</v>
      </c>
      <c r="F20" s="26">
        <f>Лист1!T14</f>
        <v>207.6</v>
      </c>
      <c r="G20" s="25">
        <f>Лист1!AB14</f>
        <v>1481.2699999999998</v>
      </c>
      <c r="H20" s="26">
        <f>Лист1!AC14</f>
        <v>2250.535</v>
      </c>
      <c r="I20" s="25">
        <f>Лист1!AG14</f>
        <v>211.73999999999998</v>
      </c>
      <c r="J20" s="12">
        <f>Лист1!AI14+Лист1!AJ14</f>
        <v>353.95869999999996</v>
      </c>
      <c r="K20" s="12">
        <f>Лист1!AH14+Лист1!AK14+Лист1!AL14+Лист1!AM14+Лист1!AN14+Лист1!AO14+Лист1!AP14+Лист1!AQ14+Лист1!AR14</f>
        <v>1212.313841</v>
      </c>
      <c r="L20" s="27">
        <f>Лист1!AS14+Лист1!AT14+Лист1!AU14+Лист1!AZ14+Лист1!BA14</f>
        <v>0</v>
      </c>
      <c r="M20" s="27">
        <f>Лист1!AX14</f>
        <v>46.189919999999994</v>
      </c>
      <c r="N20" s="26">
        <f>Лист1!BB14</f>
        <v>1824.2024609999999</v>
      </c>
      <c r="O20" s="63">
        <f>Лист1!BD14</f>
        <v>426.332539</v>
      </c>
      <c r="P20" s="63">
        <f>Лист1!BE14</f>
        <v>-802.0500000000004</v>
      </c>
      <c r="Q20" s="1"/>
      <c r="R20" s="1"/>
    </row>
    <row r="21" spans="1:18" ht="12.75" hidden="1">
      <c r="A21" s="9" t="s">
        <v>50</v>
      </c>
      <c r="B21" s="68">
        <f>Лист1!B15</f>
        <v>352.9</v>
      </c>
      <c r="C21" s="23">
        <f t="shared" si="0"/>
        <v>3052.585</v>
      </c>
      <c r="D21" s="24">
        <f>Лист1!D15</f>
        <v>561.6650000000003</v>
      </c>
      <c r="E21" s="12">
        <f>Лист1!S15</f>
        <v>2283.32</v>
      </c>
      <c r="F21" s="26">
        <f>Лист1!T15</f>
        <v>207.6</v>
      </c>
      <c r="G21" s="25">
        <f>Лист1!AB15</f>
        <v>5408.860000000001</v>
      </c>
      <c r="H21" s="26">
        <f>Лист1!AC15</f>
        <v>6178.125000000001</v>
      </c>
      <c r="I21" s="25">
        <f>Лист1!AG15</f>
        <v>211.73999999999998</v>
      </c>
      <c r="J21" s="12">
        <f>Лист1!AI15+Лист1!AJ15</f>
        <v>348.93248645999995</v>
      </c>
      <c r="K21" s="12">
        <f>Лист1!AH15+Лист1!AK15+Лист1!AL15+Лист1!AM15+Лист1!AN15+Лист1!AO15+Лист1!AP15+Лист1!AQ15+Лист1!AR15</f>
        <v>1200.2514437379998</v>
      </c>
      <c r="L21" s="27">
        <f>Лист1!AS15+Лист1!AT15+Лист1!AU15+Лист1!AZ15+Лист1!BA15</f>
        <v>0</v>
      </c>
      <c r="M21" s="27">
        <f>Лист1!AX15</f>
        <v>49.16352</v>
      </c>
      <c r="N21" s="26">
        <f>Лист1!BB15</f>
        <v>1810.0874501979997</v>
      </c>
      <c r="O21" s="63">
        <f>Лист1!BD15</f>
        <v>4368.037549802001</v>
      </c>
      <c r="P21" s="63">
        <f>Лист1!BE15</f>
        <v>3125.5400000000004</v>
      </c>
      <c r="Q21" s="1"/>
      <c r="R21" s="1"/>
    </row>
    <row r="22" spans="1:18" ht="12.75" hidden="1">
      <c r="A22" s="9" t="s">
        <v>51</v>
      </c>
      <c r="B22" s="68">
        <f>Лист1!B16</f>
        <v>352.9</v>
      </c>
      <c r="C22" s="23">
        <f t="shared" si="0"/>
        <v>3052.585</v>
      </c>
      <c r="D22" s="24">
        <f>Лист1!D16</f>
        <v>561.6650000000003</v>
      </c>
      <c r="E22" s="12">
        <f>Лист1!S16</f>
        <v>2283.32</v>
      </c>
      <c r="F22" s="26">
        <f>Лист1!T16</f>
        <v>207.6</v>
      </c>
      <c r="G22" s="25">
        <f>Лист1!AB16</f>
        <v>4390.7300000000005</v>
      </c>
      <c r="H22" s="26">
        <f>Лист1!AC16</f>
        <v>5159.995000000001</v>
      </c>
      <c r="I22" s="25">
        <f>Лист1!AG16</f>
        <v>211.73999999999998</v>
      </c>
      <c r="J22" s="12">
        <f>Лист1!AI16+Лист1!AJ16</f>
        <v>348.73780917499994</v>
      </c>
      <c r="K22" s="12">
        <f>Лист1!AH16+Лист1!AK16+Лист1!AL16+Лист1!AM16+Лист1!AN16+Лист1!AO16+Лист1!AP16+Лист1!AQ16+Лист1!AR16</f>
        <v>1199.9992613979998</v>
      </c>
      <c r="L22" s="27">
        <f>Лист1!AS16+Лист1!AT16+Лист1!AU16+Лист1!AZ16+Лист1!BA16</f>
        <v>0</v>
      </c>
      <c r="M22" s="27">
        <f>Лист1!AX16</f>
        <v>58.08431999999999</v>
      </c>
      <c r="N22" s="26">
        <f>Лист1!BB16</f>
        <v>1818.5613905729997</v>
      </c>
      <c r="O22" s="63">
        <f>Лист1!BD16</f>
        <v>3341.433609427001</v>
      </c>
      <c r="P22" s="63">
        <f>Лист1!BE16</f>
        <v>2107.4100000000003</v>
      </c>
      <c r="Q22" s="1"/>
      <c r="R22" s="1"/>
    </row>
    <row r="23" spans="1:18" ht="12.75" hidden="1">
      <c r="A23" s="9" t="s">
        <v>52</v>
      </c>
      <c r="B23" s="68">
        <f>Лист1!B17</f>
        <v>352.9</v>
      </c>
      <c r="C23" s="23">
        <f t="shared" si="0"/>
        <v>3052.585</v>
      </c>
      <c r="D23" s="24">
        <f>Лист1!D17</f>
        <v>561.6650000000003</v>
      </c>
      <c r="E23" s="12">
        <f>Лист1!S17</f>
        <v>2283.32</v>
      </c>
      <c r="F23" s="26">
        <f>Лист1!T17</f>
        <v>207.6</v>
      </c>
      <c r="G23" s="25">
        <f>Лист1!AB17</f>
        <v>1048.07</v>
      </c>
      <c r="H23" s="26">
        <f>Лист1!AC17</f>
        <v>1817.3350000000003</v>
      </c>
      <c r="I23" s="25">
        <f>Лист1!AG17</f>
        <v>211.73999999999998</v>
      </c>
      <c r="J23" s="12">
        <f>Лист1!AI17+Лист1!AJ17</f>
        <v>348.6776361959999</v>
      </c>
      <c r="K23" s="12">
        <f>Лист1!AH17+Лист1!AK17+Лист1!AL17+Лист1!AM17+Лист1!AN17+Лист1!AO17+Лист1!AP17+Лист1!AQ17+Лист1!AR17</f>
        <v>1199.9212959067997</v>
      </c>
      <c r="L23" s="27">
        <f>Лист1!AS17+Лист1!AT17+Лист1!AU17+Лист1!AZ17+Лист1!BA17</f>
        <v>0</v>
      </c>
      <c r="M23" s="27">
        <f>Лист1!AX17</f>
        <v>69.18576</v>
      </c>
      <c r="N23" s="26">
        <f>Лист1!BB17</f>
        <v>1829.5246921027997</v>
      </c>
      <c r="O23" s="63">
        <f>Лист1!BD17</f>
        <v>-12.189692102799427</v>
      </c>
      <c r="P23" s="63">
        <f>Лист1!BE17</f>
        <v>-1235.2500000000002</v>
      </c>
      <c r="Q23" s="1"/>
      <c r="R23" s="1"/>
    </row>
    <row r="24" spans="1:18" ht="12.75" hidden="1">
      <c r="A24" s="9" t="s">
        <v>40</v>
      </c>
      <c r="B24" s="68">
        <f>Лист1!B18</f>
        <v>352.9</v>
      </c>
      <c r="C24" s="23">
        <f>B24*8.65</f>
        <v>3052.585</v>
      </c>
      <c r="D24" s="24">
        <f>Лист1!D18</f>
        <v>571.3650000000004</v>
      </c>
      <c r="E24" s="12">
        <f>Лист1!S18</f>
        <v>2228.98</v>
      </c>
      <c r="F24" s="26">
        <f>Лист1!T18</f>
        <v>252.24</v>
      </c>
      <c r="G24" s="25">
        <f>Лист1!AB18</f>
        <v>2303.61</v>
      </c>
      <c r="H24" s="26">
        <f>Лист1!AC18</f>
        <v>3127.2150000000006</v>
      </c>
      <c r="I24" s="25">
        <f>Лист1!AG18</f>
        <v>211.73999999999998</v>
      </c>
      <c r="J24" s="12">
        <f>Лист1!AI18+Лист1!AJ18</f>
        <v>352.709434</v>
      </c>
      <c r="K24" s="12">
        <f>Лист1!AH18+Лист1!AK18+Лист1!AL18+Лист1!AM18+Лист1!AN18+Лист1!AO18+Лист1!AP18+Лист1!AQ18+Лист1!AR18</f>
        <v>1210.2352599999997</v>
      </c>
      <c r="L24" s="27">
        <f>Лист1!AS18+Лист1!AT18+Лист1!AU18+Лист1!AZ18+Лист1!BA18</f>
        <v>0</v>
      </c>
      <c r="M24" s="27">
        <f>Лист1!AX18</f>
        <v>84.252</v>
      </c>
      <c r="N24" s="26">
        <f>Лист1!BB18</f>
        <v>1858.9366939999998</v>
      </c>
      <c r="O24" s="63">
        <f>Лист1!BD18</f>
        <v>1268.2783060000008</v>
      </c>
      <c r="P24" s="63">
        <f>Лист1!BE18</f>
        <v>74.63000000000011</v>
      </c>
      <c r="Q24" s="1"/>
      <c r="R24" s="1"/>
    </row>
    <row r="25" spans="1:18" ht="12.75" hidden="1">
      <c r="A25" s="9" t="s">
        <v>41</v>
      </c>
      <c r="B25" s="68">
        <f>Лист1!B19</f>
        <v>352.9</v>
      </c>
      <c r="C25" s="23">
        <f t="shared" si="0"/>
        <v>3052.585</v>
      </c>
      <c r="D25" s="24">
        <f>Лист1!D19</f>
        <v>576.6650000000004</v>
      </c>
      <c r="E25" s="12">
        <f>Лист1!S19</f>
        <v>2199.12</v>
      </c>
      <c r="F25" s="26">
        <f>Лист1!T19</f>
        <v>276.79999999999995</v>
      </c>
      <c r="G25" s="25">
        <f>Лист1!AB19</f>
        <v>1011.2499999999999</v>
      </c>
      <c r="H25" s="26">
        <f>Лист1!AC19</f>
        <v>1864.7150000000001</v>
      </c>
      <c r="I25" s="25">
        <f>Лист1!AG19</f>
        <v>211.73999999999998</v>
      </c>
      <c r="J25" s="12">
        <f>Лист1!AI19+Лист1!AJ19</f>
        <v>353.95869999999996</v>
      </c>
      <c r="K25" s="12">
        <f>Лист1!AH19+Лист1!AK19+Лист1!AL19+Лист1!AM19+Лист1!AN19+Лист1!AO19+Лист1!AP19+Лист1!AQ19+Лист1!AR19</f>
        <v>1211.5762799999998</v>
      </c>
      <c r="L25" s="27">
        <f>Лист1!AS19+Лист1!AT19+Лист1!AU19+Лист1!AZ19+Лист1!BA19</f>
        <v>0</v>
      </c>
      <c r="M25" s="27">
        <f>Лист1!AX19</f>
        <v>93.17280000000001</v>
      </c>
      <c r="N25" s="26">
        <f>Лист1!BB19</f>
        <v>1870.44778</v>
      </c>
      <c r="O25" s="63">
        <f>Лист1!BD19</f>
        <v>-5.732779999999821</v>
      </c>
      <c r="P25" s="63">
        <f>Лист1!BE19</f>
        <v>-1187.87</v>
      </c>
      <c r="Q25" s="1"/>
      <c r="R25" s="1"/>
    </row>
    <row r="26" spans="1:18" ht="13.5" hidden="1" thickBot="1">
      <c r="A26" s="28" t="s">
        <v>42</v>
      </c>
      <c r="B26" s="68">
        <f>Лист1!B20</f>
        <v>352.9</v>
      </c>
      <c r="C26" s="29">
        <f t="shared" si="0"/>
        <v>3052.585</v>
      </c>
      <c r="D26" s="24">
        <f>Лист1!D20</f>
        <v>576.6650000000002</v>
      </c>
      <c r="E26" s="12">
        <f>Лист1!S20</f>
        <v>2031.7</v>
      </c>
      <c r="F26" s="26">
        <f>Лист1!T20</f>
        <v>444.21999999999997</v>
      </c>
      <c r="G26" s="25">
        <f>Лист1!AB20</f>
        <v>1336.7200000000003</v>
      </c>
      <c r="H26" s="26">
        <f>Лист1!AC20</f>
        <v>2357.6050000000005</v>
      </c>
      <c r="I26" s="25">
        <f>Лист1!AG20</f>
        <v>211.73999999999998</v>
      </c>
      <c r="J26" s="12">
        <f>Лист1!AI20+Лист1!AJ20</f>
        <v>353.95869999999996</v>
      </c>
      <c r="K26" s="12">
        <f>Лист1!AH20+Лист1!AK20+Лист1!AL20+Лист1!AM20+Лист1!AN20+Лист1!AO20+Лист1!AP20+Лист1!AQ20+Лист1!AR20</f>
        <v>1211.5762799999998</v>
      </c>
      <c r="L26" s="27">
        <f>Лист1!AS20+Лист1!AT20+Лист1!AU20+Лист1!AZ20+Лист1!BA20</f>
        <v>0</v>
      </c>
      <c r="M26" s="27">
        <f>Лист1!AX20</f>
        <v>101.89536</v>
      </c>
      <c r="N26" s="26">
        <f>Лист1!BB20</f>
        <v>1879.1703400000001</v>
      </c>
      <c r="O26" s="63">
        <f>Лист1!BD20</f>
        <v>478.43466000000035</v>
      </c>
      <c r="P26" s="63">
        <f>Лист1!BE20</f>
        <v>-694.9799999999998</v>
      </c>
      <c r="Q26" s="1"/>
      <c r="R26" s="1"/>
    </row>
    <row r="27" spans="1:18" s="18" customFormat="1" ht="13.5" hidden="1" thickBot="1">
      <c r="A27" s="30" t="s">
        <v>5</v>
      </c>
      <c r="B27" s="31"/>
      <c r="C27" s="32">
        <f aca="true" t="shared" si="1" ref="C27:P27">SUM(C15:C26)</f>
        <v>36631.02</v>
      </c>
      <c r="D27" s="58">
        <f t="shared" si="1"/>
        <v>6061.332500000003</v>
      </c>
      <c r="E27" s="32">
        <f t="shared" si="1"/>
        <v>26022.1</v>
      </c>
      <c r="F27" s="59">
        <f t="shared" si="1"/>
        <v>2746.859999999999</v>
      </c>
      <c r="G27" s="58">
        <f t="shared" si="1"/>
        <v>23057.82</v>
      </c>
      <c r="H27" s="59">
        <f t="shared" si="1"/>
        <v>31866.0125</v>
      </c>
      <c r="I27" s="58">
        <f t="shared" si="1"/>
        <v>2456.1839999999997</v>
      </c>
      <c r="J27" s="32">
        <f t="shared" si="1"/>
        <v>4051.4350842809995</v>
      </c>
      <c r="K27" s="32">
        <f t="shared" si="1"/>
        <v>13822.627346812797</v>
      </c>
      <c r="L27" s="32">
        <f>SUM(L15:L26)</f>
        <v>489.7</v>
      </c>
      <c r="M27" s="32">
        <f t="shared" si="1"/>
        <v>872.2607999999999</v>
      </c>
      <c r="N27" s="59">
        <f t="shared" si="1"/>
        <v>21692.207231093795</v>
      </c>
      <c r="O27" s="64">
        <f t="shared" si="1"/>
        <v>10173.805268906204</v>
      </c>
      <c r="P27" s="64">
        <f t="shared" si="1"/>
        <v>-2964.279999999998</v>
      </c>
      <c r="Q27" s="61"/>
      <c r="R27" s="61"/>
    </row>
    <row r="28" spans="1:18" ht="13.5" thickBot="1">
      <c r="A28" s="214" t="s">
        <v>93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65"/>
      <c r="Q28" s="1"/>
      <c r="R28" s="1"/>
    </row>
    <row r="29" spans="1:18" s="18" customFormat="1" ht="13.5" thickBot="1">
      <c r="A29" s="66" t="s">
        <v>53</v>
      </c>
      <c r="B29" s="33"/>
      <c r="C29" s="34">
        <f>C27</f>
        <v>36631.02</v>
      </c>
      <c r="D29" s="34">
        <f aca="true" t="shared" si="2" ref="D29:P29">D27</f>
        <v>6061.332500000003</v>
      </c>
      <c r="E29" s="34">
        <f t="shared" si="2"/>
        <v>26022.1</v>
      </c>
      <c r="F29" s="34">
        <f t="shared" si="2"/>
        <v>2746.859999999999</v>
      </c>
      <c r="G29" s="34">
        <f t="shared" si="2"/>
        <v>23057.82</v>
      </c>
      <c r="H29" s="34">
        <f t="shared" si="2"/>
        <v>31866.0125</v>
      </c>
      <c r="I29" s="34">
        <f t="shared" si="2"/>
        <v>2456.1839999999997</v>
      </c>
      <c r="J29" s="34">
        <f t="shared" si="2"/>
        <v>4051.4350842809995</v>
      </c>
      <c r="K29" s="34">
        <f t="shared" si="2"/>
        <v>13822.627346812797</v>
      </c>
      <c r="L29" s="34">
        <f t="shared" si="2"/>
        <v>489.7</v>
      </c>
      <c r="M29" s="34">
        <f t="shared" si="2"/>
        <v>872.2607999999999</v>
      </c>
      <c r="N29" s="34">
        <f t="shared" si="2"/>
        <v>21692.207231093795</v>
      </c>
      <c r="O29" s="34">
        <f t="shared" si="2"/>
        <v>10173.805268906204</v>
      </c>
      <c r="P29" s="34">
        <f t="shared" si="2"/>
        <v>-2964.279999999998</v>
      </c>
      <c r="Q29" s="62"/>
      <c r="R29" s="61"/>
    </row>
    <row r="30" spans="1:18" ht="12.75">
      <c r="A30" s="6" t="s">
        <v>90</v>
      </c>
      <c r="B30" s="35"/>
      <c r="C30" s="36"/>
      <c r="D30" s="37"/>
      <c r="E30" s="38"/>
      <c r="F30" s="40"/>
      <c r="G30" s="39"/>
      <c r="H30" s="40"/>
      <c r="I30" s="39"/>
      <c r="J30" s="12"/>
      <c r="K30" s="12"/>
      <c r="L30" s="27"/>
      <c r="M30" s="60"/>
      <c r="N30" s="26"/>
      <c r="O30" s="63"/>
      <c r="P30" s="63"/>
      <c r="Q30" s="1"/>
      <c r="R30" s="1"/>
    </row>
    <row r="31" spans="1:18" ht="12.75">
      <c r="A31" s="9" t="s">
        <v>44</v>
      </c>
      <c r="B31" s="68">
        <f>Лист1!B25</f>
        <v>352.9</v>
      </c>
      <c r="C31" s="23">
        <f aca="true" t="shared" si="3" ref="C31:C42">B31*8.65</f>
        <v>3052.585</v>
      </c>
      <c r="D31" s="24">
        <f>Лист1!D25</f>
        <v>576.6649999999998</v>
      </c>
      <c r="E31" s="12">
        <f>Лист1!S25</f>
        <v>1991.52</v>
      </c>
      <c r="F31" s="26">
        <f>Лист1!T25</f>
        <v>484.40000000000003</v>
      </c>
      <c r="G31" s="25">
        <f>Лист1!AB25</f>
        <v>460.17</v>
      </c>
      <c r="H31" s="26">
        <f>Лист1!AC25</f>
        <v>1521.235</v>
      </c>
      <c r="I31" s="25">
        <f>Лист1!AG25</f>
        <v>211.73999999999998</v>
      </c>
      <c r="J31" s="12">
        <f>Лист1!AI25+Лист1!AJ25</f>
        <v>352.9</v>
      </c>
      <c r="K31" s="12">
        <f>Лист1!AH25+Лист1!AK25+Лист1!AL25+Лист1!AM25+Лист1!AN25+Лист1!AO25+Лист1!AP25+Лист1!AQ25+Лист1!AR25</f>
        <v>1210.447</v>
      </c>
      <c r="L31" s="27">
        <f>Лист1!AS25+Лист1!AT25+Лист1!AU25+Лист1!AZ25+Лист1!BA25</f>
        <v>0</v>
      </c>
      <c r="M31" s="27">
        <f>Лист1!AX25</f>
        <v>106.67999999999999</v>
      </c>
      <c r="N31" s="26">
        <f>Лист1!BB25</f>
        <v>1881.7669999999998</v>
      </c>
      <c r="O31" s="63">
        <f>Лист1!BD25</f>
        <v>-360.5319999999999</v>
      </c>
      <c r="P31" s="63">
        <f>Лист1!BE25</f>
        <v>-1531.35</v>
      </c>
      <c r="Q31" s="1"/>
      <c r="R31" s="1"/>
    </row>
    <row r="32" spans="1:18" ht="12.75">
      <c r="A32" s="9" t="s">
        <v>45</v>
      </c>
      <c r="B32" s="68">
        <f>Лист1!B26</f>
        <v>352.9</v>
      </c>
      <c r="C32" s="23">
        <f t="shared" si="3"/>
        <v>3052.585</v>
      </c>
      <c r="D32" s="24">
        <f>Лист1!D26</f>
        <v>576.6649999999998</v>
      </c>
      <c r="E32" s="12">
        <f>Лист1!S26</f>
        <v>1991.52</v>
      </c>
      <c r="F32" s="26">
        <f>Лист1!T26</f>
        <v>484.40000000000003</v>
      </c>
      <c r="G32" s="25">
        <f>Лист1!AB26</f>
        <v>4892.58</v>
      </c>
      <c r="H32" s="26">
        <f>Лист1!AC26</f>
        <v>5953.6449999999995</v>
      </c>
      <c r="I32" s="25">
        <f>Лист1!AG26</f>
        <v>211.73999999999998</v>
      </c>
      <c r="J32" s="12">
        <f>Лист1!AI26+Лист1!AJ26</f>
        <v>352.9</v>
      </c>
      <c r="K32" s="12">
        <f>Лист1!AH26+Лист1!AK26+Лист1!AL26+Лист1!AM26+Лист1!AN26+Лист1!AO26+Лист1!AP26+Лист1!AQ26+Лист1!AR26</f>
        <v>1210.447</v>
      </c>
      <c r="L32" s="27">
        <f>Лист1!AS26+Лист1!AT26+Лист1!AU26+Лист1!AZ26+Лист1!BA26</f>
        <v>0</v>
      </c>
      <c r="M32" s="27">
        <f>Лист1!AX26</f>
        <v>85.46999999999998</v>
      </c>
      <c r="N32" s="26">
        <f>Лист1!BB26</f>
        <v>1860.5569999999998</v>
      </c>
      <c r="O32" s="63">
        <f>Лист1!BD26</f>
        <v>4093.0879999999997</v>
      </c>
      <c r="P32" s="63">
        <f>Лист1!BE26</f>
        <v>2901.06</v>
      </c>
      <c r="Q32" s="1"/>
      <c r="R32" s="1"/>
    </row>
    <row r="33" spans="1:18" ht="12.75">
      <c r="A33" s="9" t="s">
        <v>46</v>
      </c>
      <c r="B33" s="68">
        <f>Лист1!B27</f>
        <v>352.9</v>
      </c>
      <c r="C33" s="23">
        <f t="shared" si="3"/>
        <v>3052.585</v>
      </c>
      <c r="D33" s="24">
        <f>Лист1!D27</f>
        <v>576.6649999999998</v>
      </c>
      <c r="E33" s="12">
        <f>Лист1!S27</f>
        <v>1991.52</v>
      </c>
      <c r="F33" s="26">
        <f>Лист1!T27</f>
        <v>484.40000000000003</v>
      </c>
      <c r="G33" s="25">
        <f>Лист1!AB27</f>
        <v>2832.1000000000004</v>
      </c>
      <c r="H33" s="26">
        <f>Лист1!AC27</f>
        <v>3893.165</v>
      </c>
      <c r="I33" s="25">
        <f>Лист1!AG27</f>
        <v>211.73999999999998</v>
      </c>
      <c r="J33" s="12">
        <f>Лист1!AI27+Лист1!AJ27</f>
        <v>352.9</v>
      </c>
      <c r="K33" s="12">
        <f>Лист1!AH27+Лист1!AK27+Лист1!AL27+Лист1!AM27+Лист1!AN27+Лист1!AO27+Лист1!AP27+Лист1!AQ27+Лист1!AR27</f>
        <v>1210.447</v>
      </c>
      <c r="L33" s="27">
        <f>Лист1!AS27+Лист1!AT27+Лист1!AU27+Лист1!AZ27+Лист1!BA27</f>
        <v>0</v>
      </c>
      <c r="M33" s="27">
        <f>Лист1!AX27</f>
        <v>80.42999999999999</v>
      </c>
      <c r="N33" s="26">
        <f>Лист1!BB27</f>
        <v>1855.5169999999998</v>
      </c>
      <c r="O33" s="63">
        <f>Лист1!BD27</f>
        <v>2037.6480000000001</v>
      </c>
      <c r="P33" s="63">
        <f>Лист1!BE27</f>
        <v>840.5800000000004</v>
      </c>
      <c r="Q33" s="1"/>
      <c r="R33" s="1"/>
    </row>
    <row r="34" spans="1:18" ht="12.75">
      <c r="A34" s="9" t="s">
        <v>47</v>
      </c>
      <c r="B34" s="68">
        <f>Лист1!B28</f>
        <v>352.9</v>
      </c>
      <c r="C34" s="23">
        <f t="shared" si="3"/>
        <v>3052.585</v>
      </c>
      <c r="D34" s="24">
        <f>Лист1!D28</f>
        <v>576.6649999999998</v>
      </c>
      <c r="E34" s="12">
        <f>Лист1!S28</f>
        <v>1991.52</v>
      </c>
      <c r="F34" s="26">
        <f>Лист1!T28</f>
        <v>484.40000000000003</v>
      </c>
      <c r="G34" s="25">
        <f>Лист1!AB28</f>
        <v>764.42</v>
      </c>
      <c r="H34" s="26">
        <f>Лист1!AC28</f>
        <v>1825.4849999999997</v>
      </c>
      <c r="I34" s="25">
        <f>Лист1!AG28</f>
        <v>211.73999999999998</v>
      </c>
      <c r="J34" s="12">
        <f>Лист1!AI28+Лист1!AJ28</f>
        <v>352.9</v>
      </c>
      <c r="K34" s="12">
        <f>Лист1!AH28+Лист1!AK28+Лист1!AL28+Лист1!AM28+Лист1!AN28+Лист1!AO28+Лист1!AP28+Лист1!AQ28+Лист1!AR28</f>
        <v>1210.447</v>
      </c>
      <c r="L34" s="27">
        <f>Лист1!AS28+Лист1!AT28+Лист1!AU28+Лист1!AZ28+Лист1!BA28</f>
        <v>780</v>
      </c>
      <c r="M34" s="27">
        <f>Лист1!AX28</f>
        <v>64.47</v>
      </c>
      <c r="N34" s="26">
        <f>Лист1!BB28</f>
        <v>2619.557</v>
      </c>
      <c r="O34" s="63">
        <f>Лист1!BD28</f>
        <v>-794.0720000000001</v>
      </c>
      <c r="P34" s="63">
        <f>Лист1!BE28</f>
        <v>-1227.1</v>
      </c>
      <c r="Q34" s="1"/>
      <c r="R34" s="1"/>
    </row>
    <row r="35" spans="1:18" ht="12.75">
      <c r="A35" s="9" t="s">
        <v>48</v>
      </c>
      <c r="B35" s="68">
        <f>Лист1!B29</f>
        <v>352.9</v>
      </c>
      <c r="C35" s="23">
        <f t="shared" si="3"/>
        <v>3052.585</v>
      </c>
      <c r="D35" s="24">
        <f>Лист1!D29</f>
        <v>563.1850000000002</v>
      </c>
      <c r="E35" s="12">
        <f>Лист1!S29</f>
        <v>2067.2799999999997</v>
      </c>
      <c r="F35" s="26">
        <f>Лист1!T29</f>
        <v>422.12</v>
      </c>
      <c r="G35" s="25">
        <f>Лист1!AB29</f>
        <v>1875.3899999999999</v>
      </c>
      <c r="H35" s="26">
        <f>Лист1!AC29</f>
        <v>2860.695</v>
      </c>
      <c r="I35" s="25">
        <f>Лист1!AG29</f>
        <v>211.73999999999998</v>
      </c>
      <c r="J35" s="12">
        <f>Лист1!AI29+Лист1!AJ29</f>
        <v>352.9</v>
      </c>
      <c r="K35" s="12">
        <f>Лист1!AH29+Лист1!AK29+Лист1!AL29+Лист1!AM29+Лист1!AN29+Лист1!AO29+Лист1!AP29+Лист1!AQ29+Лист1!AR29</f>
        <v>1210.447</v>
      </c>
      <c r="L35" s="27">
        <f>Лист1!AS29+Лист1!AT29+Лист1!AU29+Лист1!AZ29+Лист1!BA29</f>
        <v>0</v>
      </c>
      <c r="M35" s="27">
        <f>Лист1!AX29</f>
        <v>55.22999999999999</v>
      </c>
      <c r="N35" s="26">
        <f>Лист1!BB29</f>
        <v>1830.317</v>
      </c>
      <c r="O35" s="63">
        <f>Лист1!BD29</f>
        <v>1030.3780000000002</v>
      </c>
      <c r="P35" s="63">
        <f>Лист1!BE29</f>
        <v>-191.88999999999987</v>
      </c>
      <c r="Q35" s="1"/>
      <c r="R35" s="1"/>
    </row>
    <row r="36" spans="1:18" ht="12.75">
      <c r="A36" s="9" t="s">
        <v>49</v>
      </c>
      <c r="B36" s="68">
        <f>Лист1!B30</f>
        <v>352.9</v>
      </c>
      <c r="C36" s="23">
        <f t="shared" si="3"/>
        <v>3052.585</v>
      </c>
      <c r="D36" s="24">
        <f>Лист1!D30</f>
        <v>563.1850000000002</v>
      </c>
      <c r="E36" s="12">
        <f>Лист1!S30</f>
        <v>2067.2799999999997</v>
      </c>
      <c r="F36" s="26">
        <f>Лист1!T30</f>
        <v>422.12</v>
      </c>
      <c r="G36" s="25">
        <f>Лист1!AB30</f>
        <v>849.93</v>
      </c>
      <c r="H36" s="26">
        <f>Лист1!AC30</f>
        <v>1835.2350000000001</v>
      </c>
      <c r="I36" s="25">
        <f>Лист1!AG30</f>
        <v>211.73999999999998</v>
      </c>
      <c r="J36" s="12">
        <f>Лист1!AI30+Лист1!AJ30</f>
        <v>352.9</v>
      </c>
      <c r="K36" s="12">
        <f>Лист1!AH30+Лист1!AK30+Лист1!AL30+Лист1!AM30+Лист1!AN30+Лист1!AO30+Лист1!AP30+Лист1!AQ30+Лист1!AR30</f>
        <v>1210.447</v>
      </c>
      <c r="L36" s="27">
        <f>Лист1!AS30+Лист1!AT30+Лист1!AU30+Лист1!AZ30+Лист1!BA30</f>
        <v>0</v>
      </c>
      <c r="M36" s="27">
        <f>Лист1!AX30</f>
        <v>48.92999999999999</v>
      </c>
      <c r="N36" s="26">
        <f>Лист1!BB30</f>
        <v>1824.0169999999998</v>
      </c>
      <c r="O36" s="63">
        <f>Лист1!BD30</f>
        <v>11.218000000000302</v>
      </c>
      <c r="P36" s="63">
        <f>Лист1!BE30</f>
        <v>-1217.35</v>
      </c>
      <c r="Q36" s="1"/>
      <c r="R36" s="1"/>
    </row>
    <row r="37" spans="1:18" ht="12.75">
      <c r="A37" s="9" t="s">
        <v>50</v>
      </c>
      <c r="B37" s="68">
        <f>Лист1!B31</f>
        <v>352.9</v>
      </c>
      <c r="C37" s="23">
        <f t="shared" si="3"/>
        <v>3052.585</v>
      </c>
      <c r="D37" s="24">
        <f>Лист1!D31</f>
        <v>563.1849999999998</v>
      </c>
      <c r="E37" s="12">
        <f>Лист1!S31</f>
        <v>2489.4</v>
      </c>
      <c r="F37" s="26">
        <f>Лист1!T31</f>
        <v>0</v>
      </c>
      <c r="G37" s="25">
        <f>Лист1!AB31</f>
        <v>2450.06</v>
      </c>
      <c r="H37" s="26">
        <f>Лист1!AC31</f>
        <v>3013.245</v>
      </c>
      <c r="I37" s="25">
        <f>Лист1!AG31</f>
        <v>211.73999999999998</v>
      </c>
      <c r="J37" s="12">
        <f>Лист1!AI31+Лист1!AJ31</f>
        <v>352.9</v>
      </c>
      <c r="K37" s="12">
        <f>Лист1!AH31+Лист1!AK31+Лист1!AL31+Лист1!AM31+Лист1!AN31+Лист1!AO31+Лист1!AP31+Лист1!AQ31+Лист1!AR31</f>
        <v>1210.447</v>
      </c>
      <c r="L37" s="27">
        <f>Лист1!AS31+Лист1!AT31+Лист1!AU31+Лист1!AZ31+Лист1!BA31</f>
        <v>0</v>
      </c>
      <c r="M37" s="27">
        <f>Лист1!AX31</f>
        <v>52.07999999999999</v>
      </c>
      <c r="N37" s="26">
        <f>Лист1!BB31</f>
        <v>1827.167</v>
      </c>
      <c r="O37" s="63">
        <f>Лист1!BD31</f>
        <v>1186.078</v>
      </c>
      <c r="P37" s="63">
        <f>Лист1!BE31</f>
        <v>-39.340000000000146</v>
      </c>
      <c r="Q37" s="1"/>
      <c r="R37" s="1"/>
    </row>
    <row r="38" spans="1:18" ht="12.75">
      <c r="A38" s="9" t="s">
        <v>51</v>
      </c>
      <c r="B38" s="68">
        <f>Лист1!B32</f>
        <v>352.9</v>
      </c>
      <c r="C38" s="23">
        <f t="shared" si="3"/>
        <v>3052.585</v>
      </c>
      <c r="D38" s="24">
        <f>Лист1!D32</f>
        <v>563.1849999999998</v>
      </c>
      <c r="E38" s="12">
        <f>Лист1!S32</f>
        <v>2489.4</v>
      </c>
      <c r="F38" s="26">
        <f>Лист1!T32</f>
        <v>0</v>
      </c>
      <c r="G38" s="25">
        <f>Лист1!AB32</f>
        <v>1881.8200000000002</v>
      </c>
      <c r="H38" s="26">
        <f>Лист1!AC32</f>
        <v>2445.005</v>
      </c>
      <c r="I38" s="25">
        <f>Лист1!AG32</f>
        <v>211.73999999999998</v>
      </c>
      <c r="J38" s="12">
        <f>Лист1!AI32+Лист1!AJ32</f>
        <v>352.9</v>
      </c>
      <c r="K38" s="12">
        <f>Лист1!AH32+Лист1!AK32+Лист1!AL32+Лист1!AM32+Лист1!AN32+Лист1!AO32+Лист1!AP32+Лист1!AQ32+Лист1!AR32</f>
        <v>1210.447</v>
      </c>
      <c r="L38" s="27">
        <f>Лист1!AS32+Лист1!AT32+Лист1!AU32+Лист1!AZ32+Лист1!BA32</f>
        <v>47.8</v>
      </c>
      <c r="M38" s="27">
        <f>Лист1!AX32</f>
        <v>61.52999999999999</v>
      </c>
      <c r="N38" s="26">
        <f>Лист1!BB32</f>
        <v>1884.417</v>
      </c>
      <c r="O38" s="63">
        <f>Лист1!BD32</f>
        <v>560.5880000000002</v>
      </c>
      <c r="P38" s="63">
        <f>Лист1!BE32</f>
        <v>-607.5799999999999</v>
      </c>
      <c r="Q38" s="1"/>
      <c r="R38" s="1"/>
    </row>
    <row r="39" spans="1:18" ht="12.75">
      <c r="A39" s="9" t="s">
        <v>52</v>
      </c>
      <c r="B39" s="68">
        <f>Лист1!B33</f>
        <v>352.9</v>
      </c>
      <c r="C39" s="23">
        <f t="shared" si="3"/>
        <v>3052.585</v>
      </c>
      <c r="D39" s="24">
        <f>Лист1!D33</f>
        <v>563.1849999999998</v>
      </c>
      <c r="E39" s="12">
        <f>Лист1!S33</f>
        <v>2489.4</v>
      </c>
      <c r="F39" s="26">
        <f>Лист1!T33</f>
        <v>0</v>
      </c>
      <c r="G39" s="25">
        <f>Лист1!AB33</f>
        <v>1272.28</v>
      </c>
      <c r="H39" s="26">
        <f>Лист1!AC33</f>
        <v>1835.4649999999997</v>
      </c>
      <c r="I39" s="25">
        <f>Лист1!AG33</f>
        <v>211.73999999999998</v>
      </c>
      <c r="J39" s="12">
        <f>Лист1!AI33+Лист1!AJ33</f>
        <v>352.9</v>
      </c>
      <c r="K39" s="12">
        <f>Лист1!AH33+Лист1!AK33+Лист1!AL33+Лист1!AM33+Лист1!AN33+Лист1!AO33+Лист1!AP33+Лист1!AQ33+Лист1!AR33</f>
        <v>1210.447</v>
      </c>
      <c r="L39" s="27">
        <f>Лист1!AS33+Лист1!AT33+Лист1!AU33+Лист1!AZ33+Лист1!BA33</f>
        <v>0</v>
      </c>
      <c r="M39" s="27">
        <f>Лист1!AX33</f>
        <v>73.28999999999999</v>
      </c>
      <c r="N39" s="26">
        <f>Лист1!BB33</f>
        <v>1848.377</v>
      </c>
      <c r="O39" s="63">
        <f>Лист1!BD33</f>
        <v>-12.912000000000262</v>
      </c>
      <c r="P39" s="63">
        <f>Лист1!BE33</f>
        <v>-1217.1200000000001</v>
      </c>
      <c r="Q39" s="1"/>
      <c r="R39" s="1"/>
    </row>
    <row r="40" spans="1:18" ht="12.75">
      <c r="A40" s="9" t="s">
        <v>40</v>
      </c>
      <c r="B40" s="68">
        <f>Лист1!B34</f>
        <v>352.9</v>
      </c>
      <c r="C40" s="23">
        <f>B40*8.65</f>
        <v>3052.585</v>
      </c>
      <c r="D40" s="24">
        <f>Лист1!D34</f>
        <v>563.1849999999998</v>
      </c>
      <c r="E40" s="12">
        <f>Лист1!S34</f>
        <v>2489.4</v>
      </c>
      <c r="F40" s="26">
        <f>Лист1!T34</f>
        <v>0</v>
      </c>
      <c r="G40" s="25">
        <f>Лист1!AB34</f>
        <v>1271.3200000000002</v>
      </c>
      <c r="H40" s="26">
        <f>Лист1!AC34</f>
        <v>1834.505</v>
      </c>
      <c r="I40" s="25">
        <f>Лист1!AG34</f>
        <v>211.73999999999998</v>
      </c>
      <c r="J40" s="12">
        <f>Лист1!AI34+Лист1!AJ34</f>
        <v>352.9</v>
      </c>
      <c r="K40" s="12">
        <f>Лист1!AH34+Лист1!AK34+Лист1!AL34+Лист1!AM34+Лист1!AN34+Лист1!AO34+Лист1!AP34+Лист1!AQ34+Лист1!AR34</f>
        <v>1210.447</v>
      </c>
      <c r="L40" s="27">
        <f>Лист1!AS34+Лист1!AT34+Лист1!AU34+Лист1!AZ34+Лист1!BA34</f>
        <v>0</v>
      </c>
      <c r="M40" s="27">
        <f>Лист1!AX34</f>
        <v>89.25</v>
      </c>
      <c r="N40" s="26">
        <f>Лист1!BB34</f>
        <v>1864.337</v>
      </c>
      <c r="O40" s="63">
        <f>Лист1!BD34</f>
        <v>-29.83199999999988</v>
      </c>
      <c r="P40" s="63">
        <f>Лист1!BE34</f>
        <v>-1218.08</v>
      </c>
      <c r="Q40" s="1"/>
      <c r="R40" s="1"/>
    </row>
    <row r="41" spans="1:18" ht="12.75">
      <c r="A41" s="9" t="s">
        <v>41</v>
      </c>
      <c r="B41" s="68">
        <f>Лист1!B35</f>
        <v>352.9</v>
      </c>
      <c r="C41" s="23">
        <f t="shared" si="3"/>
        <v>3052.585</v>
      </c>
      <c r="D41" s="24">
        <f>Лист1!D35</f>
        <v>548.195</v>
      </c>
      <c r="E41" s="12">
        <f>Лист1!S35</f>
        <v>2504.3900000000003</v>
      </c>
      <c r="F41" s="26">
        <f>Лист1!T35</f>
        <v>0</v>
      </c>
      <c r="G41" s="25">
        <f>Лист1!AB35</f>
        <v>20159.69</v>
      </c>
      <c r="H41" s="26">
        <f>Лист1!AC35</f>
        <v>20707.885</v>
      </c>
      <c r="I41" s="25">
        <f>Лист1!AG35</f>
        <v>211.73999999999998</v>
      </c>
      <c r="J41" s="12">
        <f>Лист1!AI35+Лист1!AJ35</f>
        <v>352.9</v>
      </c>
      <c r="K41" s="12">
        <f>Лист1!AH35+Лист1!AK35+Лист1!AL35+Лист1!AM35+Лист1!AN35+Лист1!AO35+Лист1!AP35+Лист1!AQ35+Лист1!AR35</f>
        <v>1210.447</v>
      </c>
      <c r="L41" s="27">
        <f>Лист1!AS35+Лист1!AT35+Лист1!AU35+Лист1!AZ35+Лист1!BA35</f>
        <v>0</v>
      </c>
      <c r="M41" s="27">
        <f>Лист1!AX35</f>
        <v>98.69999999999999</v>
      </c>
      <c r="N41" s="26">
        <f>Лист1!BB35</f>
        <v>1873.7869999999998</v>
      </c>
      <c r="O41" s="63">
        <f>Лист1!BD35</f>
        <v>18834.097999999998</v>
      </c>
      <c r="P41" s="63">
        <f>Лист1!BE35</f>
        <v>17655.3</v>
      </c>
      <c r="Q41" s="1"/>
      <c r="R41" s="1"/>
    </row>
    <row r="42" spans="1:18" ht="13.5" thickBot="1">
      <c r="A42" s="28" t="s">
        <v>42</v>
      </c>
      <c r="B42" s="68">
        <f>Лист1!B36</f>
        <v>352.9</v>
      </c>
      <c r="C42" s="29">
        <f t="shared" si="3"/>
        <v>3052.585</v>
      </c>
      <c r="D42" s="24">
        <f>Лист1!D36</f>
        <v>548.195</v>
      </c>
      <c r="E42" s="12">
        <f>Лист1!S36</f>
        <v>2504.3900000000003</v>
      </c>
      <c r="F42" s="26">
        <f>Лист1!T36</f>
        <v>0</v>
      </c>
      <c r="G42" s="25">
        <f>Лист1!AB36</f>
        <v>1272.55</v>
      </c>
      <c r="H42" s="26">
        <f>Лист1!AC36</f>
        <v>1820.745</v>
      </c>
      <c r="I42" s="25">
        <f>Лист1!AG36</f>
        <v>211.73999999999998</v>
      </c>
      <c r="J42" s="12">
        <f>Лист1!AI36+Лист1!AJ36</f>
        <v>352.9</v>
      </c>
      <c r="K42" s="12">
        <f>Лист1!AH36+Лист1!AK36+Лист1!AL36+Лист1!AM36+Лист1!AN36+Лист1!AO36+Лист1!AP36+Лист1!AQ36+Лист1!AR36</f>
        <v>1210.447</v>
      </c>
      <c r="L42" s="27">
        <f>Лист1!AS36+Лист1!AT36+Лист1!AU36+Лист1!AZ36+Лист1!BA36</f>
        <v>0</v>
      </c>
      <c r="M42" s="27">
        <f>Лист1!AX36</f>
        <v>107.93999999999998</v>
      </c>
      <c r="N42" s="26">
        <f>Лист1!BB36</f>
        <v>1883.027</v>
      </c>
      <c r="O42" s="63">
        <f>Лист1!BD36</f>
        <v>-62.28200000000015</v>
      </c>
      <c r="P42" s="63">
        <f>Лист1!BE36</f>
        <v>-1231.8400000000004</v>
      </c>
      <c r="Q42" s="1"/>
      <c r="R42" s="1"/>
    </row>
    <row r="43" spans="1:18" s="18" customFormat="1" ht="13.5" thickBot="1">
      <c r="A43" s="30" t="s">
        <v>5</v>
      </c>
      <c r="B43" s="31"/>
      <c r="C43" s="32">
        <f aca="true" t="shared" si="4" ref="C43:P43">SUM(C31:C42)</f>
        <v>36631.02</v>
      </c>
      <c r="D43" s="58">
        <f t="shared" si="4"/>
        <v>6782.159999999998</v>
      </c>
      <c r="E43" s="32">
        <f t="shared" si="4"/>
        <v>27067.02</v>
      </c>
      <c r="F43" s="59">
        <f t="shared" si="4"/>
        <v>2781.84</v>
      </c>
      <c r="G43" s="58">
        <f t="shared" si="4"/>
        <v>39982.31</v>
      </c>
      <c r="H43" s="59">
        <f t="shared" si="4"/>
        <v>49546.310000000005</v>
      </c>
      <c r="I43" s="58">
        <f t="shared" si="4"/>
        <v>2540.879999999999</v>
      </c>
      <c r="J43" s="32">
        <f t="shared" si="4"/>
        <v>4234.8</v>
      </c>
      <c r="K43" s="32">
        <f t="shared" si="4"/>
        <v>14525.364</v>
      </c>
      <c r="L43" s="32">
        <f t="shared" si="4"/>
        <v>827.8</v>
      </c>
      <c r="M43" s="32">
        <f t="shared" si="4"/>
        <v>923.9999999999999</v>
      </c>
      <c r="N43" s="59">
        <f t="shared" si="4"/>
        <v>23052.843999999997</v>
      </c>
      <c r="O43" s="64">
        <f t="shared" si="4"/>
        <v>26493.466</v>
      </c>
      <c r="P43" s="64">
        <f t="shared" si="4"/>
        <v>12915.29</v>
      </c>
      <c r="Q43" s="61"/>
      <c r="R43" s="61"/>
    </row>
    <row r="44" spans="1:18" ht="13.5" thickBot="1">
      <c r="A44" s="214" t="s">
        <v>69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65"/>
      <c r="Q44" s="1"/>
      <c r="R44" s="1"/>
    </row>
    <row r="45" spans="1:18" s="18" customFormat="1" ht="13.5" thickBot="1">
      <c r="A45" s="66" t="s">
        <v>53</v>
      </c>
      <c r="B45" s="33"/>
      <c r="C45" s="34">
        <f aca="true" t="shared" si="5" ref="C45:N45">C43+C29</f>
        <v>73262.04</v>
      </c>
      <c r="D45" s="34">
        <f t="shared" si="5"/>
        <v>12843.4925</v>
      </c>
      <c r="E45" s="34">
        <f t="shared" si="5"/>
        <v>53089.119999999995</v>
      </c>
      <c r="F45" s="34">
        <f t="shared" si="5"/>
        <v>5528.699999999999</v>
      </c>
      <c r="G45" s="34">
        <f t="shared" si="5"/>
        <v>63040.13</v>
      </c>
      <c r="H45" s="34">
        <f t="shared" si="5"/>
        <v>81412.32250000001</v>
      </c>
      <c r="I45" s="34">
        <f t="shared" si="5"/>
        <v>4997.0639999999985</v>
      </c>
      <c r="J45" s="34">
        <f t="shared" si="5"/>
        <v>8286.235084281</v>
      </c>
      <c r="K45" s="34">
        <f t="shared" si="5"/>
        <v>28347.991346812796</v>
      </c>
      <c r="L45" s="34">
        <f t="shared" si="5"/>
        <v>1317.5</v>
      </c>
      <c r="M45" s="34">
        <f t="shared" si="5"/>
        <v>1796.2607999999998</v>
      </c>
      <c r="N45" s="34">
        <f t="shared" si="5"/>
        <v>44745.05123109379</v>
      </c>
      <c r="O45" s="34">
        <f>O43+O29</f>
        <v>36667.2712689062</v>
      </c>
      <c r="P45" s="34">
        <f>P43+P29</f>
        <v>9951.010000000002</v>
      </c>
      <c r="Q45" s="62"/>
      <c r="R45" s="61"/>
    </row>
    <row r="47" spans="1:18" ht="12.75">
      <c r="A47" s="18" t="s">
        <v>87</v>
      </c>
      <c r="D47" s="69" t="s">
        <v>91</v>
      </c>
      <c r="Q47" s="1"/>
      <c r="R47" s="1"/>
    </row>
    <row r="48" spans="1:18" ht="12.75">
      <c r="A48" s="19" t="s">
        <v>70</v>
      </c>
      <c r="B48" s="19" t="s">
        <v>71</v>
      </c>
      <c r="C48" s="218" t="s">
        <v>72</v>
      </c>
      <c r="D48" s="218"/>
      <c r="Q48" s="1"/>
      <c r="R48" s="1"/>
    </row>
    <row r="49" spans="1:18" ht="12.75">
      <c r="A49" s="110">
        <v>19187.24</v>
      </c>
      <c r="B49" s="110">
        <v>0</v>
      </c>
      <c r="C49" s="216">
        <f>A49-B49</f>
        <v>19187.24</v>
      </c>
      <c r="D49" s="217"/>
      <c r="Q49" s="1"/>
      <c r="R49" s="1"/>
    </row>
    <row r="50" spans="1:18" ht="12.75">
      <c r="A50" s="41"/>
      <c r="Q50" s="1"/>
      <c r="R50" s="1"/>
    </row>
    <row r="51" spans="1:18" ht="12.75">
      <c r="A51" s="2" t="s">
        <v>75</v>
      </c>
      <c r="G51" s="2" t="s">
        <v>76</v>
      </c>
      <c r="Q51" s="1"/>
      <c r="R51" s="1"/>
    </row>
    <row r="52" ht="12.75">
      <c r="A52" s="1"/>
    </row>
    <row r="53" ht="12.75">
      <c r="A53" s="1"/>
    </row>
    <row r="54" ht="12.75">
      <c r="A54" s="2" t="s">
        <v>86</v>
      </c>
    </row>
    <row r="55" ht="12.75">
      <c r="A55" s="2" t="s">
        <v>77</v>
      </c>
    </row>
  </sheetData>
  <sheetProtection/>
  <mergeCells count="27">
    <mergeCell ref="A44:O44"/>
    <mergeCell ref="C49:D49"/>
    <mergeCell ref="N11:N12"/>
    <mergeCell ref="A28:O28"/>
    <mergeCell ref="C48:D48"/>
    <mergeCell ref="O9:O12"/>
    <mergeCell ref="A9:A12"/>
    <mergeCell ref="B9:B12"/>
    <mergeCell ref="C9:C12"/>
    <mergeCell ref="D9:D12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I9:N10"/>
    <mergeCell ref="B1:H1"/>
    <mergeCell ref="B2:H2"/>
    <mergeCell ref="A8:D8"/>
    <mergeCell ref="E8:F8"/>
    <mergeCell ref="A5:O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24"/>
  <sheetViews>
    <sheetView zoomScalePageLayoutView="0" workbookViewId="0" topLeftCell="A1">
      <pane xSplit="2" ySplit="7" topLeftCell="AX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22" sqref="BA22:BF22"/>
    </sheetView>
  </sheetViews>
  <sheetFormatPr defaultColWidth="9.00390625" defaultRowHeight="12.75"/>
  <cols>
    <col min="1" max="1" width="8.75390625" style="230" bestFit="1" customWidth="1"/>
    <col min="2" max="2" width="9.125" style="230" customWidth="1"/>
    <col min="3" max="3" width="11.375" style="230" customWidth="1"/>
    <col min="4" max="4" width="10.375" style="230" customWidth="1"/>
    <col min="5" max="5" width="10.125" style="230" bestFit="1" customWidth="1"/>
    <col min="6" max="6" width="9.125" style="230" customWidth="1"/>
    <col min="7" max="7" width="10.25390625" style="230" customWidth="1"/>
    <col min="8" max="8" width="9.125" style="230" customWidth="1"/>
    <col min="9" max="9" width="9.875" style="230" customWidth="1"/>
    <col min="10" max="10" width="9.125" style="230" customWidth="1"/>
    <col min="11" max="11" width="10.375" style="230" customWidth="1"/>
    <col min="12" max="12" width="9.125" style="230" customWidth="1"/>
    <col min="13" max="13" width="10.125" style="230" bestFit="1" customWidth="1"/>
    <col min="14" max="14" width="9.125" style="230" customWidth="1"/>
    <col min="15" max="15" width="10.125" style="230" bestFit="1" customWidth="1"/>
    <col min="16" max="18" width="9.125" style="230" customWidth="1"/>
    <col min="19" max="19" width="10.125" style="230" bestFit="1" customWidth="1"/>
    <col min="20" max="20" width="10.125" style="230" customWidth="1"/>
    <col min="21" max="21" width="10.125" style="230" bestFit="1" customWidth="1"/>
    <col min="22" max="22" width="10.25390625" style="230" customWidth="1"/>
    <col min="23" max="23" width="10.625" style="230" customWidth="1"/>
    <col min="24" max="24" width="10.125" style="230" customWidth="1"/>
    <col min="25" max="28" width="10.125" style="230" bestFit="1" customWidth="1"/>
    <col min="29" max="30" width="11.375" style="230" customWidth="1"/>
    <col min="31" max="31" width="9.25390625" style="230" bestFit="1" customWidth="1"/>
    <col min="32" max="32" width="10.125" style="230" bestFit="1" customWidth="1"/>
    <col min="33" max="33" width="12.00390625" style="230" customWidth="1"/>
    <col min="34" max="34" width="14.25390625" style="230" customWidth="1"/>
    <col min="35" max="35" width="9.25390625" style="230" bestFit="1" customWidth="1"/>
    <col min="36" max="36" width="12.625" style="230" customWidth="1"/>
    <col min="37" max="38" width="9.25390625" style="230" bestFit="1" customWidth="1"/>
    <col min="39" max="39" width="10.125" style="230" bestFit="1" customWidth="1"/>
    <col min="40" max="40" width="9.25390625" style="230" bestFit="1" customWidth="1"/>
    <col min="41" max="42" width="10.125" style="230" bestFit="1" customWidth="1"/>
    <col min="43" max="44" width="9.25390625" style="230" customWidth="1"/>
    <col min="45" max="45" width="10.125" style="230" bestFit="1" customWidth="1"/>
    <col min="46" max="46" width="11.625" style="230" customWidth="1"/>
    <col min="47" max="47" width="10.875" style="230" customWidth="1"/>
    <col min="48" max="48" width="10.625" style="230" customWidth="1"/>
    <col min="49" max="49" width="10.25390625" style="230" customWidth="1"/>
    <col min="50" max="50" width="10.625" style="230" customWidth="1"/>
    <col min="51" max="53" width="10.125" style="230" bestFit="1" customWidth="1"/>
    <col min="54" max="54" width="11.625" style="230" customWidth="1"/>
    <col min="55" max="55" width="11.75390625" style="230" customWidth="1"/>
    <col min="56" max="56" width="12.125" style="230" customWidth="1"/>
    <col min="57" max="57" width="13.625" style="230" customWidth="1"/>
    <col min="58" max="58" width="11.00390625" style="230" customWidth="1"/>
    <col min="59" max="59" width="11.375" style="230" customWidth="1"/>
    <col min="60" max="16384" width="9.125" style="230" customWidth="1"/>
  </cols>
  <sheetData>
    <row r="1" spans="1:18" ht="21" customHeight="1">
      <c r="A1" s="139" t="s">
        <v>89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229"/>
      <c r="P1" s="229"/>
      <c r="Q1" s="229"/>
      <c r="R1" s="229"/>
    </row>
    <row r="2" spans="1:18" ht="13.5" thickBot="1">
      <c r="A2" s="229"/>
      <c r="B2" s="231"/>
      <c r="C2" s="232"/>
      <c r="D2" s="232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59" ht="29.25" customHeight="1" thickBot="1">
      <c r="A3" s="233" t="s">
        <v>0</v>
      </c>
      <c r="B3" s="234" t="s">
        <v>1</v>
      </c>
      <c r="C3" s="235" t="s">
        <v>2</v>
      </c>
      <c r="D3" s="236" t="s">
        <v>3</v>
      </c>
      <c r="E3" s="233" t="s">
        <v>94</v>
      </c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07"/>
      <c r="S3" s="233"/>
      <c r="T3" s="237"/>
      <c r="U3" s="233" t="s">
        <v>5</v>
      </c>
      <c r="V3" s="237"/>
      <c r="W3" s="238" t="s">
        <v>6</v>
      </c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40"/>
      <c r="AJ3" s="241" t="s">
        <v>73</v>
      </c>
      <c r="AK3" s="242" t="s">
        <v>10</v>
      </c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4"/>
      <c r="BF3" s="245" t="s">
        <v>11</v>
      </c>
      <c r="BG3" s="246" t="s">
        <v>12</v>
      </c>
    </row>
    <row r="4" spans="1:59" ht="51.75" customHeight="1" hidden="1" thickBot="1">
      <c r="A4" s="247"/>
      <c r="B4" s="248"/>
      <c r="C4" s="249"/>
      <c r="D4" s="250"/>
      <c r="E4" s="247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199"/>
      <c r="S4" s="252"/>
      <c r="T4" s="253"/>
      <c r="U4" s="252"/>
      <c r="V4" s="253"/>
      <c r="W4" s="254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6"/>
      <c r="AJ4" s="257"/>
      <c r="AK4" s="258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60"/>
      <c r="BF4" s="261"/>
      <c r="BG4" s="262"/>
    </row>
    <row r="5" spans="1:61" ht="19.5" customHeight="1">
      <c r="A5" s="247"/>
      <c r="B5" s="248"/>
      <c r="C5" s="249"/>
      <c r="D5" s="250"/>
      <c r="E5" s="263" t="s">
        <v>13</v>
      </c>
      <c r="F5" s="264"/>
      <c r="G5" s="263" t="s">
        <v>95</v>
      </c>
      <c r="H5" s="264"/>
      <c r="I5" s="263" t="s">
        <v>14</v>
      </c>
      <c r="J5" s="264"/>
      <c r="K5" s="263" t="s">
        <v>16</v>
      </c>
      <c r="L5" s="264"/>
      <c r="M5" s="263" t="s">
        <v>15</v>
      </c>
      <c r="N5" s="264"/>
      <c r="O5" s="265" t="s">
        <v>17</v>
      </c>
      <c r="P5" s="265"/>
      <c r="Q5" s="263" t="s">
        <v>96</v>
      </c>
      <c r="R5" s="264"/>
      <c r="S5" s="265" t="s">
        <v>18</v>
      </c>
      <c r="T5" s="264"/>
      <c r="U5" s="266" t="s">
        <v>20</v>
      </c>
      <c r="V5" s="267" t="s">
        <v>21</v>
      </c>
      <c r="W5" s="268" t="s">
        <v>22</v>
      </c>
      <c r="X5" s="268" t="s">
        <v>97</v>
      </c>
      <c r="Y5" s="268" t="s">
        <v>23</v>
      </c>
      <c r="Z5" s="268" t="s">
        <v>25</v>
      </c>
      <c r="AA5" s="268" t="s">
        <v>24</v>
      </c>
      <c r="AB5" s="268" t="s">
        <v>26</v>
      </c>
      <c r="AC5" s="268" t="s">
        <v>27</v>
      </c>
      <c r="AD5" s="269" t="s">
        <v>28</v>
      </c>
      <c r="AE5" s="269" t="s">
        <v>98</v>
      </c>
      <c r="AF5" s="270" t="s">
        <v>29</v>
      </c>
      <c r="AG5" s="271" t="s">
        <v>85</v>
      </c>
      <c r="AH5" s="272" t="s">
        <v>8</v>
      </c>
      <c r="AI5" s="273" t="s">
        <v>9</v>
      </c>
      <c r="AJ5" s="257"/>
      <c r="AK5" s="274" t="s">
        <v>99</v>
      </c>
      <c r="AL5" s="275" t="s">
        <v>100</v>
      </c>
      <c r="AM5" s="275" t="s">
        <v>101</v>
      </c>
      <c r="AN5" s="276" t="s">
        <v>102</v>
      </c>
      <c r="AO5" s="275" t="s">
        <v>103</v>
      </c>
      <c r="AP5" s="276" t="s">
        <v>104</v>
      </c>
      <c r="AQ5" s="276" t="s">
        <v>105</v>
      </c>
      <c r="AR5" s="276" t="s">
        <v>106</v>
      </c>
      <c r="AS5" s="276" t="s">
        <v>107</v>
      </c>
      <c r="AT5" s="276" t="s">
        <v>36</v>
      </c>
      <c r="AU5" s="153" t="s">
        <v>108</v>
      </c>
      <c r="AV5" s="185" t="s">
        <v>109</v>
      </c>
      <c r="AW5" s="153" t="s">
        <v>110</v>
      </c>
      <c r="AX5" s="174" t="s">
        <v>111</v>
      </c>
      <c r="AY5" s="137"/>
      <c r="AZ5" s="277" t="s">
        <v>19</v>
      </c>
      <c r="BA5" s="276" t="s">
        <v>38</v>
      </c>
      <c r="BB5" s="276" t="s">
        <v>33</v>
      </c>
      <c r="BC5" s="278" t="s">
        <v>39</v>
      </c>
      <c r="BD5" s="279" t="s">
        <v>74</v>
      </c>
      <c r="BE5" s="276" t="s">
        <v>112</v>
      </c>
      <c r="BF5" s="261"/>
      <c r="BG5" s="262"/>
      <c r="BH5" s="280"/>
      <c r="BI5" s="281"/>
    </row>
    <row r="6" spans="1:61" ht="56.25" customHeight="1" thickBot="1">
      <c r="A6" s="247"/>
      <c r="B6" s="248"/>
      <c r="C6" s="249"/>
      <c r="D6" s="250"/>
      <c r="E6" s="282"/>
      <c r="F6" s="283"/>
      <c r="G6" s="282"/>
      <c r="H6" s="283"/>
      <c r="I6" s="282"/>
      <c r="J6" s="283"/>
      <c r="K6" s="282"/>
      <c r="L6" s="283"/>
      <c r="M6" s="282"/>
      <c r="N6" s="283"/>
      <c r="O6" s="284"/>
      <c r="P6" s="284"/>
      <c r="Q6" s="282"/>
      <c r="R6" s="283"/>
      <c r="S6" s="285"/>
      <c r="T6" s="283"/>
      <c r="U6" s="286"/>
      <c r="V6" s="287"/>
      <c r="W6" s="288"/>
      <c r="X6" s="288"/>
      <c r="Y6" s="288"/>
      <c r="Z6" s="288"/>
      <c r="AA6" s="288"/>
      <c r="AB6" s="288"/>
      <c r="AC6" s="288"/>
      <c r="AD6" s="289"/>
      <c r="AE6" s="289"/>
      <c r="AF6" s="290"/>
      <c r="AG6" s="291"/>
      <c r="AH6" s="292"/>
      <c r="AI6" s="293"/>
      <c r="AJ6" s="294"/>
      <c r="AK6" s="295"/>
      <c r="AL6" s="296"/>
      <c r="AM6" s="296"/>
      <c r="AN6" s="297"/>
      <c r="AO6" s="296"/>
      <c r="AP6" s="297"/>
      <c r="AQ6" s="297"/>
      <c r="AR6" s="297"/>
      <c r="AS6" s="297"/>
      <c r="AT6" s="297"/>
      <c r="AU6" s="154"/>
      <c r="AV6" s="186"/>
      <c r="AW6" s="154"/>
      <c r="AX6" s="175"/>
      <c r="AY6" s="138" t="s">
        <v>113</v>
      </c>
      <c r="AZ6" s="298"/>
      <c r="BA6" s="297"/>
      <c r="BB6" s="297"/>
      <c r="BC6" s="299"/>
      <c r="BD6" s="300"/>
      <c r="BE6" s="297"/>
      <c r="BF6" s="301"/>
      <c r="BG6" s="302"/>
      <c r="BH6" s="280"/>
      <c r="BI6" s="281"/>
    </row>
    <row r="7" spans="1:61" ht="19.5" customHeight="1" thickBot="1">
      <c r="A7" s="303">
        <v>1</v>
      </c>
      <c r="B7" s="304">
        <v>2</v>
      </c>
      <c r="C7" s="304">
        <v>3</v>
      </c>
      <c r="D7" s="303">
        <v>4</v>
      </c>
      <c r="E7" s="304">
        <v>5</v>
      </c>
      <c r="F7" s="304">
        <v>6</v>
      </c>
      <c r="G7" s="303">
        <v>7</v>
      </c>
      <c r="H7" s="304">
        <v>8</v>
      </c>
      <c r="I7" s="304">
        <v>9</v>
      </c>
      <c r="J7" s="303">
        <v>10</v>
      </c>
      <c r="K7" s="304">
        <v>11</v>
      </c>
      <c r="L7" s="304">
        <v>12</v>
      </c>
      <c r="M7" s="303">
        <v>13</v>
      </c>
      <c r="N7" s="304">
        <v>14</v>
      </c>
      <c r="O7" s="304">
        <v>15</v>
      </c>
      <c r="P7" s="303">
        <v>16</v>
      </c>
      <c r="Q7" s="304">
        <v>17</v>
      </c>
      <c r="R7" s="304">
        <v>18</v>
      </c>
      <c r="S7" s="303">
        <v>19</v>
      </c>
      <c r="T7" s="304">
        <v>20</v>
      </c>
      <c r="U7" s="304">
        <v>21</v>
      </c>
      <c r="V7" s="303">
        <v>22</v>
      </c>
      <c r="W7" s="304">
        <v>23</v>
      </c>
      <c r="X7" s="303">
        <v>24</v>
      </c>
      <c r="Y7" s="304">
        <v>25</v>
      </c>
      <c r="Z7" s="303">
        <v>26</v>
      </c>
      <c r="AA7" s="304">
        <v>27</v>
      </c>
      <c r="AB7" s="303">
        <v>28</v>
      </c>
      <c r="AC7" s="304">
        <v>29</v>
      </c>
      <c r="AD7" s="303">
        <v>30</v>
      </c>
      <c r="AE7" s="303">
        <v>31</v>
      </c>
      <c r="AF7" s="304">
        <v>32</v>
      </c>
      <c r="AG7" s="303">
        <v>33</v>
      </c>
      <c r="AH7" s="304">
        <v>34</v>
      </c>
      <c r="AI7" s="303">
        <v>35</v>
      </c>
      <c r="AJ7" s="304">
        <v>36</v>
      </c>
      <c r="AK7" s="303">
        <v>37</v>
      </c>
      <c r="AL7" s="304">
        <v>38</v>
      </c>
      <c r="AM7" s="303">
        <v>39</v>
      </c>
      <c r="AN7" s="303">
        <v>40</v>
      </c>
      <c r="AO7" s="304">
        <v>41</v>
      </c>
      <c r="AP7" s="303">
        <v>42</v>
      </c>
      <c r="AQ7" s="304">
        <v>43</v>
      </c>
      <c r="AR7" s="303"/>
      <c r="AS7" s="303">
        <v>44</v>
      </c>
      <c r="AT7" s="304">
        <v>45</v>
      </c>
      <c r="AU7" s="303">
        <v>46</v>
      </c>
      <c r="AV7" s="304">
        <v>47</v>
      </c>
      <c r="AW7" s="303">
        <v>48</v>
      </c>
      <c r="AX7" s="303">
        <v>49</v>
      </c>
      <c r="AY7" s="304"/>
      <c r="AZ7" s="304">
        <v>50</v>
      </c>
      <c r="BA7" s="304">
        <v>51</v>
      </c>
      <c r="BB7" s="304">
        <v>52</v>
      </c>
      <c r="BC7" s="304">
        <v>53</v>
      </c>
      <c r="BD7" s="304">
        <v>54</v>
      </c>
      <c r="BE7" s="304"/>
      <c r="BF7" s="304">
        <v>55</v>
      </c>
      <c r="BG7" s="304">
        <v>56</v>
      </c>
      <c r="BH7" s="281"/>
      <c r="BI7" s="281"/>
    </row>
    <row r="8" spans="1:59" s="18" customFormat="1" ht="13.5" thickBot="1">
      <c r="A8" s="20" t="s">
        <v>53</v>
      </c>
      <c r="B8" s="305">
        <f>'[1]ЛИЦ.СЧЕТ'!B42</f>
        <v>0</v>
      </c>
      <c r="C8" s="305">
        <f>Лист1!C39</f>
        <v>73262.04</v>
      </c>
      <c r="D8" s="305">
        <f>Лист1!D39</f>
        <v>12843.4925</v>
      </c>
      <c r="E8" s="305">
        <f>Лист1!E39</f>
        <v>6911.03</v>
      </c>
      <c r="F8" s="305">
        <f>Лист1!F39</f>
        <v>719.3799999999999</v>
      </c>
      <c r="G8" s="305"/>
      <c r="H8" s="305"/>
      <c r="I8" s="305">
        <f>Лист1!G39</f>
        <v>2586.46</v>
      </c>
      <c r="J8" s="305">
        <f>Лист1!H39</f>
        <v>270.3</v>
      </c>
      <c r="K8" s="305">
        <f>Лист1!K39</f>
        <v>15575.870000000003</v>
      </c>
      <c r="L8" s="305">
        <f>Лист1!L39</f>
        <v>1622.0700000000002</v>
      </c>
      <c r="M8" s="305">
        <f>Лист1!I39</f>
        <v>22486.870000000003</v>
      </c>
      <c r="N8" s="305">
        <f>Лист1!J39</f>
        <v>2341.45</v>
      </c>
      <c r="O8" s="305">
        <f>Лист1!M39</f>
        <v>5528.889999999999</v>
      </c>
      <c r="P8" s="305">
        <f>Лист1!N39</f>
        <v>575.5</v>
      </c>
      <c r="Q8" s="305">
        <f>'[3]Лист1'!O44</f>
        <v>0</v>
      </c>
      <c r="R8" s="305"/>
      <c r="S8" s="305">
        <f>'[3]Лист1'!O44</f>
        <v>0</v>
      </c>
      <c r="T8" s="305">
        <f>'[3]Лист1'!P44</f>
        <v>0</v>
      </c>
      <c r="U8" s="305">
        <f>Лист1!S39</f>
        <v>53089.119999999995</v>
      </c>
      <c r="V8" s="305">
        <f>Лист1!T39</f>
        <v>5528.699999999999</v>
      </c>
      <c r="W8" s="305">
        <f>Лист1!U39</f>
        <v>8206.670000000002</v>
      </c>
      <c r="X8" s="305"/>
      <c r="Y8" s="305">
        <f>Лист1!V39</f>
        <v>3069.4700000000003</v>
      </c>
      <c r="Z8" s="305">
        <f>Лист1!X39</f>
        <v>18495.909999999996</v>
      </c>
      <c r="AA8" s="305">
        <f>Лист1!W39</f>
        <v>26702.63</v>
      </c>
      <c r="AB8" s="305">
        <f>Лист1!Y39</f>
        <v>6565.45</v>
      </c>
      <c r="AC8" s="305">
        <f>'[4]Лист1'!Z44</f>
        <v>0</v>
      </c>
      <c r="AD8" s="305"/>
      <c r="AE8" s="305"/>
      <c r="AF8" s="305">
        <f>Лист1!AB39</f>
        <v>63040.13</v>
      </c>
      <c r="AG8" s="305">
        <f>Лист1!AC39</f>
        <v>81412.32250000001</v>
      </c>
      <c r="AH8" s="305"/>
      <c r="AI8" s="305"/>
      <c r="AJ8" s="305">
        <f>'[2]Лист1'!AF44</f>
        <v>0</v>
      </c>
      <c r="AK8" s="305">
        <f>Лист1!AG39</f>
        <v>4997.0639999999985</v>
      </c>
      <c r="AL8" s="305">
        <f>Лист1!AH39</f>
        <v>1669.2747568000004</v>
      </c>
      <c r="AM8" s="305">
        <f>Лист1!AI39+Лист1!AJ39</f>
        <v>8286.235084281001</v>
      </c>
      <c r="AN8" s="305">
        <f>0</f>
        <v>0</v>
      </c>
      <c r="AO8" s="305">
        <f>Лист1!AK39+Лист1!AL39</f>
        <v>8088.6333950546</v>
      </c>
      <c r="AP8" s="305">
        <f>Лист1!AM39+Лист1!AN39</f>
        <v>18590.083194958195</v>
      </c>
      <c r="AQ8" s="305">
        <f>0</f>
        <v>0</v>
      </c>
      <c r="AR8" s="305">
        <f>0</f>
        <v>0</v>
      </c>
      <c r="AS8" s="305">
        <f>0</f>
        <v>0</v>
      </c>
      <c r="AT8" s="305">
        <f>'[3]Лист1'!AO44+'[3]Лист1'!AP44</f>
        <v>0</v>
      </c>
      <c r="AU8" s="305">
        <f>Лист1!AS39+Лист1!AU39</f>
        <v>769.7</v>
      </c>
      <c r="AV8" s="305">
        <f>0</f>
        <v>0</v>
      </c>
      <c r="AW8" s="305">
        <f>Лист1!AT39</f>
        <v>547.8</v>
      </c>
      <c r="AX8" s="305">
        <f>'[3]Лист1'!AQ44+'[3]Лист1'!AR44</f>
        <v>0</v>
      </c>
      <c r="AY8" s="306">
        <f>Лист1!AX39</f>
        <v>1796.2607999999998</v>
      </c>
      <c r="AZ8" s="306"/>
      <c r="BA8" s="306"/>
      <c r="BB8" s="306"/>
      <c r="BC8" s="306">
        <f>Лист1!BB39</f>
        <v>44745.05123109379</v>
      </c>
      <c r="BD8" s="305">
        <f>0</f>
        <v>0</v>
      </c>
      <c r="BE8" s="305">
        <f>BC8</f>
        <v>44745.05123109379</v>
      </c>
      <c r="BF8" s="307">
        <f>Лист1!BD39</f>
        <v>36667.2712689062</v>
      </c>
      <c r="BG8" s="307">
        <f>Лист1!BE39</f>
        <v>9951.010000000002</v>
      </c>
    </row>
    <row r="9" spans="1:59" ht="12.75">
      <c r="A9" s="5" t="s">
        <v>114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9"/>
      <c r="BF9" s="307"/>
      <c r="BG9" s="310"/>
    </row>
    <row r="10" spans="1:135" ht="12.75">
      <c r="A10" s="311" t="s">
        <v>44</v>
      </c>
      <c r="B10" s="312">
        <v>352.9</v>
      </c>
      <c r="C10" s="108">
        <f>(B10*0.87)+((B10*5.17*0.9)+(B10*2.51))</f>
        <v>2834.8457</v>
      </c>
      <c r="D10" s="86">
        <v>90.2682</v>
      </c>
      <c r="E10" s="313">
        <v>0</v>
      </c>
      <c r="F10" s="314">
        <v>0</v>
      </c>
      <c r="G10" s="313">
        <v>1684.2</v>
      </c>
      <c r="H10" s="313">
        <v>0</v>
      </c>
      <c r="I10" s="313">
        <v>0</v>
      </c>
      <c r="J10" s="313">
        <v>0</v>
      </c>
      <c r="K10" s="313">
        <v>0</v>
      </c>
      <c r="L10" s="313">
        <v>0</v>
      </c>
      <c r="M10" s="313">
        <v>909.05</v>
      </c>
      <c r="N10" s="313">
        <v>0</v>
      </c>
      <c r="O10" s="313">
        <v>315.34</v>
      </c>
      <c r="P10" s="314">
        <v>0</v>
      </c>
      <c r="Q10" s="315">
        <v>0</v>
      </c>
      <c r="R10" s="316">
        <v>0</v>
      </c>
      <c r="S10" s="317">
        <v>0</v>
      </c>
      <c r="T10" s="316">
        <v>0</v>
      </c>
      <c r="U10" s="318">
        <f aca="true" t="shared" si="0" ref="U10:V21">E10+G10+I10+K10+M10+O10+Q10+S10</f>
        <v>2908.59</v>
      </c>
      <c r="V10" s="319">
        <f t="shared" si="0"/>
        <v>0</v>
      </c>
      <c r="W10" s="320">
        <v>165.62</v>
      </c>
      <c r="X10" s="320"/>
      <c r="Y10" s="320">
        <v>62.13</v>
      </c>
      <c r="Z10" s="320">
        <v>373.3</v>
      </c>
      <c r="AA10" s="320">
        <v>538.89</v>
      </c>
      <c r="AB10" s="320">
        <v>132.5</v>
      </c>
      <c r="AC10" s="321">
        <v>0</v>
      </c>
      <c r="AD10" s="321">
        <v>0</v>
      </c>
      <c r="AE10" s="322">
        <v>0</v>
      </c>
      <c r="AF10" s="322">
        <f>SUM(W10:AE10)</f>
        <v>1272.44</v>
      </c>
      <c r="AG10" s="323">
        <f>AF10+V10+D10</f>
        <v>1362.7082</v>
      </c>
      <c r="AH10" s="324">
        <f aca="true" t="shared" si="1" ref="AH10:AI21">AC10</f>
        <v>0</v>
      </c>
      <c r="AI10" s="324">
        <f t="shared" si="1"/>
        <v>0</v>
      </c>
      <c r="AJ10" s="325"/>
      <c r="AK10" s="326">
        <f aca="true" t="shared" si="2" ref="AK10:AK21">0.67*B10</f>
        <v>236.443</v>
      </c>
      <c r="AL10" s="326">
        <f aca="true" t="shared" si="3" ref="AL10:AL21">B10*0.2</f>
        <v>70.58</v>
      </c>
      <c r="AM10" s="326">
        <f aca="true" t="shared" si="4" ref="AM10:AM20">B10*1</f>
        <v>352.9</v>
      </c>
      <c r="AN10" s="326">
        <f aca="true" t="shared" si="5" ref="AN10:AN20">B10*0.21</f>
        <v>74.109</v>
      </c>
      <c r="AO10" s="126">
        <v>0</v>
      </c>
      <c r="AP10" s="326">
        <f aca="true" t="shared" si="6" ref="AP10:AP20">B10*1.03</f>
        <v>363.48699999999997</v>
      </c>
      <c r="AQ10" s="326">
        <f aca="true" t="shared" si="7" ref="AQ10:AQ20">B10*0.75</f>
        <v>264.67499999999995</v>
      </c>
      <c r="AR10" s="326">
        <f aca="true" t="shared" si="8" ref="AR10:AR20">B10*0.75</f>
        <v>264.67499999999995</v>
      </c>
      <c r="AS10" s="126">
        <v>0</v>
      </c>
      <c r="AT10" s="326"/>
      <c r="AU10" s="327"/>
      <c r="AV10" s="328"/>
      <c r="AW10" s="327"/>
      <c r="AX10" s="327"/>
      <c r="AY10" s="327"/>
      <c r="AZ10" s="98"/>
      <c r="BA10" s="329"/>
      <c r="BB10" s="329">
        <f>BA10*0.18</f>
        <v>0</v>
      </c>
      <c r="BC10" s="329">
        <f>SUM(AK10:BB10)</f>
        <v>1626.869</v>
      </c>
      <c r="BD10" s="330"/>
      <c r="BE10" s="330">
        <f>BC10</f>
        <v>1626.869</v>
      </c>
      <c r="BF10" s="330">
        <f>AG10-BE10</f>
        <v>-264.1607999999999</v>
      </c>
      <c r="BG10" s="330">
        <f aca="true" t="shared" si="9" ref="BG10:BG21">AF10-U10</f>
        <v>-1636.15</v>
      </c>
      <c r="BH10" s="331"/>
      <c r="BI10" s="332"/>
      <c r="BJ10" s="332"/>
      <c r="BK10" s="332"/>
      <c r="BL10" s="332"/>
      <c r="BM10" s="332"/>
      <c r="BN10" s="332"/>
      <c r="BO10" s="333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4"/>
      <c r="CD10" s="334"/>
      <c r="CE10" s="335"/>
      <c r="CF10" s="330"/>
      <c r="CG10" s="336"/>
      <c r="CH10" s="330"/>
      <c r="CI10" s="330"/>
      <c r="CJ10" s="330"/>
      <c r="CK10" s="330"/>
      <c r="CL10" s="330"/>
      <c r="CM10" s="330"/>
      <c r="CN10" s="330"/>
      <c r="CO10" s="336"/>
      <c r="CP10" s="330"/>
      <c r="CQ10" s="330"/>
      <c r="CR10" s="330"/>
      <c r="CS10" s="330"/>
      <c r="CT10" s="330"/>
      <c r="CU10" s="330"/>
      <c r="CV10" s="330"/>
      <c r="CW10" s="330"/>
      <c r="CX10" s="330"/>
      <c r="CY10" s="330"/>
      <c r="CZ10" s="330"/>
      <c r="DA10" s="330"/>
      <c r="DB10" s="330"/>
      <c r="DC10" s="330"/>
      <c r="DD10" s="330"/>
      <c r="DE10" s="330"/>
      <c r="DF10" s="330"/>
      <c r="DG10" s="330"/>
      <c r="DH10" s="330"/>
      <c r="DI10" s="330"/>
      <c r="DJ10" s="330"/>
      <c r="DK10" s="336"/>
      <c r="DL10" s="336"/>
      <c r="DM10" s="336"/>
      <c r="DN10" s="336"/>
      <c r="DO10" s="336"/>
      <c r="DP10" s="336"/>
      <c r="DQ10" s="330"/>
      <c r="DR10" s="330"/>
      <c r="DS10" s="330"/>
      <c r="DT10" s="330"/>
      <c r="DU10" s="330"/>
      <c r="DV10" s="331"/>
      <c r="DW10" s="331"/>
      <c r="DX10" s="329"/>
      <c r="DY10" s="307"/>
      <c r="DZ10" s="307"/>
      <c r="EA10" s="310"/>
      <c r="EB10" s="337"/>
      <c r="EC10" s="338"/>
      <c r="ED10" s="339"/>
      <c r="EE10" s="340"/>
    </row>
    <row r="11" spans="1:133" ht="12.75">
      <c r="A11" s="311" t="s">
        <v>45</v>
      </c>
      <c r="B11" s="312">
        <v>352.9</v>
      </c>
      <c r="C11" s="108">
        <f>(B11*0.87)+((B11*5.17*0.9)+(B11*2.51))</f>
        <v>2834.8457</v>
      </c>
      <c r="D11" s="86">
        <v>90.2682</v>
      </c>
      <c r="E11" s="313">
        <v>0</v>
      </c>
      <c r="F11" s="314">
        <v>0</v>
      </c>
      <c r="G11" s="313">
        <v>1684.2</v>
      </c>
      <c r="H11" s="313">
        <v>0</v>
      </c>
      <c r="I11" s="313">
        <v>0</v>
      </c>
      <c r="J11" s="313">
        <v>0</v>
      </c>
      <c r="K11" s="313">
        <v>0</v>
      </c>
      <c r="L11" s="313">
        <v>0</v>
      </c>
      <c r="M11" s="313">
        <v>909.05</v>
      </c>
      <c r="N11" s="313">
        <v>0</v>
      </c>
      <c r="O11" s="313">
        <v>315.34</v>
      </c>
      <c r="P11" s="313">
        <v>0</v>
      </c>
      <c r="Q11" s="314">
        <v>0</v>
      </c>
      <c r="R11" s="314">
        <v>0</v>
      </c>
      <c r="S11" s="321">
        <v>0</v>
      </c>
      <c r="T11" s="320">
        <v>0</v>
      </c>
      <c r="U11" s="341">
        <f t="shared" si="0"/>
        <v>2908.59</v>
      </c>
      <c r="V11" s="319">
        <f t="shared" si="0"/>
        <v>0</v>
      </c>
      <c r="W11" s="320">
        <v>0.01</v>
      </c>
      <c r="X11" s="321">
        <v>855.5</v>
      </c>
      <c r="Y11" s="320">
        <v>0</v>
      </c>
      <c r="Z11" s="320">
        <v>0.01</v>
      </c>
      <c r="AA11" s="320">
        <v>461.74</v>
      </c>
      <c r="AB11" s="320">
        <v>160.21</v>
      </c>
      <c r="AC11" s="321">
        <v>0</v>
      </c>
      <c r="AD11" s="321">
        <v>0</v>
      </c>
      <c r="AE11" s="321">
        <v>0</v>
      </c>
      <c r="AF11" s="322">
        <f>SUM(W11:AE11)</f>
        <v>1477.47</v>
      </c>
      <c r="AG11" s="323">
        <f>AF11+V11+D11</f>
        <v>1567.7382</v>
      </c>
      <c r="AH11" s="324">
        <f t="shared" si="1"/>
        <v>0</v>
      </c>
      <c r="AI11" s="324">
        <f t="shared" si="1"/>
        <v>0</v>
      </c>
      <c r="AJ11" s="325"/>
      <c r="AK11" s="326">
        <f t="shared" si="2"/>
        <v>236.443</v>
      </c>
      <c r="AL11" s="326">
        <f t="shared" si="3"/>
        <v>70.58</v>
      </c>
      <c r="AM11" s="326">
        <f t="shared" si="4"/>
        <v>352.9</v>
      </c>
      <c r="AN11" s="326">
        <f t="shared" si="5"/>
        <v>74.109</v>
      </c>
      <c r="AO11" s="126">
        <v>0</v>
      </c>
      <c r="AP11" s="326">
        <f t="shared" si="6"/>
        <v>363.48699999999997</v>
      </c>
      <c r="AQ11" s="326">
        <f t="shared" si="7"/>
        <v>264.67499999999995</v>
      </c>
      <c r="AR11" s="326">
        <f t="shared" si="8"/>
        <v>264.67499999999995</v>
      </c>
      <c r="AS11" s="126">
        <v>0</v>
      </c>
      <c r="AT11" s="326"/>
      <c r="AU11" s="327"/>
      <c r="AV11" s="328"/>
      <c r="AW11" s="327"/>
      <c r="AX11" s="327"/>
      <c r="AY11" s="327"/>
      <c r="AZ11" s="98"/>
      <c r="BA11" s="329"/>
      <c r="BB11" s="329">
        <f>BA11*0.18</f>
        <v>0</v>
      </c>
      <c r="BC11" s="329">
        <f>SUM(AK11:BB11)</f>
        <v>1626.869</v>
      </c>
      <c r="BD11" s="330"/>
      <c r="BE11" s="330">
        <f aca="true" t="shared" si="10" ref="BE11:BE21">BC11</f>
        <v>1626.869</v>
      </c>
      <c r="BF11" s="330">
        <f>AG11-BE11</f>
        <v>-59.13079999999991</v>
      </c>
      <c r="BG11" s="330">
        <f t="shared" si="9"/>
        <v>-1431.1200000000001</v>
      </c>
      <c r="BH11" s="331"/>
      <c r="BI11" s="332"/>
      <c r="BJ11" s="332"/>
      <c r="BK11" s="332"/>
      <c r="BL11" s="332"/>
      <c r="BM11" s="332"/>
      <c r="BN11" s="332"/>
      <c r="BO11" s="333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2"/>
      <c r="CA11" s="332"/>
      <c r="CB11" s="332"/>
      <c r="CC11" s="334"/>
      <c r="CD11" s="334"/>
      <c r="CE11" s="335"/>
      <c r="CF11" s="330"/>
      <c r="CG11" s="336"/>
      <c r="CH11" s="330"/>
      <c r="CI11" s="330"/>
      <c r="CJ11" s="330"/>
      <c r="CK11" s="330"/>
      <c r="CL11" s="330"/>
      <c r="CM11" s="330"/>
      <c r="CN11" s="330"/>
      <c r="CO11" s="336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6"/>
      <c r="DL11" s="336"/>
      <c r="DM11" s="336"/>
      <c r="DN11" s="336"/>
      <c r="DO11" s="336"/>
      <c r="DP11" s="336"/>
      <c r="DQ11" s="330"/>
      <c r="DR11" s="330"/>
      <c r="DS11" s="330"/>
      <c r="DT11" s="330"/>
      <c r="DU11" s="330"/>
      <c r="DV11" s="331"/>
      <c r="DW11" s="331"/>
      <c r="DX11" s="329"/>
      <c r="DY11" s="307"/>
      <c r="DZ11" s="307"/>
      <c r="EA11" s="310"/>
      <c r="EB11" s="338"/>
      <c r="EC11" s="342"/>
    </row>
    <row r="12" spans="1:134" ht="12.75">
      <c r="A12" s="311" t="s">
        <v>46</v>
      </c>
      <c r="B12" s="312">
        <v>352.9</v>
      </c>
      <c r="C12" s="108">
        <f>(B12*0.87)+((B12*5.17*0.9)+(B12*2.51))</f>
        <v>2834.8457</v>
      </c>
      <c r="D12" s="86">
        <v>90.2682</v>
      </c>
      <c r="E12" s="313">
        <v>0</v>
      </c>
      <c r="F12" s="314">
        <v>0</v>
      </c>
      <c r="G12" s="313">
        <v>1684.2</v>
      </c>
      <c r="H12" s="313">
        <v>0</v>
      </c>
      <c r="I12" s="313">
        <v>0</v>
      </c>
      <c r="J12" s="313">
        <v>0</v>
      </c>
      <c r="K12" s="313">
        <v>0</v>
      </c>
      <c r="L12" s="313">
        <v>0</v>
      </c>
      <c r="M12" s="313">
        <v>909.05</v>
      </c>
      <c r="N12" s="313">
        <v>0</v>
      </c>
      <c r="O12" s="313">
        <v>315.34</v>
      </c>
      <c r="P12" s="313">
        <v>0</v>
      </c>
      <c r="Q12" s="313">
        <v>0</v>
      </c>
      <c r="R12" s="313">
        <v>0</v>
      </c>
      <c r="S12" s="313">
        <v>0</v>
      </c>
      <c r="T12" s="320">
        <v>0</v>
      </c>
      <c r="U12" s="320">
        <f t="shared" si="0"/>
        <v>2908.59</v>
      </c>
      <c r="V12" s="343">
        <f t="shared" si="0"/>
        <v>0</v>
      </c>
      <c r="W12" s="344">
        <v>0</v>
      </c>
      <c r="X12" s="321">
        <v>855.94</v>
      </c>
      <c r="Y12" s="320">
        <v>0</v>
      </c>
      <c r="Z12" s="320">
        <v>0</v>
      </c>
      <c r="AA12" s="320">
        <v>461.97</v>
      </c>
      <c r="AB12" s="320">
        <v>160.3</v>
      </c>
      <c r="AC12" s="321">
        <v>0</v>
      </c>
      <c r="AD12" s="321">
        <v>0</v>
      </c>
      <c r="AE12" s="320">
        <v>0</v>
      </c>
      <c r="AF12" s="345">
        <f>SUM(W12:AE12)</f>
        <v>1478.21</v>
      </c>
      <c r="AG12" s="323">
        <f>AF12+V12+D12</f>
        <v>1568.4782</v>
      </c>
      <c r="AH12" s="324">
        <f t="shared" si="1"/>
        <v>0</v>
      </c>
      <c r="AI12" s="324">
        <f t="shared" si="1"/>
        <v>0</v>
      </c>
      <c r="AJ12" s="325"/>
      <c r="AK12" s="326">
        <f t="shared" si="2"/>
        <v>236.443</v>
      </c>
      <c r="AL12" s="326">
        <f t="shared" si="3"/>
        <v>70.58</v>
      </c>
      <c r="AM12" s="326">
        <f t="shared" si="4"/>
        <v>352.9</v>
      </c>
      <c r="AN12" s="326">
        <f t="shared" si="5"/>
        <v>74.109</v>
      </c>
      <c r="AO12" s="126">
        <v>0</v>
      </c>
      <c r="AP12" s="326">
        <f t="shared" si="6"/>
        <v>363.48699999999997</v>
      </c>
      <c r="AQ12" s="326">
        <f t="shared" si="7"/>
        <v>264.67499999999995</v>
      </c>
      <c r="AR12" s="326">
        <f t="shared" si="8"/>
        <v>264.67499999999995</v>
      </c>
      <c r="AS12" s="126">
        <v>0</v>
      </c>
      <c r="AT12" s="326"/>
      <c r="AU12" s="327"/>
      <c r="AV12" s="328"/>
      <c r="AW12" s="327"/>
      <c r="AX12" s="327"/>
      <c r="AY12" s="327"/>
      <c r="AZ12" s="98"/>
      <c r="BA12" s="329"/>
      <c r="BB12" s="329">
        <f>BA12*0.18</f>
        <v>0</v>
      </c>
      <c r="BC12" s="329">
        <f>SUM(AK12:BB12)</f>
        <v>1626.869</v>
      </c>
      <c r="BD12" s="330"/>
      <c r="BE12" s="330">
        <f t="shared" si="10"/>
        <v>1626.869</v>
      </c>
      <c r="BF12" s="330">
        <f>AG12-BE12</f>
        <v>-58.3907999999999</v>
      </c>
      <c r="BG12" s="330">
        <f t="shared" si="9"/>
        <v>-1430.38</v>
      </c>
      <c r="BH12" s="331"/>
      <c r="BI12" s="332"/>
      <c r="BJ12" s="332"/>
      <c r="BK12" s="332"/>
      <c r="BL12" s="332"/>
      <c r="BM12" s="332"/>
      <c r="BN12" s="332"/>
      <c r="BO12" s="332"/>
      <c r="BP12" s="332"/>
      <c r="BQ12" s="333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4"/>
      <c r="CD12" s="334"/>
      <c r="CE12" s="335"/>
      <c r="CF12" s="330"/>
      <c r="CG12" s="330"/>
      <c r="CH12" s="330"/>
      <c r="CI12" s="336"/>
      <c r="CJ12" s="330"/>
      <c r="CK12" s="330"/>
      <c r="CL12" s="330"/>
      <c r="CM12" s="330"/>
      <c r="CN12" s="330"/>
      <c r="CO12" s="330"/>
      <c r="CP12" s="330"/>
      <c r="CQ12" s="336"/>
      <c r="CR12" s="330"/>
      <c r="CS12" s="330"/>
      <c r="CT12" s="330"/>
      <c r="CU12" s="330"/>
      <c r="CV12" s="330"/>
      <c r="CW12" s="330"/>
      <c r="CX12" s="330"/>
      <c r="CY12" s="330"/>
      <c r="CZ12" s="330"/>
      <c r="DA12" s="330"/>
      <c r="DB12" s="330"/>
      <c r="DC12" s="330"/>
      <c r="DD12" s="330"/>
      <c r="DE12" s="330"/>
      <c r="DF12" s="330"/>
      <c r="DG12" s="330"/>
      <c r="DH12" s="330"/>
      <c r="DI12" s="330"/>
      <c r="DJ12" s="330"/>
      <c r="DK12" s="330"/>
      <c r="DL12" s="330"/>
      <c r="DM12" s="336"/>
      <c r="DN12" s="336"/>
      <c r="DO12" s="336"/>
      <c r="DP12" s="336"/>
      <c r="DQ12" s="336"/>
      <c r="DR12" s="336"/>
      <c r="DS12" s="330"/>
      <c r="DT12" s="330"/>
      <c r="DU12" s="330"/>
      <c r="DV12" s="330"/>
      <c r="DW12" s="330"/>
      <c r="DX12" s="331"/>
      <c r="DY12" s="331"/>
      <c r="DZ12" s="329"/>
      <c r="EA12" s="307"/>
      <c r="EB12" s="307"/>
      <c r="EC12" s="338"/>
      <c r="ED12" s="342"/>
    </row>
    <row r="13" spans="1:134" ht="12.75">
      <c r="A13" s="311" t="s">
        <v>47</v>
      </c>
      <c r="B13" s="312">
        <v>352.9</v>
      </c>
      <c r="C13" s="108">
        <f>(B13*0.87)+((B13*5.17*0.9)+(B13*2.51))</f>
        <v>2834.8457</v>
      </c>
      <c r="D13" s="346">
        <v>90.2682</v>
      </c>
      <c r="E13" s="315">
        <v>0</v>
      </c>
      <c r="F13" s="313">
        <v>0</v>
      </c>
      <c r="G13" s="347">
        <v>1684.2</v>
      </c>
      <c r="H13" s="313">
        <v>0</v>
      </c>
      <c r="I13" s="313">
        <v>0</v>
      </c>
      <c r="J13" s="313">
        <v>0</v>
      </c>
      <c r="K13" s="313">
        <v>0</v>
      </c>
      <c r="L13" s="313">
        <v>0</v>
      </c>
      <c r="M13" s="313">
        <v>909.05</v>
      </c>
      <c r="N13" s="313">
        <v>0</v>
      </c>
      <c r="O13" s="313">
        <v>315.34</v>
      </c>
      <c r="P13" s="313">
        <v>0</v>
      </c>
      <c r="Q13" s="314">
        <v>0</v>
      </c>
      <c r="R13" s="314">
        <v>0</v>
      </c>
      <c r="S13" s="348">
        <v>0</v>
      </c>
      <c r="T13" s="349">
        <v>0</v>
      </c>
      <c r="U13" s="341">
        <f t="shared" si="0"/>
        <v>2908.59</v>
      </c>
      <c r="V13" s="343">
        <f t="shared" si="0"/>
        <v>0</v>
      </c>
      <c r="W13" s="320">
        <v>0</v>
      </c>
      <c r="X13" s="321">
        <v>855.77</v>
      </c>
      <c r="Y13" s="320">
        <v>0</v>
      </c>
      <c r="Z13" s="320">
        <v>0</v>
      </c>
      <c r="AA13" s="320">
        <v>461.88</v>
      </c>
      <c r="AB13" s="321">
        <v>160.26</v>
      </c>
      <c r="AC13" s="320">
        <v>0</v>
      </c>
      <c r="AD13" s="321">
        <v>0</v>
      </c>
      <c r="AE13" s="321">
        <v>0</v>
      </c>
      <c r="AF13" s="322">
        <f>SUM(W13:AD13)</f>
        <v>1477.91</v>
      </c>
      <c r="AG13" s="350">
        <f>AF13+V13+D13</f>
        <v>1568.1782</v>
      </c>
      <c r="AH13" s="351">
        <f t="shared" si="1"/>
        <v>0</v>
      </c>
      <c r="AI13" s="351">
        <f t="shared" si="1"/>
        <v>0</v>
      </c>
      <c r="AJ13" s="352"/>
      <c r="AK13" s="326">
        <f t="shared" si="2"/>
        <v>236.443</v>
      </c>
      <c r="AL13" s="326">
        <f t="shared" si="3"/>
        <v>70.58</v>
      </c>
      <c r="AM13" s="326">
        <f t="shared" si="4"/>
        <v>352.9</v>
      </c>
      <c r="AN13" s="326">
        <f t="shared" si="5"/>
        <v>74.109</v>
      </c>
      <c r="AO13" s="326">
        <v>0</v>
      </c>
      <c r="AP13" s="326">
        <f t="shared" si="6"/>
        <v>363.48699999999997</v>
      </c>
      <c r="AQ13" s="326">
        <f t="shared" si="7"/>
        <v>264.67499999999995</v>
      </c>
      <c r="AR13" s="326">
        <f t="shared" si="8"/>
        <v>264.67499999999995</v>
      </c>
      <c r="AS13" s="126"/>
      <c r="AT13" s="353"/>
      <c r="AU13" s="354"/>
      <c r="AV13" s="354"/>
      <c r="AW13" s="354"/>
      <c r="AX13" s="354">
        <f>440+210+228+103.2</f>
        <v>981.2</v>
      </c>
      <c r="AY13" s="354"/>
      <c r="AZ13" s="98"/>
      <c r="BA13" s="353"/>
      <c r="BB13" s="353"/>
      <c r="BC13" s="313">
        <f>SUM(AK13:BB13)</f>
        <v>2608.069</v>
      </c>
      <c r="BD13" s="355"/>
      <c r="BE13" s="330">
        <f t="shared" si="10"/>
        <v>2608.069</v>
      </c>
      <c r="BF13" s="330">
        <f>AG13-BE13</f>
        <v>-1039.8908</v>
      </c>
      <c r="BG13" s="330">
        <f t="shared" si="9"/>
        <v>-1430.68</v>
      </c>
      <c r="BH13" s="331"/>
      <c r="BI13" s="332"/>
      <c r="BJ13" s="332"/>
      <c r="BK13" s="332"/>
      <c r="BL13" s="332"/>
      <c r="BM13" s="332"/>
      <c r="BN13" s="332"/>
      <c r="BO13" s="333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4"/>
      <c r="CD13" s="334"/>
      <c r="CE13" s="335"/>
      <c r="CF13" s="330"/>
      <c r="CG13" s="336"/>
      <c r="CH13" s="330"/>
      <c r="CI13" s="330"/>
      <c r="CJ13" s="330"/>
      <c r="CK13" s="330"/>
      <c r="CL13" s="330"/>
      <c r="CM13" s="330"/>
      <c r="CN13" s="330"/>
      <c r="CO13" s="336"/>
      <c r="CP13" s="330"/>
      <c r="CQ13" s="330"/>
      <c r="CR13" s="330"/>
      <c r="CS13" s="330"/>
      <c r="CT13" s="330"/>
      <c r="CU13" s="330"/>
      <c r="CV13" s="330"/>
      <c r="CW13" s="330"/>
      <c r="CX13" s="330"/>
      <c r="CY13" s="330"/>
      <c r="CZ13" s="330"/>
      <c r="DA13" s="330"/>
      <c r="DB13" s="330"/>
      <c r="DC13" s="330"/>
      <c r="DD13" s="330"/>
      <c r="DE13" s="330"/>
      <c r="DF13" s="330"/>
      <c r="DG13" s="330"/>
      <c r="DH13" s="330"/>
      <c r="DI13" s="330"/>
      <c r="DJ13" s="330"/>
      <c r="DK13" s="336"/>
      <c r="DL13" s="336"/>
      <c r="DM13" s="336"/>
      <c r="DN13" s="336"/>
      <c r="DO13" s="336"/>
      <c r="DP13" s="336"/>
      <c r="DQ13" s="330"/>
      <c r="DR13" s="330"/>
      <c r="DS13" s="330"/>
      <c r="DT13" s="330"/>
      <c r="DU13" s="330"/>
      <c r="DV13" s="331"/>
      <c r="DW13" s="331"/>
      <c r="DX13" s="329"/>
      <c r="DY13" s="307"/>
      <c r="DZ13" s="307"/>
      <c r="EA13" s="307"/>
      <c r="EB13" s="310"/>
      <c r="EC13" s="338"/>
      <c r="ED13" s="342"/>
    </row>
    <row r="14" spans="1:133" ht="12.75">
      <c r="A14" s="311" t="s">
        <v>48</v>
      </c>
      <c r="B14" s="356">
        <v>352.9</v>
      </c>
      <c r="C14" s="108">
        <f>(B14*0.87)+((B14*5.17*0.9)+(B14*2.51))</f>
        <v>2834.8457</v>
      </c>
      <c r="D14" s="346">
        <v>90.2682</v>
      </c>
      <c r="E14" s="347">
        <v>0</v>
      </c>
      <c r="F14" s="314">
        <v>0</v>
      </c>
      <c r="G14" s="313">
        <v>1684.2</v>
      </c>
      <c r="H14" s="313">
        <v>0</v>
      </c>
      <c r="I14" s="313">
        <v>0</v>
      </c>
      <c r="J14" s="313">
        <v>0</v>
      </c>
      <c r="K14" s="313">
        <v>0</v>
      </c>
      <c r="L14" s="313">
        <v>0</v>
      </c>
      <c r="M14" s="313">
        <v>909.05</v>
      </c>
      <c r="N14" s="313">
        <v>0</v>
      </c>
      <c r="O14" s="313">
        <v>315.34</v>
      </c>
      <c r="P14" s="313">
        <v>0</v>
      </c>
      <c r="Q14" s="314">
        <v>0</v>
      </c>
      <c r="R14" s="314">
        <v>0</v>
      </c>
      <c r="S14" s="313">
        <v>0</v>
      </c>
      <c r="T14" s="321">
        <v>0</v>
      </c>
      <c r="U14" s="357">
        <f t="shared" si="0"/>
        <v>2908.59</v>
      </c>
      <c r="V14" s="358">
        <f>F14+H14+J14+L14+N14++R14+T14</f>
        <v>0</v>
      </c>
      <c r="W14" s="320">
        <v>0</v>
      </c>
      <c r="X14" s="321">
        <v>855.75</v>
      </c>
      <c r="Y14" s="320">
        <v>0</v>
      </c>
      <c r="Z14" s="320">
        <v>0</v>
      </c>
      <c r="AA14" s="320">
        <v>461.88</v>
      </c>
      <c r="AB14" s="320">
        <v>160.26</v>
      </c>
      <c r="AC14" s="321">
        <v>0</v>
      </c>
      <c r="AD14" s="321">
        <v>0</v>
      </c>
      <c r="AE14" s="322">
        <v>0</v>
      </c>
      <c r="AF14" s="359">
        <f>SUM(W14:AE14)</f>
        <v>1477.89</v>
      </c>
      <c r="AG14" s="350">
        <f aca="true" t="shared" si="11" ref="AG14:AG21">D14+V14+AF14</f>
        <v>1568.1582</v>
      </c>
      <c r="AH14" s="351">
        <f t="shared" si="1"/>
        <v>0</v>
      </c>
      <c r="AI14" s="351">
        <f t="shared" si="1"/>
        <v>0</v>
      </c>
      <c r="AJ14" s="352"/>
      <c r="AK14" s="326">
        <f t="shared" si="2"/>
        <v>236.443</v>
      </c>
      <c r="AL14" s="326">
        <f t="shared" si="3"/>
        <v>70.58</v>
      </c>
      <c r="AM14" s="326">
        <f t="shared" si="4"/>
        <v>352.9</v>
      </c>
      <c r="AN14" s="326">
        <f t="shared" si="5"/>
        <v>74.109</v>
      </c>
      <c r="AO14" s="126">
        <v>0</v>
      </c>
      <c r="AP14" s="326">
        <f t="shared" si="6"/>
        <v>363.48699999999997</v>
      </c>
      <c r="AQ14" s="326">
        <f t="shared" si="7"/>
        <v>264.67499999999995</v>
      </c>
      <c r="AR14" s="326">
        <f t="shared" si="8"/>
        <v>264.67499999999995</v>
      </c>
      <c r="AS14" s="126"/>
      <c r="AT14" s="353"/>
      <c r="AU14" s="354"/>
      <c r="AV14" s="354"/>
      <c r="AW14" s="354"/>
      <c r="AX14" s="354"/>
      <c r="AY14" s="354"/>
      <c r="AZ14" s="98"/>
      <c r="BA14" s="353"/>
      <c r="BB14" s="353"/>
      <c r="BC14" s="313">
        <f>SUM(AK14:BB14)</f>
        <v>1626.869</v>
      </c>
      <c r="BD14" s="355"/>
      <c r="BE14" s="330">
        <f t="shared" si="10"/>
        <v>1626.869</v>
      </c>
      <c r="BF14" s="330">
        <f>AG14-BE14</f>
        <v>-58.710799999999836</v>
      </c>
      <c r="BG14" s="330">
        <f t="shared" si="9"/>
        <v>-1430.7</v>
      </c>
      <c r="BH14" s="331"/>
      <c r="BI14" s="332"/>
      <c r="BJ14" s="332"/>
      <c r="BK14" s="332"/>
      <c r="BL14" s="332"/>
      <c r="BM14" s="332"/>
      <c r="BN14" s="332"/>
      <c r="BO14" s="333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4"/>
      <c r="CD14" s="334"/>
      <c r="CE14" s="335"/>
      <c r="CF14" s="330"/>
      <c r="CG14" s="336"/>
      <c r="CH14" s="330"/>
      <c r="CI14" s="330"/>
      <c r="CJ14" s="330"/>
      <c r="CK14" s="330"/>
      <c r="CL14" s="330"/>
      <c r="CM14" s="330"/>
      <c r="CN14" s="330"/>
      <c r="CO14" s="336"/>
      <c r="CP14" s="330"/>
      <c r="CQ14" s="330"/>
      <c r="CR14" s="330"/>
      <c r="CS14" s="330"/>
      <c r="CT14" s="330"/>
      <c r="CU14" s="330"/>
      <c r="CV14" s="330"/>
      <c r="CW14" s="330"/>
      <c r="CX14" s="330"/>
      <c r="CY14" s="330"/>
      <c r="CZ14" s="330"/>
      <c r="DA14" s="330"/>
      <c r="DB14" s="330"/>
      <c r="DC14" s="330"/>
      <c r="DD14" s="330"/>
      <c r="DE14" s="330"/>
      <c r="DF14" s="330"/>
      <c r="DG14" s="330"/>
      <c r="DH14" s="330"/>
      <c r="DI14" s="330"/>
      <c r="DJ14" s="330"/>
      <c r="DK14" s="336"/>
      <c r="DL14" s="336"/>
      <c r="DM14" s="336"/>
      <c r="DN14" s="336"/>
      <c r="DO14" s="336"/>
      <c r="DP14" s="336"/>
      <c r="DQ14" s="330"/>
      <c r="DR14" s="330"/>
      <c r="DS14" s="330"/>
      <c r="DT14" s="330"/>
      <c r="DU14" s="330"/>
      <c r="DV14" s="331"/>
      <c r="DW14" s="331"/>
      <c r="DX14" s="329"/>
      <c r="DY14" s="307"/>
      <c r="DZ14" s="307"/>
      <c r="EA14" s="310"/>
      <c r="EB14" s="338"/>
      <c r="EC14" s="342"/>
    </row>
    <row r="15" spans="1:133" ht="13.5" thickBot="1">
      <c r="A15" s="311" t="s">
        <v>49</v>
      </c>
      <c r="B15" s="312">
        <v>352.9</v>
      </c>
      <c r="C15" s="108">
        <f>(B15*0.87)+((B15*5.17*0.9)+(B15*2.51))</f>
        <v>2834.8457</v>
      </c>
      <c r="D15" s="346">
        <v>90.2682</v>
      </c>
      <c r="E15" s="369">
        <v>0</v>
      </c>
      <c r="F15" s="369"/>
      <c r="G15" s="369">
        <v>1684.2</v>
      </c>
      <c r="H15" s="369"/>
      <c r="I15" s="430">
        <v>0</v>
      </c>
      <c r="J15" s="430"/>
      <c r="K15" s="430">
        <v>0</v>
      </c>
      <c r="L15" s="430"/>
      <c r="M15" s="430">
        <v>909.05</v>
      </c>
      <c r="N15" s="430"/>
      <c r="O15" s="430">
        <v>315.34</v>
      </c>
      <c r="P15" s="430"/>
      <c r="Q15" s="430">
        <v>0</v>
      </c>
      <c r="R15" s="431"/>
      <c r="S15" s="431">
        <v>0</v>
      </c>
      <c r="T15" s="430"/>
      <c r="U15" s="432">
        <f t="shared" si="0"/>
        <v>2908.59</v>
      </c>
      <c r="V15" s="433">
        <f t="shared" si="0"/>
        <v>0</v>
      </c>
      <c r="W15" s="365">
        <v>0</v>
      </c>
      <c r="X15" s="369">
        <v>1722.4</v>
      </c>
      <c r="Y15" s="369">
        <v>0</v>
      </c>
      <c r="Z15" s="369">
        <v>0</v>
      </c>
      <c r="AA15" s="369">
        <v>718.41</v>
      </c>
      <c r="AB15" s="369">
        <v>270.66</v>
      </c>
      <c r="AC15" s="369">
        <v>0</v>
      </c>
      <c r="AD15" s="369">
        <v>0</v>
      </c>
      <c r="AE15" s="434">
        <v>0</v>
      </c>
      <c r="AF15" s="370">
        <f aca="true" t="shared" si="12" ref="AF15:AF21">SUM(W15:AE15)</f>
        <v>2711.47</v>
      </c>
      <c r="AG15" s="350">
        <f t="shared" si="11"/>
        <v>2801.7382</v>
      </c>
      <c r="AH15" s="351">
        <f t="shared" si="1"/>
        <v>0</v>
      </c>
      <c r="AI15" s="351">
        <f t="shared" si="1"/>
        <v>0</v>
      </c>
      <c r="AJ15" s="352"/>
      <c r="AK15" s="326">
        <f t="shared" si="2"/>
        <v>236.443</v>
      </c>
      <c r="AL15" s="326">
        <f t="shared" si="3"/>
        <v>70.58</v>
      </c>
      <c r="AM15" s="326">
        <f t="shared" si="4"/>
        <v>352.9</v>
      </c>
      <c r="AN15" s="326">
        <f t="shared" si="5"/>
        <v>74.109</v>
      </c>
      <c r="AO15" s="371">
        <v>0</v>
      </c>
      <c r="AP15" s="326">
        <f t="shared" si="6"/>
        <v>363.48699999999997</v>
      </c>
      <c r="AQ15" s="326">
        <f t="shared" si="7"/>
        <v>264.67499999999995</v>
      </c>
      <c r="AR15" s="326">
        <f t="shared" si="8"/>
        <v>264.67499999999995</v>
      </c>
      <c r="AS15" s="326"/>
      <c r="AT15" s="353"/>
      <c r="AU15" s="354"/>
      <c r="AV15" s="354"/>
      <c r="AW15" s="354"/>
      <c r="AX15" s="354"/>
      <c r="AY15" s="354"/>
      <c r="AZ15" s="326"/>
      <c r="BA15" s="353"/>
      <c r="BB15" s="353"/>
      <c r="BC15" s="361">
        <f>SUM(AK15:BB15)</f>
        <v>1626.869</v>
      </c>
      <c r="BD15" s="355"/>
      <c r="BE15" s="330">
        <f t="shared" si="10"/>
        <v>1626.869</v>
      </c>
      <c r="BF15" s="330">
        <f>AG15-BE15</f>
        <v>1174.8691999999999</v>
      </c>
      <c r="BG15" s="330">
        <f t="shared" si="9"/>
        <v>-197.12000000000035</v>
      </c>
      <c r="BH15" s="331"/>
      <c r="BI15" s="332"/>
      <c r="BJ15" s="332"/>
      <c r="BK15" s="332"/>
      <c r="BL15" s="332"/>
      <c r="BM15" s="332"/>
      <c r="BN15" s="332"/>
      <c r="BO15" s="333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4"/>
      <c r="CD15" s="334"/>
      <c r="CE15" s="335"/>
      <c r="CF15" s="330"/>
      <c r="CG15" s="336"/>
      <c r="CH15" s="330"/>
      <c r="CI15" s="330"/>
      <c r="CJ15" s="330"/>
      <c r="CK15" s="330"/>
      <c r="CL15" s="330"/>
      <c r="CM15" s="330"/>
      <c r="CN15" s="330"/>
      <c r="CO15" s="336"/>
      <c r="CP15" s="330"/>
      <c r="CQ15" s="330"/>
      <c r="CR15" s="330"/>
      <c r="CS15" s="330"/>
      <c r="CT15" s="330"/>
      <c r="CU15" s="330"/>
      <c r="CV15" s="330"/>
      <c r="CW15" s="330"/>
      <c r="CX15" s="330"/>
      <c r="CY15" s="330"/>
      <c r="CZ15" s="330"/>
      <c r="DA15" s="330"/>
      <c r="DB15" s="330"/>
      <c r="DC15" s="330"/>
      <c r="DD15" s="330"/>
      <c r="DE15" s="330"/>
      <c r="DF15" s="330"/>
      <c r="DG15" s="330"/>
      <c r="DH15" s="330"/>
      <c r="DI15" s="330"/>
      <c r="DJ15" s="330"/>
      <c r="DK15" s="336"/>
      <c r="DL15" s="336"/>
      <c r="DM15" s="336"/>
      <c r="DN15" s="336"/>
      <c r="DO15" s="336"/>
      <c r="DP15" s="336"/>
      <c r="DQ15" s="330"/>
      <c r="DR15" s="330"/>
      <c r="DS15" s="330"/>
      <c r="DT15" s="330"/>
      <c r="DU15" s="330"/>
      <c r="DV15" s="331"/>
      <c r="DW15" s="331"/>
      <c r="DX15" s="329"/>
      <c r="DY15" s="307"/>
      <c r="DZ15" s="307"/>
      <c r="EA15" s="310"/>
      <c r="EB15" s="362"/>
      <c r="EC15" s="342"/>
    </row>
    <row r="16" spans="1:130" ht="12.75">
      <c r="A16" s="311" t="s">
        <v>50</v>
      </c>
      <c r="B16" s="312">
        <v>352.9</v>
      </c>
      <c r="C16" s="108">
        <f>(B16*0.87)+((B16*5.17*0.9)+(B16*2.51))</f>
        <v>2834.8457</v>
      </c>
      <c r="D16" s="346">
        <v>90.2682</v>
      </c>
      <c r="E16" s="363"/>
      <c r="F16" s="363"/>
      <c r="G16" s="363">
        <v>1684.2</v>
      </c>
      <c r="H16" s="363"/>
      <c r="I16" s="363"/>
      <c r="J16" s="363"/>
      <c r="K16" s="363"/>
      <c r="L16" s="363"/>
      <c r="M16" s="363">
        <v>909.05</v>
      </c>
      <c r="N16" s="363"/>
      <c r="O16" s="363">
        <v>315.34</v>
      </c>
      <c r="P16" s="363"/>
      <c r="Q16" s="363"/>
      <c r="R16" s="363"/>
      <c r="S16" s="364"/>
      <c r="T16" s="365"/>
      <c r="U16" s="366">
        <f t="shared" si="0"/>
        <v>2908.59</v>
      </c>
      <c r="V16" s="367">
        <f t="shared" si="0"/>
        <v>0</v>
      </c>
      <c r="W16" s="368">
        <v>0</v>
      </c>
      <c r="X16" s="363">
        <v>855.91</v>
      </c>
      <c r="Y16" s="363">
        <v>0</v>
      </c>
      <c r="Z16" s="363">
        <v>0</v>
      </c>
      <c r="AA16" s="363">
        <v>461.96</v>
      </c>
      <c r="AB16" s="363">
        <v>160.29</v>
      </c>
      <c r="AC16" s="369"/>
      <c r="AD16" s="363"/>
      <c r="AE16" s="364"/>
      <c r="AF16" s="370">
        <f t="shared" si="12"/>
        <v>1478.1599999999999</v>
      </c>
      <c r="AG16" s="360">
        <f t="shared" si="11"/>
        <v>1568.4281999999998</v>
      </c>
      <c r="AH16" s="351">
        <f t="shared" si="1"/>
        <v>0</v>
      </c>
      <c r="AI16" s="351">
        <f t="shared" si="1"/>
        <v>0</v>
      </c>
      <c r="AJ16" s="352"/>
      <c r="AK16" s="326">
        <f t="shared" si="2"/>
        <v>236.443</v>
      </c>
      <c r="AL16" s="326">
        <f t="shared" si="3"/>
        <v>70.58</v>
      </c>
      <c r="AM16" s="326">
        <f t="shared" si="4"/>
        <v>352.9</v>
      </c>
      <c r="AN16" s="326">
        <f t="shared" si="5"/>
        <v>74.109</v>
      </c>
      <c r="AO16" s="371">
        <v>0</v>
      </c>
      <c r="AP16" s="326">
        <f t="shared" si="6"/>
        <v>363.48699999999997</v>
      </c>
      <c r="AQ16" s="326">
        <f t="shared" si="7"/>
        <v>264.67499999999995</v>
      </c>
      <c r="AR16" s="326">
        <f t="shared" si="8"/>
        <v>264.67499999999995</v>
      </c>
      <c r="AS16" s="126"/>
      <c r="AT16" s="353"/>
      <c r="AU16" s="354"/>
      <c r="AV16" s="354"/>
      <c r="AW16" s="354"/>
      <c r="AX16" s="354">
        <f>18.86</f>
        <v>18.86</v>
      </c>
      <c r="AY16" s="354"/>
      <c r="AZ16" s="98"/>
      <c r="BA16" s="353">
        <v>1819.06</v>
      </c>
      <c r="BB16" s="353"/>
      <c r="BC16" s="313">
        <f>SUM(AK16:BB16)</f>
        <v>3464.7889999999998</v>
      </c>
      <c r="BD16" s="355"/>
      <c r="BE16" s="330">
        <f t="shared" si="10"/>
        <v>3464.7889999999998</v>
      </c>
      <c r="BF16" s="330">
        <f>AG16-BE16</f>
        <v>-1896.3608</v>
      </c>
      <c r="BG16" s="330">
        <f t="shared" si="9"/>
        <v>-1430.4300000000003</v>
      </c>
      <c r="BH16" s="331"/>
      <c r="BI16" s="332"/>
      <c r="BJ16" s="332"/>
      <c r="BK16" s="332"/>
      <c r="BL16" s="332"/>
      <c r="BM16" s="332"/>
      <c r="BN16" s="332"/>
      <c r="BO16" s="333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  <c r="CA16" s="332"/>
      <c r="CB16" s="332"/>
      <c r="CC16" s="334"/>
      <c r="CD16" s="334"/>
      <c r="CE16" s="335"/>
      <c r="CF16" s="330"/>
      <c r="CG16" s="336"/>
      <c r="CH16" s="330"/>
      <c r="CI16" s="330"/>
      <c r="CJ16" s="330"/>
      <c r="CK16" s="330"/>
      <c r="CL16" s="330"/>
      <c r="CM16" s="330"/>
      <c r="CN16" s="330"/>
      <c r="CO16" s="336"/>
      <c r="CP16" s="330"/>
      <c r="CQ16" s="330"/>
      <c r="CR16" s="330"/>
      <c r="CS16" s="330"/>
      <c r="CT16" s="330"/>
      <c r="CU16" s="330"/>
      <c r="CV16" s="330"/>
      <c r="CW16" s="330"/>
      <c r="CX16" s="330"/>
      <c r="CY16" s="330"/>
      <c r="CZ16" s="330"/>
      <c r="DA16" s="330"/>
      <c r="DB16" s="330"/>
      <c r="DC16" s="330"/>
      <c r="DD16" s="330"/>
      <c r="DE16" s="330"/>
      <c r="DF16" s="330"/>
      <c r="DG16" s="330"/>
      <c r="DH16" s="330"/>
      <c r="DI16" s="330"/>
      <c r="DJ16" s="330"/>
      <c r="DK16" s="336"/>
      <c r="DL16" s="336"/>
      <c r="DM16" s="336"/>
      <c r="DN16" s="336"/>
      <c r="DO16" s="336"/>
      <c r="DP16" s="336"/>
      <c r="DQ16" s="330"/>
      <c r="DR16" s="330"/>
      <c r="DS16" s="330"/>
      <c r="DT16" s="330"/>
      <c r="DU16" s="330"/>
      <c r="DV16" s="331"/>
      <c r="DW16" s="331"/>
      <c r="DX16" s="329"/>
      <c r="DY16" s="307"/>
      <c r="DZ16" s="307"/>
    </row>
    <row r="17" spans="1:130" ht="12.75">
      <c r="A17" s="311" t="s">
        <v>51</v>
      </c>
      <c r="B17" s="312">
        <v>352.9</v>
      </c>
      <c r="C17" s="108">
        <f>(B17*0.87)+((B17*5.17*0.9)+(B17*2.51))</f>
        <v>2834.8457</v>
      </c>
      <c r="D17" s="346">
        <v>90.2682</v>
      </c>
      <c r="E17" s="435"/>
      <c r="F17" s="435"/>
      <c r="G17" s="435">
        <v>1684.2</v>
      </c>
      <c r="H17" s="435"/>
      <c r="I17" s="435"/>
      <c r="J17" s="435"/>
      <c r="K17" s="435"/>
      <c r="L17" s="435"/>
      <c r="M17" s="435">
        <v>909.05</v>
      </c>
      <c r="N17" s="435"/>
      <c r="O17" s="435">
        <v>315.34</v>
      </c>
      <c r="P17" s="435"/>
      <c r="Q17" s="435"/>
      <c r="R17" s="435"/>
      <c r="S17" s="436"/>
      <c r="T17" s="434"/>
      <c r="U17" s="437">
        <f t="shared" si="0"/>
        <v>2908.59</v>
      </c>
      <c r="V17" s="438">
        <f t="shared" si="0"/>
        <v>0</v>
      </c>
      <c r="W17" s="363">
        <v>0</v>
      </c>
      <c r="X17" s="363">
        <v>1584.77</v>
      </c>
      <c r="Y17" s="363">
        <v>0</v>
      </c>
      <c r="Z17" s="363">
        <v>0</v>
      </c>
      <c r="AA17" s="363">
        <v>713.41</v>
      </c>
      <c r="AB17" s="363">
        <v>261.91</v>
      </c>
      <c r="AC17" s="363"/>
      <c r="AD17" s="363"/>
      <c r="AE17" s="364"/>
      <c r="AF17" s="370">
        <f t="shared" si="12"/>
        <v>2560.0899999999997</v>
      </c>
      <c r="AG17" s="360">
        <f t="shared" si="11"/>
        <v>2650.3581999999997</v>
      </c>
      <c r="AH17" s="351">
        <f t="shared" si="1"/>
        <v>0</v>
      </c>
      <c r="AI17" s="351">
        <f t="shared" si="1"/>
        <v>0</v>
      </c>
      <c r="AJ17" s="352"/>
      <c r="AK17" s="326">
        <f t="shared" si="2"/>
        <v>236.443</v>
      </c>
      <c r="AL17" s="326">
        <f t="shared" si="3"/>
        <v>70.58</v>
      </c>
      <c r="AM17" s="326">
        <f t="shared" si="4"/>
        <v>352.9</v>
      </c>
      <c r="AN17" s="326">
        <f t="shared" si="5"/>
        <v>74.109</v>
      </c>
      <c r="AO17" s="371">
        <v>0</v>
      </c>
      <c r="AP17" s="326">
        <f t="shared" si="6"/>
        <v>363.48699999999997</v>
      </c>
      <c r="AQ17" s="326">
        <f t="shared" si="7"/>
        <v>264.67499999999995</v>
      </c>
      <c r="AR17" s="326">
        <f t="shared" si="8"/>
        <v>264.67499999999995</v>
      </c>
      <c r="AS17" s="126"/>
      <c r="AT17" s="353"/>
      <c r="AU17" s="354"/>
      <c r="AV17" s="354"/>
      <c r="AW17" s="354"/>
      <c r="AX17" s="354"/>
      <c r="AY17" s="354"/>
      <c r="AZ17" s="98"/>
      <c r="BA17" s="353"/>
      <c r="BB17" s="353"/>
      <c r="BC17" s="313">
        <f>SUM(AK17:BB17)</f>
        <v>1626.869</v>
      </c>
      <c r="BD17" s="355"/>
      <c r="BE17" s="330">
        <f t="shared" si="10"/>
        <v>1626.869</v>
      </c>
      <c r="BF17" s="330">
        <f>AG17-BE17</f>
        <v>1023.4891999999998</v>
      </c>
      <c r="BG17" s="330">
        <f t="shared" si="9"/>
        <v>-348.50000000000045</v>
      </c>
      <c r="BH17" s="331"/>
      <c r="BI17" s="332"/>
      <c r="BJ17" s="332"/>
      <c r="BK17" s="332"/>
      <c r="BL17" s="332"/>
      <c r="BM17" s="332"/>
      <c r="BN17" s="332"/>
      <c r="BO17" s="333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4"/>
      <c r="CD17" s="334"/>
      <c r="CE17" s="335"/>
      <c r="CF17" s="330"/>
      <c r="CG17" s="336"/>
      <c r="CH17" s="330"/>
      <c r="CI17" s="330"/>
      <c r="CJ17" s="330"/>
      <c r="CK17" s="330"/>
      <c r="CL17" s="330"/>
      <c r="CM17" s="330"/>
      <c r="CN17" s="330"/>
      <c r="CO17" s="336"/>
      <c r="CP17" s="330"/>
      <c r="CQ17" s="330"/>
      <c r="CR17" s="330"/>
      <c r="CS17" s="330"/>
      <c r="CT17" s="330"/>
      <c r="CU17" s="330"/>
      <c r="CV17" s="330"/>
      <c r="CW17" s="330"/>
      <c r="CX17" s="330"/>
      <c r="CY17" s="330"/>
      <c r="CZ17" s="330"/>
      <c r="DA17" s="330"/>
      <c r="DB17" s="330"/>
      <c r="DC17" s="330"/>
      <c r="DD17" s="330"/>
      <c r="DE17" s="330"/>
      <c r="DF17" s="330"/>
      <c r="DG17" s="330"/>
      <c r="DH17" s="330"/>
      <c r="DI17" s="330"/>
      <c r="DJ17" s="330"/>
      <c r="DK17" s="336"/>
      <c r="DL17" s="336"/>
      <c r="DM17" s="336"/>
      <c r="DN17" s="336"/>
      <c r="DO17" s="336"/>
      <c r="DP17" s="336"/>
      <c r="DQ17" s="330"/>
      <c r="DR17" s="330"/>
      <c r="DS17" s="330"/>
      <c r="DT17" s="330"/>
      <c r="DU17" s="330"/>
      <c r="DV17" s="331"/>
      <c r="DW17" s="331"/>
      <c r="DX17" s="329"/>
      <c r="DY17" s="307"/>
      <c r="DZ17" s="307"/>
    </row>
    <row r="18" spans="1:130" ht="12.75">
      <c r="A18" s="311" t="s">
        <v>52</v>
      </c>
      <c r="B18" s="312">
        <v>352.9</v>
      </c>
      <c r="C18" s="108">
        <f>(B18*0.87)+((B18*5.17*0.9)+(B18*2.51))</f>
        <v>2834.8457</v>
      </c>
      <c r="D18" s="346">
        <v>90.2682</v>
      </c>
      <c r="E18" s="363"/>
      <c r="F18" s="363"/>
      <c r="G18" s="363">
        <v>1871.86</v>
      </c>
      <c r="H18" s="363"/>
      <c r="I18" s="363"/>
      <c r="J18" s="363"/>
      <c r="K18" s="363"/>
      <c r="L18" s="363"/>
      <c r="M18" s="363">
        <v>909.05</v>
      </c>
      <c r="N18" s="363"/>
      <c r="O18" s="363">
        <v>315.34</v>
      </c>
      <c r="P18" s="363"/>
      <c r="Q18" s="363"/>
      <c r="R18" s="363"/>
      <c r="S18" s="364"/>
      <c r="T18" s="439"/>
      <c r="U18" s="439">
        <f t="shared" si="0"/>
        <v>3096.25</v>
      </c>
      <c r="V18" s="440">
        <f t="shared" si="0"/>
        <v>0</v>
      </c>
      <c r="W18" s="363">
        <v>0</v>
      </c>
      <c r="X18" s="363">
        <v>1561.44</v>
      </c>
      <c r="Y18" s="363">
        <v>0</v>
      </c>
      <c r="Z18" s="363">
        <v>0</v>
      </c>
      <c r="AA18" s="363">
        <v>738.42</v>
      </c>
      <c r="AB18" s="363">
        <v>266.79</v>
      </c>
      <c r="AC18" s="363"/>
      <c r="AD18" s="363"/>
      <c r="AE18" s="364"/>
      <c r="AF18" s="370">
        <f t="shared" si="12"/>
        <v>2566.65</v>
      </c>
      <c r="AG18" s="360">
        <f t="shared" si="11"/>
        <v>2656.9182</v>
      </c>
      <c r="AH18" s="351">
        <f t="shared" si="1"/>
        <v>0</v>
      </c>
      <c r="AI18" s="351">
        <f t="shared" si="1"/>
        <v>0</v>
      </c>
      <c r="AJ18" s="352"/>
      <c r="AK18" s="326">
        <f t="shared" si="2"/>
        <v>236.443</v>
      </c>
      <c r="AL18" s="326">
        <f t="shared" si="3"/>
        <v>70.58</v>
      </c>
      <c r="AM18" s="326">
        <f t="shared" si="4"/>
        <v>352.9</v>
      </c>
      <c r="AN18" s="326">
        <f t="shared" si="5"/>
        <v>74.109</v>
      </c>
      <c r="AO18" s="371">
        <v>0</v>
      </c>
      <c r="AP18" s="326">
        <f t="shared" si="6"/>
        <v>363.48699999999997</v>
      </c>
      <c r="AQ18" s="326">
        <f t="shared" si="7"/>
        <v>264.67499999999995</v>
      </c>
      <c r="AR18" s="326">
        <f t="shared" si="8"/>
        <v>264.67499999999995</v>
      </c>
      <c r="AS18" s="126"/>
      <c r="AT18" s="353"/>
      <c r="AU18" s="354"/>
      <c r="AV18" s="354"/>
      <c r="AW18" s="354"/>
      <c r="AX18" s="354"/>
      <c r="AY18" s="354"/>
      <c r="AZ18" s="98"/>
      <c r="BA18" s="353"/>
      <c r="BB18" s="353"/>
      <c r="BC18" s="313">
        <f>SUM(AK18:BB18)</f>
        <v>1626.869</v>
      </c>
      <c r="BD18" s="355"/>
      <c r="BE18" s="330">
        <f t="shared" si="10"/>
        <v>1626.869</v>
      </c>
      <c r="BF18" s="330">
        <f>AG18-BE18</f>
        <v>1030.0492000000002</v>
      </c>
      <c r="BG18" s="330">
        <f t="shared" si="9"/>
        <v>-529.5999999999999</v>
      </c>
      <c r="BH18" s="331"/>
      <c r="BI18" s="332"/>
      <c r="BJ18" s="332"/>
      <c r="BK18" s="332"/>
      <c r="BL18" s="332"/>
      <c r="BM18" s="332"/>
      <c r="BN18" s="332"/>
      <c r="BO18" s="333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4"/>
      <c r="CD18" s="334"/>
      <c r="CE18" s="335"/>
      <c r="CF18" s="330"/>
      <c r="CG18" s="336"/>
      <c r="CH18" s="330"/>
      <c r="CI18" s="330"/>
      <c r="CJ18" s="330"/>
      <c r="CK18" s="330"/>
      <c r="CL18" s="330"/>
      <c r="CM18" s="330"/>
      <c r="CN18" s="330"/>
      <c r="CO18" s="336"/>
      <c r="CP18" s="330"/>
      <c r="CQ18" s="330"/>
      <c r="CR18" s="330"/>
      <c r="CS18" s="330"/>
      <c r="CT18" s="330"/>
      <c r="CU18" s="330"/>
      <c r="CV18" s="330"/>
      <c r="CW18" s="330"/>
      <c r="CX18" s="330"/>
      <c r="CY18" s="330"/>
      <c r="CZ18" s="330"/>
      <c r="DA18" s="330"/>
      <c r="DB18" s="330"/>
      <c r="DC18" s="330"/>
      <c r="DD18" s="330"/>
      <c r="DE18" s="330"/>
      <c r="DF18" s="330"/>
      <c r="DG18" s="330"/>
      <c r="DH18" s="330"/>
      <c r="DI18" s="330"/>
      <c r="DJ18" s="330"/>
      <c r="DK18" s="336"/>
      <c r="DL18" s="336"/>
      <c r="DM18" s="336"/>
      <c r="DN18" s="336"/>
      <c r="DO18" s="336"/>
      <c r="DP18" s="336"/>
      <c r="DQ18" s="330"/>
      <c r="DR18" s="330"/>
      <c r="DS18" s="330"/>
      <c r="DT18" s="330"/>
      <c r="DU18" s="330"/>
      <c r="DV18" s="331"/>
      <c r="DW18" s="331"/>
      <c r="DX18" s="329"/>
      <c r="DY18" s="372"/>
      <c r="DZ18" s="62"/>
    </row>
    <row r="19" spans="1:128" ht="12.75">
      <c r="A19" s="311" t="s">
        <v>40</v>
      </c>
      <c r="B19" s="312">
        <v>352.9</v>
      </c>
      <c r="C19" s="108">
        <f>(B19*0.87)+((B19*5.17*0.9)+(B19*2.51))</f>
        <v>2834.8457</v>
      </c>
      <c r="D19" s="441">
        <v>90.2682</v>
      </c>
      <c r="E19" s="369"/>
      <c r="F19" s="369"/>
      <c r="G19" s="369">
        <v>1871.86</v>
      </c>
      <c r="H19" s="369"/>
      <c r="I19" s="369"/>
      <c r="J19" s="369"/>
      <c r="K19" s="369"/>
      <c r="L19" s="369"/>
      <c r="M19" s="369">
        <v>909.05</v>
      </c>
      <c r="N19" s="369"/>
      <c r="O19" s="369">
        <v>315.34</v>
      </c>
      <c r="P19" s="369"/>
      <c r="Q19" s="369"/>
      <c r="R19" s="369"/>
      <c r="S19" s="434"/>
      <c r="T19" s="442"/>
      <c r="U19" s="443">
        <f t="shared" si="0"/>
        <v>3096.25</v>
      </c>
      <c r="V19" s="444">
        <f t="shared" si="0"/>
        <v>0</v>
      </c>
      <c r="W19" s="369">
        <v>0</v>
      </c>
      <c r="X19" s="369">
        <v>951.11</v>
      </c>
      <c r="Y19" s="369">
        <v>0</v>
      </c>
      <c r="Z19" s="369">
        <v>0</v>
      </c>
      <c r="AA19" s="369">
        <v>461.93</v>
      </c>
      <c r="AB19" s="369">
        <v>160.28</v>
      </c>
      <c r="AC19" s="369"/>
      <c r="AD19" s="369"/>
      <c r="AE19" s="434"/>
      <c r="AF19" s="370">
        <f t="shared" si="12"/>
        <v>1573.32</v>
      </c>
      <c r="AG19" s="360">
        <f t="shared" si="11"/>
        <v>1663.5882</v>
      </c>
      <c r="AH19" s="351">
        <f t="shared" si="1"/>
        <v>0</v>
      </c>
      <c r="AI19" s="351">
        <f t="shared" si="1"/>
        <v>0</v>
      </c>
      <c r="AJ19" s="352"/>
      <c r="AK19" s="326">
        <f t="shared" si="2"/>
        <v>236.443</v>
      </c>
      <c r="AL19" s="326">
        <f t="shared" si="3"/>
        <v>70.58</v>
      </c>
      <c r="AM19" s="326">
        <f t="shared" si="4"/>
        <v>352.9</v>
      </c>
      <c r="AN19" s="326">
        <f t="shared" si="5"/>
        <v>74.109</v>
      </c>
      <c r="AO19" s="371">
        <v>0</v>
      </c>
      <c r="AP19" s="326">
        <f t="shared" si="6"/>
        <v>363.48699999999997</v>
      </c>
      <c r="AQ19" s="326">
        <f t="shared" si="7"/>
        <v>264.67499999999995</v>
      </c>
      <c r="AR19" s="326">
        <f t="shared" si="8"/>
        <v>264.67499999999995</v>
      </c>
      <c r="AS19" s="371">
        <v>0</v>
      </c>
      <c r="AT19" s="353"/>
      <c r="AU19" s="354"/>
      <c r="AV19" s="354"/>
      <c r="AW19" s="354"/>
      <c r="AX19" s="354"/>
      <c r="AY19" s="354"/>
      <c r="AZ19" s="98"/>
      <c r="BA19" s="353"/>
      <c r="BB19" s="353"/>
      <c r="BC19" s="313">
        <f>SUM(AK19:BB19)</f>
        <v>1626.869</v>
      </c>
      <c r="BD19" s="355"/>
      <c r="BE19" s="330">
        <f t="shared" si="10"/>
        <v>1626.869</v>
      </c>
      <c r="BF19" s="330">
        <f>AG19-BE19</f>
        <v>36.7192</v>
      </c>
      <c r="BG19" s="330">
        <f t="shared" si="9"/>
        <v>-1522.93</v>
      </c>
      <c r="BH19" s="331"/>
      <c r="BI19" s="332"/>
      <c r="BJ19" s="332"/>
      <c r="BK19" s="332"/>
      <c r="BL19" s="332"/>
      <c r="BM19" s="332"/>
      <c r="BN19" s="332"/>
      <c r="BO19" s="333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4"/>
      <c r="CD19" s="334"/>
      <c r="CE19" s="335"/>
      <c r="CF19" s="330"/>
      <c r="CG19" s="336"/>
      <c r="CH19" s="330"/>
      <c r="CI19" s="330"/>
      <c r="CJ19" s="330"/>
      <c r="CK19" s="330"/>
      <c r="CL19" s="330"/>
      <c r="CM19" s="330"/>
      <c r="CN19" s="330"/>
      <c r="CO19" s="336"/>
      <c r="CP19" s="330"/>
      <c r="CQ19" s="330"/>
      <c r="CR19" s="330"/>
      <c r="CS19" s="330"/>
      <c r="CT19" s="330"/>
      <c r="CU19" s="330"/>
      <c r="CV19" s="330"/>
      <c r="CW19" s="330"/>
      <c r="CX19" s="330"/>
      <c r="CY19" s="330"/>
      <c r="CZ19" s="330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6"/>
      <c r="DM19" s="336"/>
      <c r="DN19" s="336"/>
      <c r="DO19" s="336"/>
      <c r="DP19" s="336"/>
      <c r="DQ19" s="336"/>
      <c r="DR19" s="330"/>
      <c r="DS19" s="330"/>
      <c r="DT19" s="330"/>
      <c r="DU19" s="330"/>
      <c r="DV19" s="330"/>
      <c r="DW19" s="331"/>
      <c r="DX19" s="373"/>
    </row>
    <row r="20" spans="1:127" ht="12.75">
      <c r="A20" s="311" t="s">
        <v>41</v>
      </c>
      <c r="B20" s="312">
        <v>352.9</v>
      </c>
      <c r="C20" s="108">
        <f>(B20*0.87)+((B20*5.17)+(B20*2.51))</f>
        <v>3017.295</v>
      </c>
      <c r="D20" s="445">
        <v>90.2682</v>
      </c>
      <c r="E20" s="369"/>
      <c r="F20" s="369"/>
      <c r="G20" s="369">
        <v>1871.86</v>
      </c>
      <c r="H20" s="369"/>
      <c r="I20" s="369"/>
      <c r="J20" s="369"/>
      <c r="K20" s="369"/>
      <c r="L20" s="369"/>
      <c r="M20" s="369">
        <v>909.05</v>
      </c>
      <c r="N20" s="369"/>
      <c r="O20" s="369">
        <v>315.34</v>
      </c>
      <c r="P20" s="369"/>
      <c r="Q20" s="369"/>
      <c r="R20" s="369"/>
      <c r="S20" s="434"/>
      <c r="T20" s="442"/>
      <c r="U20" s="443">
        <f t="shared" si="0"/>
        <v>3096.25</v>
      </c>
      <c r="V20" s="444">
        <f t="shared" si="0"/>
        <v>0</v>
      </c>
      <c r="W20" s="369">
        <v>0</v>
      </c>
      <c r="X20" s="369">
        <v>981.59</v>
      </c>
      <c r="Y20" s="369">
        <v>0</v>
      </c>
      <c r="Z20" s="369">
        <v>0</v>
      </c>
      <c r="AA20" s="369">
        <v>476.76</v>
      </c>
      <c r="AB20" s="369">
        <v>165.43</v>
      </c>
      <c r="AC20" s="369"/>
      <c r="AD20" s="369"/>
      <c r="AE20" s="434"/>
      <c r="AF20" s="370">
        <f t="shared" si="12"/>
        <v>1623.78</v>
      </c>
      <c r="AG20" s="360">
        <f t="shared" si="11"/>
        <v>1714.0482</v>
      </c>
      <c r="AH20" s="351">
        <f t="shared" si="1"/>
        <v>0</v>
      </c>
      <c r="AI20" s="351">
        <f t="shared" si="1"/>
        <v>0</v>
      </c>
      <c r="AJ20" s="352"/>
      <c r="AK20" s="326">
        <f t="shared" si="2"/>
        <v>236.443</v>
      </c>
      <c r="AL20" s="326">
        <f t="shared" si="3"/>
        <v>70.58</v>
      </c>
      <c r="AM20" s="326">
        <f t="shared" si="4"/>
        <v>352.9</v>
      </c>
      <c r="AN20" s="326">
        <f t="shared" si="5"/>
        <v>74.109</v>
      </c>
      <c r="AO20" s="371">
        <v>0</v>
      </c>
      <c r="AP20" s="326">
        <f t="shared" si="6"/>
        <v>363.48699999999997</v>
      </c>
      <c r="AQ20" s="326">
        <f t="shared" si="7"/>
        <v>264.67499999999995</v>
      </c>
      <c r="AR20" s="326">
        <f t="shared" si="8"/>
        <v>264.67499999999995</v>
      </c>
      <c r="AS20" s="371">
        <v>0</v>
      </c>
      <c r="AT20" s="353"/>
      <c r="AU20" s="354"/>
      <c r="AV20" s="354"/>
      <c r="AW20" s="354"/>
      <c r="AX20" s="354"/>
      <c r="AY20" s="354"/>
      <c r="AZ20" s="98"/>
      <c r="BA20" s="353"/>
      <c r="BB20" s="353"/>
      <c r="BC20" s="313">
        <f>SUM(AK20:BB20)</f>
        <v>1626.869</v>
      </c>
      <c r="BD20" s="355"/>
      <c r="BE20" s="330">
        <f t="shared" si="10"/>
        <v>1626.869</v>
      </c>
      <c r="BF20" s="330">
        <f>AG20-BE20</f>
        <v>87.17920000000004</v>
      </c>
      <c r="BG20" s="330">
        <f t="shared" si="9"/>
        <v>-1472.47</v>
      </c>
      <c r="BH20" s="331"/>
      <c r="BI20" s="332"/>
      <c r="BJ20" s="332"/>
      <c r="BK20" s="332"/>
      <c r="BL20" s="332"/>
      <c r="BM20" s="332"/>
      <c r="BN20" s="332"/>
      <c r="BO20" s="333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4"/>
      <c r="CD20" s="334"/>
      <c r="CE20" s="335"/>
      <c r="CF20" s="330"/>
      <c r="CG20" s="336"/>
      <c r="CH20" s="330"/>
      <c r="CI20" s="330"/>
      <c r="CJ20" s="330"/>
      <c r="CK20" s="330"/>
      <c r="CL20" s="330"/>
      <c r="CM20" s="330"/>
      <c r="CN20" s="330"/>
      <c r="CO20" s="336"/>
      <c r="CP20" s="330"/>
      <c r="CQ20" s="330"/>
      <c r="CR20" s="330"/>
      <c r="CS20" s="330"/>
      <c r="CT20" s="330"/>
      <c r="CU20" s="330"/>
      <c r="CV20" s="330"/>
      <c r="CW20" s="330"/>
      <c r="CX20" s="330"/>
      <c r="CY20" s="330"/>
      <c r="CZ20" s="330"/>
      <c r="DA20" s="330"/>
      <c r="DB20" s="330"/>
      <c r="DC20" s="330"/>
      <c r="DD20" s="330"/>
      <c r="DE20" s="330"/>
      <c r="DF20" s="330"/>
      <c r="DG20" s="330"/>
      <c r="DH20" s="330"/>
      <c r="DI20" s="330"/>
      <c r="DJ20" s="330"/>
      <c r="DK20" s="336"/>
      <c r="DL20" s="336"/>
      <c r="DM20" s="336"/>
      <c r="DN20" s="336"/>
      <c r="DO20" s="336"/>
      <c r="DP20" s="336"/>
      <c r="DQ20" s="330"/>
      <c r="DR20" s="330"/>
      <c r="DS20" s="330"/>
      <c r="DT20" s="330"/>
      <c r="DU20" s="330"/>
      <c r="DV20" s="374"/>
      <c r="DW20" s="373"/>
    </row>
    <row r="21" spans="1:127" ht="13.5" thickBot="1">
      <c r="A21" s="311" t="s">
        <v>42</v>
      </c>
      <c r="B21" s="312">
        <v>352.9</v>
      </c>
      <c r="C21" s="108">
        <f>(B21*0.87)+((B21*5.17)+(B21*2.51))</f>
        <v>3017.295</v>
      </c>
      <c r="D21" s="446">
        <v>90.2682</v>
      </c>
      <c r="E21" s="447"/>
      <c r="F21" s="447"/>
      <c r="G21" s="447">
        <v>1871.86</v>
      </c>
      <c r="H21" s="447"/>
      <c r="I21" s="447"/>
      <c r="J21" s="447"/>
      <c r="K21" s="447"/>
      <c r="L21" s="447"/>
      <c r="M21" s="447">
        <v>909.05</v>
      </c>
      <c r="N21" s="447"/>
      <c r="O21" s="447">
        <v>315.34</v>
      </c>
      <c r="P21" s="447"/>
      <c r="Q21" s="447"/>
      <c r="R21" s="447"/>
      <c r="S21" s="448"/>
      <c r="T21" s="449"/>
      <c r="U21" s="443">
        <f t="shared" si="0"/>
        <v>3096.25</v>
      </c>
      <c r="V21" s="444">
        <f t="shared" si="0"/>
        <v>0</v>
      </c>
      <c r="W21" s="369">
        <v>0</v>
      </c>
      <c r="X21" s="369">
        <v>1689.86</v>
      </c>
      <c r="Y21" s="369">
        <v>0</v>
      </c>
      <c r="Z21" s="369">
        <v>0</v>
      </c>
      <c r="AA21" s="369">
        <v>820.73</v>
      </c>
      <c r="AB21" s="369">
        <v>284.76</v>
      </c>
      <c r="AC21" s="369"/>
      <c r="AD21" s="369"/>
      <c r="AE21" s="434"/>
      <c r="AF21" s="370">
        <f t="shared" si="12"/>
        <v>2795.3500000000004</v>
      </c>
      <c r="AG21" s="360">
        <f t="shared" si="11"/>
        <v>2885.6182000000003</v>
      </c>
      <c r="AH21" s="351">
        <f t="shared" si="1"/>
        <v>0</v>
      </c>
      <c r="AI21" s="351">
        <f t="shared" si="1"/>
        <v>0</v>
      </c>
      <c r="AJ21" s="352"/>
      <c r="AK21" s="326">
        <f t="shared" si="2"/>
        <v>236.443</v>
      </c>
      <c r="AL21" s="326">
        <f t="shared" si="3"/>
        <v>70.58</v>
      </c>
      <c r="AM21" s="326">
        <f>B21*1</f>
        <v>352.9</v>
      </c>
      <c r="AN21" s="326">
        <f>B21*0.21</f>
        <v>74.109</v>
      </c>
      <c r="AO21" s="371">
        <v>0</v>
      </c>
      <c r="AP21" s="326">
        <f>B21*1.03</f>
        <v>363.48699999999997</v>
      </c>
      <c r="AQ21" s="326">
        <f>B21*0.75</f>
        <v>264.67499999999995</v>
      </c>
      <c r="AR21" s="326">
        <f>B21*0.75</f>
        <v>264.67499999999995</v>
      </c>
      <c r="AS21" s="371">
        <v>0</v>
      </c>
      <c r="AT21" s="353"/>
      <c r="AU21" s="354"/>
      <c r="AV21" s="354"/>
      <c r="AW21" s="354"/>
      <c r="AX21" s="354"/>
      <c r="AY21" s="354"/>
      <c r="AZ21" s="98"/>
      <c r="BA21" s="353"/>
      <c r="BB21" s="353"/>
      <c r="BC21" s="313">
        <f>SUM(AK21:BB21)</f>
        <v>1626.869</v>
      </c>
      <c r="BD21" s="355"/>
      <c r="BE21" s="330">
        <f t="shared" si="10"/>
        <v>1626.869</v>
      </c>
      <c r="BF21" s="330">
        <f>AG21-BE21</f>
        <v>1258.7492000000004</v>
      </c>
      <c r="BG21" s="330">
        <f t="shared" si="9"/>
        <v>-300.89999999999964</v>
      </c>
      <c r="BH21" s="331"/>
      <c r="BI21" s="332"/>
      <c r="BJ21" s="332"/>
      <c r="BK21" s="332"/>
      <c r="BL21" s="332"/>
      <c r="BM21" s="332"/>
      <c r="BN21" s="332"/>
      <c r="BO21" s="333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4"/>
      <c r="CD21" s="334"/>
      <c r="CE21" s="335"/>
      <c r="CF21" s="330"/>
      <c r="CG21" s="336"/>
      <c r="CH21" s="330"/>
      <c r="CI21" s="330"/>
      <c r="CJ21" s="330"/>
      <c r="CK21" s="330"/>
      <c r="CL21" s="330"/>
      <c r="CM21" s="330"/>
      <c r="CN21" s="330"/>
      <c r="CO21" s="336"/>
      <c r="CP21" s="330"/>
      <c r="CQ21" s="330"/>
      <c r="CR21" s="330"/>
      <c r="CS21" s="330"/>
      <c r="CT21" s="330"/>
      <c r="CU21" s="330"/>
      <c r="CV21" s="330"/>
      <c r="CW21" s="330"/>
      <c r="CX21" s="330"/>
      <c r="CY21" s="330"/>
      <c r="CZ21" s="330"/>
      <c r="DA21" s="330"/>
      <c r="DB21" s="330"/>
      <c r="DC21" s="330"/>
      <c r="DD21" s="330"/>
      <c r="DE21" s="330"/>
      <c r="DF21" s="330"/>
      <c r="DG21" s="330"/>
      <c r="DH21" s="330"/>
      <c r="DI21" s="330"/>
      <c r="DJ21" s="330"/>
      <c r="DK21" s="336"/>
      <c r="DL21" s="336"/>
      <c r="DM21" s="336"/>
      <c r="DN21" s="336"/>
      <c r="DO21" s="336"/>
      <c r="DP21" s="336"/>
      <c r="DQ21" s="330"/>
      <c r="DR21" s="330"/>
      <c r="DS21" s="330"/>
      <c r="DT21" s="330"/>
      <c r="DU21" s="330"/>
      <c r="DV21" s="374"/>
      <c r="DW21" s="373"/>
    </row>
    <row r="22" spans="1:82" s="18" customFormat="1" ht="13.5" thickBot="1">
      <c r="A22" s="375" t="s">
        <v>5</v>
      </c>
      <c r="B22" s="376"/>
      <c r="C22" s="376">
        <f aca="true" t="shared" si="13" ref="C22:AX22">SUM(C10:C21)</f>
        <v>34383.04699999999</v>
      </c>
      <c r="D22" s="376">
        <f t="shared" si="13"/>
        <v>1083.2184</v>
      </c>
      <c r="E22" s="376">
        <f t="shared" si="13"/>
        <v>0</v>
      </c>
      <c r="F22" s="376">
        <f t="shared" si="13"/>
        <v>0</v>
      </c>
      <c r="G22" s="376">
        <f t="shared" si="13"/>
        <v>20961.040000000005</v>
      </c>
      <c r="H22" s="376">
        <f t="shared" si="13"/>
        <v>0</v>
      </c>
      <c r="I22" s="376">
        <f t="shared" si="13"/>
        <v>0</v>
      </c>
      <c r="J22" s="376">
        <f t="shared" si="13"/>
        <v>0</v>
      </c>
      <c r="K22" s="376">
        <f t="shared" si="13"/>
        <v>0</v>
      </c>
      <c r="L22" s="376">
        <f t="shared" si="13"/>
        <v>0</v>
      </c>
      <c r="M22" s="376">
        <f t="shared" si="13"/>
        <v>10908.599999999999</v>
      </c>
      <c r="N22" s="376">
        <f t="shared" si="13"/>
        <v>0</v>
      </c>
      <c r="O22" s="376">
        <f t="shared" si="13"/>
        <v>3784.0800000000004</v>
      </c>
      <c r="P22" s="376">
        <f t="shared" si="13"/>
        <v>0</v>
      </c>
      <c r="Q22" s="376">
        <f t="shared" si="13"/>
        <v>0</v>
      </c>
      <c r="R22" s="376">
        <f t="shared" si="13"/>
        <v>0</v>
      </c>
      <c r="S22" s="376">
        <f t="shared" si="13"/>
        <v>0</v>
      </c>
      <c r="T22" s="376">
        <f t="shared" si="13"/>
        <v>0</v>
      </c>
      <c r="U22" s="376">
        <f t="shared" si="13"/>
        <v>35653.72</v>
      </c>
      <c r="V22" s="376">
        <f t="shared" si="13"/>
        <v>0</v>
      </c>
      <c r="W22" s="376">
        <f t="shared" si="13"/>
        <v>165.63</v>
      </c>
      <c r="X22" s="376">
        <f t="shared" si="13"/>
        <v>12770.040000000003</v>
      </c>
      <c r="Y22" s="376">
        <f t="shared" si="13"/>
        <v>62.13</v>
      </c>
      <c r="Z22" s="376">
        <f t="shared" si="13"/>
        <v>373.31</v>
      </c>
      <c r="AA22" s="376">
        <f t="shared" si="13"/>
        <v>6777.980000000001</v>
      </c>
      <c r="AB22" s="376">
        <f t="shared" si="13"/>
        <v>2343.6499999999996</v>
      </c>
      <c r="AC22" s="376">
        <f t="shared" si="13"/>
        <v>0</v>
      </c>
      <c r="AD22" s="376">
        <f t="shared" si="13"/>
        <v>0</v>
      </c>
      <c r="AE22" s="376">
        <f t="shared" si="13"/>
        <v>0</v>
      </c>
      <c r="AF22" s="376">
        <f t="shared" si="13"/>
        <v>22492.739999999998</v>
      </c>
      <c r="AG22" s="376">
        <f t="shared" si="13"/>
        <v>23575.9584</v>
      </c>
      <c r="AH22" s="376">
        <f t="shared" si="13"/>
        <v>0</v>
      </c>
      <c r="AI22" s="376">
        <f t="shared" si="13"/>
        <v>0</v>
      </c>
      <c r="AJ22" s="376">
        <f t="shared" si="13"/>
        <v>0</v>
      </c>
      <c r="AK22" s="376">
        <f t="shared" si="13"/>
        <v>2837.3160000000007</v>
      </c>
      <c r="AL22" s="376">
        <f t="shared" si="13"/>
        <v>846.9600000000002</v>
      </c>
      <c r="AM22" s="376">
        <f t="shared" si="13"/>
        <v>4234.8</v>
      </c>
      <c r="AN22" s="376">
        <f t="shared" si="13"/>
        <v>889.3080000000001</v>
      </c>
      <c r="AO22" s="376">
        <f t="shared" si="13"/>
        <v>0</v>
      </c>
      <c r="AP22" s="376">
        <f t="shared" si="13"/>
        <v>4361.844</v>
      </c>
      <c r="AQ22" s="376">
        <f t="shared" si="13"/>
        <v>3176.1000000000004</v>
      </c>
      <c r="AR22" s="376">
        <f t="shared" si="13"/>
        <v>3176.1000000000004</v>
      </c>
      <c r="AS22" s="376">
        <f t="shared" si="13"/>
        <v>0</v>
      </c>
      <c r="AT22" s="376">
        <f t="shared" si="13"/>
        <v>0</v>
      </c>
      <c r="AU22" s="376">
        <f t="shared" si="13"/>
        <v>0</v>
      </c>
      <c r="AV22" s="376">
        <f t="shared" si="13"/>
        <v>0</v>
      </c>
      <c r="AW22" s="376">
        <f t="shared" si="13"/>
        <v>0</v>
      </c>
      <c r="AX22" s="376">
        <f t="shared" si="13"/>
        <v>1000.0600000000001</v>
      </c>
      <c r="AY22" s="376">
        <f>SUM(BC10:BC21)</f>
        <v>22341.548</v>
      </c>
      <c r="AZ22" s="376">
        <f>SUM(BA10:BA21)</f>
        <v>1819.06</v>
      </c>
      <c r="BA22" s="376">
        <f>SUM(BA10:BA21)</f>
        <v>1819.06</v>
      </c>
      <c r="BB22" s="376">
        <f>SUM(BB10:BB21)</f>
        <v>0</v>
      </c>
      <c r="BC22" s="376">
        <f>SUM(BC10:BC21)</f>
        <v>22341.548</v>
      </c>
      <c r="BD22" s="376">
        <f>SUM(BD10:BD21)</f>
        <v>0</v>
      </c>
      <c r="BE22" s="376">
        <f>SUM(BE10:BE21)</f>
        <v>22341.548</v>
      </c>
      <c r="BF22" s="376">
        <f>SUM(BF10:BF21)</f>
        <v>1234.410400000001</v>
      </c>
      <c r="BG22" s="376">
        <f>SUM(BG10:BG21)</f>
        <v>-13160.980000000001</v>
      </c>
      <c r="BH22" s="377"/>
      <c r="BI22" s="378"/>
      <c r="BJ22" s="378"/>
      <c r="BK22" s="378"/>
      <c r="BL22" s="378"/>
      <c r="BM22" s="378"/>
      <c r="BN22" s="378"/>
      <c r="BO22" s="378"/>
      <c r="BP22" s="378"/>
      <c r="BQ22" s="378"/>
      <c r="BR22" s="378"/>
      <c r="BS22" s="378"/>
      <c r="BT22" s="378"/>
      <c r="BU22" s="378"/>
      <c r="BV22" s="378"/>
      <c r="BW22" s="378"/>
      <c r="BX22" s="378"/>
      <c r="BY22" s="378"/>
      <c r="BZ22" s="378"/>
      <c r="CA22" s="378"/>
      <c r="CB22" s="378"/>
      <c r="CC22" s="61"/>
      <c r="CD22" s="61"/>
    </row>
    <row r="23" spans="1:61" s="18" customFormat="1" ht="13.5" thickBot="1">
      <c r="A23" s="379"/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1"/>
      <c r="BF23" s="380"/>
      <c r="BG23" s="382"/>
      <c r="BI23" s="61"/>
    </row>
    <row r="24" spans="1:59" s="18" customFormat="1" ht="13.5" thickBot="1">
      <c r="A24" s="20" t="s">
        <v>53</v>
      </c>
      <c r="B24" s="380"/>
      <c r="C24" s="383">
        <f aca="true" t="shared" si="14" ref="C24:L24">C22+C8</f>
        <v>107645.08699999998</v>
      </c>
      <c r="D24" s="383">
        <f t="shared" si="14"/>
        <v>13926.7109</v>
      </c>
      <c r="E24" s="383">
        <f t="shared" si="14"/>
        <v>6911.03</v>
      </c>
      <c r="F24" s="383">
        <f t="shared" si="14"/>
        <v>719.3799999999999</v>
      </c>
      <c r="G24" s="383">
        <f t="shared" si="14"/>
        <v>20961.040000000005</v>
      </c>
      <c r="H24" s="383">
        <f t="shared" si="14"/>
        <v>0</v>
      </c>
      <c r="I24" s="383">
        <f t="shared" si="14"/>
        <v>2586.46</v>
      </c>
      <c r="J24" s="383">
        <f t="shared" si="14"/>
        <v>270.3</v>
      </c>
      <c r="K24" s="383">
        <f t="shared" si="14"/>
        <v>15575.870000000003</v>
      </c>
      <c r="L24" s="383">
        <f t="shared" si="14"/>
        <v>1622.0700000000002</v>
      </c>
      <c r="M24" s="383" t="e">
        <f>#REF!</f>
        <v>#REF!</v>
      </c>
      <c r="N24" s="383">
        <f aca="true" t="shared" si="15" ref="N24:BG24">N22+N8</f>
        <v>2341.45</v>
      </c>
      <c r="O24" s="383">
        <f t="shared" si="15"/>
        <v>9312.97</v>
      </c>
      <c r="P24" s="383">
        <f t="shared" si="15"/>
        <v>575.5</v>
      </c>
      <c r="Q24" s="383">
        <f t="shared" si="15"/>
        <v>0</v>
      </c>
      <c r="R24" s="383">
        <f t="shared" si="15"/>
        <v>0</v>
      </c>
      <c r="S24" s="383">
        <f t="shared" si="15"/>
        <v>0</v>
      </c>
      <c r="T24" s="383">
        <f t="shared" si="15"/>
        <v>0</v>
      </c>
      <c r="U24" s="383">
        <f t="shared" si="15"/>
        <v>88742.84</v>
      </c>
      <c r="V24" s="383">
        <f t="shared" si="15"/>
        <v>5528.699999999999</v>
      </c>
      <c r="W24" s="383">
        <f t="shared" si="15"/>
        <v>8372.300000000001</v>
      </c>
      <c r="X24" s="383">
        <f t="shared" si="15"/>
        <v>12770.040000000003</v>
      </c>
      <c r="Y24" s="383">
        <f t="shared" si="15"/>
        <v>3131.6000000000004</v>
      </c>
      <c r="Z24" s="383">
        <f t="shared" si="15"/>
        <v>18869.219999999998</v>
      </c>
      <c r="AA24" s="383">
        <f t="shared" si="15"/>
        <v>33480.61</v>
      </c>
      <c r="AB24" s="383">
        <f t="shared" si="15"/>
        <v>8909.099999999999</v>
      </c>
      <c r="AC24" s="383">
        <f t="shared" si="15"/>
        <v>0</v>
      </c>
      <c r="AD24" s="383">
        <f t="shared" si="15"/>
        <v>0</v>
      </c>
      <c r="AE24" s="383">
        <f t="shared" si="15"/>
        <v>0</v>
      </c>
      <c r="AF24" s="383">
        <f t="shared" si="15"/>
        <v>85532.87</v>
      </c>
      <c r="AG24" s="383">
        <f t="shared" si="15"/>
        <v>104988.28090000001</v>
      </c>
      <c r="AH24" s="383">
        <f t="shared" si="15"/>
        <v>0</v>
      </c>
      <c r="AI24" s="383">
        <f t="shared" si="15"/>
        <v>0</v>
      </c>
      <c r="AJ24" s="383">
        <f t="shared" si="15"/>
        <v>0</v>
      </c>
      <c r="AK24" s="383">
        <f t="shared" si="15"/>
        <v>7834.379999999999</v>
      </c>
      <c r="AL24" s="383">
        <f t="shared" si="15"/>
        <v>2516.2347568000005</v>
      </c>
      <c r="AM24" s="383">
        <f t="shared" si="15"/>
        <v>12521.035084281</v>
      </c>
      <c r="AN24" s="383">
        <f t="shared" si="15"/>
        <v>889.3080000000001</v>
      </c>
      <c r="AO24" s="383">
        <f t="shared" si="15"/>
        <v>8088.6333950546</v>
      </c>
      <c r="AP24" s="383">
        <f t="shared" si="15"/>
        <v>22951.927194958196</v>
      </c>
      <c r="AQ24" s="383">
        <f t="shared" si="15"/>
        <v>3176.1000000000004</v>
      </c>
      <c r="AR24" s="383">
        <f t="shared" si="15"/>
        <v>3176.1000000000004</v>
      </c>
      <c r="AS24" s="383">
        <f t="shared" si="15"/>
        <v>0</v>
      </c>
      <c r="AT24" s="383">
        <f t="shared" si="15"/>
        <v>0</v>
      </c>
      <c r="AU24" s="383">
        <f t="shared" si="15"/>
        <v>769.7</v>
      </c>
      <c r="AV24" s="383">
        <f t="shared" si="15"/>
        <v>0</v>
      </c>
      <c r="AW24" s="384">
        <f t="shared" si="15"/>
        <v>547.8</v>
      </c>
      <c r="AX24" s="384">
        <f t="shared" si="15"/>
        <v>1000.0600000000001</v>
      </c>
      <c r="AY24" s="384">
        <f t="shared" si="15"/>
        <v>24137.8088</v>
      </c>
      <c r="AZ24" s="384">
        <f t="shared" si="15"/>
        <v>1819.06</v>
      </c>
      <c r="BA24" s="384">
        <f t="shared" si="15"/>
        <v>1819.06</v>
      </c>
      <c r="BB24" s="384">
        <f t="shared" si="15"/>
        <v>0</v>
      </c>
      <c r="BC24" s="384">
        <f t="shared" si="15"/>
        <v>67086.59923109379</v>
      </c>
      <c r="BD24" s="384">
        <f t="shared" si="15"/>
        <v>0</v>
      </c>
      <c r="BE24" s="384">
        <f t="shared" si="15"/>
        <v>67086.59923109379</v>
      </c>
      <c r="BF24" s="384">
        <f>BF22+BF8</f>
        <v>37901.6816689062</v>
      </c>
      <c r="BG24" s="384">
        <f t="shared" si="15"/>
        <v>-3209.9699999999993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0">
      <selection activeCell="A31" sqref="A31"/>
    </sheetView>
  </sheetViews>
  <sheetFormatPr defaultColWidth="9.00390625" defaultRowHeight="12.75"/>
  <cols>
    <col min="1" max="1" width="10.00390625" style="230" customWidth="1"/>
    <col min="2" max="2" width="10.625" style="230" customWidth="1"/>
    <col min="3" max="3" width="11.875" style="230" customWidth="1"/>
    <col min="4" max="4" width="9.25390625" style="230" customWidth="1"/>
    <col min="5" max="5" width="10.875" style="230" customWidth="1"/>
    <col min="6" max="6" width="11.75390625" style="230" customWidth="1"/>
    <col min="7" max="7" width="11.00390625" style="230" customWidth="1"/>
    <col min="8" max="8" width="11.25390625" style="230" customWidth="1"/>
    <col min="9" max="9" width="10.625" style="230" customWidth="1"/>
    <col min="10" max="10" width="9.25390625" style="230" customWidth="1"/>
    <col min="11" max="11" width="11.25390625" style="230" customWidth="1"/>
    <col min="12" max="12" width="9.625" style="230" customWidth="1"/>
    <col min="13" max="13" width="11.25390625" style="230" customWidth="1"/>
    <col min="14" max="14" width="11.625" style="230" customWidth="1"/>
    <col min="15" max="15" width="13.625" style="230" customWidth="1"/>
    <col min="16" max="16384" width="9.125" style="230" customWidth="1"/>
  </cols>
  <sheetData>
    <row r="1" spans="2:8" ht="20.25" customHeight="1">
      <c r="B1" s="191" t="s">
        <v>54</v>
      </c>
      <c r="C1" s="191"/>
      <c r="D1" s="191"/>
      <c r="E1" s="191"/>
      <c r="F1" s="191"/>
      <c r="G1" s="191"/>
      <c r="H1" s="191"/>
    </row>
    <row r="2" spans="2:11" ht="21" customHeight="1">
      <c r="B2" s="191" t="s">
        <v>55</v>
      </c>
      <c r="C2" s="191"/>
      <c r="D2" s="191"/>
      <c r="E2" s="191"/>
      <c r="F2" s="191"/>
      <c r="G2" s="191"/>
      <c r="H2" s="191"/>
      <c r="J2" s="229"/>
      <c r="K2" s="229"/>
    </row>
    <row r="5" spans="1:12" ht="12.75">
      <c r="A5" s="193" t="s">
        <v>120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ht="12.75">
      <c r="A6" s="194" t="s">
        <v>115</v>
      </c>
      <c r="B6" s="194"/>
      <c r="C6" s="194"/>
      <c r="D6" s="194"/>
      <c r="E6" s="194"/>
      <c r="F6" s="194"/>
      <c r="G6" s="194"/>
      <c r="H6" s="83"/>
      <c r="I6" s="83"/>
      <c r="J6" s="83"/>
      <c r="K6" s="83"/>
      <c r="L6" s="83"/>
    </row>
    <row r="7" spans="1:13" ht="13.5" thickBot="1">
      <c r="A7" s="385" t="s">
        <v>56</v>
      </c>
      <c r="B7" s="385"/>
      <c r="C7" s="385"/>
      <c r="D7" s="385"/>
      <c r="E7" s="386">
        <v>8.55</v>
      </c>
      <c r="F7" s="385"/>
      <c r="I7" s="387"/>
      <c r="J7" s="387"/>
      <c r="K7" s="387"/>
      <c r="L7" s="387"/>
      <c r="M7" s="387"/>
    </row>
    <row r="8" spans="1:15" ht="12.75" customHeight="1">
      <c r="A8" s="140" t="s">
        <v>57</v>
      </c>
      <c r="B8" s="220" t="s">
        <v>1</v>
      </c>
      <c r="C8" s="223" t="s">
        <v>116</v>
      </c>
      <c r="D8" s="226" t="s">
        <v>3</v>
      </c>
      <c r="E8" s="206" t="s">
        <v>59</v>
      </c>
      <c r="F8" s="207"/>
      <c r="G8" s="210" t="s">
        <v>60</v>
      </c>
      <c r="H8" s="211"/>
      <c r="I8" s="388" t="s">
        <v>10</v>
      </c>
      <c r="J8" s="389"/>
      <c r="K8" s="389"/>
      <c r="L8" s="389"/>
      <c r="M8" s="390"/>
      <c r="N8" s="391" t="s">
        <v>61</v>
      </c>
      <c r="O8" s="391" t="s">
        <v>12</v>
      </c>
    </row>
    <row r="9" spans="1:15" ht="12.75">
      <c r="A9" s="141"/>
      <c r="B9" s="221"/>
      <c r="C9" s="224"/>
      <c r="D9" s="227"/>
      <c r="E9" s="208"/>
      <c r="F9" s="209"/>
      <c r="G9" s="212"/>
      <c r="H9" s="213"/>
      <c r="I9" s="392"/>
      <c r="J9" s="393"/>
      <c r="K9" s="393"/>
      <c r="L9" s="393"/>
      <c r="M9" s="394"/>
      <c r="N9" s="395"/>
      <c r="O9" s="395"/>
    </row>
    <row r="10" spans="1:15" ht="26.25" customHeight="1">
      <c r="A10" s="141"/>
      <c r="B10" s="221"/>
      <c r="C10" s="224"/>
      <c r="D10" s="227"/>
      <c r="E10" s="198" t="s">
        <v>62</v>
      </c>
      <c r="F10" s="199"/>
      <c r="G10" s="70" t="s">
        <v>63</v>
      </c>
      <c r="H10" s="200" t="s">
        <v>7</v>
      </c>
      <c r="I10" s="202" t="s">
        <v>64</v>
      </c>
      <c r="J10" s="204" t="s">
        <v>117</v>
      </c>
      <c r="K10" s="204" t="s">
        <v>65</v>
      </c>
      <c r="L10" s="204" t="s">
        <v>37</v>
      </c>
      <c r="M10" s="201" t="s">
        <v>39</v>
      </c>
      <c r="N10" s="395"/>
      <c r="O10" s="395"/>
    </row>
    <row r="11" spans="1:15" ht="66.75" customHeight="1" thickBot="1">
      <c r="A11" s="219"/>
      <c r="B11" s="222"/>
      <c r="C11" s="225"/>
      <c r="D11" s="228"/>
      <c r="E11" s="54" t="s">
        <v>67</v>
      </c>
      <c r="F11" s="57" t="s">
        <v>21</v>
      </c>
      <c r="G11" s="67" t="s">
        <v>68</v>
      </c>
      <c r="H11" s="201"/>
      <c r="I11" s="203"/>
      <c r="J11" s="205"/>
      <c r="K11" s="205"/>
      <c r="L11" s="205"/>
      <c r="M11" s="396"/>
      <c r="N11" s="397"/>
      <c r="O11" s="397"/>
    </row>
    <row r="12" spans="1:15" ht="13.5" thickBot="1">
      <c r="A12" s="398">
        <v>1</v>
      </c>
      <c r="B12" s="399">
        <v>2</v>
      </c>
      <c r="C12" s="398">
        <v>3</v>
      </c>
      <c r="D12" s="399">
        <v>4</v>
      </c>
      <c r="E12" s="398">
        <v>5</v>
      </c>
      <c r="F12" s="399">
        <v>6</v>
      </c>
      <c r="G12" s="399">
        <v>7</v>
      </c>
      <c r="H12" s="398">
        <v>8</v>
      </c>
      <c r="I12" s="399">
        <v>9</v>
      </c>
      <c r="J12" s="399">
        <v>10</v>
      </c>
      <c r="K12" s="398">
        <v>11</v>
      </c>
      <c r="L12" s="399">
        <v>12</v>
      </c>
      <c r="M12" s="399">
        <v>13</v>
      </c>
      <c r="N12" s="398">
        <v>14</v>
      </c>
      <c r="O12" s="399">
        <v>15</v>
      </c>
    </row>
    <row r="13" spans="1:15" ht="13.5" thickBot="1">
      <c r="A13" s="55" t="s">
        <v>5</v>
      </c>
      <c r="B13" s="400"/>
      <c r="C13" s="400">
        <f>'2011 полн'!C8</f>
        <v>73262.04</v>
      </c>
      <c r="D13" s="400">
        <f>'2011 полн'!D8</f>
        <v>12843.4925</v>
      </c>
      <c r="E13" s="400">
        <f>'2011 полн'!U8</f>
        <v>53089.119999999995</v>
      </c>
      <c r="F13" s="400">
        <f>'2011 полн'!V8</f>
        <v>5528.699999999999</v>
      </c>
      <c r="G13" s="400">
        <f>'2011 полн'!AF8</f>
        <v>63040.13</v>
      </c>
      <c r="H13" s="400">
        <f>'2011 полн'!AG8</f>
        <v>81412.32250000001</v>
      </c>
      <c r="I13" s="400">
        <f>'2011 полн'!AK8</f>
        <v>4997.0639999999985</v>
      </c>
      <c r="J13" s="400">
        <f>'2011 полн'!AL8</f>
        <v>1669.2747568000004</v>
      </c>
      <c r="K13" s="400">
        <f>'2011 полн'!AM8+'2011 полн'!AO8+'2011 полн'!AP8+'2011 полн'!AX8+'2011 полн'!AY8+'2011 полн'!BA16</f>
        <v>38580.27247429379</v>
      </c>
      <c r="L13" s="400">
        <f>'2011 полн'!AU8+'2011 полн'!AV8+'2011 полн'!AW8</f>
        <v>1317.5</v>
      </c>
      <c r="M13" s="400">
        <f>SUM(I13:L13)</f>
        <v>46564.11123109379</v>
      </c>
      <c r="N13" s="400">
        <f>H13-M13</f>
        <v>34848.21126890622</v>
      </c>
      <c r="O13" s="400">
        <f>'2011 полн'!BG8</f>
        <v>9951.010000000002</v>
      </c>
    </row>
    <row r="14" spans="1:15" ht="13.5" thickBot="1">
      <c r="A14" s="401"/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</row>
    <row r="15" spans="1:17" ht="13.5" thickBot="1">
      <c r="A15" s="55" t="s">
        <v>114</v>
      </c>
      <c r="B15" s="402"/>
      <c r="C15" s="403"/>
      <c r="D15" s="403"/>
      <c r="E15" s="404"/>
      <c r="F15" s="404"/>
      <c r="G15" s="404"/>
      <c r="H15" s="404"/>
      <c r="I15" s="404"/>
      <c r="J15" s="404"/>
      <c r="K15" s="404"/>
      <c r="L15" s="405"/>
      <c r="M15" s="404"/>
      <c r="N15" s="404"/>
      <c r="O15" s="406"/>
      <c r="P15" s="229"/>
      <c r="Q15" s="229"/>
    </row>
    <row r="16" spans="1:17" ht="12.75">
      <c r="A16" s="407" t="s">
        <v>44</v>
      </c>
      <c r="B16" s="408">
        <f>'2011 полн'!B10</f>
        <v>352.9</v>
      </c>
      <c r="C16" s="408">
        <f>'2011 полн'!C10</f>
        <v>2834.8457</v>
      </c>
      <c r="D16" s="408">
        <f>'2011 полн'!D10</f>
        <v>90.2682</v>
      </c>
      <c r="E16" s="409">
        <f>'2011 полн'!U10</f>
        <v>2908.59</v>
      </c>
      <c r="F16" s="409">
        <f>'2011 полн'!V10</f>
        <v>0</v>
      </c>
      <c r="G16" s="410">
        <f>'2011 полн'!AF10</f>
        <v>1272.44</v>
      </c>
      <c r="H16" s="410">
        <f>'2011 полн'!AG10</f>
        <v>1362.7082</v>
      </c>
      <c r="I16" s="410">
        <f>'2011 полн'!AK10</f>
        <v>236.443</v>
      </c>
      <c r="J16" s="410">
        <f>'2011 полн'!AL10</f>
        <v>70.58</v>
      </c>
      <c r="K16" s="409">
        <f>'2011 полн'!AM10+'2011 полн'!AN10+'2011 полн'!AP10+'2011 полн'!AQ10+'2011 полн'!AR10+'2011 полн'!AX10</f>
        <v>1319.8459999999998</v>
      </c>
      <c r="L16" s="411">
        <f>'2011 полн'!AU10+'2011 полн'!AV10+'2011 полн'!AW10</f>
        <v>0</v>
      </c>
      <c r="M16" s="412">
        <f>SUM(I16:L16)</f>
        <v>1626.8689999999997</v>
      </c>
      <c r="N16" s="412">
        <f>'2011 печать'!H16-'2011 печать'!M16</f>
        <v>-264.16079999999965</v>
      </c>
      <c r="O16" s="412">
        <f>'2011 полн'!BG10</f>
        <v>-1636.15</v>
      </c>
      <c r="P16" s="229"/>
      <c r="Q16" s="229"/>
    </row>
    <row r="17" spans="1:17" ht="12.75">
      <c r="A17" s="311" t="s">
        <v>45</v>
      </c>
      <c r="B17" s="408">
        <f>'2011 полн'!B11</f>
        <v>352.9</v>
      </c>
      <c r="C17" s="408">
        <f>'2011 полн'!C11</f>
        <v>2834.8457</v>
      </c>
      <c r="D17" s="408">
        <f>'2011 полн'!D11</f>
        <v>90.2682</v>
      </c>
      <c r="E17" s="409">
        <f>'2011 полн'!U11</f>
        <v>2908.59</v>
      </c>
      <c r="F17" s="409">
        <f>'2011 полн'!V11</f>
        <v>0</v>
      </c>
      <c r="G17" s="410">
        <f>'2011 полн'!AF11</f>
        <v>1477.47</v>
      </c>
      <c r="H17" s="410">
        <f>'2011 полн'!AG11</f>
        <v>1567.7382</v>
      </c>
      <c r="I17" s="410">
        <f>'2011 полн'!AK11</f>
        <v>236.443</v>
      </c>
      <c r="J17" s="410">
        <f>'2011 полн'!AL11</f>
        <v>70.58</v>
      </c>
      <c r="K17" s="409">
        <f>'2011 полн'!AM11+'2011 полн'!AN11+'2011 полн'!AP11+'2011 полн'!AQ11+'2011 полн'!AR11+'2011 полн'!AX11</f>
        <v>1319.8459999999998</v>
      </c>
      <c r="L17" s="411">
        <f>'2011 полн'!AU11+'2011 полн'!AV11+'2011 полн'!AW11</f>
        <v>0</v>
      </c>
      <c r="M17" s="412">
        <f aca="true" t="shared" si="0" ref="M17:M27">SUM(I17:L17)</f>
        <v>1626.8689999999997</v>
      </c>
      <c r="N17" s="412">
        <f>'2011 печать'!H17-'2011 печать'!M17</f>
        <v>-59.13079999999968</v>
      </c>
      <c r="O17" s="412">
        <f>'2011 полн'!BG11</f>
        <v>-1431.1200000000001</v>
      </c>
      <c r="P17" s="229"/>
      <c r="Q17" s="229"/>
    </row>
    <row r="18" spans="1:17" ht="12.75">
      <c r="A18" s="311" t="s">
        <v>46</v>
      </c>
      <c r="B18" s="408">
        <f>'2011 полн'!B12</f>
        <v>352.9</v>
      </c>
      <c r="C18" s="408">
        <f>'2011 полн'!C12</f>
        <v>2834.8457</v>
      </c>
      <c r="D18" s="408">
        <f>'2011 полн'!D12</f>
        <v>90.2682</v>
      </c>
      <c r="E18" s="409">
        <f>'2011 полн'!U12</f>
        <v>2908.59</v>
      </c>
      <c r="F18" s="409">
        <f>'2011 полн'!V12</f>
        <v>0</v>
      </c>
      <c r="G18" s="410">
        <f>'2011 полн'!AF12</f>
        <v>1478.21</v>
      </c>
      <c r="H18" s="410">
        <f>'2011 полн'!AG12</f>
        <v>1568.4782</v>
      </c>
      <c r="I18" s="410">
        <f>'2011 полн'!AK12</f>
        <v>236.443</v>
      </c>
      <c r="J18" s="410">
        <f>'2011 полн'!AL12</f>
        <v>70.58</v>
      </c>
      <c r="K18" s="409">
        <f>'2011 полн'!AM12+'2011 полн'!AN12+'2011 полн'!AP12+'2011 полн'!AQ12+'2011 полн'!AR12+'2011 полн'!AX12</f>
        <v>1319.8459999999998</v>
      </c>
      <c r="L18" s="411">
        <f>'2011 полн'!AU12+'2011 полн'!AV12+'2011 полн'!AW12</f>
        <v>0</v>
      </c>
      <c r="M18" s="412">
        <f t="shared" si="0"/>
        <v>1626.8689999999997</v>
      </c>
      <c r="N18" s="412">
        <f>'2011 печать'!H18-'2011 печать'!M18</f>
        <v>-58.39079999999967</v>
      </c>
      <c r="O18" s="412">
        <f>'2011 полн'!BG12</f>
        <v>-1430.38</v>
      </c>
      <c r="P18" s="229"/>
      <c r="Q18" s="229"/>
    </row>
    <row r="19" spans="1:17" ht="12.75">
      <c r="A19" s="311" t="s">
        <v>47</v>
      </c>
      <c r="B19" s="408">
        <f>'2011 полн'!B13</f>
        <v>352.9</v>
      </c>
      <c r="C19" s="408">
        <f>'2011 полн'!C13</f>
        <v>2834.8457</v>
      </c>
      <c r="D19" s="408">
        <f>'2011 полн'!D13</f>
        <v>90.2682</v>
      </c>
      <c r="E19" s="409">
        <f>'2011 полн'!U13</f>
        <v>2908.59</v>
      </c>
      <c r="F19" s="409">
        <f>'2011 полн'!V13</f>
        <v>0</v>
      </c>
      <c r="G19" s="410">
        <f>'2011 полн'!AF13</f>
        <v>1477.91</v>
      </c>
      <c r="H19" s="410">
        <f>'2011 полн'!AG13</f>
        <v>1568.1782</v>
      </c>
      <c r="I19" s="410">
        <f>'2011 полн'!AK13</f>
        <v>236.443</v>
      </c>
      <c r="J19" s="410">
        <f>'2011 полн'!AL13</f>
        <v>70.58</v>
      </c>
      <c r="K19" s="409">
        <f>'2011 полн'!AM13+'2011 полн'!AN13+'2011 полн'!AP13+'2011 полн'!AQ13+'2011 полн'!AR13+'2011 полн'!AX13</f>
        <v>2301.046</v>
      </c>
      <c r="L19" s="411">
        <f>'2011 полн'!AU13+'2011 полн'!AV13+'2011 полн'!AW13</f>
        <v>0</v>
      </c>
      <c r="M19" s="412">
        <f t="shared" si="0"/>
        <v>2608.069</v>
      </c>
      <c r="N19" s="412">
        <f>'2011 печать'!H19-'2011 печать'!M19</f>
        <v>-1039.8908</v>
      </c>
      <c r="O19" s="412">
        <f>'2011 полн'!BG13</f>
        <v>-1430.68</v>
      </c>
      <c r="P19" s="229"/>
      <c r="Q19" s="229"/>
    </row>
    <row r="20" spans="1:17" ht="12.75">
      <c r="A20" s="311" t="s">
        <v>48</v>
      </c>
      <c r="B20" s="408">
        <f>'2011 полн'!B14</f>
        <v>352.9</v>
      </c>
      <c r="C20" s="408">
        <f>'2011 полн'!C14</f>
        <v>2834.8457</v>
      </c>
      <c r="D20" s="408">
        <f>'2011 полн'!D14</f>
        <v>90.2682</v>
      </c>
      <c r="E20" s="409">
        <f>'2011 полн'!U14</f>
        <v>2908.59</v>
      </c>
      <c r="F20" s="409">
        <f>'2011 полн'!V14</f>
        <v>0</v>
      </c>
      <c r="G20" s="410">
        <f>'2011 полн'!AF14</f>
        <v>1477.89</v>
      </c>
      <c r="H20" s="410">
        <f>'2011 полн'!AG14</f>
        <v>1568.1582</v>
      </c>
      <c r="I20" s="410">
        <f>'2011 полн'!AK14</f>
        <v>236.443</v>
      </c>
      <c r="J20" s="410">
        <f>'2011 полн'!AL14</f>
        <v>70.58</v>
      </c>
      <c r="K20" s="409">
        <f>'2011 полн'!AM14+'2011 полн'!AN14+'2011 полн'!AP14+'2011 полн'!AQ14+'2011 полн'!AR14+'2011 полн'!AX14</f>
        <v>1319.8459999999998</v>
      </c>
      <c r="L20" s="411">
        <f>'2011 полн'!AU14+'2011 полн'!AV14+'2011 полн'!AW14</f>
        <v>0</v>
      </c>
      <c r="M20" s="412">
        <f t="shared" si="0"/>
        <v>1626.8689999999997</v>
      </c>
      <c r="N20" s="412">
        <f>'2011 печать'!H20-'2011 печать'!M20</f>
        <v>-58.71079999999961</v>
      </c>
      <c r="O20" s="412">
        <f>'2011 полн'!BG14</f>
        <v>-1430.7</v>
      </c>
      <c r="P20" s="229"/>
      <c r="Q20" s="229"/>
    </row>
    <row r="21" spans="1:17" ht="12.75">
      <c r="A21" s="311" t="s">
        <v>49</v>
      </c>
      <c r="B21" s="408">
        <f>'2011 полн'!B15</f>
        <v>352.9</v>
      </c>
      <c r="C21" s="408">
        <f>'2011 полн'!C15</f>
        <v>2834.8457</v>
      </c>
      <c r="D21" s="408">
        <f>'2011 полн'!D15</f>
        <v>90.2682</v>
      </c>
      <c r="E21" s="409">
        <f>'2011 полн'!U15</f>
        <v>2908.59</v>
      </c>
      <c r="F21" s="409">
        <f>'2011 полн'!V15</f>
        <v>0</v>
      </c>
      <c r="G21" s="410">
        <f>'2011 полн'!AF15</f>
        <v>2711.47</v>
      </c>
      <c r="H21" s="410">
        <f>'2011 полн'!AG15</f>
        <v>2801.7382</v>
      </c>
      <c r="I21" s="410">
        <f>'2011 полн'!AK15</f>
        <v>236.443</v>
      </c>
      <c r="J21" s="410">
        <f>'2011 полн'!AL15</f>
        <v>70.58</v>
      </c>
      <c r="K21" s="409">
        <f>'2011 полн'!AM15+'2011 полн'!AN15+'2011 полн'!AP15+'2011 полн'!AQ15+'2011 полн'!AR15+'2011 полн'!AX15</f>
        <v>1319.8459999999998</v>
      </c>
      <c r="L21" s="411">
        <f>'2011 полн'!AU15+'2011 полн'!AV15+'2011 полн'!AW15</f>
        <v>0</v>
      </c>
      <c r="M21" s="412">
        <f t="shared" si="0"/>
        <v>1626.8689999999997</v>
      </c>
      <c r="N21" s="412">
        <f>'2011 печать'!H21-'2011 печать'!M21</f>
        <v>1174.8692</v>
      </c>
      <c r="O21" s="412">
        <f>'2011 полн'!BG15</f>
        <v>-197.12000000000035</v>
      </c>
      <c r="P21" s="229"/>
      <c r="Q21" s="229"/>
    </row>
    <row r="22" spans="1:15" ht="12.75">
      <c r="A22" s="311" t="s">
        <v>50</v>
      </c>
      <c r="B22" s="408">
        <f>'2011 полн'!B16</f>
        <v>352.9</v>
      </c>
      <c r="C22" s="408">
        <f>'2011 полн'!C16</f>
        <v>2834.8457</v>
      </c>
      <c r="D22" s="408">
        <f>'2011 полн'!D16</f>
        <v>90.2682</v>
      </c>
      <c r="E22" s="409">
        <f>'2011 полн'!U16</f>
        <v>2908.59</v>
      </c>
      <c r="F22" s="409">
        <f>'2011 полн'!V16</f>
        <v>0</v>
      </c>
      <c r="G22" s="410">
        <f>'2011 полн'!AF16</f>
        <v>1478.1599999999999</v>
      </c>
      <c r="H22" s="410">
        <f>'2011 полн'!AG16</f>
        <v>1568.4281999999998</v>
      </c>
      <c r="I22" s="410">
        <f>'2011 полн'!AK16</f>
        <v>236.443</v>
      </c>
      <c r="J22" s="410">
        <f>'2011 полн'!AL16</f>
        <v>70.58</v>
      </c>
      <c r="K22" s="409">
        <f>'2011 полн'!AM16+'2011 полн'!AN16+'2011 полн'!AP16+'2011 полн'!AQ16+'2011 полн'!AR16+'2011 полн'!AX16</f>
        <v>1338.7059999999997</v>
      </c>
      <c r="L22" s="411">
        <f>'2011 полн'!AU16+'2011 полн'!AV16+'2011 полн'!AW16</f>
        <v>0</v>
      </c>
      <c r="M22" s="412">
        <f t="shared" si="0"/>
        <v>1645.7289999999998</v>
      </c>
      <c r="N22" s="412">
        <f>'2011 печать'!H22-'2011 печать'!M22</f>
        <v>-77.30079999999998</v>
      </c>
      <c r="O22" s="412">
        <f>'2011 полн'!BG16</f>
        <v>-1430.4300000000003</v>
      </c>
    </row>
    <row r="23" spans="1:15" ht="12.75">
      <c r="A23" s="311" t="s">
        <v>51</v>
      </c>
      <c r="B23" s="408">
        <f>'2011 полн'!B17</f>
        <v>352.9</v>
      </c>
      <c r="C23" s="408">
        <f>'2011 полн'!C17</f>
        <v>2834.8457</v>
      </c>
      <c r="D23" s="408">
        <f>'2011 полн'!D17</f>
        <v>90.2682</v>
      </c>
      <c r="E23" s="409">
        <f>'2011 полн'!U17</f>
        <v>2908.59</v>
      </c>
      <c r="F23" s="409">
        <f>'2011 полн'!V17</f>
        <v>0</v>
      </c>
      <c r="G23" s="410">
        <f>'2011 полн'!AF17</f>
        <v>2560.0899999999997</v>
      </c>
      <c r="H23" s="410">
        <f>'2011 полн'!AG17</f>
        <v>2650.3581999999997</v>
      </c>
      <c r="I23" s="410">
        <f>'2011 полн'!AK17</f>
        <v>236.443</v>
      </c>
      <c r="J23" s="410">
        <f>'2011 полн'!AL17</f>
        <v>70.58</v>
      </c>
      <c r="K23" s="409">
        <f>'2011 полн'!AM17+'2011 полн'!AN17+'2011 полн'!AP17+'2011 полн'!AQ17+'2011 полн'!AR17+'2011 полн'!AX17</f>
        <v>1319.8459999999998</v>
      </c>
      <c r="L23" s="411">
        <f>'2011 полн'!AU17+'2011 полн'!AV17+'2011 полн'!AW17</f>
        <v>0</v>
      </c>
      <c r="M23" s="412">
        <f t="shared" si="0"/>
        <v>1626.8689999999997</v>
      </c>
      <c r="N23" s="412">
        <f>'2011 печать'!H23-'2011 печать'!M23</f>
        <v>1023.4892</v>
      </c>
      <c r="O23" s="412">
        <f>'2011 полн'!BG17</f>
        <v>-348.50000000000045</v>
      </c>
    </row>
    <row r="24" spans="1:15" ht="12.75">
      <c r="A24" s="311" t="s">
        <v>52</v>
      </c>
      <c r="B24" s="408">
        <f>'2011 полн'!B18</f>
        <v>352.9</v>
      </c>
      <c r="C24" s="408">
        <f>'2011 полн'!C18</f>
        <v>2834.8457</v>
      </c>
      <c r="D24" s="408">
        <f>'2011 полн'!D18</f>
        <v>90.2682</v>
      </c>
      <c r="E24" s="409">
        <f>'2011 полн'!U18</f>
        <v>3096.25</v>
      </c>
      <c r="F24" s="409">
        <f>'2011 полн'!V18</f>
        <v>0</v>
      </c>
      <c r="G24" s="410">
        <f>'2011 полн'!AF18</f>
        <v>2566.65</v>
      </c>
      <c r="H24" s="410">
        <f>'2011 полн'!AG18</f>
        <v>2656.9182</v>
      </c>
      <c r="I24" s="410">
        <f>'2011 полн'!AK18</f>
        <v>236.443</v>
      </c>
      <c r="J24" s="410">
        <f>'2011 полн'!AL18</f>
        <v>70.58</v>
      </c>
      <c r="K24" s="409">
        <f>'2011 полн'!AM18+'2011 полн'!AN18+'2011 полн'!AP18+'2011 полн'!AQ18+'2011 полн'!AR18+'2011 полн'!AX18</f>
        <v>1319.8459999999998</v>
      </c>
      <c r="L24" s="411">
        <f>'2011 полн'!AU18+'2011 полн'!AV18+'2011 полн'!AW18</f>
        <v>0</v>
      </c>
      <c r="M24" s="412">
        <f t="shared" si="0"/>
        <v>1626.8689999999997</v>
      </c>
      <c r="N24" s="412">
        <f>'2011 печать'!H24-'2011 печать'!M24</f>
        <v>1030.0492000000004</v>
      </c>
      <c r="O24" s="412">
        <f>'2011 полн'!BG18</f>
        <v>-529.5999999999999</v>
      </c>
    </row>
    <row r="25" spans="1:15" ht="12.75">
      <c r="A25" s="311" t="s">
        <v>40</v>
      </c>
      <c r="B25" s="408">
        <f>'2011 полн'!B19</f>
        <v>352.9</v>
      </c>
      <c r="C25" s="408">
        <f>'2011 полн'!C19</f>
        <v>2834.8457</v>
      </c>
      <c r="D25" s="408">
        <f>'2011 полн'!D19</f>
        <v>90.2682</v>
      </c>
      <c r="E25" s="409">
        <f>'2011 полн'!U19</f>
        <v>3096.25</v>
      </c>
      <c r="F25" s="409">
        <f>'2011 полн'!V19</f>
        <v>0</v>
      </c>
      <c r="G25" s="410">
        <f>'2011 полн'!AF19</f>
        <v>1573.32</v>
      </c>
      <c r="H25" s="410">
        <f>'2011 полн'!AG19</f>
        <v>1663.5882</v>
      </c>
      <c r="I25" s="410">
        <f>'2011 полн'!AK19</f>
        <v>236.443</v>
      </c>
      <c r="J25" s="410">
        <f>'2011 полн'!AL19</f>
        <v>70.58</v>
      </c>
      <c r="K25" s="409">
        <f>'2011 полн'!AM19+'2011 полн'!AN19+'2011 полн'!AP19+'2011 полн'!AQ19+'2011 полн'!AR19+'2011 полн'!AX19</f>
        <v>1319.8459999999998</v>
      </c>
      <c r="L25" s="411">
        <f>'2011 полн'!AU19+'2011 полн'!AV19+'2011 полн'!AW19</f>
        <v>0</v>
      </c>
      <c r="M25" s="412">
        <f t="shared" si="0"/>
        <v>1626.8689999999997</v>
      </c>
      <c r="N25" s="412">
        <f>'2011 печать'!H25-'2011 печать'!M25</f>
        <v>36.71920000000023</v>
      </c>
      <c r="O25" s="412">
        <f>'2011 полн'!BG19</f>
        <v>-1522.93</v>
      </c>
    </row>
    <row r="26" spans="1:15" ht="12.75">
      <c r="A26" s="311" t="s">
        <v>41</v>
      </c>
      <c r="B26" s="408">
        <f>'2011 полн'!B20</f>
        <v>352.9</v>
      </c>
      <c r="C26" s="408">
        <f>'2011 полн'!C20</f>
        <v>3017.295</v>
      </c>
      <c r="D26" s="408">
        <f>'2011 полн'!D20</f>
        <v>90.2682</v>
      </c>
      <c r="E26" s="409">
        <f>'2011 полн'!U20</f>
        <v>3096.25</v>
      </c>
      <c r="F26" s="409">
        <f>'2011 полн'!V20</f>
        <v>0</v>
      </c>
      <c r="G26" s="410">
        <f>'2011 полн'!AF20</f>
        <v>1623.78</v>
      </c>
      <c r="H26" s="410">
        <f>'2011 полн'!AG20</f>
        <v>1714.0482</v>
      </c>
      <c r="I26" s="410">
        <f>'2011 полн'!AK20</f>
        <v>236.443</v>
      </c>
      <c r="J26" s="410">
        <f>'2011 полн'!AL20</f>
        <v>70.58</v>
      </c>
      <c r="K26" s="409">
        <f>'2011 полн'!AM20+'2011 полн'!AN20+'2011 полн'!AP20+'2011 полн'!AQ20+'2011 полн'!AR20+'2011 полн'!AX20</f>
        <v>1319.8459999999998</v>
      </c>
      <c r="L26" s="411">
        <f>'2011 полн'!AU20+'2011 полн'!AV20+'2011 полн'!AW20</f>
        <v>0</v>
      </c>
      <c r="M26" s="412">
        <f t="shared" si="0"/>
        <v>1626.8689999999997</v>
      </c>
      <c r="N26" s="412">
        <f>'2011 печать'!H26-'2011 печать'!M26</f>
        <v>87.17920000000026</v>
      </c>
      <c r="O26" s="412">
        <f>'2011 полн'!BG20</f>
        <v>-1472.47</v>
      </c>
    </row>
    <row r="27" spans="1:15" ht="13.5" thickBot="1">
      <c r="A27" s="413" t="s">
        <v>42</v>
      </c>
      <c r="B27" s="408">
        <f>'2011 полн'!B21</f>
        <v>352.9</v>
      </c>
      <c r="C27" s="408">
        <f>'2011 полн'!C21</f>
        <v>3017.295</v>
      </c>
      <c r="D27" s="408">
        <f>'2011 полн'!D21</f>
        <v>90.2682</v>
      </c>
      <c r="E27" s="409">
        <f>'2011 полн'!U21</f>
        <v>3096.25</v>
      </c>
      <c r="F27" s="409">
        <f>'2011 полн'!V21</f>
        <v>0</v>
      </c>
      <c r="G27" s="410">
        <f>'2011 полн'!AF21</f>
        <v>2795.3500000000004</v>
      </c>
      <c r="H27" s="410">
        <f>'2011 полн'!AG21</f>
        <v>2885.6182000000003</v>
      </c>
      <c r="I27" s="410">
        <f>'2011 полн'!AK21</f>
        <v>236.443</v>
      </c>
      <c r="J27" s="410">
        <f>'2011 полн'!AL21</f>
        <v>70.58</v>
      </c>
      <c r="K27" s="409">
        <f>'2011 полн'!AM21+'2011 полн'!AN21+'2011 полн'!AP21+'2011 полн'!AQ21+'2011 полн'!AR21+'2011 полн'!AX21</f>
        <v>1319.8459999999998</v>
      </c>
      <c r="L27" s="411">
        <f>'2011 полн'!AU21+'2011 полн'!AV21+'2011 полн'!AW21</f>
        <v>0</v>
      </c>
      <c r="M27" s="412">
        <f t="shared" si="0"/>
        <v>1626.8689999999997</v>
      </c>
      <c r="N27" s="412">
        <f>'2011 печать'!H27-'2011 печать'!M27</f>
        <v>1258.7492000000007</v>
      </c>
      <c r="O27" s="412">
        <f>'2011 полн'!BG21</f>
        <v>-300.89999999999964</v>
      </c>
    </row>
    <row r="28" spans="1:15" ht="13.5" thickBot="1">
      <c r="A28" s="414" t="s">
        <v>5</v>
      </c>
      <c r="B28" s="415"/>
      <c r="C28" s="416">
        <f>SUM(C16:C27)</f>
        <v>34383.04699999999</v>
      </c>
      <c r="D28" s="416">
        <f aca="true" t="shared" si="1" ref="D28:O28">SUM(D16:D27)</f>
        <v>1083.2184</v>
      </c>
      <c r="E28" s="416">
        <f t="shared" si="1"/>
        <v>35653.72</v>
      </c>
      <c r="F28" s="416">
        <f t="shared" si="1"/>
        <v>0</v>
      </c>
      <c r="G28" s="416">
        <f t="shared" si="1"/>
        <v>22492.739999999998</v>
      </c>
      <c r="H28" s="416">
        <f t="shared" si="1"/>
        <v>23575.9584</v>
      </c>
      <c r="I28" s="416">
        <f t="shared" si="1"/>
        <v>2837.3160000000007</v>
      </c>
      <c r="J28" s="416">
        <f t="shared" si="1"/>
        <v>846.9600000000002</v>
      </c>
      <c r="K28" s="416">
        <f t="shared" si="1"/>
        <v>16838.211999999996</v>
      </c>
      <c r="L28" s="416">
        <f t="shared" si="1"/>
        <v>0</v>
      </c>
      <c r="M28" s="416">
        <f t="shared" si="1"/>
        <v>20522.48799999999</v>
      </c>
      <c r="N28" s="416">
        <f t="shared" si="1"/>
        <v>3053.470400000003</v>
      </c>
      <c r="O28" s="416">
        <f t="shared" si="1"/>
        <v>-13160.980000000001</v>
      </c>
    </row>
    <row r="29" spans="1:15" ht="13.5" thickBot="1">
      <c r="A29" s="417" t="s">
        <v>69</v>
      </c>
      <c r="B29" s="418"/>
      <c r="C29" s="418"/>
      <c r="D29" s="418"/>
      <c r="E29" s="419"/>
      <c r="F29" s="419"/>
      <c r="G29" s="420"/>
      <c r="H29" s="419"/>
      <c r="I29" s="420"/>
      <c r="J29" s="419"/>
      <c r="K29" s="419"/>
      <c r="L29" s="419"/>
      <c r="M29" s="421"/>
      <c r="N29" s="422"/>
      <c r="O29" s="423"/>
    </row>
    <row r="30" spans="1:17" s="18" customFormat="1" ht="13.5" thickBot="1">
      <c r="A30" s="424" t="s">
        <v>53</v>
      </c>
      <c r="B30" s="425"/>
      <c r="C30" s="426">
        <f aca="true" t="shared" si="2" ref="C30:N30">C28+C13</f>
        <v>107645.08699999998</v>
      </c>
      <c r="D30" s="426">
        <f t="shared" si="2"/>
        <v>13926.7109</v>
      </c>
      <c r="E30" s="426">
        <f t="shared" si="2"/>
        <v>88742.84</v>
      </c>
      <c r="F30" s="426">
        <f t="shared" si="2"/>
        <v>5528.699999999999</v>
      </c>
      <c r="G30" s="426">
        <f t="shared" si="2"/>
        <v>85532.87</v>
      </c>
      <c r="H30" s="426">
        <f t="shared" si="2"/>
        <v>104988.28090000001</v>
      </c>
      <c r="I30" s="426">
        <f t="shared" si="2"/>
        <v>7834.379999999999</v>
      </c>
      <c r="J30" s="426">
        <f t="shared" si="2"/>
        <v>2516.2347568000005</v>
      </c>
      <c r="K30" s="426">
        <f t="shared" si="2"/>
        <v>55418.484474293786</v>
      </c>
      <c r="L30" s="426">
        <f t="shared" si="2"/>
        <v>1317.5</v>
      </c>
      <c r="M30" s="426">
        <f t="shared" si="2"/>
        <v>67086.59923109377</v>
      </c>
      <c r="N30" s="426">
        <f t="shared" si="2"/>
        <v>37901.681668906225</v>
      </c>
      <c r="O30" s="426">
        <f>O28+O13</f>
        <v>-3209.9699999999993</v>
      </c>
      <c r="P30" s="62"/>
      <c r="Q30" s="61"/>
    </row>
    <row r="32" spans="1:16" ht="12.75">
      <c r="A32" s="18" t="s">
        <v>87</v>
      </c>
      <c r="D32" s="69" t="s">
        <v>118</v>
      </c>
      <c r="O32" s="229"/>
      <c r="P32" s="229"/>
    </row>
    <row r="33" spans="1:16" ht="12.75">
      <c r="A33" s="308" t="s">
        <v>70</v>
      </c>
      <c r="B33" s="308" t="s">
        <v>71</v>
      </c>
      <c r="C33" s="427" t="s">
        <v>72</v>
      </c>
      <c r="D33" s="427"/>
      <c r="O33" s="229"/>
      <c r="P33" s="229"/>
    </row>
    <row r="34" spans="1:16" ht="12.75">
      <c r="A34" s="110">
        <v>23454.43</v>
      </c>
      <c r="B34" s="110">
        <v>0</v>
      </c>
      <c r="C34" s="428">
        <f>A34-B34</f>
        <v>23454.43</v>
      </c>
      <c r="D34" s="429"/>
      <c r="O34" s="229"/>
      <c r="P34" s="229"/>
    </row>
    <row r="35" spans="1:16" ht="12.75">
      <c r="A35" s="41"/>
      <c r="O35" s="229"/>
      <c r="P35" s="229"/>
    </row>
    <row r="36" spans="1:16" ht="12.75">
      <c r="A36" s="230" t="s">
        <v>75</v>
      </c>
      <c r="G36" s="230" t="s">
        <v>76</v>
      </c>
      <c r="O36" s="229"/>
      <c r="P36" s="229"/>
    </row>
    <row r="37" ht="12.75">
      <c r="A37" s="229"/>
    </row>
    <row r="38" ht="12.75">
      <c r="A38" s="69" t="s">
        <v>119</v>
      </c>
    </row>
    <row r="39" ht="12.75">
      <c r="A39" s="230" t="s">
        <v>77</v>
      </c>
    </row>
  </sheetData>
  <sheetProtection/>
  <mergeCells count="25">
    <mergeCell ref="A29:D29"/>
    <mergeCell ref="C33:D33"/>
    <mergeCell ref="C34:D34"/>
    <mergeCell ref="I8:M9"/>
    <mergeCell ref="N8:N11"/>
    <mergeCell ref="O8:O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2010-07-02T04:14:53Z</cp:lastPrinted>
  <dcterms:created xsi:type="dcterms:W3CDTF">2010-04-02T05:03:24Z</dcterms:created>
  <dcterms:modified xsi:type="dcterms:W3CDTF">2012-05-28T08:34:13Z</dcterms:modified>
  <cp:category/>
  <cp:version/>
  <cp:contentType/>
  <cp:contentStatus/>
</cp:coreProperties>
</file>