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<sst xmlns="http://schemas.openxmlformats.org/spreadsheetml/2006/main" count="316" uniqueCount="122">
  <si>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</si>
  <si>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</si>
  <si>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</si>
  <si>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</si>
  <si>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</si>
  <si>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</si>
  <si>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</si>
  <si>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</si>
  <si>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</si>
  <si>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</si>
  <si>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</si>
  <si>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</si>
  <si>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</si>
  <si>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</si>
  <si>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</si>
  <si>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</si>
  <si>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</si>
  <si>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</si>
  <si>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</si>
  <si>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</si>
  <si>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</si>
  <si>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</si>
  <si>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</si>
  <si>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</si>
  <si>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</si>
  <si>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</si>
  <si>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</si>
  <si>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</si>
  <si>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</si>
  <si>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</si>
  <si>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</si>
  <si>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</si>
  <si>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</si>
  <si>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</si>
  <si>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</si>
  <si>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</si>
  <si>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</si>
  <si>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</si>
  <si>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</si>
  <si>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</si>
  <si>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</si>
  <si>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</si>
  <si>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</si>
  <si>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</si>
  <si>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</si>
  <si>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</si>
  <si>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</si>
  <si>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</si>
  <si>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</si>
  <si>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</si>
  <si>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</si>
  <si>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</si>
  <si>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</si>
  <si>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</si>
  <si>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</si>
  <si>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</si>
  <si>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</si>
  <si>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</si>
  <si>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</si>
  <si>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</si>
  <si>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</si>
  <si>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</si>
  <si>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</si>
  <si>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</si>
  <si>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</si>
  <si>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</si>
  <si>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</si>
  <si>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</si>
  <si>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</si>
  <si>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</si>
  <si>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</si>
  <si>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</si>
  <si>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</si>
  <si>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</si>
  <si>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</si>
  <si>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</si>
  <si>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</si>
  <si>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</si>
  <si>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</si>
  <si>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</si>
  <si>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</si>
  <si>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</si>
  <si>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</si>
  <si>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</si>
  <si>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2010 год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</si>
  <si>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</si>
  <si>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</si>
  <si>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</si>
  <si>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</si>
  <si>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</si>
  <si>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</si>
  <si>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</si>
  <si>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</si>
  <si>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</si>
  <si>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</si>
  <si>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</si>
  <si>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</si>
  <si>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</si>
  <si>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</si>
  <si>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</si>
  <si>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</si>
  <si>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</si>
  <si>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</si>
  <si>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</si>
  <si>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</si>
  <si>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</si>
  <si>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</si>
  <si>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</si>
  <si>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</si>
  <si>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Директор ООО "Таштагольская управляющая компания"</t>
  </si>
  <si>
    <t>_______________________________/ С.С. Малыгин</t>
  </si>
  <si>
    <t>тел. 3-48-80</t>
  </si>
  <si>
    <t>Исп. В.В. Колмогорова</t>
  </si>
  <si>
    <t>Капитальный ремонт</t>
  </si>
  <si>
    <t>Выписка по лицевому счету по адресу г. Таштагол ул. Юбилейная, д. 7</t>
  </si>
  <si>
    <t>Лицевой счет по адресу г. Таштагол, ул. Юбилейная, д.7</t>
  </si>
  <si>
    <t>*по состоянию на 01.01.2011 г.</t>
  </si>
  <si>
    <t>Исп. Ю.С. Дмитриева</t>
  </si>
  <si>
    <t>Лицевой счет по адресу г. Таштагол, ул. Юбилейная, д. 7</t>
  </si>
  <si>
    <t>на 31.12.2010 г.</t>
  </si>
  <si>
    <t>на 01.01.2012 г.</t>
  </si>
  <si>
    <t>*по состоянию на 01.01.2012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</si>
</sst>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name val="Arial Cyr"/>
      <family val="0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4" borderId="1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2" fontId="0" fillId="34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 wrapText="1"/>
    </xf>
    <xf numFmtId="4" fontId="0" fillId="0" borderId="47" xfId="0" applyNumberFormat="1" applyFont="1" applyFill="1" applyBorder="1" applyAlignment="1">
      <alignment/>
    </xf>
    <xf numFmtId="2" fontId="11" fillId="0" borderId="38" xfId="34" applyNumberFormat="1" applyFont="1" applyFill="1" applyBorder="1" applyAlignment="1">
      <alignment horizontal="center" vertical="center" wrapText="1"/>
      <protection/>
    </xf>
    <xf numFmtId="2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0" fillId="38" borderId="48" xfId="0" applyNumberFormat="1" applyFont="1" applyFill="1" applyBorder="1" applyAlignment="1">
      <alignment horizontal="center"/>
    </xf>
    <xf numFmtId="4" fontId="0" fillId="38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4" fontId="1" fillId="0" borderId="49" xfId="0" applyNumberFormat="1" applyFont="1" applyFill="1" applyBorder="1" applyAlignment="1">
      <alignment horizontal="right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right"/>
    </xf>
    <xf numFmtId="4" fontId="1" fillId="34" borderId="49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4" fontId="0" fillId="34" borderId="3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0" fillId="38" borderId="18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13" fillId="39" borderId="11" xfId="34" applyNumberFormat="1" applyFont="1" applyFill="1" applyBorder="1" applyAlignment="1">
      <alignment horizontal="center" vertical="center" wrapText="1"/>
      <protection/>
    </xf>
    <xf numFmtId="4" fontId="0" fillId="36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 wrapText="1"/>
    </xf>
    <xf numFmtId="4" fontId="14" fillId="0" borderId="29" xfId="34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wrapText="1"/>
    </xf>
    <xf numFmtId="0" fontId="14" fillId="35" borderId="36" xfId="0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4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4" fillId="0" borderId="18" xfId="0" applyFont="1" applyBorder="1" applyAlignment="1">
      <alignment wrapText="1"/>
    </xf>
    <xf numFmtId="0" fontId="14" fillId="0" borderId="51" xfId="0" applyFont="1" applyBorder="1" applyAlignment="1">
      <alignment wrapText="1"/>
    </xf>
    <xf numFmtId="0" fontId="14" fillId="35" borderId="15" xfId="0" applyFont="1" applyFill="1" applyBorder="1" applyAlignment="1">
      <alignment/>
    </xf>
    <xf numFmtId="4" fontId="0" fillId="0" borderId="52" xfId="0" applyNumberFormat="1" applyFont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4" fontId="0" fillId="38" borderId="0" xfId="0" applyNumberFormat="1" applyFont="1" applyFill="1" applyBorder="1" applyAlignment="1">
      <alignment/>
    </xf>
    <xf numFmtId="4" fontId="0" fillId="38" borderId="0" xfId="0" applyNumberFormat="1" applyFill="1" applyBorder="1" applyAlignment="1">
      <alignment/>
    </xf>
    <xf numFmtId="4" fontId="0" fillId="37" borderId="35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 horizontal="right" wrapText="1"/>
    </xf>
    <xf numFmtId="4" fontId="2" fillId="34" borderId="3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6" borderId="31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2" fontId="1" fillId="36" borderId="28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49" xfId="0" applyFont="1" applyFill="1" applyBorder="1" applyAlignment="1">
      <alignment horizontal="center" textRotation="90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2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32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textRotation="90"/>
    </xf>
    <xf numFmtId="0" fontId="1" fillId="35" borderId="28" xfId="0" applyFont="1" applyFill="1" applyBorder="1" applyAlignment="1">
      <alignment horizontal="center" textRotation="90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/>
    </xf>
    <xf numFmtId="0" fontId="1" fillId="0" borderId="28" xfId="0" applyFont="1" applyFill="1" applyBorder="1" applyAlignment="1">
      <alignment horizontal="center" textRotation="90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40" borderId="62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47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4%20&#1089;%202011%20&#1075;&#1086;&#1076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70;&#1073;&#1080;&#1083;&#1077;&#1081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9">
          <cell r="AZ19">
            <v>0</v>
          </cell>
        </row>
        <row r="21">
          <cell r="AZ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Лист3"/>
    </sheetNames>
    <sheetDataSet>
      <sheetData sheetId="0">
        <row r="9">
          <cell r="B9">
            <v>631.3</v>
          </cell>
          <cell r="D9">
            <v>1315.3842556</v>
          </cell>
          <cell r="S9">
            <v>4054.9599999999996</v>
          </cell>
          <cell r="T9">
            <v>457.40999999999997</v>
          </cell>
          <cell r="AB9">
            <v>0</v>
          </cell>
          <cell r="AC9">
            <v>1772.7942555999998</v>
          </cell>
          <cell r="AG9">
            <v>378.78</v>
          </cell>
          <cell r="AH9">
            <v>133.61590759999999</v>
          </cell>
          <cell r="AI9">
            <v>537.7413399999999</v>
          </cell>
          <cell r="AJ9">
            <v>96.79344119999999</v>
          </cell>
          <cell r="AK9">
            <v>625.7597112</v>
          </cell>
          <cell r="AL9">
            <v>112.63674801599998</v>
          </cell>
          <cell r="AM9">
            <v>1149.2317772999997</v>
          </cell>
          <cell r="AN9">
            <v>206.86171991399993</v>
          </cell>
          <cell r="AP9">
            <v>0</v>
          </cell>
          <cell r="AS9">
            <v>18320.72</v>
          </cell>
          <cell r="AU9">
            <v>3297.7296</v>
          </cell>
          <cell r="AX9">
            <v>0</v>
          </cell>
          <cell r="BB9">
            <v>24859.87024523</v>
          </cell>
          <cell r="BD9">
            <v>-23087.07598963</v>
          </cell>
          <cell r="BE9">
            <v>-4054.9599999999996</v>
          </cell>
        </row>
        <row r="10">
          <cell r="B10">
            <v>631.3</v>
          </cell>
          <cell r="D10">
            <v>1315.3842556</v>
          </cell>
          <cell r="S10">
            <v>4054.9599999999996</v>
          </cell>
          <cell r="T10">
            <v>457.40999999999997</v>
          </cell>
          <cell r="AB10">
            <v>2467.73</v>
          </cell>
          <cell r="AC10">
            <v>4240.524255599999</v>
          </cell>
          <cell r="AG10">
            <v>378.78</v>
          </cell>
          <cell r="AH10">
            <v>126.8913</v>
          </cell>
          <cell r="AI10">
            <v>537.7413399999999</v>
          </cell>
          <cell r="AJ10">
            <v>96.79344119999999</v>
          </cell>
          <cell r="AK10">
            <v>625.7597112</v>
          </cell>
          <cell r="AL10">
            <v>112.63674801599998</v>
          </cell>
          <cell r="AM10">
            <v>1149.2317772999997</v>
          </cell>
          <cell r="AN10">
            <v>206.86171991399993</v>
          </cell>
          <cell r="AP10">
            <v>0</v>
          </cell>
          <cell r="AS10">
            <v>460</v>
          </cell>
          <cell r="AU10">
            <v>82.8</v>
          </cell>
          <cell r="AX10">
            <v>0</v>
          </cell>
          <cell r="BB10">
            <v>3777.4960376299996</v>
          </cell>
          <cell r="BD10">
            <v>463.0282179699998</v>
          </cell>
          <cell r="BE10">
            <v>-1587.2299999999996</v>
          </cell>
        </row>
        <row r="11">
          <cell r="B11">
            <v>631.3</v>
          </cell>
          <cell r="D11">
            <v>1312.49006075</v>
          </cell>
          <cell r="S11">
            <v>4114.35</v>
          </cell>
          <cell r="T11">
            <v>457.40999999999997</v>
          </cell>
          <cell r="AB11">
            <v>1667.56</v>
          </cell>
          <cell r="AC11">
            <v>3437.46006075</v>
          </cell>
          <cell r="AG11">
            <v>378.78</v>
          </cell>
          <cell r="AH11">
            <v>129.4468024</v>
          </cell>
          <cell r="AI11">
            <v>536.175716</v>
          </cell>
          <cell r="AJ11">
            <v>96.51162887999999</v>
          </cell>
          <cell r="AK11">
            <v>623.94106216</v>
          </cell>
          <cell r="AL11">
            <v>112.30939118879999</v>
          </cell>
          <cell r="AM11">
            <v>1145.89175839</v>
          </cell>
          <cell r="AN11">
            <v>206.26051651019998</v>
          </cell>
          <cell r="AP11">
            <v>0</v>
          </cell>
          <cell r="AS11">
            <v>1309</v>
          </cell>
          <cell r="AU11">
            <v>235.62</v>
          </cell>
          <cell r="AX11">
            <v>0</v>
          </cell>
          <cell r="BB11">
            <v>4773.936875529</v>
          </cell>
          <cell r="BD11">
            <v>-1336.4768147789996</v>
          </cell>
          <cell r="BE11">
            <v>-2446.7900000000004</v>
          </cell>
        </row>
        <row r="14">
          <cell r="B14">
            <v>631.3</v>
          </cell>
          <cell r="D14">
            <v>682.593125</v>
          </cell>
          <cell r="S14">
            <v>4114.35</v>
          </cell>
          <cell r="T14">
            <v>457.40999999999997</v>
          </cell>
          <cell r="AB14">
            <v>2983.8900000000003</v>
          </cell>
          <cell r="AC14">
            <v>4123.8931250000005</v>
          </cell>
          <cell r="AG14">
            <v>340.902</v>
          </cell>
          <cell r="AH14">
            <v>112.49766</v>
          </cell>
          <cell r="AI14">
            <v>465.2165349999999</v>
          </cell>
          <cell r="AJ14">
            <v>83.73897629999998</v>
          </cell>
          <cell r="AK14">
            <v>455.12815939999996</v>
          </cell>
          <cell r="AL14">
            <v>81.92306869199999</v>
          </cell>
          <cell r="AM14">
            <v>1047.3431137999999</v>
          </cell>
          <cell r="AN14">
            <v>188.52176048399997</v>
          </cell>
          <cell r="AP14">
            <v>0</v>
          </cell>
          <cell r="AR14">
            <v>0</v>
          </cell>
          <cell r="AS14">
            <v>9050</v>
          </cell>
          <cell r="AU14">
            <v>1629.01</v>
          </cell>
          <cell r="AX14">
            <v>369.25504000000006</v>
          </cell>
          <cell r="BA14">
            <v>0</v>
          </cell>
          <cell r="BB14">
            <v>13454.281273676</v>
          </cell>
          <cell r="BD14">
            <v>-9330.388148676</v>
          </cell>
          <cell r="BE14">
            <v>-1130.46</v>
          </cell>
        </row>
        <row r="15">
          <cell r="B15">
            <v>631.3</v>
          </cell>
          <cell r="D15">
            <v>682.593125</v>
          </cell>
          <cell r="S15">
            <v>3702.2299999999996</v>
          </cell>
          <cell r="T15">
            <v>457.40999999999997</v>
          </cell>
          <cell r="AB15">
            <v>5175.77</v>
          </cell>
          <cell r="AC15">
            <v>6315.773125000001</v>
          </cell>
          <cell r="AG15">
            <v>340.902</v>
          </cell>
          <cell r="AH15">
            <v>115.565778</v>
          </cell>
          <cell r="AI15">
            <v>464.69992999999994</v>
          </cell>
          <cell r="AJ15">
            <v>83.64598739999998</v>
          </cell>
          <cell r="AK15">
            <v>455.07576149999994</v>
          </cell>
          <cell r="AL15">
            <v>81.91363707</v>
          </cell>
          <cell r="AM15">
            <v>1047.1019571999998</v>
          </cell>
          <cell r="AN15">
            <v>188.47835229599997</v>
          </cell>
          <cell r="AP15">
            <v>0</v>
          </cell>
          <cell r="AR15">
            <v>0</v>
          </cell>
          <cell r="AS15">
            <v>5800</v>
          </cell>
          <cell r="AU15">
            <v>1044</v>
          </cell>
          <cell r="AX15">
            <v>295.84016</v>
          </cell>
          <cell r="BA15">
            <v>0</v>
          </cell>
          <cell r="BB15">
            <v>9621.383403466</v>
          </cell>
          <cell r="BD15">
            <v>-3305.610278465999</v>
          </cell>
          <cell r="BE15">
            <v>1473.5400000000009</v>
          </cell>
        </row>
        <row r="16">
          <cell r="B16">
            <v>631.3</v>
          </cell>
          <cell r="D16">
            <v>682.593125</v>
          </cell>
          <cell r="S16">
            <v>4114.35</v>
          </cell>
          <cell r="T16">
            <v>457.40999999999997</v>
          </cell>
          <cell r="AB16">
            <v>2617.52</v>
          </cell>
          <cell r="AC16">
            <v>3757.5231249999997</v>
          </cell>
          <cell r="AG16">
            <v>340.902</v>
          </cell>
          <cell r="AH16">
            <v>114.65933199999999</v>
          </cell>
          <cell r="AI16">
            <v>465.51483749999994</v>
          </cell>
          <cell r="AJ16">
            <v>83.79267074999998</v>
          </cell>
          <cell r="AK16">
            <v>439.09440199999995</v>
          </cell>
          <cell r="AL16">
            <v>79.03699235999999</v>
          </cell>
          <cell r="AM16">
            <v>1010.4461539999999</v>
          </cell>
          <cell r="AN16">
            <v>181.88030771999996</v>
          </cell>
          <cell r="AP16">
            <v>0</v>
          </cell>
          <cell r="AR16">
            <v>0</v>
          </cell>
          <cell r="AS16">
            <v>796</v>
          </cell>
          <cell r="AU16">
            <v>143.28</v>
          </cell>
          <cell r="AX16">
            <v>278.39504</v>
          </cell>
          <cell r="BA16">
            <v>0</v>
          </cell>
          <cell r="BB16">
            <v>3654.60669633</v>
          </cell>
          <cell r="BD16">
            <v>102.91642866999973</v>
          </cell>
          <cell r="BE16">
            <v>-1496.8300000000004</v>
          </cell>
        </row>
        <row r="17">
          <cell r="B17">
            <v>631.3</v>
          </cell>
          <cell r="D17">
            <v>682.593125</v>
          </cell>
          <cell r="S17">
            <v>4092.4600000000005</v>
          </cell>
          <cell r="T17">
            <v>457.40999999999997</v>
          </cell>
          <cell r="AB17">
            <v>2228.27</v>
          </cell>
          <cell r="AC17">
            <v>3368.2731249999997</v>
          </cell>
          <cell r="AG17">
            <v>340.902</v>
          </cell>
          <cell r="AH17">
            <v>116.588484</v>
          </cell>
          <cell r="AI17">
            <v>479.18826499999994</v>
          </cell>
          <cell r="AJ17">
            <v>86.25388769999999</v>
          </cell>
          <cell r="AK17">
            <v>445.27735419999993</v>
          </cell>
          <cell r="AL17">
            <v>80.14992375599998</v>
          </cell>
          <cell r="AM17">
            <v>1024.6743933999999</v>
          </cell>
          <cell r="AN17">
            <v>184.44139081199998</v>
          </cell>
          <cell r="AP17">
            <v>0</v>
          </cell>
          <cell r="AR17">
            <v>0</v>
          </cell>
          <cell r="AS17">
            <v>310</v>
          </cell>
          <cell r="AU17">
            <v>55.8</v>
          </cell>
          <cell r="AX17">
            <v>223.15216000000004</v>
          </cell>
          <cell r="BB17">
            <v>4289.918098868</v>
          </cell>
          <cell r="BD17">
            <v>-921.6449738680003</v>
          </cell>
          <cell r="BE17">
            <v>-1864.1900000000005</v>
          </cell>
        </row>
        <row r="18">
          <cell r="B18">
            <v>631.3</v>
          </cell>
          <cell r="D18">
            <v>436.77500000000043</v>
          </cell>
          <cell r="S18">
            <v>4508.38</v>
          </cell>
          <cell r="T18">
            <v>515.59</v>
          </cell>
          <cell r="AB18">
            <v>3842.2</v>
          </cell>
          <cell r="AC18">
            <v>4794.5650000000005</v>
          </cell>
          <cell r="AG18">
            <v>378.78</v>
          </cell>
          <cell r="AH18">
            <v>127.5226</v>
          </cell>
          <cell r="AI18">
            <v>536.6049999999999</v>
          </cell>
          <cell r="AJ18">
            <v>96.58889999999998</v>
          </cell>
          <cell r="AK18">
            <v>523.9789999999999</v>
          </cell>
          <cell r="AL18">
            <v>94.31621999999999</v>
          </cell>
          <cell r="AM18">
            <v>1205.783</v>
          </cell>
          <cell r="AN18">
            <v>217.04093999999998</v>
          </cell>
          <cell r="AP18">
            <v>0</v>
          </cell>
          <cell r="AR18">
            <v>0</v>
          </cell>
          <cell r="AU18">
            <v>0</v>
          </cell>
          <cell r="AX18">
            <v>191.16944</v>
          </cell>
          <cell r="BA18">
            <v>0</v>
          </cell>
          <cell r="BB18">
            <v>3371.7850999999996</v>
          </cell>
          <cell r="BD18">
            <v>1422.779900000001</v>
          </cell>
          <cell r="BE18">
            <v>-666.1800000000003</v>
          </cell>
        </row>
        <row r="19">
          <cell r="B19">
            <v>631.3</v>
          </cell>
          <cell r="D19">
            <v>436.77500000000043</v>
          </cell>
          <cell r="S19">
            <v>4508.38</v>
          </cell>
          <cell r="T19">
            <v>515.59</v>
          </cell>
          <cell r="AB19">
            <v>3407.08</v>
          </cell>
          <cell r="AC19">
            <v>4359.445000000001</v>
          </cell>
          <cell r="AG19">
            <v>378.78</v>
          </cell>
          <cell r="AH19">
            <v>127.579417</v>
          </cell>
          <cell r="AI19">
            <v>536.6049999999999</v>
          </cell>
          <cell r="AJ19">
            <v>96.58889999999998</v>
          </cell>
          <cell r="AK19">
            <v>523.9789999999999</v>
          </cell>
          <cell r="AL19">
            <v>94.31621999999999</v>
          </cell>
          <cell r="AM19">
            <v>1205.783</v>
          </cell>
          <cell r="AN19">
            <v>217.04093999999998</v>
          </cell>
          <cell r="AP19">
            <v>0</v>
          </cell>
          <cell r="AR19">
            <v>0</v>
          </cell>
          <cell r="AS19">
            <v>7559.17</v>
          </cell>
          <cell r="AU19">
            <v>1360.6506</v>
          </cell>
          <cell r="AX19">
            <v>169.36304</v>
          </cell>
          <cell r="BA19">
            <v>0</v>
          </cell>
          <cell r="BB19">
            <v>12269.856117</v>
          </cell>
          <cell r="BD19">
            <v>-7910.411116999999</v>
          </cell>
          <cell r="BE19">
            <v>-1101.3000000000002</v>
          </cell>
        </row>
        <row r="20">
          <cell r="B20">
            <v>631.3</v>
          </cell>
          <cell r="D20">
            <v>436.77500000000043</v>
          </cell>
          <cell r="S20">
            <v>4508.38</v>
          </cell>
          <cell r="T20">
            <v>515.59</v>
          </cell>
          <cell r="AB20">
            <v>2312.66</v>
          </cell>
          <cell r="AC20">
            <v>3265.0250000000005</v>
          </cell>
          <cell r="AG20">
            <v>378.78</v>
          </cell>
          <cell r="AH20">
            <v>125.534005</v>
          </cell>
          <cell r="AI20">
            <v>528.9852089999999</v>
          </cell>
          <cell r="AJ20">
            <v>95.21733761999998</v>
          </cell>
          <cell r="AK20">
            <v>519.0011995</v>
          </cell>
          <cell r="AL20">
            <v>93.42021591</v>
          </cell>
          <cell r="AM20">
            <v>1194.2074831999998</v>
          </cell>
          <cell r="AN20">
            <v>214.95734697599997</v>
          </cell>
          <cell r="AP20">
            <v>0</v>
          </cell>
          <cell r="AR20">
            <v>0</v>
          </cell>
          <cell r="AU20">
            <v>0</v>
          </cell>
          <cell r="AX20">
            <v>180.26624000000004</v>
          </cell>
          <cell r="BA20">
            <v>0</v>
          </cell>
          <cell r="BB20">
            <v>3330.3690372059996</v>
          </cell>
          <cell r="BD20">
            <v>-65.34403720599903</v>
          </cell>
          <cell r="BE20">
            <v>-2195.7200000000003</v>
          </cell>
        </row>
        <row r="21">
          <cell r="B21">
            <v>631.3</v>
          </cell>
          <cell r="D21">
            <v>436.77500000000043</v>
          </cell>
          <cell r="S21">
            <v>4508.38</v>
          </cell>
          <cell r="T21">
            <v>515.59</v>
          </cell>
          <cell r="AB21">
            <v>3805.0100000000007</v>
          </cell>
          <cell r="AC21">
            <v>4757.375000000001</v>
          </cell>
          <cell r="AG21">
            <v>378.78</v>
          </cell>
          <cell r="AH21">
            <v>126.10343759999999</v>
          </cell>
          <cell r="AI21">
            <v>528.6900762499998</v>
          </cell>
          <cell r="AJ21">
            <v>95.16421372499997</v>
          </cell>
          <cell r="AK21">
            <v>518.73921</v>
          </cell>
          <cell r="AL21">
            <v>93.37305779999998</v>
          </cell>
          <cell r="AM21">
            <v>1193.6045917</v>
          </cell>
          <cell r="AN21">
            <v>214.84882650599997</v>
          </cell>
          <cell r="AP21">
            <v>0</v>
          </cell>
          <cell r="AQ21">
            <v>5232.64</v>
          </cell>
          <cell r="AR21">
            <v>941.8752000000001</v>
          </cell>
          <cell r="AS21">
            <v>351</v>
          </cell>
          <cell r="AU21">
            <v>63.18</v>
          </cell>
          <cell r="AX21">
            <v>212.97584000000003</v>
          </cell>
          <cell r="BA21">
            <v>0</v>
          </cell>
          <cell r="BB21">
            <v>9950.974453581</v>
          </cell>
          <cell r="BD21">
            <v>-5193.599453581</v>
          </cell>
          <cell r="BE21">
            <v>-703.3699999999994</v>
          </cell>
        </row>
        <row r="22">
          <cell r="B22">
            <v>631.3</v>
          </cell>
          <cell r="D22">
            <v>436.77500000000043</v>
          </cell>
          <cell r="S22">
            <v>4508.38</v>
          </cell>
          <cell r="T22">
            <v>515.59</v>
          </cell>
          <cell r="AB22">
            <v>4501.22</v>
          </cell>
          <cell r="AC22">
            <v>5453.585000000001</v>
          </cell>
          <cell r="AG22">
            <v>378.78</v>
          </cell>
          <cell r="AH22">
            <v>126.209496</v>
          </cell>
          <cell r="AI22">
            <v>528.5988533999998</v>
          </cell>
          <cell r="AJ22">
            <v>95.14779361199996</v>
          </cell>
          <cell r="AK22">
            <v>518.6396539899999</v>
          </cell>
          <cell r="AL22">
            <v>93.35513771819998</v>
          </cell>
          <cell r="AM22">
            <v>1193.4960712299999</v>
          </cell>
          <cell r="AN22">
            <v>214.82929282139997</v>
          </cell>
          <cell r="AP22">
            <v>0</v>
          </cell>
          <cell r="AR22">
            <v>0</v>
          </cell>
          <cell r="AU22">
            <v>0</v>
          </cell>
          <cell r="AX22">
            <v>253.68112000000002</v>
          </cell>
          <cell r="BA22">
            <v>0</v>
          </cell>
          <cell r="BB22">
            <v>3402.7374187716</v>
          </cell>
          <cell r="BD22">
            <v>2050.847581228401</v>
          </cell>
          <cell r="BE22">
            <v>-7.1599999999998545</v>
          </cell>
        </row>
        <row r="23">
          <cell r="B23">
            <v>631.3</v>
          </cell>
          <cell r="D23">
            <v>455.9849999999998</v>
          </cell>
          <cell r="S23">
            <v>4489.17</v>
          </cell>
          <cell r="T23">
            <v>515.59</v>
          </cell>
          <cell r="AB23">
            <v>4215.46</v>
          </cell>
          <cell r="AC23">
            <v>5187.035</v>
          </cell>
          <cell r="AG23">
            <v>378.78</v>
          </cell>
          <cell r="AH23">
            <v>126.25999999999999</v>
          </cell>
          <cell r="AI23">
            <v>534.7111</v>
          </cell>
          <cell r="AJ23">
            <v>96.247998</v>
          </cell>
          <cell r="AK23">
            <v>523.9789999999999</v>
          </cell>
          <cell r="AL23">
            <v>94.31621999999999</v>
          </cell>
          <cell r="AM23">
            <v>1203.75</v>
          </cell>
          <cell r="AN23">
            <v>216.67499999999998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X23">
            <v>308.9240000000001</v>
          </cell>
          <cell r="BA23">
            <v>0</v>
          </cell>
          <cell r="BB23">
            <v>3483.6433180000004</v>
          </cell>
          <cell r="BD23">
            <v>1703.3916819999995</v>
          </cell>
          <cell r="BE23">
            <v>-273.71000000000004</v>
          </cell>
        </row>
        <row r="24">
          <cell r="B24">
            <v>631.3</v>
          </cell>
          <cell r="D24">
            <v>449.2850000000001</v>
          </cell>
          <cell r="S24">
            <v>4495.87</v>
          </cell>
          <cell r="T24">
            <v>515.59</v>
          </cell>
          <cell r="AB24">
            <v>2484.7599999999998</v>
          </cell>
          <cell r="AC24">
            <v>3449.6349999999998</v>
          </cell>
          <cell r="AG24">
            <v>378.78</v>
          </cell>
          <cell r="AH24">
            <v>126.25999999999999</v>
          </cell>
          <cell r="AI24">
            <v>536.6049999999999</v>
          </cell>
          <cell r="AJ24">
            <v>96.58889999999998</v>
          </cell>
          <cell r="AK24">
            <v>523.9789999999999</v>
          </cell>
          <cell r="AL24">
            <v>94.31621999999999</v>
          </cell>
          <cell r="AM24">
            <v>1205.783</v>
          </cell>
          <cell r="AN24">
            <v>217.04093999999998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X24">
            <v>341.6336</v>
          </cell>
          <cell r="BA24">
            <v>0</v>
          </cell>
          <cell r="BB24">
            <v>3520.9866599999996</v>
          </cell>
          <cell r="BD24">
            <v>-71.35165999999981</v>
          </cell>
          <cell r="BE24">
            <v>-2011.1100000000001</v>
          </cell>
        </row>
        <row r="25">
          <cell r="B25">
            <v>631.3</v>
          </cell>
          <cell r="D25">
            <v>444.8249999999995</v>
          </cell>
          <cell r="S25">
            <v>4500.329999999999</v>
          </cell>
          <cell r="T25">
            <v>515.59</v>
          </cell>
          <cell r="AB25">
            <v>10415.24</v>
          </cell>
          <cell r="AC25">
            <v>11375.654999999999</v>
          </cell>
          <cell r="AG25">
            <v>378.78</v>
          </cell>
          <cell r="AH25">
            <v>126.25999999999999</v>
          </cell>
          <cell r="AI25">
            <v>536.6049999999999</v>
          </cell>
          <cell r="AJ25">
            <v>96.58889999999998</v>
          </cell>
          <cell r="AK25">
            <v>523.9789999999999</v>
          </cell>
          <cell r="AL25">
            <v>94.31621999999999</v>
          </cell>
          <cell r="AM25">
            <v>1205.783</v>
          </cell>
          <cell r="AN25">
            <v>217.04093999999998</v>
          </cell>
          <cell r="AP25">
            <v>0</v>
          </cell>
          <cell r="AR25">
            <v>0</v>
          </cell>
          <cell r="AS25">
            <v>3210</v>
          </cell>
          <cell r="AU25">
            <v>577.8</v>
          </cell>
          <cell r="AX25">
            <v>373.6163200000001</v>
          </cell>
          <cell r="BA25">
            <v>0</v>
          </cell>
          <cell r="BB25">
            <v>7340.76938</v>
          </cell>
          <cell r="BD25">
            <v>4034.885619999999</v>
          </cell>
          <cell r="BE25">
            <v>5914.910000000001</v>
          </cell>
        </row>
        <row r="30">
          <cell r="B30">
            <v>631.3</v>
          </cell>
          <cell r="D30">
            <v>447.9649999999998</v>
          </cell>
          <cell r="S30">
            <v>4497.1900000000005</v>
          </cell>
          <cell r="T30">
            <v>515.59</v>
          </cell>
          <cell r="AB30">
            <v>1439.63</v>
          </cell>
          <cell r="AC30">
            <v>2403.185</v>
          </cell>
          <cell r="AG30">
            <v>378.78</v>
          </cell>
          <cell r="AH30">
            <v>126.25999999999999</v>
          </cell>
          <cell r="AI30">
            <v>631.3</v>
          </cell>
          <cell r="AJ30">
            <v>0</v>
          </cell>
          <cell r="AK30">
            <v>618.674</v>
          </cell>
          <cell r="AL30">
            <v>0</v>
          </cell>
          <cell r="AM30">
            <v>1420.425</v>
          </cell>
          <cell r="AN30">
            <v>0</v>
          </cell>
          <cell r="AP30">
            <v>0</v>
          </cell>
          <cell r="AS30">
            <v>0</v>
          </cell>
          <cell r="AU30">
            <v>0</v>
          </cell>
          <cell r="AX30">
            <v>391.16</v>
          </cell>
          <cell r="BA30">
            <v>0</v>
          </cell>
          <cell r="BB30">
            <v>3566.5989999999997</v>
          </cell>
          <cell r="BD30">
            <v>-1163.4139999999998</v>
          </cell>
          <cell r="BE30">
            <v>-3057.5600000000004</v>
          </cell>
        </row>
        <row r="31">
          <cell r="B31">
            <v>631.3</v>
          </cell>
          <cell r="D31">
            <v>450.1850000000003</v>
          </cell>
          <cell r="S31">
            <v>4494.97</v>
          </cell>
          <cell r="T31">
            <v>515.59</v>
          </cell>
          <cell r="AB31">
            <v>2950.14</v>
          </cell>
          <cell r="AC31">
            <v>3915.915</v>
          </cell>
          <cell r="AG31">
            <v>378.78</v>
          </cell>
          <cell r="AH31">
            <v>126.25999999999999</v>
          </cell>
          <cell r="AI31">
            <v>631.3</v>
          </cell>
          <cell r="AJ31">
            <v>0</v>
          </cell>
          <cell r="AK31">
            <v>618.674</v>
          </cell>
          <cell r="AL31">
            <v>0</v>
          </cell>
          <cell r="AM31">
            <v>1420.425</v>
          </cell>
          <cell r="AN31">
            <v>0</v>
          </cell>
          <cell r="AS31">
            <v>272</v>
          </cell>
          <cell r="AU31">
            <v>0</v>
          </cell>
          <cell r="AX31">
            <v>313.39</v>
          </cell>
          <cell r="BA31">
            <v>0</v>
          </cell>
          <cell r="BB31">
            <v>3760.8289999999997</v>
          </cell>
          <cell r="BD31">
            <v>155.08600000000024</v>
          </cell>
          <cell r="BE31">
            <v>-1544.8300000000004</v>
          </cell>
        </row>
        <row r="32">
          <cell r="B32">
            <v>631.3</v>
          </cell>
          <cell r="D32">
            <v>450.1850000000003</v>
          </cell>
          <cell r="S32">
            <v>4494.97</v>
          </cell>
          <cell r="T32">
            <v>515.59</v>
          </cell>
          <cell r="AB32">
            <v>5616.7</v>
          </cell>
          <cell r="AC32">
            <v>6582.475</v>
          </cell>
          <cell r="AG32">
            <v>378.78</v>
          </cell>
          <cell r="AH32">
            <v>126.25999999999999</v>
          </cell>
          <cell r="AI32">
            <v>631.3</v>
          </cell>
          <cell r="AJ32">
            <v>0</v>
          </cell>
          <cell r="AK32">
            <v>618.674</v>
          </cell>
          <cell r="AL32">
            <v>0</v>
          </cell>
          <cell r="AM32">
            <v>1420.425</v>
          </cell>
          <cell r="AN32">
            <v>0</v>
          </cell>
          <cell r="AU32">
            <v>0</v>
          </cell>
          <cell r="AX32">
            <v>294.90999999999997</v>
          </cell>
          <cell r="BA32">
            <v>0</v>
          </cell>
          <cell r="BB32">
            <v>3470.3489999999997</v>
          </cell>
          <cell r="BD32">
            <v>3112.1260000000007</v>
          </cell>
          <cell r="BE32">
            <v>1121.7299999999996</v>
          </cell>
        </row>
        <row r="33">
          <cell r="B33">
            <v>631.3</v>
          </cell>
          <cell r="D33">
            <v>450.16499999999957</v>
          </cell>
          <cell r="S33">
            <v>4416.200000000001</v>
          </cell>
          <cell r="T33">
            <v>594.3800000000001</v>
          </cell>
          <cell r="AB33">
            <v>2228.27</v>
          </cell>
          <cell r="AC33">
            <v>3272.8149999999996</v>
          </cell>
          <cell r="AG33">
            <v>378.78</v>
          </cell>
          <cell r="AH33">
            <v>126.25999999999999</v>
          </cell>
          <cell r="AI33">
            <v>631.3</v>
          </cell>
          <cell r="AJ33">
            <v>0</v>
          </cell>
          <cell r="AK33">
            <v>618.674</v>
          </cell>
          <cell r="AL33">
            <v>0</v>
          </cell>
          <cell r="AM33">
            <v>1420.425</v>
          </cell>
          <cell r="AN33">
            <v>0</v>
          </cell>
          <cell r="AS33">
            <v>98</v>
          </cell>
          <cell r="AU33">
            <v>0</v>
          </cell>
          <cell r="AX33">
            <v>236.39000000000001</v>
          </cell>
          <cell r="BA33">
            <v>0</v>
          </cell>
          <cell r="BB33">
            <v>3509.8289999999997</v>
          </cell>
          <cell r="BD33">
            <v>-237.01400000000012</v>
          </cell>
          <cell r="BE33">
            <v>-2187.9300000000007</v>
          </cell>
        </row>
        <row r="34">
          <cell r="B34">
            <v>631.3</v>
          </cell>
          <cell r="D34">
            <v>450.2449999999996</v>
          </cell>
          <cell r="S34">
            <v>4280.01</v>
          </cell>
          <cell r="T34">
            <v>730.49</v>
          </cell>
          <cell r="AB34">
            <v>3009.38</v>
          </cell>
          <cell r="AC34">
            <v>4190.115</v>
          </cell>
          <cell r="AG34">
            <v>378.78</v>
          </cell>
          <cell r="AH34">
            <v>126.25999999999999</v>
          </cell>
          <cell r="AI34">
            <v>631.3</v>
          </cell>
          <cell r="AJ34">
            <v>0</v>
          </cell>
          <cell r="AK34">
            <v>618.674</v>
          </cell>
          <cell r="AL34">
            <v>0</v>
          </cell>
          <cell r="AM34">
            <v>1420.425</v>
          </cell>
          <cell r="AN34">
            <v>0</v>
          </cell>
          <cell r="AU34">
            <v>0</v>
          </cell>
          <cell r="AX34">
            <v>202.51</v>
          </cell>
          <cell r="BA34">
            <v>0</v>
          </cell>
          <cell r="BB34">
            <v>3377.9489999999996</v>
          </cell>
          <cell r="BD34">
            <v>812.1660000000002</v>
          </cell>
          <cell r="BE34">
            <v>-1270.63</v>
          </cell>
        </row>
        <row r="35">
          <cell r="B35">
            <v>631.3</v>
          </cell>
          <cell r="D35">
            <v>450.2449999999996</v>
          </cell>
          <cell r="S35">
            <v>4280.01</v>
          </cell>
          <cell r="T35">
            <v>730.49</v>
          </cell>
          <cell r="AB35">
            <v>3953.44</v>
          </cell>
          <cell r="AC35">
            <v>5134.174999999999</v>
          </cell>
          <cell r="AG35">
            <v>378.78</v>
          </cell>
          <cell r="AH35">
            <v>126.25999999999999</v>
          </cell>
          <cell r="AI35">
            <v>631.3</v>
          </cell>
          <cell r="AJ35">
            <v>0</v>
          </cell>
          <cell r="AK35">
            <v>618.674</v>
          </cell>
          <cell r="AL35">
            <v>0</v>
          </cell>
          <cell r="AM35">
            <v>1420.425</v>
          </cell>
          <cell r="AN35">
            <v>0</v>
          </cell>
          <cell r="AU35">
            <v>0</v>
          </cell>
          <cell r="AX35">
            <v>179.41</v>
          </cell>
          <cell r="BA35">
            <v>0</v>
          </cell>
          <cell r="BB35">
            <v>3354.8489999999997</v>
          </cell>
          <cell r="BD35">
            <v>1779.3259999999996</v>
          </cell>
          <cell r="BE35">
            <v>-326.57000000000016</v>
          </cell>
        </row>
        <row r="36">
          <cell r="B36">
            <v>631.3</v>
          </cell>
          <cell r="D36">
            <v>429.67500000000007</v>
          </cell>
          <cell r="S36">
            <v>5031.07</v>
          </cell>
          <cell r="T36">
            <v>0</v>
          </cell>
          <cell r="AB36">
            <v>1399.29</v>
          </cell>
          <cell r="AC36">
            <v>1828.9650000000001</v>
          </cell>
          <cell r="AG36">
            <v>378.78</v>
          </cell>
          <cell r="AH36">
            <v>126.25999999999999</v>
          </cell>
          <cell r="AI36">
            <v>631.3</v>
          </cell>
          <cell r="AJ36">
            <v>0</v>
          </cell>
          <cell r="AK36">
            <v>618.674</v>
          </cell>
          <cell r="AL36">
            <v>0</v>
          </cell>
          <cell r="AM36">
            <v>1420.425</v>
          </cell>
          <cell r="AN36">
            <v>0</v>
          </cell>
          <cell r="AT36">
            <v>2457.63</v>
          </cell>
          <cell r="AU36">
            <v>442.3734</v>
          </cell>
          <cell r="AX36">
            <v>190.96</v>
          </cell>
          <cell r="BA36">
            <v>0</v>
          </cell>
          <cell r="BB36">
            <v>6266.4024</v>
          </cell>
          <cell r="BD36">
            <v>-4437.4374</v>
          </cell>
          <cell r="BE36">
            <v>-3631.7799999999997</v>
          </cell>
        </row>
        <row r="37">
          <cell r="B37">
            <v>631.3</v>
          </cell>
          <cell r="D37">
            <v>401.63499999999954</v>
          </cell>
          <cell r="S37">
            <v>5059.110000000001</v>
          </cell>
          <cell r="T37">
            <v>0</v>
          </cell>
          <cell r="AB37">
            <v>3049.27</v>
          </cell>
          <cell r="AC37">
            <v>3450.9049999999997</v>
          </cell>
          <cell r="AG37">
            <v>378.78</v>
          </cell>
          <cell r="AH37">
            <v>126.25999999999999</v>
          </cell>
          <cell r="AI37">
            <v>631.3</v>
          </cell>
          <cell r="AJ37">
            <v>0</v>
          </cell>
          <cell r="AK37">
            <v>618.674</v>
          </cell>
          <cell r="AL37">
            <v>0</v>
          </cell>
          <cell r="AM37">
            <v>1420.425</v>
          </cell>
          <cell r="AN37">
            <v>0</v>
          </cell>
          <cell r="AS37">
            <v>1862</v>
          </cell>
          <cell r="AT37">
            <v>47.8</v>
          </cell>
          <cell r="AU37">
            <v>8.604</v>
          </cell>
          <cell r="AX37">
            <v>225.60999999999999</v>
          </cell>
          <cell r="BA37">
            <v>0</v>
          </cell>
          <cell r="BB37">
            <v>5319.453</v>
          </cell>
          <cell r="BD37">
            <v>-1868.5480000000007</v>
          </cell>
          <cell r="BE37">
            <v>-2009.8400000000006</v>
          </cell>
        </row>
        <row r="38">
          <cell r="B38">
            <v>631.3</v>
          </cell>
          <cell r="D38">
            <v>401.63499999999954</v>
          </cell>
          <cell r="S38">
            <v>5059.110000000001</v>
          </cell>
          <cell r="T38">
            <v>0</v>
          </cell>
          <cell r="AB38">
            <v>3390.71</v>
          </cell>
          <cell r="AC38">
            <v>3792.3449999999993</v>
          </cell>
          <cell r="AG38">
            <v>378.78</v>
          </cell>
          <cell r="AH38">
            <v>126.25999999999999</v>
          </cell>
          <cell r="AI38">
            <v>631.3</v>
          </cell>
          <cell r="AJ38">
            <v>0</v>
          </cell>
          <cell r="AK38">
            <v>618.674</v>
          </cell>
          <cell r="AL38">
            <v>0</v>
          </cell>
          <cell r="AM38">
            <v>1420.425</v>
          </cell>
          <cell r="AN38">
            <v>0</v>
          </cell>
          <cell r="AU38">
            <v>0</v>
          </cell>
          <cell r="AX38">
            <v>268.73</v>
          </cell>
          <cell r="BA38">
            <v>0</v>
          </cell>
          <cell r="BB38">
            <v>3444.169</v>
          </cell>
          <cell r="BD38">
            <v>348.1759999999995</v>
          </cell>
          <cell r="BE38">
            <v>-1668.4000000000005</v>
          </cell>
        </row>
        <row r="39">
          <cell r="B39">
            <v>631.3</v>
          </cell>
          <cell r="D39">
            <v>401.63499999999954</v>
          </cell>
          <cell r="S39">
            <v>5059.110000000001</v>
          </cell>
          <cell r="T39">
            <v>0</v>
          </cell>
          <cell r="AB39">
            <v>2634.3</v>
          </cell>
          <cell r="AC39">
            <v>3035.9349999999995</v>
          </cell>
          <cell r="AG39">
            <v>378.78</v>
          </cell>
          <cell r="AH39">
            <v>126.25999999999999</v>
          </cell>
          <cell r="AI39">
            <v>631.3</v>
          </cell>
          <cell r="AJ39">
            <v>0</v>
          </cell>
          <cell r="AK39">
            <v>618.674</v>
          </cell>
          <cell r="AL39">
            <v>0</v>
          </cell>
          <cell r="AM39">
            <v>1420.425</v>
          </cell>
          <cell r="AN39">
            <v>0</v>
          </cell>
          <cell r="AU39">
            <v>0</v>
          </cell>
          <cell r="AX39">
            <v>327.25</v>
          </cell>
          <cell r="BA39">
            <v>0</v>
          </cell>
          <cell r="BB39">
            <v>3502.689</v>
          </cell>
          <cell r="BD39">
            <v>-466.75400000000036</v>
          </cell>
          <cell r="BE39">
            <v>-2424.8100000000004</v>
          </cell>
        </row>
        <row r="40">
          <cell r="B40">
            <v>631.3</v>
          </cell>
          <cell r="D40">
            <v>401.63499999999954</v>
          </cell>
          <cell r="S40">
            <v>5059.110000000001</v>
          </cell>
          <cell r="T40">
            <v>0</v>
          </cell>
          <cell r="AB40">
            <v>2231.11</v>
          </cell>
          <cell r="AC40">
            <v>2632.745</v>
          </cell>
          <cell r="AG40">
            <v>378.78</v>
          </cell>
          <cell r="AH40">
            <v>126.25999999999999</v>
          </cell>
          <cell r="AI40">
            <v>631.3</v>
          </cell>
          <cell r="AJ40">
            <v>0</v>
          </cell>
          <cell r="AK40">
            <v>618.674</v>
          </cell>
          <cell r="AL40">
            <v>0</v>
          </cell>
          <cell r="AM40">
            <v>1420.425</v>
          </cell>
          <cell r="AN40">
            <v>0</v>
          </cell>
          <cell r="AU40">
            <v>0</v>
          </cell>
          <cell r="AX40">
            <v>361.9</v>
          </cell>
          <cell r="BA40">
            <v>0</v>
          </cell>
          <cell r="BB40">
            <v>3537.339</v>
          </cell>
          <cell r="BD40">
            <v>-904.594</v>
          </cell>
          <cell r="BE40">
            <v>-2828.0000000000005</v>
          </cell>
        </row>
        <row r="41">
          <cell r="B41">
            <v>631.3</v>
          </cell>
          <cell r="D41">
            <v>401.63499999999954</v>
          </cell>
          <cell r="S41">
            <v>5059.110000000001</v>
          </cell>
          <cell r="T41">
            <v>0</v>
          </cell>
          <cell r="AB41">
            <v>7533.82</v>
          </cell>
          <cell r="AC41">
            <v>7935.454999999999</v>
          </cell>
          <cell r="AG41">
            <v>378.78</v>
          </cell>
          <cell r="AH41">
            <v>126.25999999999999</v>
          </cell>
          <cell r="AI41">
            <v>631.3</v>
          </cell>
          <cell r="AJ41">
            <v>0</v>
          </cell>
          <cell r="AK41">
            <v>618.674</v>
          </cell>
          <cell r="AL41">
            <v>0</v>
          </cell>
          <cell r="AM41">
            <v>1420.425</v>
          </cell>
          <cell r="AN41">
            <v>0</v>
          </cell>
          <cell r="AU41">
            <v>0</v>
          </cell>
          <cell r="AX41">
            <v>395.78000000000003</v>
          </cell>
          <cell r="BA41">
            <v>0</v>
          </cell>
          <cell r="BB41">
            <v>3571.219</v>
          </cell>
          <cell r="BD41">
            <v>4364.235999999999</v>
          </cell>
          <cell r="BE41">
            <v>2474.709999999999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37" sqref="AS37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2" width="9.125" style="80" customWidth="1"/>
    <col min="23" max="23" width="10.625" style="80" customWidth="1"/>
    <col min="24" max="24" width="10.125" style="80" customWidth="1"/>
    <col min="25" max="27" width="9.125" style="80" customWidth="1"/>
    <col min="28" max="28" width="10.125" style="80" bestFit="1" customWidth="1"/>
    <col min="29" max="30" width="11.375" style="80" customWidth="1"/>
    <col min="31" max="32" width="9.253906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2" width="9.25390625" style="80" bestFit="1" customWidth="1"/>
    <col min="43" max="44" width="9.25390625" style="80" customWidth="1"/>
    <col min="45" max="45" width="10.125" style="80" bestFit="1" customWidth="1"/>
    <col min="46" max="46" width="11.375" style="80" customWidth="1"/>
    <col min="47" max="47" width="11.75390625" style="80" customWidth="1"/>
    <col min="48" max="49" width="9.25390625" style="80" customWidth="1"/>
    <col min="50" max="50" width="10.625" style="80" customWidth="1"/>
    <col min="51" max="51" width="9.25390625" style="80" bestFit="1" customWidth="1"/>
    <col min="52" max="53" width="10.125" style="80" bestFit="1" customWidth="1"/>
    <col min="54" max="54" width="11.75390625" style="80" customWidth="1"/>
    <col min="55" max="55" width="10.375" style="80" customWidth="1"/>
    <col min="56" max="56" width="13.125" style="80" customWidth="1"/>
    <col min="57" max="57" width="14.00390625" style="80" customWidth="1"/>
    <col min="58" max="16384" width="9.125" style="80" customWidth="1"/>
  </cols>
  <sheetData>
    <row r="1" spans="1:18" ht="21" customHeight="1">
      <c r="A1" s="290" t="s">
        <v>118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57" ht="13.5" customHeight="1">
      <c r="A3" s="291" t="s">
        <v>0</v>
      </c>
      <c r="B3" s="294" t="s">
        <v>1</v>
      </c>
      <c r="C3" s="294" t="s">
        <v>2</v>
      </c>
      <c r="D3" s="294" t="s">
        <v>3</v>
      </c>
      <c r="E3" s="297" t="s">
        <v>4</v>
      </c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78" t="s">
        <v>5</v>
      </c>
      <c r="T3" s="278"/>
      <c r="U3" s="279" t="s">
        <v>6</v>
      </c>
      <c r="V3" s="279"/>
      <c r="W3" s="279"/>
      <c r="X3" s="279"/>
      <c r="Y3" s="279"/>
      <c r="Z3" s="279"/>
      <c r="AA3" s="279"/>
      <c r="AB3" s="279"/>
      <c r="AC3" s="281" t="s">
        <v>83</v>
      </c>
      <c r="AD3" s="281" t="s">
        <v>8</v>
      </c>
      <c r="AE3" s="284" t="s">
        <v>9</v>
      </c>
      <c r="AF3" s="287" t="s">
        <v>74</v>
      </c>
      <c r="AG3" s="267" t="s">
        <v>10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8" t="s">
        <v>75</v>
      </c>
      <c r="BD3" s="271" t="s">
        <v>11</v>
      </c>
      <c r="BE3" s="274" t="s">
        <v>12</v>
      </c>
    </row>
    <row r="4" spans="1:57" ht="36" customHeight="1" thickBot="1">
      <c r="A4" s="292"/>
      <c r="B4" s="295"/>
      <c r="C4" s="295"/>
      <c r="D4" s="295"/>
      <c r="E4" s="277" t="s">
        <v>13</v>
      </c>
      <c r="F4" s="277"/>
      <c r="G4" s="277" t="s">
        <v>14</v>
      </c>
      <c r="H4" s="277"/>
      <c r="I4" s="277" t="s">
        <v>15</v>
      </c>
      <c r="J4" s="277"/>
      <c r="K4" s="277" t="s">
        <v>16</v>
      </c>
      <c r="L4" s="277"/>
      <c r="M4" s="277" t="s">
        <v>17</v>
      </c>
      <c r="N4" s="277"/>
      <c r="O4" s="277" t="s">
        <v>18</v>
      </c>
      <c r="P4" s="277"/>
      <c r="Q4" s="277" t="s">
        <v>19</v>
      </c>
      <c r="R4" s="277"/>
      <c r="S4" s="277"/>
      <c r="T4" s="277"/>
      <c r="U4" s="280"/>
      <c r="V4" s="280"/>
      <c r="W4" s="280"/>
      <c r="X4" s="280"/>
      <c r="Y4" s="280"/>
      <c r="Z4" s="280"/>
      <c r="AA4" s="280"/>
      <c r="AB4" s="280"/>
      <c r="AC4" s="282"/>
      <c r="AD4" s="282"/>
      <c r="AE4" s="285"/>
      <c r="AF4" s="288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69"/>
      <c r="BD4" s="272"/>
      <c r="BE4" s="275"/>
    </row>
    <row r="5" spans="1:57" ht="29.25" customHeight="1" thickBot="1">
      <c r="A5" s="292"/>
      <c r="B5" s="295"/>
      <c r="C5" s="295"/>
      <c r="D5" s="295"/>
      <c r="E5" s="265" t="s">
        <v>20</v>
      </c>
      <c r="F5" s="265" t="s">
        <v>21</v>
      </c>
      <c r="G5" s="265" t="s">
        <v>20</v>
      </c>
      <c r="H5" s="265" t="s">
        <v>21</v>
      </c>
      <c r="I5" s="265" t="s">
        <v>20</v>
      </c>
      <c r="J5" s="265" t="s">
        <v>21</v>
      </c>
      <c r="K5" s="265" t="s">
        <v>20</v>
      </c>
      <c r="L5" s="265" t="s">
        <v>21</v>
      </c>
      <c r="M5" s="265" t="s">
        <v>20</v>
      </c>
      <c r="N5" s="265" t="s">
        <v>21</v>
      </c>
      <c r="O5" s="265" t="s">
        <v>20</v>
      </c>
      <c r="P5" s="265" t="s">
        <v>21</v>
      </c>
      <c r="Q5" s="265" t="s">
        <v>20</v>
      </c>
      <c r="R5" s="265" t="s">
        <v>21</v>
      </c>
      <c r="S5" s="265" t="s">
        <v>20</v>
      </c>
      <c r="T5" s="265" t="s">
        <v>21</v>
      </c>
      <c r="U5" s="263" t="s">
        <v>22</v>
      </c>
      <c r="V5" s="263" t="s">
        <v>23</v>
      </c>
      <c r="W5" s="263" t="s">
        <v>24</v>
      </c>
      <c r="X5" s="263" t="s">
        <v>25</v>
      </c>
      <c r="Y5" s="263" t="s">
        <v>26</v>
      </c>
      <c r="Z5" s="263" t="s">
        <v>27</v>
      </c>
      <c r="AA5" s="263" t="s">
        <v>28</v>
      </c>
      <c r="AB5" s="263" t="s">
        <v>29</v>
      </c>
      <c r="AC5" s="282"/>
      <c r="AD5" s="282"/>
      <c r="AE5" s="285"/>
      <c r="AF5" s="288"/>
      <c r="AG5" s="250" t="s">
        <v>30</v>
      </c>
      <c r="AH5" s="250" t="s">
        <v>31</v>
      </c>
      <c r="AI5" s="250" t="s">
        <v>32</v>
      </c>
      <c r="AJ5" s="250" t="s">
        <v>33</v>
      </c>
      <c r="AK5" s="250" t="s">
        <v>34</v>
      </c>
      <c r="AL5" s="250" t="s">
        <v>33</v>
      </c>
      <c r="AM5" s="250" t="s">
        <v>35</v>
      </c>
      <c r="AN5" s="250" t="s">
        <v>33</v>
      </c>
      <c r="AO5" s="250" t="s">
        <v>36</v>
      </c>
      <c r="AP5" s="250" t="s">
        <v>33</v>
      </c>
      <c r="AQ5" s="257" t="s">
        <v>76</v>
      </c>
      <c r="AR5" s="259" t="s">
        <v>33</v>
      </c>
      <c r="AS5" s="261" t="s">
        <v>77</v>
      </c>
      <c r="AT5" s="252" t="s">
        <v>78</v>
      </c>
      <c r="AU5" s="252" t="s">
        <v>33</v>
      </c>
      <c r="AV5" s="254" t="s">
        <v>79</v>
      </c>
      <c r="AW5" s="255"/>
      <c r="AX5" s="256"/>
      <c r="AY5" s="250" t="s">
        <v>19</v>
      </c>
      <c r="AZ5" s="250" t="s">
        <v>38</v>
      </c>
      <c r="BA5" s="250" t="s">
        <v>33</v>
      </c>
      <c r="BB5" s="250" t="s">
        <v>39</v>
      </c>
      <c r="BC5" s="269"/>
      <c r="BD5" s="272"/>
      <c r="BE5" s="275"/>
    </row>
    <row r="6" spans="1:57" ht="54" customHeight="1" thickBot="1">
      <c r="A6" s="293"/>
      <c r="B6" s="296"/>
      <c r="C6" s="296"/>
      <c r="D6" s="29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4"/>
      <c r="V6" s="264"/>
      <c r="W6" s="264"/>
      <c r="X6" s="264"/>
      <c r="Y6" s="264"/>
      <c r="Z6" s="264"/>
      <c r="AA6" s="264"/>
      <c r="AB6" s="264"/>
      <c r="AC6" s="283"/>
      <c r="AD6" s="283"/>
      <c r="AE6" s="286"/>
      <c r="AF6" s="289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8"/>
      <c r="AR6" s="260"/>
      <c r="AS6" s="262"/>
      <c r="AT6" s="253"/>
      <c r="AU6" s="253"/>
      <c r="AV6" s="50" t="s">
        <v>80</v>
      </c>
      <c r="AW6" s="50" t="s">
        <v>81</v>
      </c>
      <c r="AX6" s="50" t="s">
        <v>82</v>
      </c>
      <c r="AY6" s="251"/>
      <c r="AZ6" s="251"/>
      <c r="BA6" s="251"/>
      <c r="BB6" s="251"/>
      <c r="BC6" s="270"/>
      <c r="BD6" s="273"/>
      <c r="BE6" s="276"/>
    </row>
    <row r="7" spans="1:57" ht="12.75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  <c r="L7" s="4">
        <v>12</v>
      </c>
      <c r="M7" s="3">
        <v>13</v>
      </c>
      <c r="N7" s="4">
        <v>14</v>
      </c>
      <c r="O7" s="3">
        <v>15</v>
      </c>
      <c r="P7" s="4">
        <v>16</v>
      </c>
      <c r="Q7" s="3">
        <v>17</v>
      </c>
      <c r="R7" s="4">
        <v>18</v>
      </c>
      <c r="S7" s="3">
        <v>19</v>
      </c>
      <c r="T7" s="4">
        <v>20</v>
      </c>
      <c r="U7" s="3">
        <v>21</v>
      </c>
      <c r="V7" s="4">
        <v>22</v>
      </c>
      <c r="W7" s="3">
        <v>23</v>
      </c>
      <c r="X7" s="4">
        <v>24</v>
      </c>
      <c r="Y7" s="3">
        <v>25</v>
      </c>
      <c r="Z7" s="4">
        <v>26</v>
      </c>
      <c r="AA7" s="3">
        <v>27</v>
      </c>
      <c r="AB7" s="4">
        <v>28</v>
      </c>
      <c r="AC7" s="3">
        <v>29</v>
      </c>
      <c r="AD7" s="4">
        <v>30</v>
      </c>
      <c r="AE7" s="3">
        <v>31</v>
      </c>
      <c r="AF7" s="4">
        <v>32</v>
      </c>
      <c r="AG7" s="3">
        <v>33</v>
      </c>
      <c r="AH7" s="4">
        <v>34</v>
      </c>
      <c r="AI7" s="3">
        <v>35</v>
      </c>
      <c r="AJ7" s="4">
        <v>36</v>
      </c>
      <c r="AK7" s="3">
        <v>37</v>
      </c>
      <c r="AL7" s="4">
        <v>38</v>
      </c>
      <c r="AM7" s="3">
        <v>39</v>
      </c>
      <c r="AN7" s="4">
        <v>40</v>
      </c>
      <c r="AO7" s="3">
        <v>41</v>
      </c>
      <c r="AP7" s="4">
        <v>42</v>
      </c>
      <c r="AQ7" s="3">
        <v>43</v>
      </c>
      <c r="AR7" s="4">
        <v>44</v>
      </c>
      <c r="AS7" s="3">
        <v>45</v>
      </c>
      <c r="AT7" s="4">
        <v>46</v>
      </c>
      <c r="AU7" s="3">
        <v>47</v>
      </c>
      <c r="AV7" s="4">
        <v>48</v>
      </c>
      <c r="AW7" s="3">
        <v>49</v>
      </c>
      <c r="AX7" s="4">
        <v>50</v>
      </c>
      <c r="AY7" s="3">
        <v>51</v>
      </c>
      <c r="AZ7" s="4">
        <v>52</v>
      </c>
      <c r="BA7" s="3">
        <v>53</v>
      </c>
      <c r="BB7" s="4">
        <v>54</v>
      </c>
      <c r="BC7" s="3">
        <v>55</v>
      </c>
      <c r="BD7" s="4">
        <v>56</v>
      </c>
      <c r="BE7" s="3">
        <v>57</v>
      </c>
    </row>
    <row r="8" spans="1:57" ht="12.75">
      <c r="A8" s="1" t="s">
        <v>40</v>
      </c>
      <c r="B8" s="2"/>
      <c r="C8" s="2"/>
      <c r="D8" s="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164"/>
    </row>
    <row r="9" spans="1:57" ht="12.75">
      <c r="A9" s="94" t="s">
        <v>41</v>
      </c>
      <c r="B9" s="58">
        <v>631.3</v>
      </c>
      <c r="C9" s="47">
        <f>B9*8.65</f>
        <v>5460.745</v>
      </c>
      <c r="D9" s="48">
        <f>C9*0.24088</f>
        <v>1315.3842556</v>
      </c>
      <c r="E9" s="114">
        <v>468.77</v>
      </c>
      <c r="F9" s="114">
        <v>52.88</v>
      </c>
      <c r="G9" s="114">
        <v>632.87</v>
      </c>
      <c r="H9" s="114">
        <v>71.39</v>
      </c>
      <c r="I9" s="114">
        <v>1523.54</v>
      </c>
      <c r="J9" s="114">
        <v>171.86</v>
      </c>
      <c r="K9" s="114">
        <v>1054.76</v>
      </c>
      <c r="L9" s="114">
        <v>118.98</v>
      </c>
      <c r="M9" s="114">
        <v>375.02</v>
      </c>
      <c r="N9" s="114">
        <v>42.3</v>
      </c>
      <c r="O9" s="114">
        <v>0</v>
      </c>
      <c r="P9" s="114">
        <v>0</v>
      </c>
      <c r="Q9" s="114">
        <v>0</v>
      </c>
      <c r="R9" s="114">
        <v>0</v>
      </c>
      <c r="S9" s="59">
        <f>E9+G9+I9+K9+M9+O9+Q9</f>
        <v>4054.9599999999996</v>
      </c>
      <c r="T9" s="61">
        <f>P9+N9+L9+J9+H9+F9+R9</f>
        <v>457.40999999999997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60">
        <v>0</v>
      </c>
      <c r="AA9" s="60">
        <v>0</v>
      </c>
      <c r="AB9" s="60">
        <f>SUM(U9:AA9)</f>
        <v>0</v>
      </c>
      <c r="AC9" s="165">
        <f>D9+T9+AB9</f>
        <v>1772.7942555999998</v>
      </c>
      <c r="AD9" s="166">
        <f>P9+Z9</f>
        <v>0</v>
      </c>
      <c r="AE9" s="64">
        <f>R9+AA9</f>
        <v>0</v>
      </c>
      <c r="AF9" s="64"/>
      <c r="AG9" s="65">
        <f>0.6*B9</f>
        <v>378.78</v>
      </c>
      <c r="AH9" s="65">
        <f>B9*0.2*1.05826</f>
        <v>133.61590759999999</v>
      </c>
      <c r="AI9" s="65">
        <f>0.8518*B9</f>
        <v>537.7413399999999</v>
      </c>
      <c r="AJ9" s="65">
        <f>AI9*0.18</f>
        <v>96.79344119999999</v>
      </c>
      <c r="AK9" s="65">
        <f>1.04*B9*0.9531</f>
        <v>625.7597112</v>
      </c>
      <c r="AL9" s="65">
        <f>AK9*0.18</f>
        <v>112.63674801599998</v>
      </c>
      <c r="AM9" s="65">
        <f>(1.91)*B9*0.9531</f>
        <v>1149.2317772999997</v>
      </c>
      <c r="AN9" s="65">
        <f>AM9*0.18</f>
        <v>206.86171991399993</v>
      </c>
      <c r="AO9" s="65"/>
      <c r="AP9" s="65">
        <f>AO9*0.18</f>
        <v>0</v>
      </c>
      <c r="AQ9" s="66"/>
      <c r="AR9" s="66"/>
      <c r="AS9" s="67">
        <v>18320.72</v>
      </c>
      <c r="AT9" s="67"/>
      <c r="AU9" s="67">
        <f>(AS9+AT9)*0.18</f>
        <v>3297.7296</v>
      </c>
      <c r="AV9" s="68"/>
      <c r="AW9" s="208"/>
      <c r="AX9" s="65">
        <f>AV9*AW9*1.12*1.18</f>
        <v>0</v>
      </c>
      <c r="AY9" s="51"/>
      <c r="AZ9" s="69"/>
      <c r="BA9" s="69">
        <f>AZ9*0.18</f>
        <v>0</v>
      </c>
      <c r="BB9" s="69">
        <f>SUM(AG9:BA9)-AV9-AW9</f>
        <v>24859.87024523</v>
      </c>
      <c r="BC9" s="70"/>
      <c r="BD9" s="144">
        <f>AC9-BB9</f>
        <v>-23087.07598963</v>
      </c>
      <c r="BE9" s="146">
        <f>AB9-S9</f>
        <v>-4054.9599999999996</v>
      </c>
    </row>
    <row r="10" spans="1:57" ht="12.75">
      <c r="A10" s="94" t="s">
        <v>42</v>
      </c>
      <c r="B10" s="58">
        <v>631.3</v>
      </c>
      <c r="C10" s="47">
        <f>B10*8.65</f>
        <v>5460.745</v>
      </c>
      <c r="D10" s="48">
        <f>C10*0.24088</f>
        <v>1315.3842556</v>
      </c>
      <c r="E10" s="114">
        <v>468.77</v>
      </c>
      <c r="F10" s="114">
        <v>52.88</v>
      </c>
      <c r="G10" s="114">
        <v>632.87</v>
      </c>
      <c r="H10" s="114">
        <v>71.39</v>
      </c>
      <c r="I10" s="114">
        <v>1523.54</v>
      </c>
      <c r="J10" s="114">
        <v>171.86</v>
      </c>
      <c r="K10" s="114">
        <v>1054.76</v>
      </c>
      <c r="L10" s="114">
        <v>118.98</v>
      </c>
      <c r="M10" s="114">
        <v>375.02</v>
      </c>
      <c r="N10" s="114">
        <v>42.3</v>
      </c>
      <c r="O10" s="114">
        <v>0</v>
      </c>
      <c r="P10" s="114">
        <v>0</v>
      </c>
      <c r="Q10" s="114">
        <v>0</v>
      </c>
      <c r="R10" s="114">
        <v>0</v>
      </c>
      <c r="S10" s="59">
        <f>E10+G10+I10+K10+M10+O10+Q10</f>
        <v>4054.9599999999996</v>
      </c>
      <c r="T10" s="61">
        <f>P10+N10+L10+J10+H10+F10+R10</f>
        <v>457.40999999999997</v>
      </c>
      <c r="U10" s="59">
        <v>280.32</v>
      </c>
      <c r="V10" s="59">
        <v>378.44</v>
      </c>
      <c r="W10" s="59">
        <v>954.02</v>
      </c>
      <c r="X10" s="59">
        <v>630.7</v>
      </c>
      <c r="Y10" s="59">
        <v>224.25</v>
      </c>
      <c r="Z10" s="60">
        <v>0</v>
      </c>
      <c r="AA10" s="60">
        <v>0</v>
      </c>
      <c r="AB10" s="108">
        <f>SUM(U10:AA10)</f>
        <v>2467.73</v>
      </c>
      <c r="AC10" s="63">
        <f>D10+T10+AB10</f>
        <v>4240.524255599999</v>
      </c>
      <c r="AD10" s="64">
        <f>P10+Z10</f>
        <v>0</v>
      </c>
      <c r="AE10" s="64">
        <f>R10+AA10</f>
        <v>0</v>
      </c>
      <c r="AF10" s="64"/>
      <c r="AG10" s="65">
        <f>0.6*B10</f>
        <v>378.78</v>
      </c>
      <c r="AH10" s="65">
        <f>B10*0.201</f>
        <v>126.8913</v>
      </c>
      <c r="AI10" s="65">
        <f>0.8518*B10</f>
        <v>537.7413399999999</v>
      </c>
      <c r="AJ10" s="65">
        <f>AI10*0.18</f>
        <v>96.79344119999999</v>
      </c>
      <c r="AK10" s="65">
        <f>1.04*B10*0.9531</f>
        <v>625.7597112</v>
      </c>
      <c r="AL10" s="65">
        <f>AK10*0.18</f>
        <v>112.63674801599998</v>
      </c>
      <c r="AM10" s="65">
        <f>(1.91)*B10*0.9531</f>
        <v>1149.2317772999997</v>
      </c>
      <c r="AN10" s="65">
        <f>AM10*0.18</f>
        <v>206.86171991399993</v>
      </c>
      <c r="AO10" s="65"/>
      <c r="AP10" s="65">
        <f>AO10*0.18</f>
        <v>0</v>
      </c>
      <c r="AQ10" s="66"/>
      <c r="AR10" s="66"/>
      <c r="AS10" s="67">
        <v>460</v>
      </c>
      <c r="AT10" s="67"/>
      <c r="AU10" s="67">
        <f>(AS10+AT10)*0.18</f>
        <v>82.8</v>
      </c>
      <c r="AV10" s="68"/>
      <c r="AW10" s="208"/>
      <c r="AX10" s="65">
        <f>AV10*AW10*1.12*1.18</f>
        <v>0</v>
      </c>
      <c r="AY10" s="51"/>
      <c r="AZ10" s="69"/>
      <c r="BA10" s="69">
        <f>AZ10*0.18</f>
        <v>0</v>
      </c>
      <c r="BB10" s="69">
        <f>SUM(AG10:BA10)-AV10-AW10</f>
        <v>3777.4960376299996</v>
      </c>
      <c r="BC10" s="70"/>
      <c r="BD10" s="144">
        <f>AC10-BB10</f>
        <v>463.0282179699998</v>
      </c>
      <c r="BE10" s="146">
        <f>AB10-S10</f>
        <v>-1587.2299999999996</v>
      </c>
    </row>
    <row r="11" spans="1:57" ht="12.75">
      <c r="A11" s="94" t="s">
        <v>43</v>
      </c>
      <c r="B11" s="58">
        <v>631.3</v>
      </c>
      <c r="C11" s="47">
        <f>B11*8.65</f>
        <v>5460.745</v>
      </c>
      <c r="D11" s="48">
        <f>C11*0.24035</f>
        <v>1312.49006075</v>
      </c>
      <c r="E11" s="114">
        <v>475.64</v>
      </c>
      <c r="F11" s="114">
        <v>52.88</v>
      </c>
      <c r="G11" s="114">
        <v>642.14</v>
      </c>
      <c r="H11" s="114">
        <v>71.39</v>
      </c>
      <c r="I11" s="114">
        <v>1545.85</v>
      </c>
      <c r="J11" s="114">
        <v>171.86</v>
      </c>
      <c r="K11" s="114">
        <v>1070.21</v>
      </c>
      <c r="L11" s="114">
        <v>118.98</v>
      </c>
      <c r="M11" s="114">
        <v>380.51</v>
      </c>
      <c r="N11" s="114">
        <v>42.3</v>
      </c>
      <c r="O11" s="114">
        <v>0</v>
      </c>
      <c r="P11" s="62">
        <v>0</v>
      </c>
      <c r="Q11" s="114">
        <v>0</v>
      </c>
      <c r="R11" s="62">
        <v>0</v>
      </c>
      <c r="S11" s="59">
        <f>E11+G11+I11+K11+M11+O11+Q11</f>
        <v>4114.35</v>
      </c>
      <c r="T11" s="61">
        <f>P11+N11+L11+J11+H11+F11+R11</f>
        <v>457.40999999999997</v>
      </c>
      <c r="U11" s="59">
        <v>192.77</v>
      </c>
      <c r="V11" s="59">
        <v>260.27</v>
      </c>
      <c r="W11" s="59">
        <v>626.54</v>
      </c>
      <c r="X11" s="59">
        <v>433.76</v>
      </c>
      <c r="Y11" s="59">
        <v>154.22</v>
      </c>
      <c r="Z11" s="59">
        <v>0</v>
      </c>
      <c r="AA11" s="59">
        <v>0</v>
      </c>
      <c r="AB11" s="108">
        <f>SUM(U11:AA11)</f>
        <v>1667.56</v>
      </c>
      <c r="AC11" s="63">
        <f>D11+T11+AB11</f>
        <v>3437.46006075</v>
      </c>
      <c r="AD11" s="64">
        <f>P11+Z11</f>
        <v>0</v>
      </c>
      <c r="AE11" s="64">
        <f>R11+AA11</f>
        <v>0</v>
      </c>
      <c r="AF11" s="64"/>
      <c r="AG11" s="65">
        <f>0.6*B11</f>
        <v>378.78</v>
      </c>
      <c r="AH11" s="65">
        <f>B11*0.2*1.02524</f>
        <v>129.4468024</v>
      </c>
      <c r="AI11" s="65">
        <f>0.84932*B11</f>
        <v>536.175716</v>
      </c>
      <c r="AJ11" s="65">
        <f>AI11*0.18</f>
        <v>96.51162887999999</v>
      </c>
      <c r="AK11" s="65">
        <f>1.04*B11*0.95033</f>
        <v>623.94106216</v>
      </c>
      <c r="AL11" s="65">
        <f>AK11*0.18</f>
        <v>112.30939118879999</v>
      </c>
      <c r="AM11" s="65">
        <f>(1.91)*B11*0.95033</f>
        <v>1145.89175839</v>
      </c>
      <c r="AN11" s="65">
        <f>AM11*0.18</f>
        <v>206.26051651019998</v>
      </c>
      <c r="AO11" s="65"/>
      <c r="AP11" s="65">
        <f>AO11*0.18</f>
        <v>0</v>
      </c>
      <c r="AQ11" s="66"/>
      <c r="AR11" s="66"/>
      <c r="AS11" s="67">
        <v>1309</v>
      </c>
      <c r="AT11" s="67"/>
      <c r="AU11" s="67">
        <f>(AS11+AT11)*0.18</f>
        <v>235.62</v>
      </c>
      <c r="AV11" s="68"/>
      <c r="AW11" s="208"/>
      <c r="AX11" s="65">
        <f>AV11*AW11*1.12*1.18</f>
        <v>0</v>
      </c>
      <c r="AY11" s="51"/>
      <c r="AZ11" s="69"/>
      <c r="BA11" s="69">
        <f>AZ11*0.18</f>
        <v>0</v>
      </c>
      <c r="BB11" s="69">
        <f>SUM(AG11:BA11)-AV11-AW11</f>
        <v>4773.936875529</v>
      </c>
      <c r="BC11" s="70"/>
      <c r="BD11" s="144">
        <f>AC11-BB11</f>
        <v>-1336.4768147789996</v>
      </c>
      <c r="BE11" s="146">
        <f>AB11-S11</f>
        <v>-2446.7900000000004</v>
      </c>
    </row>
    <row r="12" spans="1:57" s="9" customFormat="1" ht="15" customHeight="1">
      <c r="A12" s="6" t="s">
        <v>5</v>
      </c>
      <c r="B12" s="27"/>
      <c r="C12" s="27">
        <f aca="true" t="shared" si="0" ref="C12:BE12">SUM(C9:C11)</f>
        <v>16382.235</v>
      </c>
      <c r="D12" s="27">
        <f t="shared" si="0"/>
        <v>3943.2585719500003</v>
      </c>
      <c r="E12" s="25">
        <f>SUM(E9:E11)</f>
        <v>1413.1799999999998</v>
      </c>
      <c r="F12" s="25">
        <f t="shared" si="0"/>
        <v>158.64000000000001</v>
      </c>
      <c r="G12" s="25">
        <f t="shared" si="0"/>
        <v>1907.88</v>
      </c>
      <c r="H12" s="25">
        <f t="shared" si="0"/>
        <v>214.17000000000002</v>
      </c>
      <c r="I12" s="25">
        <f t="shared" si="0"/>
        <v>4592.93</v>
      </c>
      <c r="J12" s="25">
        <f t="shared" si="0"/>
        <v>515.58</v>
      </c>
      <c r="K12" s="25">
        <f t="shared" si="0"/>
        <v>3179.73</v>
      </c>
      <c r="L12" s="25">
        <f t="shared" si="0"/>
        <v>356.94</v>
      </c>
      <c r="M12" s="25">
        <f t="shared" si="0"/>
        <v>1130.55</v>
      </c>
      <c r="N12" s="25">
        <f t="shared" si="0"/>
        <v>126.89999999999999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12224.27</v>
      </c>
      <c r="T12" s="25">
        <f t="shared" si="0"/>
        <v>1372.23</v>
      </c>
      <c r="U12" s="28">
        <f t="shared" si="0"/>
        <v>473.09000000000003</v>
      </c>
      <c r="V12" s="28">
        <f t="shared" si="0"/>
        <v>638.71</v>
      </c>
      <c r="W12" s="28">
        <f t="shared" si="0"/>
        <v>1580.56</v>
      </c>
      <c r="X12" s="28">
        <f t="shared" si="0"/>
        <v>1064.46</v>
      </c>
      <c r="Y12" s="28">
        <f t="shared" si="0"/>
        <v>378.47</v>
      </c>
      <c r="Z12" s="28">
        <f t="shared" si="0"/>
        <v>0</v>
      </c>
      <c r="AA12" s="28">
        <f t="shared" si="0"/>
        <v>0</v>
      </c>
      <c r="AB12" s="28">
        <f t="shared" si="0"/>
        <v>4135.29</v>
      </c>
      <c r="AC12" s="28">
        <f t="shared" si="0"/>
        <v>9450.778571949999</v>
      </c>
      <c r="AD12" s="28">
        <f>SUM(AD9:AD11)</f>
        <v>0</v>
      </c>
      <c r="AE12" s="45">
        <f t="shared" si="0"/>
        <v>0</v>
      </c>
      <c r="AF12" s="45">
        <f t="shared" si="0"/>
        <v>0</v>
      </c>
      <c r="AG12" s="7">
        <f t="shared" si="0"/>
        <v>1136.34</v>
      </c>
      <c r="AH12" s="7">
        <f t="shared" si="0"/>
        <v>389.95401000000004</v>
      </c>
      <c r="AI12" s="7">
        <f t="shared" si="0"/>
        <v>1611.6583959999998</v>
      </c>
      <c r="AJ12" s="7">
        <f t="shared" si="0"/>
        <v>290.09851127999997</v>
      </c>
      <c r="AK12" s="7">
        <f t="shared" si="0"/>
        <v>1875.46048456</v>
      </c>
      <c r="AL12" s="7">
        <f t="shared" si="0"/>
        <v>337.5828872208</v>
      </c>
      <c r="AM12" s="7">
        <f>SUM(AM9:AM11)</f>
        <v>3444.355312989999</v>
      </c>
      <c r="AN12" s="7">
        <f>SUM(AN9:AN11)</f>
        <v>619.9839563381998</v>
      </c>
      <c r="AO12" s="7">
        <f t="shared" si="0"/>
        <v>0</v>
      </c>
      <c r="AP12" s="7">
        <f t="shared" si="0"/>
        <v>0</v>
      </c>
      <c r="AQ12" s="7">
        <f>SUM(AQ9:AQ11)</f>
        <v>0</v>
      </c>
      <c r="AR12" s="7">
        <f>SUM(AR9:AR11)</f>
        <v>0</v>
      </c>
      <c r="AS12" s="7">
        <f>SUM(AS9:AS11)</f>
        <v>20089.72</v>
      </c>
      <c r="AT12" s="7">
        <f>SUM(AT9:AT11)</f>
        <v>0</v>
      </c>
      <c r="AU12" s="7">
        <f>SUM(AU9:AU11)</f>
        <v>3616.1496</v>
      </c>
      <c r="AV12" s="7"/>
      <c r="AW12" s="7"/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33411.303158389</v>
      </c>
      <c r="BC12" s="7">
        <f t="shared" si="0"/>
        <v>0</v>
      </c>
      <c r="BD12" s="7">
        <f t="shared" si="0"/>
        <v>-23960.524586438998</v>
      </c>
      <c r="BE12" s="8">
        <f t="shared" si="0"/>
        <v>-8088.98</v>
      </c>
    </row>
    <row r="13" spans="1:57" ht="15" customHeight="1">
      <c r="A13" s="1" t="s">
        <v>44</v>
      </c>
      <c r="B13" s="163"/>
      <c r="C13" s="26"/>
      <c r="D13" s="26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71"/>
      <c r="S13" s="171"/>
      <c r="T13" s="171"/>
      <c r="U13" s="172"/>
      <c r="V13" s="172"/>
      <c r="W13" s="172"/>
      <c r="X13" s="172"/>
      <c r="Y13" s="172"/>
      <c r="Z13" s="172"/>
      <c r="AA13" s="173"/>
      <c r="AB13" s="173"/>
      <c r="AC13" s="44"/>
      <c r="AD13" s="44"/>
      <c r="AE13" s="175"/>
      <c r="AF13" s="175"/>
      <c r="AG13" s="144"/>
      <c r="AH13" s="144"/>
      <c r="AI13" s="144"/>
      <c r="AJ13" s="144"/>
      <c r="AK13" s="144"/>
      <c r="AL13" s="144"/>
      <c r="AM13" s="144"/>
      <c r="AN13" s="144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4"/>
      <c r="BB13" s="144"/>
      <c r="BC13" s="144"/>
      <c r="BD13" s="144"/>
      <c r="BE13" s="146"/>
    </row>
    <row r="14" spans="1:57" ht="12.75">
      <c r="A14" s="94" t="s">
        <v>45</v>
      </c>
      <c r="B14" s="72">
        <v>631.3</v>
      </c>
      <c r="C14" s="47">
        <f aca="true" t="shared" si="1" ref="C14:C25">B14*8.65</f>
        <v>5460.745</v>
      </c>
      <c r="D14" s="48">
        <f>C14*0.125</f>
        <v>682.593125</v>
      </c>
      <c r="E14" s="114">
        <v>475.64</v>
      </c>
      <c r="F14" s="114">
        <v>52.88</v>
      </c>
      <c r="G14" s="114">
        <v>642.14</v>
      </c>
      <c r="H14" s="114">
        <v>71.39</v>
      </c>
      <c r="I14" s="114">
        <v>1545.85</v>
      </c>
      <c r="J14" s="114">
        <v>171.86</v>
      </c>
      <c r="K14" s="114">
        <v>1070.21</v>
      </c>
      <c r="L14" s="114">
        <v>118.98</v>
      </c>
      <c r="M14" s="114">
        <v>380.51</v>
      </c>
      <c r="N14" s="114">
        <v>42.3</v>
      </c>
      <c r="O14" s="114">
        <v>0</v>
      </c>
      <c r="P14" s="62">
        <v>0</v>
      </c>
      <c r="Q14" s="114">
        <v>0</v>
      </c>
      <c r="R14" s="62">
        <v>0</v>
      </c>
      <c r="S14" s="59">
        <f aca="true" t="shared" si="2" ref="S14:S25">E14+G14+I14+K14+M14+O14+Q14</f>
        <v>4114.35</v>
      </c>
      <c r="T14" s="61">
        <f aca="true" t="shared" si="3" ref="T14:T25">P14+N14+L14+J14+H14+F14+R14</f>
        <v>457.40999999999997</v>
      </c>
      <c r="U14" s="59">
        <v>344.95</v>
      </c>
      <c r="V14" s="59">
        <v>465.71</v>
      </c>
      <c r="W14" s="59">
        <v>1121.11</v>
      </c>
      <c r="X14" s="59">
        <v>776.15</v>
      </c>
      <c r="Y14" s="59">
        <v>275.97</v>
      </c>
      <c r="Z14" s="60">
        <v>0</v>
      </c>
      <c r="AA14" s="60">
        <v>0</v>
      </c>
      <c r="AB14" s="49">
        <f aca="true" t="shared" si="4" ref="AB14:AB22">SUM(U14:AA14)</f>
        <v>2983.8900000000003</v>
      </c>
      <c r="AC14" s="63">
        <f aca="true" t="shared" si="5" ref="AC14:AC22">D14+T14+AB14</f>
        <v>4123.8931250000005</v>
      </c>
      <c r="AD14" s="64">
        <f aca="true" t="shared" si="6" ref="AD14:AD25">P14+Z14</f>
        <v>0</v>
      </c>
      <c r="AE14" s="64">
        <f aca="true" t="shared" si="7" ref="AE14:AE25">R14+AA14</f>
        <v>0</v>
      </c>
      <c r="AF14" s="64"/>
      <c r="AG14" s="65">
        <f>0.6*B14*0.9</f>
        <v>340.902</v>
      </c>
      <c r="AH14" s="65">
        <f>B14*0.2*0.891</f>
        <v>112.49766</v>
      </c>
      <c r="AI14" s="65">
        <f>0.85*B14*0.867-0.02</f>
        <v>465.2165349999999</v>
      </c>
      <c r="AJ14" s="65">
        <f>AI14*0.18</f>
        <v>83.73897629999998</v>
      </c>
      <c r="AK14" s="65">
        <f>0.83*B14*0.8686</f>
        <v>455.12815939999996</v>
      </c>
      <c r="AL14" s="65">
        <f aca="true" t="shared" si="8" ref="AL14:AL25">AK14*0.18</f>
        <v>81.92306869199999</v>
      </c>
      <c r="AM14" s="65">
        <f>1.91*B14*0.8686</f>
        <v>1047.3431137999999</v>
      </c>
      <c r="AN14" s="65">
        <f aca="true" t="shared" si="9" ref="AN14:AN25">AM14*0.18</f>
        <v>188.52176048399997</v>
      </c>
      <c r="AO14" s="65"/>
      <c r="AP14" s="65">
        <f aca="true" t="shared" si="10" ref="AP14:AR25">AO14*0.18</f>
        <v>0</v>
      </c>
      <c r="AQ14" s="66"/>
      <c r="AR14" s="66">
        <f>AQ14*0.18</f>
        <v>0</v>
      </c>
      <c r="AS14" s="67">
        <v>9050</v>
      </c>
      <c r="AT14" s="67"/>
      <c r="AU14" s="67">
        <f>(AS14+AT14)*0.18+0.01</f>
        <v>1629.01</v>
      </c>
      <c r="AV14" s="68">
        <v>508</v>
      </c>
      <c r="AW14" s="209">
        <v>0.55</v>
      </c>
      <c r="AX14" s="53">
        <f>AV14*AW14*1.12*1.18</f>
        <v>369.25504000000006</v>
      </c>
      <c r="AY14" s="53"/>
      <c r="AZ14" s="210"/>
      <c r="BA14" s="210">
        <f>AZ14*0.18</f>
        <v>0</v>
      </c>
      <c r="BB14" s="69">
        <f>SUM(AG14:AU14)+AX14</f>
        <v>13823.536313676</v>
      </c>
      <c r="BC14" s="70"/>
      <c r="BD14" s="144">
        <f>AC14+AF14-BB14-BC14</f>
        <v>-9699.643188676</v>
      </c>
      <c r="BE14" s="146">
        <f>AB14-S14</f>
        <v>-1130.46</v>
      </c>
    </row>
    <row r="15" spans="1:57" ht="12.75">
      <c r="A15" s="94" t="s">
        <v>46</v>
      </c>
      <c r="B15" s="72">
        <v>631.3</v>
      </c>
      <c r="C15" s="47">
        <f t="shared" si="1"/>
        <v>5460.745</v>
      </c>
      <c r="D15" s="48">
        <f>C15*0.125</f>
        <v>682.593125</v>
      </c>
      <c r="E15" s="114">
        <v>427.99</v>
      </c>
      <c r="F15" s="114">
        <v>52.89</v>
      </c>
      <c r="G15" s="114">
        <v>577.82</v>
      </c>
      <c r="H15" s="114">
        <v>71.39</v>
      </c>
      <c r="I15" s="114">
        <v>1391</v>
      </c>
      <c r="J15" s="114">
        <v>171.86</v>
      </c>
      <c r="K15" s="114">
        <v>963.01</v>
      </c>
      <c r="L15" s="114">
        <v>118.97</v>
      </c>
      <c r="M15" s="114">
        <v>342.41</v>
      </c>
      <c r="N15" s="114">
        <v>42.3</v>
      </c>
      <c r="O15" s="114">
        <v>0</v>
      </c>
      <c r="P15" s="62">
        <v>0</v>
      </c>
      <c r="Q15" s="114">
        <v>0</v>
      </c>
      <c r="R15" s="62">
        <v>0</v>
      </c>
      <c r="S15" s="59">
        <f t="shared" si="2"/>
        <v>3702.2299999999996</v>
      </c>
      <c r="T15" s="61">
        <f t="shared" si="3"/>
        <v>457.40999999999997</v>
      </c>
      <c r="U15" s="59">
        <v>602.37</v>
      </c>
      <c r="V15" s="59">
        <v>813.22</v>
      </c>
      <c r="W15" s="59">
        <v>1922.9</v>
      </c>
      <c r="X15" s="59">
        <v>1355.37</v>
      </c>
      <c r="Y15" s="59">
        <v>481.91</v>
      </c>
      <c r="Z15" s="60">
        <v>0</v>
      </c>
      <c r="AA15" s="60">
        <v>0</v>
      </c>
      <c r="AB15" s="108">
        <f t="shared" si="4"/>
        <v>5175.77</v>
      </c>
      <c r="AC15" s="63">
        <f t="shared" si="5"/>
        <v>6315.773125000001</v>
      </c>
      <c r="AD15" s="64">
        <f t="shared" si="6"/>
        <v>0</v>
      </c>
      <c r="AE15" s="64">
        <f t="shared" si="7"/>
        <v>0</v>
      </c>
      <c r="AF15" s="64"/>
      <c r="AG15" s="65">
        <f>0.6*B15*0.9</f>
        <v>340.902</v>
      </c>
      <c r="AH15" s="65">
        <f>B15*0.2*0.9153</f>
        <v>115.565778</v>
      </c>
      <c r="AI15" s="65">
        <f>0.85*B15*0.866</f>
        <v>464.69992999999994</v>
      </c>
      <c r="AJ15" s="65">
        <f>AI15*0.18</f>
        <v>83.64598739999998</v>
      </c>
      <c r="AK15" s="65">
        <f>0.83*B15*0.8685</f>
        <v>455.07576149999994</v>
      </c>
      <c r="AL15" s="65">
        <f t="shared" si="8"/>
        <v>81.91363707</v>
      </c>
      <c r="AM15" s="65">
        <f>(1.91)*B15*0.8684</f>
        <v>1047.1019571999998</v>
      </c>
      <c r="AN15" s="65">
        <f t="shared" si="9"/>
        <v>188.47835229599997</v>
      </c>
      <c r="AO15" s="65"/>
      <c r="AP15" s="65">
        <f t="shared" si="10"/>
        <v>0</v>
      </c>
      <c r="AQ15" s="66"/>
      <c r="AR15" s="66">
        <f>AQ15*0.18</f>
        <v>0</v>
      </c>
      <c r="AS15" s="67">
        <v>5800</v>
      </c>
      <c r="AT15" s="67"/>
      <c r="AU15" s="67">
        <f aca="true" t="shared" si="11" ref="AU15:AU25">(AS15+AT15)*0.18</f>
        <v>1044</v>
      </c>
      <c r="AV15" s="68">
        <v>407</v>
      </c>
      <c r="AW15" s="208">
        <v>0.55</v>
      </c>
      <c r="AX15" s="65">
        <f>AV15*AW15*1.12*1.18</f>
        <v>295.84016</v>
      </c>
      <c r="AY15" s="51"/>
      <c r="AZ15" s="69"/>
      <c r="BA15" s="69">
        <f>AZ15*0.18</f>
        <v>0</v>
      </c>
      <c r="BB15" s="69">
        <f aca="true" t="shared" si="12" ref="BB15:BB25">SUM(AG15:AU15)+AX15</f>
        <v>9917.223563466</v>
      </c>
      <c r="BC15" s="167"/>
      <c r="BD15" s="144">
        <f aca="true" t="shared" si="13" ref="BD15:BD24">AC15+AF15-BB15-BC15</f>
        <v>-3601.4504384659986</v>
      </c>
      <c r="BE15" s="146">
        <f aca="true" t="shared" si="14" ref="BE15:BE20">AB15-S15</f>
        <v>1473.5400000000009</v>
      </c>
    </row>
    <row r="16" spans="1:57" ht="12.75">
      <c r="A16" s="94" t="s">
        <v>47</v>
      </c>
      <c r="B16" s="186">
        <v>631.3</v>
      </c>
      <c r="C16" s="47">
        <f t="shared" si="1"/>
        <v>5460.745</v>
      </c>
      <c r="D16" s="48">
        <f>C16*0.125</f>
        <v>682.593125</v>
      </c>
      <c r="E16" s="114">
        <v>475.64</v>
      </c>
      <c r="F16" s="114">
        <v>52.88</v>
      </c>
      <c r="G16" s="114">
        <v>642.14</v>
      </c>
      <c r="H16" s="114">
        <v>71.39</v>
      </c>
      <c r="I16" s="114">
        <v>1545.85</v>
      </c>
      <c r="J16" s="114">
        <v>171.86</v>
      </c>
      <c r="K16" s="114">
        <v>1070.21</v>
      </c>
      <c r="L16" s="114">
        <v>118.98</v>
      </c>
      <c r="M16" s="114">
        <v>380.51</v>
      </c>
      <c r="N16" s="114">
        <v>42.3</v>
      </c>
      <c r="O16" s="114">
        <v>0</v>
      </c>
      <c r="P16" s="62">
        <v>0</v>
      </c>
      <c r="Q16" s="114">
        <v>0</v>
      </c>
      <c r="R16" s="62">
        <v>0</v>
      </c>
      <c r="S16" s="43">
        <f t="shared" si="2"/>
        <v>4114.35</v>
      </c>
      <c r="T16" s="211">
        <f t="shared" si="3"/>
        <v>457.40999999999997</v>
      </c>
      <c r="U16" s="43">
        <v>303.38</v>
      </c>
      <c r="V16" s="43">
        <v>409.57</v>
      </c>
      <c r="W16" s="43">
        <v>979.24</v>
      </c>
      <c r="X16" s="43">
        <v>682.62</v>
      </c>
      <c r="Y16" s="43">
        <v>242.71</v>
      </c>
      <c r="Z16" s="52">
        <v>0</v>
      </c>
      <c r="AA16" s="52">
        <v>0</v>
      </c>
      <c r="AB16" s="49">
        <f t="shared" si="4"/>
        <v>2617.52</v>
      </c>
      <c r="AC16" s="63">
        <f t="shared" si="5"/>
        <v>3757.5231249999997</v>
      </c>
      <c r="AD16" s="64">
        <f t="shared" si="6"/>
        <v>0</v>
      </c>
      <c r="AE16" s="64">
        <f t="shared" si="7"/>
        <v>0</v>
      </c>
      <c r="AF16" s="64"/>
      <c r="AG16" s="53">
        <f>0.6*B16*0.9</f>
        <v>340.902</v>
      </c>
      <c r="AH16" s="53">
        <f>B16*0.2*0.9082-0.01</f>
        <v>114.65933199999999</v>
      </c>
      <c r="AI16" s="65">
        <f>0.85*B16*0.8675+0.01</f>
        <v>465.51483749999994</v>
      </c>
      <c r="AJ16" s="65">
        <f aca="true" t="shared" si="15" ref="AJ16:AJ25">AI16*0.18</f>
        <v>83.79267074999998</v>
      </c>
      <c r="AK16" s="53">
        <f>0.83*B16*0.838</f>
        <v>439.09440199999995</v>
      </c>
      <c r="AL16" s="65">
        <f t="shared" si="8"/>
        <v>79.03699235999999</v>
      </c>
      <c r="AM16" s="65">
        <f>1.91*B16*0.838</f>
        <v>1010.4461539999999</v>
      </c>
      <c r="AN16" s="65">
        <f t="shared" si="9"/>
        <v>181.88030771999996</v>
      </c>
      <c r="AO16" s="65"/>
      <c r="AP16" s="65">
        <f t="shared" si="10"/>
        <v>0</v>
      </c>
      <c r="AQ16" s="66"/>
      <c r="AR16" s="66">
        <f>AQ16*0.18</f>
        <v>0</v>
      </c>
      <c r="AS16" s="67">
        <v>796</v>
      </c>
      <c r="AT16" s="67"/>
      <c r="AU16" s="67">
        <f t="shared" si="11"/>
        <v>143.28</v>
      </c>
      <c r="AV16" s="68">
        <v>383</v>
      </c>
      <c r="AW16" s="208">
        <v>0.55</v>
      </c>
      <c r="AX16" s="53">
        <f aca="true" t="shared" si="16" ref="AX16:AX25">AV16*AW16*1.12*1.18</f>
        <v>278.39504</v>
      </c>
      <c r="AY16" s="53"/>
      <c r="AZ16" s="210"/>
      <c r="BA16" s="210">
        <f>AZ16*0.18</f>
        <v>0</v>
      </c>
      <c r="BB16" s="69">
        <f t="shared" si="12"/>
        <v>3933.00173633</v>
      </c>
      <c r="BC16" s="167"/>
      <c r="BD16" s="144">
        <f t="shared" si="13"/>
        <v>-175.47861133000015</v>
      </c>
      <c r="BE16" s="146">
        <f t="shared" si="14"/>
        <v>-1496.8300000000004</v>
      </c>
    </row>
    <row r="17" spans="1:57" ht="12.75">
      <c r="A17" s="94" t="s">
        <v>48</v>
      </c>
      <c r="B17" s="187">
        <v>631.3</v>
      </c>
      <c r="C17" s="47">
        <f t="shared" si="1"/>
        <v>5460.745</v>
      </c>
      <c r="D17" s="48">
        <f>C17*0.125</f>
        <v>682.593125</v>
      </c>
      <c r="E17" s="188">
        <v>473.1</v>
      </c>
      <c r="F17" s="188">
        <v>52.88</v>
      </c>
      <c r="G17" s="188">
        <v>638.72</v>
      </c>
      <c r="H17" s="188">
        <v>71.39</v>
      </c>
      <c r="I17" s="188">
        <v>1537.66</v>
      </c>
      <c r="J17" s="188">
        <v>171.86</v>
      </c>
      <c r="K17" s="188">
        <v>1064.5</v>
      </c>
      <c r="L17" s="188">
        <v>118.98</v>
      </c>
      <c r="M17" s="188">
        <v>378.48</v>
      </c>
      <c r="N17" s="188">
        <v>42.3</v>
      </c>
      <c r="O17" s="188">
        <v>0</v>
      </c>
      <c r="P17" s="189">
        <v>0</v>
      </c>
      <c r="Q17" s="188">
        <v>0</v>
      </c>
      <c r="R17" s="189">
        <v>0</v>
      </c>
      <c r="S17" s="59">
        <f t="shared" si="2"/>
        <v>4092.4600000000005</v>
      </c>
      <c r="T17" s="61">
        <f t="shared" si="3"/>
        <v>457.40999999999997</v>
      </c>
      <c r="U17" s="59">
        <v>257.76</v>
      </c>
      <c r="V17" s="59">
        <v>348</v>
      </c>
      <c r="W17" s="59">
        <v>836.37</v>
      </c>
      <c r="X17" s="59">
        <v>579.95</v>
      </c>
      <c r="Y17" s="59">
        <v>206.19</v>
      </c>
      <c r="Z17" s="59">
        <v>0</v>
      </c>
      <c r="AA17" s="59">
        <v>0</v>
      </c>
      <c r="AB17" s="49">
        <f t="shared" si="4"/>
        <v>2228.27</v>
      </c>
      <c r="AC17" s="63">
        <f t="shared" si="5"/>
        <v>3368.2731249999997</v>
      </c>
      <c r="AD17" s="64">
        <f t="shared" si="6"/>
        <v>0</v>
      </c>
      <c r="AE17" s="64">
        <f t="shared" si="7"/>
        <v>0</v>
      </c>
      <c r="AF17" s="64"/>
      <c r="AG17" s="65">
        <f>0.6*B17*0.9</f>
        <v>340.902</v>
      </c>
      <c r="AH17" s="53">
        <f>B17*0.2*0.9234</f>
        <v>116.588484</v>
      </c>
      <c r="AI17" s="65">
        <f>0.85*B17*0.893</f>
        <v>479.18826499999994</v>
      </c>
      <c r="AJ17" s="65">
        <f t="shared" si="15"/>
        <v>86.25388769999999</v>
      </c>
      <c r="AK17" s="65">
        <f>0.83*B17*0.8498</f>
        <v>445.27735419999993</v>
      </c>
      <c r="AL17" s="65">
        <f t="shared" si="8"/>
        <v>80.14992375599998</v>
      </c>
      <c r="AM17" s="65">
        <f>(1.91)*B17*0.8498</f>
        <v>1024.6743933999999</v>
      </c>
      <c r="AN17" s="65">
        <f t="shared" si="9"/>
        <v>184.44139081199998</v>
      </c>
      <c r="AO17" s="65"/>
      <c r="AP17" s="65">
        <f t="shared" si="10"/>
        <v>0</v>
      </c>
      <c r="AQ17" s="66"/>
      <c r="AR17" s="66">
        <f t="shared" si="10"/>
        <v>0</v>
      </c>
      <c r="AS17" s="67">
        <v>310</v>
      </c>
      <c r="AT17" s="67"/>
      <c r="AU17" s="67">
        <f t="shared" si="11"/>
        <v>55.8</v>
      </c>
      <c r="AV17" s="68">
        <v>307</v>
      </c>
      <c r="AW17" s="208">
        <v>0.55</v>
      </c>
      <c r="AX17" s="65">
        <f t="shared" si="16"/>
        <v>223.15216000000004</v>
      </c>
      <c r="AY17" s="212"/>
      <c r="AZ17" s="51"/>
      <c r="BA17" s="210">
        <f aca="true" t="shared" si="17" ref="BA17:BA25">AZ17*0.18</f>
        <v>0</v>
      </c>
      <c r="BB17" s="69">
        <f t="shared" si="12"/>
        <v>3346.427858868</v>
      </c>
      <c r="BC17" s="167"/>
      <c r="BD17" s="144">
        <f t="shared" si="13"/>
        <v>21.84526613199978</v>
      </c>
      <c r="BE17" s="146">
        <f t="shared" si="14"/>
        <v>-1864.1900000000005</v>
      </c>
    </row>
    <row r="18" spans="1:57" ht="12.75">
      <c r="A18" s="94" t="s">
        <v>49</v>
      </c>
      <c r="B18" s="186">
        <v>631.3</v>
      </c>
      <c r="C18" s="47">
        <f t="shared" si="1"/>
        <v>5460.745</v>
      </c>
      <c r="D18" s="54">
        <f aca="true" t="shared" si="18" ref="D18:D25">C18-E18-F18-G18-H18-I18-J18-K18-L18-M18-N18</f>
        <v>436.77500000000043</v>
      </c>
      <c r="E18" s="188">
        <v>520.42</v>
      </c>
      <c r="F18" s="188">
        <v>59.49</v>
      </c>
      <c r="G18" s="188">
        <v>704.82</v>
      </c>
      <c r="H18" s="188">
        <v>80.64</v>
      </c>
      <c r="I18" s="188">
        <v>1693.61</v>
      </c>
      <c r="J18" s="188">
        <v>193.68</v>
      </c>
      <c r="K18" s="188">
        <v>1173.2</v>
      </c>
      <c r="L18" s="188">
        <v>134.19</v>
      </c>
      <c r="M18" s="188">
        <v>416.33</v>
      </c>
      <c r="N18" s="188">
        <v>47.59</v>
      </c>
      <c r="O18" s="188">
        <v>0</v>
      </c>
      <c r="P18" s="189">
        <v>0</v>
      </c>
      <c r="Q18" s="188">
        <v>0</v>
      </c>
      <c r="R18" s="189">
        <v>0</v>
      </c>
      <c r="S18" s="43">
        <f t="shared" si="2"/>
        <v>4508.38</v>
      </c>
      <c r="T18" s="211">
        <f t="shared" si="3"/>
        <v>515.59</v>
      </c>
      <c r="U18" s="43">
        <v>444.17</v>
      </c>
      <c r="V18" s="43">
        <v>599.66</v>
      </c>
      <c r="W18" s="43">
        <v>1443.6</v>
      </c>
      <c r="X18" s="43">
        <v>999.41</v>
      </c>
      <c r="Y18" s="43">
        <v>355.36</v>
      </c>
      <c r="Z18" s="52">
        <v>0</v>
      </c>
      <c r="AA18" s="52">
        <v>0</v>
      </c>
      <c r="AB18" s="49">
        <f t="shared" si="4"/>
        <v>3842.2</v>
      </c>
      <c r="AC18" s="63">
        <f t="shared" si="5"/>
        <v>4794.5650000000005</v>
      </c>
      <c r="AD18" s="64">
        <f t="shared" si="6"/>
        <v>0</v>
      </c>
      <c r="AE18" s="64">
        <f t="shared" si="7"/>
        <v>0</v>
      </c>
      <c r="AF18" s="64"/>
      <c r="AG18" s="65">
        <f aca="true" t="shared" si="19" ref="AG18:AG25">0.6*B18</f>
        <v>378.78</v>
      </c>
      <c r="AH18" s="65">
        <f>B18*0.2*1.01</f>
        <v>127.5226</v>
      </c>
      <c r="AI18" s="65">
        <f>0.85*B18</f>
        <v>536.6049999999999</v>
      </c>
      <c r="AJ18" s="65">
        <f t="shared" si="15"/>
        <v>96.58889999999998</v>
      </c>
      <c r="AK18" s="65">
        <f>0.83*B18</f>
        <v>523.9789999999999</v>
      </c>
      <c r="AL18" s="65">
        <f t="shared" si="8"/>
        <v>94.31621999999999</v>
      </c>
      <c r="AM18" s="65">
        <f>(1.91)*B18</f>
        <v>1205.783</v>
      </c>
      <c r="AN18" s="65">
        <f t="shared" si="9"/>
        <v>217.04093999999998</v>
      </c>
      <c r="AO18" s="65"/>
      <c r="AP18" s="65">
        <f t="shared" si="10"/>
        <v>0</v>
      </c>
      <c r="AQ18" s="66"/>
      <c r="AR18" s="66">
        <f t="shared" si="10"/>
        <v>0</v>
      </c>
      <c r="AS18" s="67"/>
      <c r="AT18" s="67"/>
      <c r="AU18" s="67">
        <f t="shared" si="11"/>
        <v>0</v>
      </c>
      <c r="AV18" s="68">
        <v>263</v>
      </c>
      <c r="AW18" s="208">
        <v>0.55</v>
      </c>
      <c r="AX18" s="53">
        <f t="shared" si="16"/>
        <v>191.16944</v>
      </c>
      <c r="AY18" s="53"/>
      <c r="AZ18" s="210"/>
      <c r="BA18" s="210">
        <f t="shared" si="17"/>
        <v>0</v>
      </c>
      <c r="BB18" s="69">
        <f t="shared" si="12"/>
        <v>3371.7850999999996</v>
      </c>
      <c r="BC18" s="167"/>
      <c r="BD18" s="144">
        <f t="shared" si="13"/>
        <v>1422.779900000001</v>
      </c>
      <c r="BE18" s="146">
        <f t="shared" si="14"/>
        <v>-666.1800000000003</v>
      </c>
    </row>
    <row r="19" spans="1:57" ht="12.75">
      <c r="A19" s="94" t="s">
        <v>50</v>
      </c>
      <c r="B19" s="186">
        <v>631.3</v>
      </c>
      <c r="C19" s="47">
        <f t="shared" si="1"/>
        <v>5460.745</v>
      </c>
      <c r="D19" s="54">
        <f t="shared" si="18"/>
        <v>436.77500000000043</v>
      </c>
      <c r="E19" s="188">
        <v>520.42</v>
      </c>
      <c r="F19" s="188">
        <v>59.49</v>
      </c>
      <c r="G19" s="188">
        <v>704.82</v>
      </c>
      <c r="H19" s="188">
        <v>80.64</v>
      </c>
      <c r="I19" s="188">
        <v>1693.61</v>
      </c>
      <c r="J19" s="188">
        <v>193.68</v>
      </c>
      <c r="K19" s="188">
        <v>1173.2</v>
      </c>
      <c r="L19" s="188">
        <v>134.19</v>
      </c>
      <c r="M19" s="188">
        <v>416.33</v>
      </c>
      <c r="N19" s="188">
        <v>47.59</v>
      </c>
      <c r="O19" s="188">
        <v>0</v>
      </c>
      <c r="P19" s="189">
        <v>0</v>
      </c>
      <c r="Q19" s="188">
        <v>0</v>
      </c>
      <c r="R19" s="189">
        <v>0</v>
      </c>
      <c r="S19" s="59">
        <f t="shared" si="2"/>
        <v>4508.38</v>
      </c>
      <c r="T19" s="61">
        <f t="shared" si="3"/>
        <v>515.59</v>
      </c>
      <c r="U19" s="43">
        <v>393.45</v>
      </c>
      <c r="V19" s="43">
        <v>532.43</v>
      </c>
      <c r="W19" s="43">
        <v>1280</v>
      </c>
      <c r="X19" s="43">
        <v>886.48</v>
      </c>
      <c r="Y19" s="43">
        <v>314.72</v>
      </c>
      <c r="Z19" s="52">
        <v>0</v>
      </c>
      <c r="AA19" s="52">
        <v>0</v>
      </c>
      <c r="AB19" s="49">
        <f t="shared" si="4"/>
        <v>3407.08</v>
      </c>
      <c r="AC19" s="63">
        <f t="shared" si="5"/>
        <v>4359.445000000001</v>
      </c>
      <c r="AD19" s="64">
        <f t="shared" si="6"/>
        <v>0</v>
      </c>
      <c r="AE19" s="64">
        <f t="shared" si="7"/>
        <v>0</v>
      </c>
      <c r="AF19" s="213"/>
      <c r="AG19" s="65">
        <f t="shared" si="19"/>
        <v>378.78</v>
      </c>
      <c r="AH19" s="65">
        <f>B19*0.2*1.01045</f>
        <v>127.579417</v>
      </c>
      <c r="AI19" s="65">
        <f>0.85*B19</f>
        <v>536.6049999999999</v>
      </c>
      <c r="AJ19" s="65">
        <f t="shared" si="15"/>
        <v>96.58889999999998</v>
      </c>
      <c r="AK19" s="65">
        <f>0.83*B19</f>
        <v>523.9789999999999</v>
      </c>
      <c r="AL19" s="65">
        <f t="shared" si="8"/>
        <v>94.31621999999999</v>
      </c>
      <c r="AM19" s="65">
        <f>(1.91)*B19</f>
        <v>1205.783</v>
      </c>
      <c r="AN19" s="53">
        <f t="shared" si="9"/>
        <v>217.04093999999998</v>
      </c>
      <c r="AO19" s="53"/>
      <c r="AP19" s="53">
        <f t="shared" si="10"/>
        <v>0</v>
      </c>
      <c r="AQ19" s="66"/>
      <c r="AR19" s="66">
        <f t="shared" si="10"/>
        <v>0</v>
      </c>
      <c r="AS19" s="214">
        <v>7559.17</v>
      </c>
      <c r="AT19" s="214"/>
      <c r="AU19" s="67">
        <f t="shared" si="11"/>
        <v>1360.6506</v>
      </c>
      <c r="AV19" s="215">
        <v>233</v>
      </c>
      <c r="AW19" s="209">
        <v>0.55</v>
      </c>
      <c r="AX19" s="53">
        <f t="shared" si="16"/>
        <v>169.36304</v>
      </c>
      <c r="AY19" s="51"/>
      <c r="AZ19" s="69"/>
      <c r="BA19" s="69">
        <f t="shared" si="17"/>
        <v>0</v>
      </c>
      <c r="BB19" s="69">
        <f t="shared" si="12"/>
        <v>12269.856117</v>
      </c>
      <c r="BC19" s="167"/>
      <c r="BD19" s="144">
        <f t="shared" si="13"/>
        <v>-7910.411116999999</v>
      </c>
      <c r="BE19" s="146">
        <f t="shared" si="14"/>
        <v>-1101.3000000000002</v>
      </c>
    </row>
    <row r="20" spans="1:57" ht="12.75">
      <c r="A20" s="94" t="s">
        <v>51</v>
      </c>
      <c r="B20" s="72">
        <v>631.3</v>
      </c>
      <c r="C20" s="47">
        <f t="shared" si="1"/>
        <v>5460.745</v>
      </c>
      <c r="D20" s="54">
        <f t="shared" si="18"/>
        <v>436.77500000000043</v>
      </c>
      <c r="E20" s="188">
        <v>520.42</v>
      </c>
      <c r="F20" s="188">
        <v>59.49</v>
      </c>
      <c r="G20" s="188">
        <v>704.82</v>
      </c>
      <c r="H20" s="188">
        <v>80.64</v>
      </c>
      <c r="I20" s="188">
        <v>1693.61</v>
      </c>
      <c r="J20" s="188">
        <v>193.68</v>
      </c>
      <c r="K20" s="188">
        <v>1173.2</v>
      </c>
      <c r="L20" s="188">
        <v>134.19</v>
      </c>
      <c r="M20" s="188">
        <v>416.33</v>
      </c>
      <c r="N20" s="188">
        <v>47.59</v>
      </c>
      <c r="O20" s="188">
        <v>0</v>
      </c>
      <c r="P20" s="189">
        <v>0</v>
      </c>
      <c r="Q20" s="188">
        <v>0</v>
      </c>
      <c r="R20" s="189">
        <v>0</v>
      </c>
      <c r="S20" s="59">
        <f t="shared" si="2"/>
        <v>4508.38</v>
      </c>
      <c r="T20" s="61">
        <f t="shared" si="3"/>
        <v>515.59</v>
      </c>
      <c r="U20" s="43">
        <v>266.9</v>
      </c>
      <c r="V20" s="43">
        <v>361.61</v>
      </c>
      <c r="W20" s="43">
        <v>868.75</v>
      </c>
      <c r="X20" s="43">
        <v>601.86</v>
      </c>
      <c r="Y20" s="43">
        <v>213.54</v>
      </c>
      <c r="Z20" s="52">
        <v>0</v>
      </c>
      <c r="AA20" s="52">
        <v>0</v>
      </c>
      <c r="AB20" s="49">
        <f t="shared" si="4"/>
        <v>2312.66</v>
      </c>
      <c r="AC20" s="63">
        <f t="shared" si="5"/>
        <v>3265.0250000000005</v>
      </c>
      <c r="AD20" s="64">
        <f t="shared" si="6"/>
        <v>0</v>
      </c>
      <c r="AE20" s="64">
        <f t="shared" si="7"/>
        <v>0</v>
      </c>
      <c r="AF20" s="64"/>
      <c r="AG20" s="65">
        <f t="shared" si="19"/>
        <v>378.78</v>
      </c>
      <c r="AH20" s="65">
        <f>B20*0.2*0.99425</f>
        <v>125.534005</v>
      </c>
      <c r="AI20" s="53">
        <f>0.85*B20*0.9858</f>
        <v>528.9852089999999</v>
      </c>
      <c r="AJ20" s="65">
        <f t="shared" si="15"/>
        <v>95.21733761999998</v>
      </c>
      <c r="AK20" s="53">
        <f>0.83*B20*0.9905</f>
        <v>519.0011995</v>
      </c>
      <c r="AL20" s="65">
        <f t="shared" si="8"/>
        <v>93.42021591</v>
      </c>
      <c r="AM20" s="53">
        <f>(1.91)*B20*0.9904</f>
        <v>1194.2074831999998</v>
      </c>
      <c r="AN20" s="53">
        <f t="shared" si="9"/>
        <v>214.95734697599997</v>
      </c>
      <c r="AO20" s="53"/>
      <c r="AP20" s="53">
        <f t="shared" si="10"/>
        <v>0</v>
      </c>
      <c r="AQ20" s="66"/>
      <c r="AR20" s="66">
        <f t="shared" si="10"/>
        <v>0</v>
      </c>
      <c r="AS20" s="214"/>
      <c r="AT20" s="67"/>
      <c r="AU20" s="67">
        <f t="shared" si="11"/>
        <v>0</v>
      </c>
      <c r="AV20" s="215">
        <v>248</v>
      </c>
      <c r="AW20" s="209">
        <v>0.55</v>
      </c>
      <c r="AX20" s="53">
        <f t="shared" si="16"/>
        <v>180.26624000000004</v>
      </c>
      <c r="AY20" s="51"/>
      <c r="AZ20" s="69"/>
      <c r="BA20" s="69">
        <f t="shared" si="17"/>
        <v>0</v>
      </c>
      <c r="BB20" s="69">
        <f t="shared" si="12"/>
        <v>3330.3690372059996</v>
      </c>
      <c r="BC20" s="167"/>
      <c r="BD20" s="144">
        <f t="shared" si="13"/>
        <v>-65.34403720599903</v>
      </c>
      <c r="BE20" s="146">
        <f t="shared" si="14"/>
        <v>-2195.7200000000003</v>
      </c>
    </row>
    <row r="21" spans="1:57" ht="12.75">
      <c r="A21" s="94" t="s">
        <v>52</v>
      </c>
      <c r="B21" s="72">
        <v>631.3</v>
      </c>
      <c r="C21" s="47">
        <f t="shared" si="1"/>
        <v>5460.745</v>
      </c>
      <c r="D21" s="54">
        <f t="shared" si="18"/>
        <v>436.77500000000043</v>
      </c>
      <c r="E21" s="188">
        <v>520.42</v>
      </c>
      <c r="F21" s="188">
        <v>59.49</v>
      </c>
      <c r="G21" s="188">
        <v>704.82</v>
      </c>
      <c r="H21" s="188">
        <v>80.64</v>
      </c>
      <c r="I21" s="188">
        <v>1693.61</v>
      </c>
      <c r="J21" s="188">
        <v>193.68</v>
      </c>
      <c r="K21" s="188">
        <v>1173.2</v>
      </c>
      <c r="L21" s="188">
        <v>134.19</v>
      </c>
      <c r="M21" s="188">
        <v>416.33</v>
      </c>
      <c r="N21" s="188">
        <v>47.59</v>
      </c>
      <c r="O21" s="188">
        <v>0</v>
      </c>
      <c r="P21" s="189">
        <v>0</v>
      </c>
      <c r="Q21" s="52">
        <v>0</v>
      </c>
      <c r="R21" s="52">
        <v>0</v>
      </c>
      <c r="S21" s="59">
        <f t="shared" si="2"/>
        <v>4508.38</v>
      </c>
      <c r="T21" s="61">
        <f t="shared" si="3"/>
        <v>515.59</v>
      </c>
      <c r="U21" s="43">
        <v>439.35</v>
      </c>
      <c r="V21" s="43">
        <v>594.72</v>
      </c>
      <c r="W21" s="43">
        <v>1429.41</v>
      </c>
      <c r="X21" s="43">
        <v>990.07</v>
      </c>
      <c r="Y21" s="43">
        <v>351.46</v>
      </c>
      <c r="Z21" s="52">
        <v>0</v>
      </c>
      <c r="AA21" s="52">
        <v>0</v>
      </c>
      <c r="AB21" s="49">
        <f t="shared" si="4"/>
        <v>3805.0100000000007</v>
      </c>
      <c r="AC21" s="63">
        <f t="shared" si="5"/>
        <v>4757.375000000001</v>
      </c>
      <c r="AD21" s="64">
        <f t="shared" si="6"/>
        <v>0</v>
      </c>
      <c r="AE21" s="64">
        <f t="shared" si="7"/>
        <v>0</v>
      </c>
      <c r="AF21" s="64"/>
      <c r="AG21" s="65">
        <f t="shared" si="19"/>
        <v>378.78</v>
      </c>
      <c r="AH21" s="65">
        <f>B21*0.2*0.99876</f>
        <v>126.10343759999999</v>
      </c>
      <c r="AI21" s="65">
        <f>0.85*B21*0.98525</f>
        <v>528.6900762499998</v>
      </c>
      <c r="AJ21" s="65">
        <f t="shared" si="15"/>
        <v>95.16421372499997</v>
      </c>
      <c r="AK21" s="65">
        <f>0.83*B21*0.99</f>
        <v>518.73921</v>
      </c>
      <c r="AL21" s="65">
        <f t="shared" si="8"/>
        <v>93.37305779999998</v>
      </c>
      <c r="AM21" s="65">
        <f>(1.91)*B21*0.9899</f>
        <v>1193.6045917</v>
      </c>
      <c r="AN21" s="53">
        <f t="shared" si="9"/>
        <v>214.84882650599997</v>
      </c>
      <c r="AO21" s="53"/>
      <c r="AP21" s="53">
        <f t="shared" si="10"/>
        <v>0</v>
      </c>
      <c r="AQ21" s="66">
        <v>5232.64</v>
      </c>
      <c r="AR21" s="66">
        <f t="shared" si="10"/>
        <v>941.8752000000001</v>
      </c>
      <c r="AS21" s="214">
        <v>351</v>
      </c>
      <c r="AT21" s="67"/>
      <c r="AU21" s="67">
        <f t="shared" si="11"/>
        <v>63.18</v>
      </c>
      <c r="AV21" s="215">
        <v>293</v>
      </c>
      <c r="AW21" s="209">
        <v>0.55</v>
      </c>
      <c r="AX21" s="53">
        <f t="shared" si="16"/>
        <v>212.97584000000003</v>
      </c>
      <c r="AY21" s="51"/>
      <c r="AZ21" s="69"/>
      <c r="BA21" s="69">
        <f t="shared" si="17"/>
        <v>0</v>
      </c>
      <c r="BB21" s="69">
        <f t="shared" si="12"/>
        <v>9950.974453581</v>
      </c>
      <c r="BC21" s="167"/>
      <c r="BD21" s="144">
        <f t="shared" si="13"/>
        <v>-5193.599453581</v>
      </c>
      <c r="BE21" s="146">
        <f>AB21-S21</f>
        <v>-703.3699999999994</v>
      </c>
    </row>
    <row r="22" spans="1:57" ht="12.75">
      <c r="A22" s="94" t="s">
        <v>53</v>
      </c>
      <c r="B22" s="58">
        <v>631.3</v>
      </c>
      <c r="C22" s="47">
        <f t="shared" si="1"/>
        <v>5460.745</v>
      </c>
      <c r="D22" s="54">
        <f t="shared" si="18"/>
        <v>436.77500000000043</v>
      </c>
      <c r="E22" s="114">
        <v>520.42</v>
      </c>
      <c r="F22" s="114">
        <v>59.49</v>
      </c>
      <c r="G22" s="114">
        <v>704.82</v>
      </c>
      <c r="H22" s="114">
        <v>80.64</v>
      </c>
      <c r="I22" s="114">
        <v>1693.61</v>
      </c>
      <c r="J22" s="114">
        <v>193.68</v>
      </c>
      <c r="K22" s="114">
        <v>1173.2</v>
      </c>
      <c r="L22" s="114">
        <v>134.19</v>
      </c>
      <c r="M22" s="114">
        <v>416.33</v>
      </c>
      <c r="N22" s="114">
        <v>47.59</v>
      </c>
      <c r="O22" s="188">
        <v>0</v>
      </c>
      <c r="P22" s="189">
        <v>0</v>
      </c>
      <c r="Q22" s="52">
        <v>0</v>
      </c>
      <c r="R22" s="52">
        <v>0</v>
      </c>
      <c r="S22" s="59">
        <f t="shared" si="2"/>
        <v>4508.38</v>
      </c>
      <c r="T22" s="61">
        <f t="shared" si="3"/>
        <v>515.59</v>
      </c>
      <c r="U22" s="59">
        <v>519.75</v>
      </c>
      <c r="V22" s="59">
        <v>703.45</v>
      </c>
      <c r="W22" s="59">
        <v>1690.97</v>
      </c>
      <c r="X22" s="59">
        <v>1171.24</v>
      </c>
      <c r="Y22" s="59">
        <v>415.81</v>
      </c>
      <c r="Z22" s="60">
        <v>0</v>
      </c>
      <c r="AA22" s="60">
        <v>0</v>
      </c>
      <c r="AB22" s="49">
        <f t="shared" si="4"/>
        <v>4501.22</v>
      </c>
      <c r="AC22" s="63">
        <f t="shared" si="5"/>
        <v>5453.585000000001</v>
      </c>
      <c r="AD22" s="64">
        <f t="shared" si="6"/>
        <v>0</v>
      </c>
      <c r="AE22" s="64">
        <f t="shared" si="7"/>
        <v>0</v>
      </c>
      <c r="AF22" s="64"/>
      <c r="AG22" s="65">
        <f t="shared" si="19"/>
        <v>378.78</v>
      </c>
      <c r="AH22" s="65">
        <f>B22*0.2*0.9996</f>
        <v>126.209496</v>
      </c>
      <c r="AI22" s="65">
        <f>0.85*B22*0.98508</f>
        <v>528.5988533999998</v>
      </c>
      <c r="AJ22" s="65">
        <f t="shared" si="15"/>
        <v>95.14779361199996</v>
      </c>
      <c r="AK22" s="65">
        <f>0.83*B22*0.98981</f>
        <v>518.6396539899999</v>
      </c>
      <c r="AL22" s="65">
        <f t="shared" si="8"/>
        <v>93.35513771819998</v>
      </c>
      <c r="AM22" s="65">
        <f>(1.91)*B22*0.98981</f>
        <v>1193.4960712299999</v>
      </c>
      <c r="AN22" s="53">
        <f t="shared" si="9"/>
        <v>214.82929282139997</v>
      </c>
      <c r="AO22" s="53"/>
      <c r="AP22" s="53">
        <f t="shared" si="10"/>
        <v>0</v>
      </c>
      <c r="AQ22" s="66"/>
      <c r="AR22" s="66">
        <f t="shared" si="10"/>
        <v>0</v>
      </c>
      <c r="AS22" s="214"/>
      <c r="AT22" s="67"/>
      <c r="AU22" s="67">
        <f t="shared" si="11"/>
        <v>0</v>
      </c>
      <c r="AV22" s="215">
        <v>349</v>
      </c>
      <c r="AW22" s="209">
        <v>0.55</v>
      </c>
      <c r="AX22" s="53">
        <f t="shared" si="16"/>
        <v>253.68112000000002</v>
      </c>
      <c r="AY22" s="51"/>
      <c r="AZ22" s="69"/>
      <c r="BA22" s="69">
        <f t="shared" si="17"/>
        <v>0</v>
      </c>
      <c r="BB22" s="69">
        <f t="shared" si="12"/>
        <v>3402.7374187716</v>
      </c>
      <c r="BC22" s="167"/>
      <c r="BD22" s="144">
        <f t="shared" si="13"/>
        <v>2050.847581228401</v>
      </c>
      <c r="BE22" s="146">
        <f>AB22-S22</f>
        <v>-7.1599999999998545</v>
      </c>
    </row>
    <row r="23" spans="1:57" ht="12.75">
      <c r="A23" s="94" t="s">
        <v>41</v>
      </c>
      <c r="B23" s="58">
        <v>631.3</v>
      </c>
      <c r="C23" s="55">
        <f t="shared" si="1"/>
        <v>5460.745</v>
      </c>
      <c r="D23" s="54">
        <f t="shared" si="18"/>
        <v>455.9849999999998</v>
      </c>
      <c r="E23" s="73">
        <v>518.16</v>
      </c>
      <c r="F23" s="59">
        <v>59.49</v>
      </c>
      <c r="G23" s="59">
        <v>701.88</v>
      </c>
      <c r="H23" s="59">
        <v>80.64</v>
      </c>
      <c r="I23" s="59">
        <v>1686.38</v>
      </c>
      <c r="J23" s="59">
        <v>193.68</v>
      </c>
      <c r="K23" s="59">
        <v>1168.23</v>
      </c>
      <c r="L23" s="59">
        <v>134.19</v>
      </c>
      <c r="M23" s="59">
        <v>414.52</v>
      </c>
      <c r="N23" s="59">
        <v>47.59</v>
      </c>
      <c r="O23" s="59">
        <v>0</v>
      </c>
      <c r="P23" s="60">
        <v>0</v>
      </c>
      <c r="Q23" s="59">
        <v>0</v>
      </c>
      <c r="R23" s="59">
        <v>0</v>
      </c>
      <c r="S23" s="59">
        <f t="shared" si="2"/>
        <v>4489.17</v>
      </c>
      <c r="T23" s="61">
        <f t="shared" si="3"/>
        <v>515.59</v>
      </c>
      <c r="U23" s="107">
        <f>441.7+45.02</f>
        <v>486.71999999999997</v>
      </c>
      <c r="V23" s="59">
        <f>597.81+61.03</f>
        <v>658.8399999999999</v>
      </c>
      <c r="W23" s="59">
        <f>1437.06+146.57</f>
        <v>1583.6299999999999</v>
      </c>
      <c r="X23" s="59">
        <f>995.34+101.55</f>
        <v>1096.89</v>
      </c>
      <c r="Y23" s="59">
        <f>353.37+36.01</f>
        <v>389.38</v>
      </c>
      <c r="Z23" s="60">
        <v>0</v>
      </c>
      <c r="AA23" s="60">
        <v>0</v>
      </c>
      <c r="AB23" s="60">
        <f>SUM(U23:AA23)</f>
        <v>4215.46</v>
      </c>
      <c r="AC23" s="63">
        <f>AB23+T23+D23</f>
        <v>5187.035</v>
      </c>
      <c r="AD23" s="64">
        <f t="shared" si="6"/>
        <v>0</v>
      </c>
      <c r="AE23" s="64">
        <f t="shared" si="7"/>
        <v>0</v>
      </c>
      <c r="AF23" s="64"/>
      <c r="AG23" s="65">
        <f t="shared" si="19"/>
        <v>378.78</v>
      </c>
      <c r="AH23" s="65">
        <f>B23*0.2</f>
        <v>126.25999999999999</v>
      </c>
      <c r="AI23" s="65">
        <f>(0.847*B23)</f>
        <v>534.7111</v>
      </c>
      <c r="AJ23" s="65">
        <f t="shared" si="15"/>
        <v>96.247998</v>
      </c>
      <c r="AK23" s="65">
        <f>0.83*B23</f>
        <v>523.9789999999999</v>
      </c>
      <c r="AL23" s="65">
        <f t="shared" si="8"/>
        <v>94.31621999999999</v>
      </c>
      <c r="AM23" s="65">
        <f>(2.25/1.18)*B23</f>
        <v>1203.75</v>
      </c>
      <c r="AN23" s="65">
        <f t="shared" si="9"/>
        <v>216.67499999999998</v>
      </c>
      <c r="AO23" s="65"/>
      <c r="AP23" s="65">
        <f t="shared" si="10"/>
        <v>0</v>
      </c>
      <c r="AQ23" s="66"/>
      <c r="AR23" s="66">
        <f t="shared" si="10"/>
        <v>0</v>
      </c>
      <c r="AS23" s="67">
        <v>0</v>
      </c>
      <c r="AT23" s="67"/>
      <c r="AU23" s="67">
        <f t="shared" si="11"/>
        <v>0</v>
      </c>
      <c r="AV23" s="68">
        <v>425</v>
      </c>
      <c r="AW23" s="208">
        <v>0.55</v>
      </c>
      <c r="AX23" s="65">
        <f t="shared" si="16"/>
        <v>308.9240000000001</v>
      </c>
      <c r="AY23" s="51"/>
      <c r="AZ23" s="216"/>
      <c r="BA23" s="69">
        <f t="shared" si="17"/>
        <v>0</v>
      </c>
      <c r="BB23" s="69">
        <f t="shared" si="12"/>
        <v>3483.6433180000004</v>
      </c>
      <c r="BC23" s="167"/>
      <c r="BD23" s="144">
        <f t="shared" si="13"/>
        <v>1703.3916819999995</v>
      </c>
      <c r="BE23" s="146">
        <f>AB23-S23</f>
        <v>-273.71000000000004</v>
      </c>
    </row>
    <row r="24" spans="1:57" ht="12.75">
      <c r="A24" s="94" t="s">
        <v>42</v>
      </c>
      <c r="B24" s="72">
        <v>631.3</v>
      </c>
      <c r="C24" s="55">
        <f t="shared" si="1"/>
        <v>5460.745</v>
      </c>
      <c r="D24" s="54">
        <f t="shared" si="18"/>
        <v>449.2850000000001</v>
      </c>
      <c r="E24" s="114">
        <v>518.95</v>
      </c>
      <c r="F24" s="114">
        <v>59.49</v>
      </c>
      <c r="G24" s="114">
        <v>702.91</v>
      </c>
      <c r="H24" s="114">
        <v>80.64</v>
      </c>
      <c r="I24" s="114">
        <v>1688.9</v>
      </c>
      <c r="J24" s="114">
        <v>193.68</v>
      </c>
      <c r="K24" s="114">
        <v>1169.96</v>
      </c>
      <c r="L24" s="114">
        <v>134.19</v>
      </c>
      <c r="M24" s="114">
        <v>415.15</v>
      </c>
      <c r="N24" s="114">
        <v>47.59</v>
      </c>
      <c r="O24" s="114">
        <v>0</v>
      </c>
      <c r="P24" s="62">
        <v>0</v>
      </c>
      <c r="Q24" s="62">
        <v>0</v>
      </c>
      <c r="R24" s="62">
        <v>0</v>
      </c>
      <c r="S24" s="59">
        <f t="shared" si="2"/>
        <v>4495.87</v>
      </c>
      <c r="T24" s="61">
        <f t="shared" si="3"/>
        <v>515.59</v>
      </c>
      <c r="U24" s="59">
        <v>286.86</v>
      </c>
      <c r="V24" s="59">
        <v>388.43</v>
      </c>
      <c r="W24" s="59">
        <v>933.45</v>
      </c>
      <c r="X24" s="59">
        <v>646.55</v>
      </c>
      <c r="Y24" s="59">
        <v>229.47</v>
      </c>
      <c r="Z24" s="60">
        <v>0</v>
      </c>
      <c r="AA24" s="60">
        <v>0</v>
      </c>
      <c r="AB24" s="62">
        <f>SUM(U24:AA24)</f>
        <v>2484.7599999999998</v>
      </c>
      <c r="AC24" s="63">
        <f>D24+T24+AB24</f>
        <v>3449.6349999999998</v>
      </c>
      <c r="AD24" s="64">
        <f t="shared" si="6"/>
        <v>0</v>
      </c>
      <c r="AE24" s="64">
        <f t="shared" si="7"/>
        <v>0</v>
      </c>
      <c r="AF24" s="64"/>
      <c r="AG24" s="65">
        <f t="shared" si="19"/>
        <v>378.78</v>
      </c>
      <c r="AH24" s="65">
        <f>B24*0.2</f>
        <v>126.25999999999999</v>
      </c>
      <c r="AI24" s="65">
        <f>0.85*B24</f>
        <v>536.6049999999999</v>
      </c>
      <c r="AJ24" s="65">
        <f t="shared" si="15"/>
        <v>96.58889999999998</v>
      </c>
      <c r="AK24" s="65">
        <f>0.83*B24</f>
        <v>523.9789999999999</v>
      </c>
      <c r="AL24" s="65">
        <f t="shared" si="8"/>
        <v>94.31621999999999</v>
      </c>
      <c r="AM24" s="65">
        <f>(1.91)*B24</f>
        <v>1205.783</v>
      </c>
      <c r="AN24" s="65">
        <f t="shared" si="9"/>
        <v>217.04093999999998</v>
      </c>
      <c r="AO24" s="65"/>
      <c r="AP24" s="65">
        <f t="shared" si="10"/>
        <v>0</v>
      </c>
      <c r="AQ24" s="66"/>
      <c r="AR24" s="66">
        <f t="shared" si="10"/>
        <v>0</v>
      </c>
      <c r="AS24" s="67">
        <v>0</v>
      </c>
      <c r="AT24" s="67"/>
      <c r="AU24" s="67">
        <f t="shared" si="11"/>
        <v>0</v>
      </c>
      <c r="AV24" s="68">
        <v>470</v>
      </c>
      <c r="AW24" s="208">
        <v>0.55</v>
      </c>
      <c r="AX24" s="65">
        <f t="shared" si="16"/>
        <v>341.6336</v>
      </c>
      <c r="AY24" s="51"/>
      <c r="AZ24" s="69"/>
      <c r="BA24" s="69">
        <f t="shared" si="17"/>
        <v>0</v>
      </c>
      <c r="BB24" s="69">
        <f t="shared" si="12"/>
        <v>3520.9866599999996</v>
      </c>
      <c r="BC24" s="70"/>
      <c r="BD24" s="144">
        <f t="shared" si="13"/>
        <v>-71.35165999999981</v>
      </c>
      <c r="BE24" s="146">
        <f>AB24-S24</f>
        <v>-2011.1100000000001</v>
      </c>
    </row>
    <row r="25" spans="1:57" ht="12.75">
      <c r="A25" s="94" t="s">
        <v>43</v>
      </c>
      <c r="B25" s="58">
        <v>631.3</v>
      </c>
      <c r="C25" s="55">
        <f t="shared" si="1"/>
        <v>5460.745</v>
      </c>
      <c r="D25" s="54">
        <f t="shared" si="18"/>
        <v>444.8249999999995</v>
      </c>
      <c r="E25" s="114">
        <v>519.47</v>
      </c>
      <c r="F25" s="114">
        <v>59.49</v>
      </c>
      <c r="G25" s="114">
        <v>703.59</v>
      </c>
      <c r="H25" s="114">
        <v>80.64</v>
      </c>
      <c r="I25" s="114">
        <v>1690.59</v>
      </c>
      <c r="J25" s="114">
        <v>193.68</v>
      </c>
      <c r="K25" s="114">
        <v>1171.11</v>
      </c>
      <c r="L25" s="114">
        <v>134.19</v>
      </c>
      <c r="M25" s="114">
        <v>415.57</v>
      </c>
      <c r="N25" s="114">
        <v>47.59</v>
      </c>
      <c r="O25" s="114">
        <v>0</v>
      </c>
      <c r="P25" s="62">
        <v>0</v>
      </c>
      <c r="Q25" s="62"/>
      <c r="R25" s="62"/>
      <c r="S25" s="59">
        <f t="shared" si="2"/>
        <v>4500.329999999999</v>
      </c>
      <c r="T25" s="61">
        <f t="shared" si="3"/>
        <v>515.59</v>
      </c>
      <c r="U25" s="59">
        <v>1202.4</v>
      </c>
      <c r="V25" s="59">
        <v>1628.07</v>
      </c>
      <c r="W25" s="59">
        <v>3912.64</v>
      </c>
      <c r="X25" s="59">
        <v>2710.21</v>
      </c>
      <c r="Y25" s="59">
        <v>961.92</v>
      </c>
      <c r="Z25" s="60">
        <v>0</v>
      </c>
      <c r="AA25" s="60">
        <v>0</v>
      </c>
      <c r="AB25" s="62">
        <f>SUM(U25:AA25)</f>
        <v>10415.24</v>
      </c>
      <c r="AC25" s="63">
        <f>D25+T25+AB25</f>
        <v>11375.654999999999</v>
      </c>
      <c r="AD25" s="64">
        <f t="shared" si="6"/>
        <v>0</v>
      </c>
      <c r="AE25" s="64">
        <f t="shared" si="7"/>
        <v>0</v>
      </c>
      <c r="AF25" s="64"/>
      <c r="AG25" s="65">
        <f t="shared" si="19"/>
        <v>378.78</v>
      </c>
      <c r="AH25" s="65">
        <f>B25*0.2</f>
        <v>126.25999999999999</v>
      </c>
      <c r="AI25" s="65">
        <f>0.85*B25</f>
        <v>536.6049999999999</v>
      </c>
      <c r="AJ25" s="65">
        <f t="shared" si="15"/>
        <v>96.58889999999998</v>
      </c>
      <c r="AK25" s="65">
        <f>0.83*B25</f>
        <v>523.9789999999999</v>
      </c>
      <c r="AL25" s="65">
        <f t="shared" si="8"/>
        <v>94.31621999999999</v>
      </c>
      <c r="AM25" s="65">
        <f>(1.91)*B25</f>
        <v>1205.783</v>
      </c>
      <c r="AN25" s="65">
        <f t="shared" si="9"/>
        <v>217.04093999999998</v>
      </c>
      <c r="AO25" s="65"/>
      <c r="AP25" s="65">
        <f t="shared" si="10"/>
        <v>0</v>
      </c>
      <c r="AQ25" s="66"/>
      <c r="AR25" s="66">
        <f t="shared" si="10"/>
        <v>0</v>
      </c>
      <c r="AS25" s="67">
        <v>3210</v>
      </c>
      <c r="AT25" s="67"/>
      <c r="AU25" s="67">
        <f t="shared" si="11"/>
        <v>577.8</v>
      </c>
      <c r="AV25" s="68">
        <v>514</v>
      </c>
      <c r="AW25" s="208">
        <v>0.55</v>
      </c>
      <c r="AX25" s="65">
        <f t="shared" si="16"/>
        <v>373.6163200000001</v>
      </c>
      <c r="AY25" s="51"/>
      <c r="AZ25" s="69"/>
      <c r="BA25" s="69">
        <f t="shared" si="17"/>
        <v>0</v>
      </c>
      <c r="BB25" s="69">
        <f t="shared" si="12"/>
        <v>7340.76938</v>
      </c>
      <c r="BC25" s="70"/>
      <c r="BD25" s="144">
        <f>AC25+AF25-BB25-BC25</f>
        <v>4034.885619999999</v>
      </c>
      <c r="BE25" s="146">
        <f>AB25-S25</f>
        <v>5914.910000000001</v>
      </c>
    </row>
    <row r="26" spans="1:57" s="9" customFormat="1" ht="12.75">
      <c r="A26" s="6" t="s">
        <v>5</v>
      </c>
      <c r="B26" s="27"/>
      <c r="C26" s="27">
        <f aca="true" t="shared" si="20" ref="C26:BC26">SUM(C14:C25)</f>
        <v>65528.94000000001</v>
      </c>
      <c r="D26" s="27">
        <f t="shared" si="20"/>
        <v>6264.342500000002</v>
      </c>
      <c r="E26" s="25">
        <f t="shared" si="20"/>
        <v>6011.05</v>
      </c>
      <c r="F26" s="25">
        <f t="shared" si="20"/>
        <v>687.45</v>
      </c>
      <c r="G26" s="25">
        <f t="shared" si="20"/>
        <v>8133.299999999999</v>
      </c>
      <c r="H26" s="25">
        <f t="shared" si="20"/>
        <v>930.68</v>
      </c>
      <c r="I26" s="25">
        <f t="shared" si="20"/>
        <v>19554.280000000002</v>
      </c>
      <c r="J26" s="25">
        <f t="shared" si="20"/>
        <v>2236.8800000000006</v>
      </c>
      <c r="K26" s="25">
        <f t="shared" si="20"/>
        <v>13543.23</v>
      </c>
      <c r="L26" s="25">
        <f t="shared" si="20"/>
        <v>1549.4300000000003</v>
      </c>
      <c r="M26" s="25">
        <f t="shared" si="20"/>
        <v>4808.799999999999</v>
      </c>
      <c r="N26" s="25">
        <f t="shared" si="20"/>
        <v>549.9200000000002</v>
      </c>
      <c r="O26" s="25">
        <f t="shared" si="20"/>
        <v>0</v>
      </c>
      <c r="P26" s="25">
        <f t="shared" si="20"/>
        <v>0</v>
      </c>
      <c r="Q26" s="25">
        <f t="shared" si="20"/>
        <v>0</v>
      </c>
      <c r="R26" s="25">
        <f t="shared" si="20"/>
        <v>0</v>
      </c>
      <c r="S26" s="25">
        <f t="shared" si="20"/>
        <v>52050.66</v>
      </c>
      <c r="T26" s="25">
        <f t="shared" si="20"/>
        <v>5954.360000000001</v>
      </c>
      <c r="U26" s="28">
        <f t="shared" si="20"/>
        <v>5548.0599999999995</v>
      </c>
      <c r="V26" s="28">
        <f t="shared" si="20"/>
        <v>7503.71</v>
      </c>
      <c r="W26" s="28">
        <f t="shared" si="20"/>
        <v>18002.07</v>
      </c>
      <c r="X26" s="28">
        <f t="shared" si="20"/>
        <v>12496.8</v>
      </c>
      <c r="Y26" s="28">
        <f t="shared" si="20"/>
        <v>4438.4400000000005</v>
      </c>
      <c r="Z26" s="28">
        <f t="shared" si="20"/>
        <v>0</v>
      </c>
      <c r="AA26" s="28">
        <f t="shared" si="20"/>
        <v>0</v>
      </c>
      <c r="AB26" s="28">
        <f t="shared" si="20"/>
        <v>47989.08000000001</v>
      </c>
      <c r="AC26" s="28">
        <f t="shared" si="20"/>
        <v>60207.78250000001</v>
      </c>
      <c r="AD26" s="28">
        <f t="shared" si="20"/>
        <v>0</v>
      </c>
      <c r="AE26" s="45">
        <f t="shared" si="20"/>
        <v>0</v>
      </c>
      <c r="AF26" s="45">
        <f t="shared" si="20"/>
        <v>0</v>
      </c>
      <c r="AG26" s="7">
        <f t="shared" si="20"/>
        <v>4393.847999999998</v>
      </c>
      <c r="AH26" s="7">
        <f t="shared" si="20"/>
        <v>1471.0402096</v>
      </c>
      <c r="AI26" s="7">
        <f t="shared" si="20"/>
        <v>6142.024806149999</v>
      </c>
      <c r="AJ26" s="7">
        <f t="shared" si="20"/>
        <v>1105.5644651069997</v>
      </c>
      <c r="AK26" s="7">
        <f t="shared" si="20"/>
        <v>5970.85074059</v>
      </c>
      <c r="AL26" s="7">
        <f t="shared" si="20"/>
        <v>1074.7531333061997</v>
      </c>
      <c r="AM26" s="7">
        <f t="shared" si="20"/>
        <v>13737.755764529997</v>
      </c>
      <c r="AN26" s="7">
        <f t="shared" si="20"/>
        <v>2472.7960376153997</v>
      </c>
      <c r="AO26" s="7">
        <f t="shared" si="20"/>
        <v>0</v>
      </c>
      <c r="AP26" s="7">
        <f t="shared" si="20"/>
        <v>0</v>
      </c>
      <c r="AQ26" s="7">
        <f>SUM(AQ14:AQ25)</f>
        <v>5232.64</v>
      </c>
      <c r="AR26" s="7">
        <f>SUM(AR14:AR25)</f>
        <v>941.8752000000001</v>
      </c>
      <c r="AS26" s="7">
        <f>SUM(AS14:AS25)</f>
        <v>27076.17</v>
      </c>
      <c r="AT26" s="7">
        <f>SUM(AT14:AT25)</f>
        <v>0</v>
      </c>
      <c r="AU26" s="7">
        <f>SUM(AU14:AU25)</f>
        <v>4873.7206000000015</v>
      </c>
      <c r="AV26" s="7"/>
      <c r="AW26" s="7"/>
      <c r="AX26" s="7">
        <f t="shared" si="20"/>
        <v>3198.272000000001</v>
      </c>
      <c r="AY26" s="7">
        <f t="shared" si="20"/>
        <v>0</v>
      </c>
      <c r="AZ26" s="7">
        <f t="shared" si="20"/>
        <v>0</v>
      </c>
      <c r="BA26" s="7">
        <f t="shared" si="20"/>
        <v>0</v>
      </c>
      <c r="BB26" s="7">
        <f t="shared" si="20"/>
        <v>77691.3109568986</v>
      </c>
      <c r="BC26" s="7">
        <f t="shared" si="20"/>
        <v>0</v>
      </c>
      <c r="BD26" s="7">
        <f>SUM(BD14:BD25)</f>
        <v>-17483.528456898595</v>
      </c>
      <c r="BE26" s="8">
        <f>SUM(BE14:BE25)</f>
        <v>-4061.579999999999</v>
      </c>
    </row>
    <row r="27" spans="1:57" ht="12.75">
      <c r="A27" s="94"/>
      <c r="B27" s="182"/>
      <c r="C27" s="181"/>
      <c r="D27" s="181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74"/>
      <c r="T27" s="174"/>
      <c r="U27" s="110"/>
      <c r="V27" s="110"/>
      <c r="W27" s="110"/>
      <c r="X27" s="110"/>
      <c r="Y27" s="110"/>
      <c r="Z27" s="110"/>
      <c r="AA27" s="110"/>
      <c r="AB27" s="110"/>
      <c r="AC27" s="191"/>
      <c r="AD27" s="191"/>
      <c r="AE27" s="64"/>
      <c r="AF27" s="64"/>
      <c r="AG27" s="65"/>
      <c r="AH27" s="65"/>
      <c r="AI27" s="65"/>
      <c r="AJ27" s="65"/>
      <c r="AK27" s="65"/>
      <c r="AL27" s="65"/>
      <c r="AM27" s="65"/>
      <c r="AN27" s="65"/>
      <c r="AO27" s="192"/>
      <c r="AP27" s="192"/>
      <c r="AQ27" s="192"/>
      <c r="AR27" s="192"/>
      <c r="AS27" s="193"/>
      <c r="AT27" s="193"/>
      <c r="AU27" s="67"/>
      <c r="AV27" s="67"/>
      <c r="AW27" s="67"/>
      <c r="AX27" s="91"/>
      <c r="AY27" s="192"/>
      <c r="AZ27" s="192"/>
      <c r="BA27" s="65"/>
      <c r="BB27" s="65"/>
      <c r="BC27" s="65"/>
      <c r="BD27" s="65"/>
      <c r="BE27" s="164"/>
    </row>
    <row r="28" spans="1:57" s="9" customFormat="1" ht="13.5" thickBot="1">
      <c r="A28" s="10" t="s">
        <v>54</v>
      </c>
      <c r="B28" s="180"/>
      <c r="C28" s="180">
        <f>C12+C26</f>
        <v>81911.17500000002</v>
      </c>
      <c r="D28" s="180">
        <f>D12+D26</f>
        <v>10207.601071950001</v>
      </c>
      <c r="E28" s="194">
        <f aca="true" t="shared" si="21" ref="E28:BC28">E12+E26</f>
        <v>7424.23</v>
      </c>
      <c r="F28" s="194">
        <f t="shared" si="21"/>
        <v>846.09</v>
      </c>
      <c r="G28" s="194">
        <f t="shared" si="21"/>
        <v>10041.18</v>
      </c>
      <c r="H28" s="194">
        <f t="shared" si="21"/>
        <v>1144.85</v>
      </c>
      <c r="I28" s="194">
        <f t="shared" si="21"/>
        <v>24147.210000000003</v>
      </c>
      <c r="J28" s="194">
        <f t="shared" si="21"/>
        <v>2752.4600000000005</v>
      </c>
      <c r="K28" s="194">
        <f t="shared" si="21"/>
        <v>16722.96</v>
      </c>
      <c r="L28" s="194">
        <f t="shared" si="21"/>
        <v>1906.3700000000003</v>
      </c>
      <c r="M28" s="194">
        <f t="shared" si="21"/>
        <v>5939.349999999999</v>
      </c>
      <c r="N28" s="194">
        <f>N12+N26</f>
        <v>676.8200000000002</v>
      </c>
      <c r="O28" s="194">
        <f t="shared" si="21"/>
        <v>0</v>
      </c>
      <c r="P28" s="194">
        <f t="shared" si="21"/>
        <v>0</v>
      </c>
      <c r="Q28" s="194">
        <f t="shared" si="21"/>
        <v>0</v>
      </c>
      <c r="R28" s="194">
        <f t="shared" si="21"/>
        <v>0</v>
      </c>
      <c r="S28" s="194">
        <f t="shared" si="21"/>
        <v>64274.93000000001</v>
      </c>
      <c r="T28" s="194">
        <f t="shared" si="21"/>
        <v>7326.59</v>
      </c>
      <c r="U28" s="195">
        <f t="shared" si="21"/>
        <v>6021.15</v>
      </c>
      <c r="V28" s="195">
        <f t="shared" si="21"/>
        <v>8142.42</v>
      </c>
      <c r="W28" s="195">
        <f t="shared" si="21"/>
        <v>19582.63</v>
      </c>
      <c r="X28" s="195">
        <f t="shared" si="21"/>
        <v>13561.259999999998</v>
      </c>
      <c r="Y28" s="195">
        <f t="shared" si="21"/>
        <v>4816.910000000001</v>
      </c>
      <c r="Z28" s="195">
        <f t="shared" si="21"/>
        <v>0</v>
      </c>
      <c r="AA28" s="195">
        <f t="shared" si="21"/>
        <v>0</v>
      </c>
      <c r="AB28" s="195">
        <f t="shared" si="21"/>
        <v>52124.37000000001</v>
      </c>
      <c r="AC28" s="195">
        <f t="shared" si="21"/>
        <v>69658.56107195001</v>
      </c>
      <c r="AD28" s="195">
        <f t="shared" si="21"/>
        <v>0</v>
      </c>
      <c r="AE28" s="195">
        <f>AE12+AE26</f>
        <v>0</v>
      </c>
      <c r="AF28" s="195">
        <f t="shared" si="21"/>
        <v>0</v>
      </c>
      <c r="AG28" s="180">
        <f t="shared" si="21"/>
        <v>5530.187999999998</v>
      </c>
      <c r="AH28" s="180">
        <f t="shared" si="21"/>
        <v>1860.9942196000002</v>
      </c>
      <c r="AI28" s="180">
        <f t="shared" si="21"/>
        <v>7753.683202149999</v>
      </c>
      <c r="AJ28" s="180">
        <f t="shared" si="21"/>
        <v>1395.6629763869996</v>
      </c>
      <c r="AK28" s="180">
        <f t="shared" si="21"/>
        <v>7846.31122515</v>
      </c>
      <c r="AL28" s="180">
        <f t="shared" si="21"/>
        <v>1412.3360205269996</v>
      </c>
      <c r="AM28" s="180">
        <f t="shared" si="21"/>
        <v>17182.111077519996</v>
      </c>
      <c r="AN28" s="180">
        <f t="shared" si="21"/>
        <v>3092.7799939535994</v>
      </c>
      <c r="AO28" s="180">
        <f t="shared" si="21"/>
        <v>0</v>
      </c>
      <c r="AP28" s="180">
        <f t="shared" si="21"/>
        <v>0</v>
      </c>
      <c r="AQ28" s="180">
        <f t="shared" si="21"/>
        <v>5232.64</v>
      </c>
      <c r="AR28" s="180">
        <f t="shared" si="21"/>
        <v>941.8752000000001</v>
      </c>
      <c r="AS28" s="180">
        <f t="shared" si="21"/>
        <v>47165.89</v>
      </c>
      <c r="AT28" s="180">
        <f t="shared" si="21"/>
        <v>0</v>
      </c>
      <c r="AU28" s="180">
        <f t="shared" si="21"/>
        <v>8489.870200000001</v>
      </c>
      <c r="AV28" s="180"/>
      <c r="AW28" s="180"/>
      <c r="AX28" s="180">
        <f t="shared" si="21"/>
        <v>3198.272000000001</v>
      </c>
      <c r="AY28" s="180">
        <f t="shared" si="21"/>
        <v>0</v>
      </c>
      <c r="AZ28" s="180">
        <f t="shared" si="21"/>
        <v>0</v>
      </c>
      <c r="BA28" s="180">
        <f t="shared" si="21"/>
        <v>0</v>
      </c>
      <c r="BB28" s="180">
        <f t="shared" si="21"/>
        <v>111102.6141152876</v>
      </c>
      <c r="BC28" s="180">
        <f t="shared" si="21"/>
        <v>0</v>
      </c>
      <c r="BD28" s="180">
        <f>BD12+BD26</f>
        <v>-41444.0530433376</v>
      </c>
      <c r="BE28" s="196">
        <f>BE12+BE26</f>
        <v>-12150.559999999998</v>
      </c>
    </row>
    <row r="29" spans="1:57" ht="15" customHeight="1">
      <c r="A29" s="1" t="s">
        <v>84</v>
      </c>
      <c r="B29" s="163"/>
      <c r="C29" s="26"/>
      <c r="D29" s="26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171"/>
      <c r="S29" s="171"/>
      <c r="T29" s="171"/>
      <c r="U29" s="172"/>
      <c r="V29" s="172"/>
      <c r="W29" s="172"/>
      <c r="X29" s="172"/>
      <c r="Y29" s="172"/>
      <c r="Z29" s="172"/>
      <c r="AA29" s="173"/>
      <c r="AB29" s="173"/>
      <c r="AC29" s="44"/>
      <c r="AD29" s="44"/>
      <c r="AE29" s="175"/>
      <c r="AF29" s="175"/>
      <c r="AG29" s="144"/>
      <c r="AH29" s="144"/>
      <c r="AI29" s="144"/>
      <c r="AJ29" s="144"/>
      <c r="AK29" s="144"/>
      <c r="AL29" s="144"/>
      <c r="AM29" s="144"/>
      <c r="AN29" s="144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4"/>
      <c r="BB29" s="144"/>
      <c r="BC29" s="144"/>
      <c r="BD29" s="144"/>
      <c r="BE29" s="146"/>
    </row>
    <row r="30" spans="1:57" ht="12.75">
      <c r="A30" s="94" t="s">
        <v>45</v>
      </c>
      <c r="B30" s="58">
        <v>631.3</v>
      </c>
      <c r="C30" s="55">
        <f aca="true" t="shared" si="22" ref="C30:C41">B30*8.65</f>
        <v>5460.745</v>
      </c>
      <c r="D30" s="54">
        <f aca="true" t="shared" si="23" ref="D30:D41">C30-E30-F30-G30-H30-I30-J30-K30-L30-M30-N30</f>
        <v>447.9649999999998</v>
      </c>
      <c r="E30" s="114">
        <v>519.1</v>
      </c>
      <c r="F30" s="114">
        <v>59.49</v>
      </c>
      <c r="G30" s="114">
        <v>703.11</v>
      </c>
      <c r="H30" s="114">
        <v>80.64</v>
      </c>
      <c r="I30" s="114">
        <v>1689.4</v>
      </c>
      <c r="J30" s="114">
        <v>193.68</v>
      </c>
      <c r="K30" s="114">
        <v>1170.31</v>
      </c>
      <c r="L30" s="114">
        <v>134.19</v>
      </c>
      <c r="M30" s="114">
        <v>415.27</v>
      </c>
      <c r="N30" s="114">
        <v>47.59</v>
      </c>
      <c r="O30" s="114">
        <v>0</v>
      </c>
      <c r="P30" s="62">
        <v>0</v>
      </c>
      <c r="Q30" s="62"/>
      <c r="R30" s="62"/>
      <c r="S30" s="59">
        <f aca="true" t="shared" si="24" ref="S30:S41">E30+G30+I30+K30+M30+O30+Q30</f>
        <v>4497.1900000000005</v>
      </c>
      <c r="T30" s="61">
        <f aca="true" t="shared" si="25" ref="T30:T41">P30+N30+L30+J30+H30+F30+R30</f>
        <v>515.59</v>
      </c>
      <c r="U30" s="59">
        <v>166.2</v>
      </c>
      <c r="V30" s="59">
        <v>225.05</v>
      </c>
      <c r="W30" s="59">
        <v>540.82</v>
      </c>
      <c r="X30" s="59">
        <v>374.6</v>
      </c>
      <c r="Y30" s="59">
        <v>132.96</v>
      </c>
      <c r="Z30" s="60">
        <v>0</v>
      </c>
      <c r="AA30" s="60">
        <v>0</v>
      </c>
      <c r="AB30" s="62">
        <f>SUM(U30:AA30)</f>
        <v>1439.63</v>
      </c>
      <c r="AC30" s="63">
        <f aca="true" t="shared" si="26" ref="AC30:AC40">D30+T30+AB30</f>
        <v>2403.185</v>
      </c>
      <c r="AD30" s="64">
        <f aca="true" t="shared" si="27" ref="AD30:AD41">P30+Z30</f>
        <v>0</v>
      </c>
      <c r="AE30" s="64">
        <f aca="true" t="shared" si="28" ref="AE30:AE41">R30+AA30</f>
        <v>0</v>
      </c>
      <c r="AF30" s="64"/>
      <c r="AG30" s="65">
        <f aca="true" t="shared" si="29" ref="AG30:AG41">0.6*B30</f>
        <v>378.78</v>
      </c>
      <c r="AH30" s="65">
        <f aca="true" t="shared" si="30" ref="AH30:AH41">B30*0.2</f>
        <v>126.25999999999999</v>
      </c>
      <c r="AI30" s="65">
        <f aca="true" t="shared" si="31" ref="AI30:AI41">1*B30</f>
        <v>631.3</v>
      </c>
      <c r="AJ30" s="65">
        <v>0</v>
      </c>
      <c r="AK30" s="65">
        <f aca="true" t="shared" si="32" ref="AK30:AK41">0.98*B30</f>
        <v>618.674</v>
      </c>
      <c r="AL30" s="65">
        <v>0</v>
      </c>
      <c r="AM30" s="65">
        <f aca="true" t="shared" si="33" ref="AM30:AM41">2.25*B30</f>
        <v>1420.425</v>
      </c>
      <c r="AN30" s="65">
        <v>0</v>
      </c>
      <c r="AO30" s="65"/>
      <c r="AP30" s="65">
        <v>0</v>
      </c>
      <c r="AQ30" s="66"/>
      <c r="AR30" s="66"/>
      <c r="AS30" s="67">
        <v>0</v>
      </c>
      <c r="AT30" s="67"/>
      <c r="AU30" s="67">
        <f aca="true" t="shared" si="34" ref="AU30:AU41">AT30*0.18</f>
        <v>0</v>
      </c>
      <c r="AV30" s="68">
        <v>508</v>
      </c>
      <c r="AW30" s="208">
        <v>0.55</v>
      </c>
      <c r="AX30" s="217">
        <f aca="true" t="shared" si="35" ref="AX30:AX41">AV30*AW30*1.4</f>
        <v>391.16</v>
      </c>
      <c r="AY30" s="51"/>
      <c r="AZ30" s="69"/>
      <c r="BA30" s="69">
        <f aca="true" t="shared" si="36" ref="BA30:BA40">AZ30*0.18</f>
        <v>0</v>
      </c>
      <c r="BB30" s="69">
        <f aca="true" t="shared" si="37" ref="BB30:BB40">SUM(AG30:BA30)-AV30-AW30</f>
        <v>3566.5989999999997</v>
      </c>
      <c r="BC30" s="70"/>
      <c r="BD30" s="144">
        <f>AC30+AF30-BB30-BC30</f>
        <v>-1163.4139999999998</v>
      </c>
      <c r="BE30" s="146">
        <f>AB30-S30</f>
        <v>-3057.5600000000004</v>
      </c>
    </row>
    <row r="31" spans="1:57" ht="12.75">
      <c r="A31" s="94" t="s">
        <v>46</v>
      </c>
      <c r="B31" s="72">
        <v>631.3</v>
      </c>
      <c r="C31" s="55">
        <f t="shared" si="22"/>
        <v>5460.745</v>
      </c>
      <c r="D31" s="54">
        <f t="shared" si="23"/>
        <v>450.1850000000003</v>
      </c>
      <c r="E31" s="197">
        <v>518.84</v>
      </c>
      <c r="F31" s="114">
        <v>59.49</v>
      </c>
      <c r="G31" s="114">
        <v>702.77</v>
      </c>
      <c r="H31" s="114">
        <v>80.64</v>
      </c>
      <c r="I31" s="114">
        <v>1688.56</v>
      </c>
      <c r="J31" s="114">
        <v>193.68</v>
      </c>
      <c r="K31" s="114">
        <v>1169.73</v>
      </c>
      <c r="L31" s="114">
        <v>134.19</v>
      </c>
      <c r="M31" s="114">
        <v>415.07</v>
      </c>
      <c r="N31" s="114">
        <v>47.59</v>
      </c>
      <c r="O31" s="114">
        <v>0</v>
      </c>
      <c r="P31" s="62">
        <v>0</v>
      </c>
      <c r="Q31" s="60">
        <v>0</v>
      </c>
      <c r="R31" s="60">
        <v>0</v>
      </c>
      <c r="S31" s="59">
        <f t="shared" si="24"/>
        <v>4494.97</v>
      </c>
      <c r="T31" s="61">
        <f t="shared" si="25"/>
        <v>515.59</v>
      </c>
      <c r="U31" s="59">
        <v>340.52</v>
      </c>
      <c r="V31" s="59">
        <v>461.24</v>
      </c>
      <c r="W31" s="59">
        <v>1108.23</v>
      </c>
      <c r="X31" s="59">
        <v>767.76</v>
      </c>
      <c r="Y31" s="59">
        <v>272.39</v>
      </c>
      <c r="Z31" s="60">
        <v>0</v>
      </c>
      <c r="AA31" s="60">
        <v>0</v>
      </c>
      <c r="AB31" s="62">
        <f>SUM(U31:AA31)</f>
        <v>2950.14</v>
      </c>
      <c r="AC31" s="63">
        <f t="shared" si="26"/>
        <v>3915.915</v>
      </c>
      <c r="AD31" s="64">
        <f t="shared" si="27"/>
        <v>0</v>
      </c>
      <c r="AE31" s="64">
        <f t="shared" si="28"/>
        <v>0</v>
      </c>
      <c r="AF31" s="64"/>
      <c r="AG31" s="65">
        <f t="shared" si="29"/>
        <v>378.78</v>
      </c>
      <c r="AH31" s="65">
        <f t="shared" si="30"/>
        <v>126.25999999999999</v>
      </c>
      <c r="AI31" s="65">
        <f t="shared" si="31"/>
        <v>631.3</v>
      </c>
      <c r="AJ31" s="65">
        <v>0</v>
      </c>
      <c r="AK31" s="65">
        <f t="shared" si="32"/>
        <v>618.674</v>
      </c>
      <c r="AL31" s="65">
        <v>0</v>
      </c>
      <c r="AM31" s="65">
        <f t="shared" si="33"/>
        <v>1420.425</v>
      </c>
      <c r="AN31" s="65">
        <v>0</v>
      </c>
      <c r="AO31" s="65"/>
      <c r="AP31" s="65"/>
      <c r="AQ31" s="66"/>
      <c r="AR31" s="66"/>
      <c r="AS31" s="67">
        <v>272</v>
      </c>
      <c r="AT31" s="67"/>
      <c r="AU31" s="67">
        <f t="shared" si="34"/>
        <v>0</v>
      </c>
      <c r="AV31" s="68">
        <v>407</v>
      </c>
      <c r="AW31" s="208">
        <v>0.55</v>
      </c>
      <c r="AX31" s="65">
        <f t="shared" si="35"/>
        <v>313.39</v>
      </c>
      <c r="AY31" s="51"/>
      <c r="AZ31" s="69"/>
      <c r="BA31" s="69">
        <f t="shared" si="36"/>
        <v>0</v>
      </c>
      <c r="BB31" s="69">
        <f t="shared" si="37"/>
        <v>3760.8289999999997</v>
      </c>
      <c r="BC31" s="70"/>
      <c r="BD31" s="144">
        <f aca="true" t="shared" si="38" ref="BD31:BD41">AC31+AF31-BB31-BC31</f>
        <v>155.08600000000024</v>
      </c>
      <c r="BE31" s="146">
        <f aca="true" t="shared" si="39" ref="BE31:BE41">AB31-S31</f>
        <v>-1544.8300000000004</v>
      </c>
    </row>
    <row r="32" spans="1:57" ht="12.75">
      <c r="A32" s="94" t="s">
        <v>47</v>
      </c>
      <c r="B32" s="58">
        <v>631.3</v>
      </c>
      <c r="C32" s="55">
        <f t="shared" si="22"/>
        <v>5460.745</v>
      </c>
      <c r="D32" s="54">
        <f t="shared" si="23"/>
        <v>450.1850000000003</v>
      </c>
      <c r="E32" s="114">
        <v>518.84</v>
      </c>
      <c r="F32" s="114">
        <v>59.49</v>
      </c>
      <c r="G32" s="114">
        <v>702.77</v>
      </c>
      <c r="H32" s="114">
        <v>80.64</v>
      </c>
      <c r="I32" s="114">
        <v>1688.56</v>
      </c>
      <c r="J32" s="114">
        <v>193.68</v>
      </c>
      <c r="K32" s="114">
        <v>1169.73</v>
      </c>
      <c r="L32" s="114">
        <v>134.19</v>
      </c>
      <c r="M32" s="114">
        <v>415.07</v>
      </c>
      <c r="N32" s="114">
        <v>47.59</v>
      </c>
      <c r="O32" s="114">
        <v>0</v>
      </c>
      <c r="P32" s="62">
        <v>0</v>
      </c>
      <c r="Q32" s="62">
        <v>0</v>
      </c>
      <c r="R32" s="62">
        <v>0</v>
      </c>
      <c r="S32" s="59">
        <f t="shared" si="24"/>
        <v>4494.97</v>
      </c>
      <c r="T32" s="61">
        <f t="shared" si="25"/>
        <v>515.59</v>
      </c>
      <c r="U32" s="59">
        <v>648.51</v>
      </c>
      <c r="V32" s="59">
        <v>877.87</v>
      </c>
      <c r="W32" s="59">
        <v>2109.99</v>
      </c>
      <c r="X32" s="59">
        <v>1461.53</v>
      </c>
      <c r="Y32" s="59">
        <v>518.8</v>
      </c>
      <c r="Z32" s="60">
        <v>0</v>
      </c>
      <c r="AA32" s="60">
        <v>0</v>
      </c>
      <c r="AB32" s="62">
        <f>SUM(U32:AA32)</f>
        <v>5616.7</v>
      </c>
      <c r="AC32" s="63">
        <f t="shared" si="26"/>
        <v>6582.475</v>
      </c>
      <c r="AD32" s="64">
        <f t="shared" si="27"/>
        <v>0</v>
      </c>
      <c r="AE32" s="64">
        <f t="shared" si="28"/>
        <v>0</v>
      </c>
      <c r="AF32" s="64"/>
      <c r="AG32" s="65">
        <f t="shared" si="29"/>
        <v>378.78</v>
      </c>
      <c r="AH32" s="65">
        <f t="shared" si="30"/>
        <v>126.25999999999999</v>
      </c>
      <c r="AI32" s="65">
        <f t="shared" si="31"/>
        <v>631.3</v>
      </c>
      <c r="AJ32" s="65">
        <v>0</v>
      </c>
      <c r="AK32" s="65">
        <f t="shared" si="32"/>
        <v>618.674</v>
      </c>
      <c r="AL32" s="65">
        <v>0</v>
      </c>
      <c r="AM32" s="65">
        <f t="shared" si="33"/>
        <v>1420.425</v>
      </c>
      <c r="AN32" s="65">
        <v>0</v>
      </c>
      <c r="AO32" s="65"/>
      <c r="AP32" s="65"/>
      <c r="AQ32" s="66"/>
      <c r="AR32" s="66"/>
      <c r="AS32" s="67"/>
      <c r="AT32" s="67"/>
      <c r="AU32" s="67">
        <f t="shared" si="34"/>
        <v>0</v>
      </c>
      <c r="AV32" s="68">
        <v>383</v>
      </c>
      <c r="AW32" s="208">
        <v>0.55</v>
      </c>
      <c r="AX32" s="65">
        <f t="shared" si="35"/>
        <v>294.90999999999997</v>
      </c>
      <c r="AY32" s="51"/>
      <c r="AZ32" s="69"/>
      <c r="BA32" s="69">
        <f t="shared" si="36"/>
        <v>0</v>
      </c>
      <c r="BB32" s="69">
        <f t="shared" si="37"/>
        <v>3470.3489999999997</v>
      </c>
      <c r="BC32" s="70"/>
      <c r="BD32" s="144">
        <f t="shared" si="38"/>
        <v>3112.1260000000007</v>
      </c>
      <c r="BE32" s="146">
        <f t="shared" si="39"/>
        <v>1121.7299999999996</v>
      </c>
    </row>
    <row r="33" spans="1:57" ht="12.75">
      <c r="A33" s="94" t="s">
        <v>48</v>
      </c>
      <c r="B33" s="58">
        <v>631.3</v>
      </c>
      <c r="C33" s="55">
        <f t="shared" si="22"/>
        <v>5460.745</v>
      </c>
      <c r="D33" s="54">
        <f t="shared" si="23"/>
        <v>450.16499999999957</v>
      </c>
      <c r="E33" s="114">
        <v>509.75</v>
      </c>
      <c r="F33" s="114">
        <v>68.58</v>
      </c>
      <c r="G33" s="114">
        <v>690.45</v>
      </c>
      <c r="H33" s="114">
        <v>92.96</v>
      </c>
      <c r="I33" s="114">
        <v>1658.97</v>
      </c>
      <c r="J33" s="114">
        <v>223.28</v>
      </c>
      <c r="K33" s="114">
        <v>1149.22</v>
      </c>
      <c r="L33" s="114">
        <v>154.7</v>
      </c>
      <c r="M33" s="114">
        <v>407.81</v>
      </c>
      <c r="N33" s="114">
        <v>54.86</v>
      </c>
      <c r="O33" s="114">
        <v>0</v>
      </c>
      <c r="P33" s="62">
        <v>0</v>
      </c>
      <c r="Q33" s="62"/>
      <c r="R33" s="62"/>
      <c r="S33" s="59">
        <f t="shared" si="24"/>
        <v>4416.200000000001</v>
      </c>
      <c r="T33" s="61">
        <f t="shared" si="25"/>
        <v>594.3800000000001</v>
      </c>
      <c r="U33" s="59">
        <v>257.76</v>
      </c>
      <c r="V33" s="59">
        <v>348</v>
      </c>
      <c r="W33" s="59">
        <v>836.37</v>
      </c>
      <c r="X33" s="59">
        <v>579.95</v>
      </c>
      <c r="Y33" s="59">
        <v>206.19</v>
      </c>
      <c r="Z33" s="60">
        <v>0</v>
      </c>
      <c r="AA33" s="60">
        <v>0</v>
      </c>
      <c r="AB33" s="62">
        <f>SUM(U33:AA33)</f>
        <v>2228.27</v>
      </c>
      <c r="AC33" s="63">
        <f t="shared" si="26"/>
        <v>3272.8149999999996</v>
      </c>
      <c r="AD33" s="64">
        <f t="shared" si="27"/>
        <v>0</v>
      </c>
      <c r="AE33" s="64">
        <f t="shared" si="28"/>
        <v>0</v>
      </c>
      <c r="AF33" s="64"/>
      <c r="AG33" s="65">
        <f t="shared" si="29"/>
        <v>378.78</v>
      </c>
      <c r="AH33" s="65">
        <f t="shared" si="30"/>
        <v>126.25999999999999</v>
      </c>
      <c r="AI33" s="65">
        <f t="shared" si="31"/>
        <v>631.3</v>
      </c>
      <c r="AJ33" s="65">
        <v>0</v>
      </c>
      <c r="AK33" s="65">
        <f t="shared" si="32"/>
        <v>618.674</v>
      </c>
      <c r="AL33" s="65">
        <v>0</v>
      </c>
      <c r="AM33" s="65">
        <f t="shared" si="33"/>
        <v>1420.425</v>
      </c>
      <c r="AN33" s="65">
        <v>0</v>
      </c>
      <c r="AO33" s="65"/>
      <c r="AP33" s="65"/>
      <c r="AQ33" s="66"/>
      <c r="AR33" s="66"/>
      <c r="AS33" s="67">
        <v>98</v>
      </c>
      <c r="AT33" s="67"/>
      <c r="AU33" s="67">
        <f t="shared" si="34"/>
        <v>0</v>
      </c>
      <c r="AV33" s="68">
        <v>307</v>
      </c>
      <c r="AW33" s="208">
        <v>0.55</v>
      </c>
      <c r="AX33" s="65">
        <f t="shared" si="35"/>
        <v>236.39000000000001</v>
      </c>
      <c r="AY33" s="51"/>
      <c r="AZ33" s="69"/>
      <c r="BA33" s="69">
        <f t="shared" si="36"/>
        <v>0</v>
      </c>
      <c r="BB33" s="69">
        <f t="shared" si="37"/>
        <v>3509.8289999999997</v>
      </c>
      <c r="BC33" s="70"/>
      <c r="BD33" s="144">
        <f t="shared" si="38"/>
        <v>-237.01400000000012</v>
      </c>
      <c r="BE33" s="146">
        <f t="shared" si="39"/>
        <v>-2187.9300000000007</v>
      </c>
    </row>
    <row r="34" spans="1:57" ht="12.75">
      <c r="A34" s="94" t="s">
        <v>49</v>
      </c>
      <c r="B34" s="58">
        <v>631.3</v>
      </c>
      <c r="C34" s="55">
        <f t="shared" si="22"/>
        <v>5460.745</v>
      </c>
      <c r="D34" s="54">
        <f t="shared" si="23"/>
        <v>450.2449999999996</v>
      </c>
      <c r="E34" s="114">
        <v>494.04</v>
      </c>
      <c r="F34" s="114">
        <v>84.29</v>
      </c>
      <c r="G34" s="114">
        <v>669.14</v>
      </c>
      <c r="H34" s="114">
        <v>114.25</v>
      </c>
      <c r="I34" s="114">
        <v>1607.81</v>
      </c>
      <c r="J34" s="114">
        <v>274.4</v>
      </c>
      <c r="K34" s="114">
        <v>1113.79</v>
      </c>
      <c r="L34" s="114">
        <v>190.12</v>
      </c>
      <c r="M34" s="114">
        <v>395.23</v>
      </c>
      <c r="N34" s="114">
        <v>67.43</v>
      </c>
      <c r="O34" s="114">
        <v>0</v>
      </c>
      <c r="P34" s="62">
        <v>0</v>
      </c>
      <c r="Q34" s="62"/>
      <c r="R34" s="62"/>
      <c r="S34" s="59">
        <f t="shared" si="24"/>
        <v>4280.01</v>
      </c>
      <c r="T34" s="61">
        <f t="shared" si="25"/>
        <v>730.49</v>
      </c>
      <c r="U34" s="74">
        <v>347.4</v>
      </c>
      <c r="V34" s="74">
        <v>470.43</v>
      </c>
      <c r="W34" s="74">
        <v>1130.49</v>
      </c>
      <c r="X34" s="74">
        <v>783.12</v>
      </c>
      <c r="Y34" s="74">
        <v>277.94</v>
      </c>
      <c r="Z34" s="75">
        <v>0</v>
      </c>
      <c r="AA34" s="75">
        <v>0</v>
      </c>
      <c r="AB34" s="62">
        <f aca="true" t="shared" si="40" ref="AB34:AB40">SUM(U34:AA34)</f>
        <v>3009.38</v>
      </c>
      <c r="AC34" s="63">
        <f t="shared" si="26"/>
        <v>4190.115</v>
      </c>
      <c r="AD34" s="64">
        <f t="shared" si="27"/>
        <v>0</v>
      </c>
      <c r="AE34" s="64">
        <f t="shared" si="28"/>
        <v>0</v>
      </c>
      <c r="AF34" s="64"/>
      <c r="AG34" s="65">
        <f t="shared" si="29"/>
        <v>378.78</v>
      </c>
      <c r="AH34" s="65">
        <f t="shared" si="30"/>
        <v>126.25999999999999</v>
      </c>
      <c r="AI34" s="65">
        <f t="shared" si="31"/>
        <v>631.3</v>
      </c>
      <c r="AJ34" s="65">
        <v>0</v>
      </c>
      <c r="AK34" s="65">
        <f t="shared" si="32"/>
        <v>618.674</v>
      </c>
      <c r="AL34" s="65">
        <v>0</v>
      </c>
      <c r="AM34" s="65">
        <f t="shared" si="33"/>
        <v>1420.425</v>
      </c>
      <c r="AN34" s="65">
        <v>0</v>
      </c>
      <c r="AO34" s="65"/>
      <c r="AP34" s="65"/>
      <c r="AQ34" s="66"/>
      <c r="AR34" s="66"/>
      <c r="AS34" s="67"/>
      <c r="AT34" s="67"/>
      <c r="AU34" s="67">
        <f t="shared" si="34"/>
        <v>0</v>
      </c>
      <c r="AV34" s="68">
        <v>263</v>
      </c>
      <c r="AW34" s="208">
        <v>0.55</v>
      </c>
      <c r="AX34" s="65">
        <f t="shared" si="35"/>
        <v>202.51</v>
      </c>
      <c r="AY34" s="51"/>
      <c r="AZ34" s="69"/>
      <c r="BA34" s="69">
        <f t="shared" si="36"/>
        <v>0</v>
      </c>
      <c r="BB34" s="69">
        <f t="shared" si="37"/>
        <v>3377.9489999999996</v>
      </c>
      <c r="BC34" s="70"/>
      <c r="BD34" s="144">
        <f t="shared" si="38"/>
        <v>812.1660000000002</v>
      </c>
      <c r="BE34" s="146">
        <f t="shared" si="39"/>
        <v>-1270.63</v>
      </c>
    </row>
    <row r="35" spans="1:57" ht="12.75">
      <c r="A35" s="94" t="s">
        <v>50</v>
      </c>
      <c r="B35" s="58">
        <v>631.3</v>
      </c>
      <c r="C35" s="55">
        <f t="shared" si="22"/>
        <v>5460.745</v>
      </c>
      <c r="D35" s="54">
        <f t="shared" si="23"/>
        <v>450.2449999999996</v>
      </c>
      <c r="E35" s="114">
        <v>494.04</v>
      </c>
      <c r="F35" s="114">
        <v>84.29</v>
      </c>
      <c r="G35" s="114">
        <v>669.14</v>
      </c>
      <c r="H35" s="114">
        <v>114.25</v>
      </c>
      <c r="I35" s="114">
        <v>1607.81</v>
      </c>
      <c r="J35" s="114">
        <v>274.4</v>
      </c>
      <c r="K35" s="114">
        <v>1113.79</v>
      </c>
      <c r="L35" s="114">
        <v>190.12</v>
      </c>
      <c r="M35" s="114">
        <v>395.23</v>
      </c>
      <c r="N35" s="114">
        <v>67.43</v>
      </c>
      <c r="O35" s="114">
        <v>0</v>
      </c>
      <c r="P35" s="62">
        <v>0</v>
      </c>
      <c r="Q35" s="114">
        <v>0</v>
      </c>
      <c r="R35" s="62">
        <v>0</v>
      </c>
      <c r="S35" s="59">
        <f t="shared" si="24"/>
        <v>4280.01</v>
      </c>
      <c r="T35" s="61">
        <f t="shared" si="25"/>
        <v>730.49</v>
      </c>
      <c r="U35" s="59">
        <v>456.42</v>
      </c>
      <c r="V35" s="59">
        <v>617.98</v>
      </c>
      <c r="W35" s="59">
        <v>1485.13</v>
      </c>
      <c r="X35" s="59">
        <v>1028.77</v>
      </c>
      <c r="Y35" s="59">
        <v>365.14</v>
      </c>
      <c r="Z35" s="60">
        <v>0</v>
      </c>
      <c r="AA35" s="60">
        <v>0</v>
      </c>
      <c r="AB35" s="62">
        <f t="shared" si="40"/>
        <v>3953.44</v>
      </c>
      <c r="AC35" s="63">
        <f t="shared" si="26"/>
        <v>5134.174999999999</v>
      </c>
      <c r="AD35" s="64">
        <f t="shared" si="27"/>
        <v>0</v>
      </c>
      <c r="AE35" s="64">
        <f t="shared" si="28"/>
        <v>0</v>
      </c>
      <c r="AF35" s="64"/>
      <c r="AG35" s="65">
        <f t="shared" si="29"/>
        <v>378.78</v>
      </c>
      <c r="AH35" s="65">
        <f t="shared" si="30"/>
        <v>126.25999999999999</v>
      </c>
      <c r="AI35" s="65">
        <f t="shared" si="31"/>
        <v>631.3</v>
      </c>
      <c r="AJ35" s="65">
        <v>0</v>
      </c>
      <c r="AK35" s="65">
        <f t="shared" si="32"/>
        <v>618.674</v>
      </c>
      <c r="AL35" s="65">
        <v>0</v>
      </c>
      <c r="AM35" s="65">
        <f t="shared" si="33"/>
        <v>1420.425</v>
      </c>
      <c r="AN35" s="65">
        <v>0</v>
      </c>
      <c r="AO35" s="65"/>
      <c r="AP35" s="65"/>
      <c r="AQ35" s="66"/>
      <c r="AR35" s="66"/>
      <c r="AS35" s="67"/>
      <c r="AT35" s="67"/>
      <c r="AU35" s="67">
        <f t="shared" si="34"/>
        <v>0</v>
      </c>
      <c r="AV35" s="68">
        <v>233</v>
      </c>
      <c r="AW35" s="208">
        <v>0.55</v>
      </c>
      <c r="AX35" s="65">
        <f t="shared" si="35"/>
        <v>179.41</v>
      </c>
      <c r="AY35" s="51"/>
      <c r="AZ35" s="69"/>
      <c r="BA35" s="69">
        <f t="shared" si="36"/>
        <v>0</v>
      </c>
      <c r="BB35" s="69">
        <f t="shared" si="37"/>
        <v>3354.8489999999997</v>
      </c>
      <c r="BC35" s="70"/>
      <c r="BD35" s="144">
        <f t="shared" si="38"/>
        <v>1779.3259999999996</v>
      </c>
      <c r="BE35" s="146">
        <f t="shared" si="39"/>
        <v>-326.57000000000016</v>
      </c>
    </row>
    <row r="36" spans="1:57" ht="12.75">
      <c r="A36" s="94" t="s">
        <v>51</v>
      </c>
      <c r="B36" s="58">
        <v>631.3</v>
      </c>
      <c r="C36" s="55">
        <f t="shared" si="22"/>
        <v>5460.745</v>
      </c>
      <c r="D36" s="54">
        <f t="shared" si="23"/>
        <v>429.67500000000007</v>
      </c>
      <c r="E36" s="197">
        <v>580.75</v>
      </c>
      <c r="F36" s="114">
        <v>0</v>
      </c>
      <c r="G36" s="114">
        <v>786.54</v>
      </c>
      <c r="H36" s="114">
        <v>0</v>
      </c>
      <c r="I36" s="114">
        <v>1889.95</v>
      </c>
      <c r="J36" s="114">
        <v>0</v>
      </c>
      <c r="K36" s="114">
        <v>1309.23</v>
      </c>
      <c r="L36" s="114">
        <v>0</v>
      </c>
      <c r="M36" s="114">
        <v>464.6</v>
      </c>
      <c r="N36" s="114">
        <v>0</v>
      </c>
      <c r="O36" s="114">
        <v>0</v>
      </c>
      <c r="P36" s="62">
        <v>0</v>
      </c>
      <c r="Q36" s="62"/>
      <c r="R36" s="62"/>
      <c r="S36" s="59">
        <f t="shared" si="24"/>
        <v>5031.07</v>
      </c>
      <c r="T36" s="61">
        <f t="shared" si="25"/>
        <v>0</v>
      </c>
      <c r="U36" s="73">
        <v>161.54</v>
      </c>
      <c r="V36" s="59">
        <v>218.76</v>
      </c>
      <c r="W36" s="59">
        <v>525.65</v>
      </c>
      <c r="X36" s="59">
        <v>364.13</v>
      </c>
      <c r="Y36" s="59">
        <v>129.21</v>
      </c>
      <c r="Z36" s="60">
        <v>0</v>
      </c>
      <c r="AA36" s="60">
        <v>0</v>
      </c>
      <c r="AB36" s="62">
        <f t="shared" si="40"/>
        <v>1399.29</v>
      </c>
      <c r="AC36" s="63">
        <f t="shared" si="26"/>
        <v>1828.9650000000001</v>
      </c>
      <c r="AD36" s="64">
        <f t="shared" si="27"/>
        <v>0</v>
      </c>
      <c r="AE36" s="64">
        <f t="shared" si="28"/>
        <v>0</v>
      </c>
      <c r="AF36" s="64"/>
      <c r="AG36" s="65">
        <f t="shared" si="29"/>
        <v>378.78</v>
      </c>
      <c r="AH36" s="65">
        <f t="shared" si="30"/>
        <v>126.25999999999999</v>
      </c>
      <c r="AI36" s="65">
        <f t="shared" si="31"/>
        <v>631.3</v>
      </c>
      <c r="AJ36" s="65">
        <v>0</v>
      </c>
      <c r="AK36" s="65">
        <f t="shared" si="32"/>
        <v>618.674</v>
      </c>
      <c r="AL36" s="65">
        <v>0</v>
      </c>
      <c r="AM36" s="65">
        <f t="shared" si="33"/>
        <v>1420.425</v>
      </c>
      <c r="AN36" s="65">
        <v>0</v>
      </c>
      <c r="AO36" s="65"/>
      <c r="AP36" s="65"/>
      <c r="AQ36" s="66"/>
      <c r="AR36" s="66"/>
      <c r="AS36" s="67"/>
      <c r="AT36" s="67">
        <f>2457.63</f>
        <v>2457.63</v>
      </c>
      <c r="AU36" s="67">
        <f t="shared" si="34"/>
        <v>442.3734</v>
      </c>
      <c r="AV36" s="68">
        <v>248</v>
      </c>
      <c r="AW36" s="208">
        <v>0.55</v>
      </c>
      <c r="AX36" s="65">
        <f t="shared" si="35"/>
        <v>190.96</v>
      </c>
      <c r="AY36" s="51"/>
      <c r="AZ36" s="69"/>
      <c r="BA36" s="69">
        <f t="shared" si="36"/>
        <v>0</v>
      </c>
      <c r="BB36" s="69">
        <f t="shared" si="37"/>
        <v>6266.4024</v>
      </c>
      <c r="BC36" s="70"/>
      <c r="BD36" s="144">
        <f t="shared" si="38"/>
        <v>-4437.4374</v>
      </c>
      <c r="BE36" s="146">
        <f t="shared" si="39"/>
        <v>-3631.7799999999997</v>
      </c>
    </row>
    <row r="37" spans="1:57" ht="12.75">
      <c r="A37" s="94" t="s">
        <v>52</v>
      </c>
      <c r="B37" s="58">
        <v>631.3</v>
      </c>
      <c r="C37" s="55">
        <f t="shared" si="22"/>
        <v>5460.745</v>
      </c>
      <c r="D37" s="218">
        <f>C37-E37-F37-G37-H37-I37-J37-K37-L37-M37-N37</f>
        <v>401.63499999999954</v>
      </c>
      <c r="E37" s="197">
        <v>584.05</v>
      </c>
      <c r="F37" s="114">
        <v>0</v>
      </c>
      <c r="G37" s="114">
        <v>790.83</v>
      </c>
      <c r="H37" s="114">
        <v>0</v>
      </c>
      <c r="I37" s="114">
        <v>1900.51</v>
      </c>
      <c r="J37" s="114">
        <v>0</v>
      </c>
      <c r="K37" s="114">
        <v>1316.48</v>
      </c>
      <c r="L37" s="114">
        <v>0</v>
      </c>
      <c r="M37" s="114">
        <v>467.24</v>
      </c>
      <c r="N37" s="114">
        <v>0</v>
      </c>
      <c r="O37" s="114">
        <v>0</v>
      </c>
      <c r="P37" s="62">
        <v>0</v>
      </c>
      <c r="Q37" s="62"/>
      <c r="R37" s="62"/>
      <c r="S37" s="59">
        <f t="shared" si="24"/>
        <v>5059.110000000001</v>
      </c>
      <c r="T37" s="61">
        <f t="shared" si="25"/>
        <v>0</v>
      </c>
      <c r="U37" s="74">
        <v>352.03</v>
      </c>
      <c r="V37" s="74">
        <v>476.63</v>
      </c>
      <c r="W37" s="74">
        <v>1145.52</v>
      </c>
      <c r="X37" s="74">
        <v>793.46</v>
      </c>
      <c r="Y37" s="74">
        <v>281.63</v>
      </c>
      <c r="Z37" s="75">
        <v>0</v>
      </c>
      <c r="AA37" s="75">
        <v>0</v>
      </c>
      <c r="AB37" s="62">
        <f t="shared" si="40"/>
        <v>3049.27</v>
      </c>
      <c r="AC37" s="63">
        <f t="shared" si="26"/>
        <v>3450.9049999999997</v>
      </c>
      <c r="AD37" s="64">
        <f t="shared" si="27"/>
        <v>0</v>
      </c>
      <c r="AE37" s="64">
        <f t="shared" si="28"/>
        <v>0</v>
      </c>
      <c r="AF37" s="64"/>
      <c r="AG37" s="65">
        <f t="shared" si="29"/>
        <v>378.78</v>
      </c>
      <c r="AH37" s="65">
        <f t="shared" si="30"/>
        <v>126.25999999999999</v>
      </c>
      <c r="AI37" s="65">
        <f t="shared" si="31"/>
        <v>631.3</v>
      </c>
      <c r="AJ37" s="65">
        <v>0</v>
      </c>
      <c r="AK37" s="65">
        <f t="shared" si="32"/>
        <v>618.674</v>
      </c>
      <c r="AL37" s="65">
        <v>0</v>
      </c>
      <c r="AM37" s="65">
        <f t="shared" si="33"/>
        <v>1420.425</v>
      </c>
      <c r="AN37" s="65">
        <v>0</v>
      </c>
      <c r="AO37" s="65"/>
      <c r="AP37" s="65"/>
      <c r="AQ37" s="66"/>
      <c r="AR37" s="66"/>
      <c r="AS37" s="67">
        <v>1862</v>
      </c>
      <c r="AT37" s="67">
        <f>47.8</f>
        <v>47.8</v>
      </c>
      <c r="AU37" s="67">
        <v>0</v>
      </c>
      <c r="AV37" s="68">
        <v>293</v>
      </c>
      <c r="AW37" s="208">
        <v>0.55</v>
      </c>
      <c r="AX37" s="65">
        <f t="shared" si="35"/>
        <v>225.60999999999999</v>
      </c>
      <c r="AY37" s="51"/>
      <c r="AZ37" s="69"/>
      <c r="BA37" s="69">
        <f t="shared" si="36"/>
        <v>0</v>
      </c>
      <c r="BB37" s="69">
        <f>SUM(AG37:BA37)-AV37-AW37</f>
        <v>5310.849</v>
      </c>
      <c r="BC37" s="70"/>
      <c r="BD37" s="144">
        <f t="shared" si="38"/>
        <v>-1859.9440000000004</v>
      </c>
      <c r="BE37" s="146">
        <f t="shared" si="39"/>
        <v>-2009.8400000000006</v>
      </c>
    </row>
    <row r="38" spans="1:57" ht="12.75">
      <c r="A38" s="94" t="s">
        <v>53</v>
      </c>
      <c r="B38" s="58">
        <v>631.3</v>
      </c>
      <c r="C38" s="55">
        <f t="shared" si="22"/>
        <v>5460.745</v>
      </c>
      <c r="D38" s="54">
        <f t="shared" si="23"/>
        <v>401.63499999999954</v>
      </c>
      <c r="E38" s="114">
        <v>584.05</v>
      </c>
      <c r="F38" s="114">
        <v>0</v>
      </c>
      <c r="G38" s="114">
        <v>790.83</v>
      </c>
      <c r="H38" s="114">
        <v>0</v>
      </c>
      <c r="I38" s="114">
        <v>1900.51</v>
      </c>
      <c r="J38" s="114">
        <v>0</v>
      </c>
      <c r="K38" s="114">
        <v>1316.48</v>
      </c>
      <c r="L38" s="114">
        <v>0</v>
      </c>
      <c r="M38" s="114">
        <v>467.24</v>
      </c>
      <c r="N38" s="114">
        <v>0</v>
      </c>
      <c r="O38" s="114">
        <v>0</v>
      </c>
      <c r="P38" s="62">
        <v>0</v>
      </c>
      <c r="Q38" s="62"/>
      <c r="R38" s="62"/>
      <c r="S38" s="59">
        <f t="shared" si="24"/>
        <v>5059.110000000001</v>
      </c>
      <c r="T38" s="61">
        <f t="shared" si="25"/>
        <v>0</v>
      </c>
      <c r="U38" s="59">
        <v>391.6</v>
      </c>
      <c r="V38" s="59">
        <v>529.83</v>
      </c>
      <c r="W38" s="59">
        <v>1273.78</v>
      </c>
      <c r="X38" s="59">
        <v>882.23</v>
      </c>
      <c r="Y38" s="59">
        <v>313.27</v>
      </c>
      <c r="Z38" s="60">
        <v>0</v>
      </c>
      <c r="AA38" s="60">
        <v>0</v>
      </c>
      <c r="AB38" s="62">
        <f t="shared" si="40"/>
        <v>3390.71</v>
      </c>
      <c r="AC38" s="63">
        <f t="shared" si="26"/>
        <v>3792.3449999999993</v>
      </c>
      <c r="AD38" s="64">
        <f t="shared" si="27"/>
        <v>0</v>
      </c>
      <c r="AE38" s="64">
        <f t="shared" si="28"/>
        <v>0</v>
      </c>
      <c r="AF38" s="64"/>
      <c r="AG38" s="65">
        <f t="shared" si="29"/>
        <v>378.78</v>
      </c>
      <c r="AH38" s="65">
        <f t="shared" si="30"/>
        <v>126.25999999999999</v>
      </c>
      <c r="AI38" s="65">
        <f t="shared" si="31"/>
        <v>631.3</v>
      </c>
      <c r="AJ38" s="65">
        <v>0</v>
      </c>
      <c r="AK38" s="65">
        <f t="shared" si="32"/>
        <v>618.674</v>
      </c>
      <c r="AL38" s="65">
        <v>0</v>
      </c>
      <c r="AM38" s="65">
        <f t="shared" si="33"/>
        <v>1420.425</v>
      </c>
      <c r="AN38" s="65">
        <v>0</v>
      </c>
      <c r="AO38" s="65"/>
      <c r="AP38" s="65"/>
      <c r="AQ38" s="66"/>
      <c r="AR38" s="219"/>
      <c r="AS38" s="67"/>
      <c r="AT38" s="67"/>
      <c r="AU38" s="76">
        <f t="shared" si="34"/>
        <v>0</v>
      </c>
      <c r="AV38" s="68">
        <v>349</v>
      </c>
      <c r="AW38" s="208">
        <v>0.55</v>
      </c>
      <c r="AX38" s="65">
        <f t="shared" si="35"/>
        <v>268.73</v>
      </c>
      <c r="AY38" s="51"/>
      <c r="AZ38" s="69"/>
      <c r="BA38" s="69">
        <f t="shared" si="36"/>
        <v>0</v>
      </c>
      <c r="BB38" s="69">
        <f t="shared" si="37"/>
        <v>3444.169</v>
      </c>
      <c r="BC38" s="70"/>
      <c r="BD38" s="144">
        <f t="shared" si="38"/>
        <v>348.1759999999995</v>
      </c>
      <c r="BE38" s="146">
        <f t="shared" si="39"/>
        <v>-1668.4000000000005</v>
      </c>
    </row>
    <row r="39" spans="1:57" ht="12.75">
      <c r="A39" s="94" t="s">
        <v>41</v>
      </c>
      <c r="B39" s="58">
        <v>631.3</v>
      </c>
      <c r="C39" s="55">
        <f t="shared" si="22"/>
        <v>5460.745</v>
      </c>
      <c r="D39" s="54">
        <f t="shared" si="23"/>
        <v>401.63499999999954</v>
      </c>
      <c r="E39" s="188">
        <v>584.05</v>
      </c>
      <c r="F39" s="188">
        <v>0</v>
      </c>
      <c r="G39" s="188">
        <v>790.83</v>
      </c>
      <c r="H39" s="188">
        <v>0</v>
      </c>
      <c r="I39" s="188">
        <v>1900.51</v>
      </c>
      <c r="J39" s="188">
        <v>0</v>
      </c>
      <c r="K39" s="188">
        <v>1316.48</v>
      </c>
      <c r="L39" s="188">
        <v>0</v>
      </c>
      <c r="M39" s="188">
        <v>467.24</v>
      </c>
      <c r="N39" s="188">
        <v>0</v>
      </c>
      <c r="O39" s="188">
        <v>0</v>
      </c>
      <c r="P39" s="189">
        <v>0</v>
      </c>
      <c r="Q39" s="189"/>
      <c r="R39" s="189"/>
      <c r="S39" s="59">
        <f t="shared" si="24"/>
        <v>5059.110000000001</v>
      </c>
      <c r="T39" s="61">
        <f t="shared" si="25"/>
        <v>0</v>
      </c>
      <c r="U39" s="59">
        <v>304.12</v>
      </c>
      <c r="V39" s="59">
        <v>411.78</v>
      </c>
      <c r="W39" s="59">
        <v>989.61</v>
      </c>
      <c r="X39" s="59">
        <v>685.49</v>
      </c>
      <c r="Y39" s="59">
        <v>243.3</v>
      </c>
      <c r="Z39" s="60">
        <v>0</v>
      </c>
      <c r="AA39" s="60">
        <v>0</v>
      </c>
      <c r="AB39" s="62">
        <f t="shared" si="40"/>
        <v>2634.3</v>
      </c>
      <c r="AC39" s="63">
        <f t="shared" si="26"/>
        <v>3035.9349999999995</v>
      </c>
      <c r="AD39" s="64">
        <f t="shared" si="27"/>
        <v>0</v>
      </c>
      <c r="AE39" s="64">
        <f t="shared" si="28"/>
        <v>0</v>
      </c>
      <c r="AF39" s="64"/>
      <c r="AG39" s="65">
        <f t="shared" si="29"/>
        <v>378.78</v>
      </c>
      <c r="AH39" s="65">
        <f t="shared" si="30"/>
        <v>126.25999999999999</v>
      </c>
      <c r="AI39" s="65">
        <f t="shared" si="31"/>
        <v>631.3</v>
      </c>
      <c r="AJ39" s="65">
        <v>0</v>
      </c>
      <c r="AK39" s="65">
        <f t="shared" si="32"/>
        <v>618.674</v>
      </c>
      <c r="AL39" s="65">
        <v>0</v>
      </c>
      <c r="AM39" s="65">
        <f t="shared" si="33"/>
        <v>1420.425</v>
      </c>
      <c r="AN39" s="65">
        <v>0</v>
      </c>
      <c r="AO39" s="65"/>
      <c r="AP39" s="65"/>
      <c r="AQ39" s="66"/>
      <c r="AR39" s="66"/>
      <c r="AS39" s="67"/>
      <c r="AT39" s="67"/>
      <c r="AU39" s="67">
        <f t="shared" si="34"/>
        <v>0</v>
      </c>
      <c r="AV39" s="68">
        <v>425</v>
      </c>
      <c r="AW39" s="208">
        <v>0.55</v>
      </c>
      <c r="AX39" s="65">
        <f t="shared" si="35"/>
        <v>327.25</v>
      </c>
      <c r="AY39" s="51"/>
      <c r="AZ39" s="69"/>
      <c r="BA39" s="69">
        <f t="shared" si="36"/>
        <v>0</v>
      </c>
      <c r="BB39" s="69">
        <f t="shared" si="37"/>
        <v>3502.689</v>
      </c>
      <c r="BC39" s="70"/>
      <c r="BD39" s="144">
        <f t="shared" si="38"/>
        <v>-466.75400000000036</v>
      </c>
      <c r="BE39" s="146">
        <f t="shared" si="39"/>
        <v>-2424.8100000000004</v>
      </c>
    </row>
    <row r="40" spans="1:57" ht="12.75">
      <c r="A40" s="94" t="s">
        <v>42</v>
      </c>
      <c r="B40" s="58">
        <v>631.3</v>
      </c>
      <c r="C40" s="55">
        <f t="shared" si="22"/>
        <v>5460.745</v>
      </c>
      <c r="D40" s="54">
        <f t="shared" si="23"/>
        <v>401.63499999999954</v>
      </c>
      <c r="E40" s="114">
        <v>584.05</v>
      </c>
      <c r="F40" s="114">
        <v>0</v>
      </c>
      <c r="G40" s="114">
        <v>790.83</v>
      </c>
      <c r="H40" s="114">
        <v>0</v>
      </c>
      <c r="I40" s="114">
        <v>1900.51</v>
      </c>
      <c r="J40" s="114">
        <v>0</v>
      </c>
      <c r="K40" s="114">
        <v>1316.48</v>
      </c>
      <c r="L40" s="114">
        <v>0</v>
      </c>
      <c r="M40" s="114">
        <v>467.24</v>
      </c>
      <c r="N40" s="114">
        <v>0</v>
      </c>
      <c r="O40" s="114">
        <v>0</v>
      </c>
      <c r="P40" s="62">
        <v>0</v>
      </c>
      <c r="Q40" s="62"/>
      <c r="R40" s="62"/>
      <c r="S40" s="59">
        <f t="shared" si="24"/>
        <v>5059.110000000001</v>
      </c>
      <c r="T40" s="61">
        <f t="shared" si="25"/>
        <v>0</v>
      </c>
      <c r="U40" s="73">
        <v>257.54</v>
      </c>
      <c r="V40" s="59">
        <v>348.81</v>
      </c>
      <c r="W40" s="59">
        <v>838.14</v>
      </c>
      <c r="X40" s="59">
        <v>580.59</v>
      </c>
      <c r="Y40" s="59">
        <v>206.03</v>
      </c>
      <c r="Z40" s="60">
        <v>0</v>
      </c>
      <c r="AA40" s="60">
        <v>0</v>
      </c>
      <c r="AB40" s="62">
        <f t="shared" si="40"/>
        <v>2231.11</v>
      </c>
      <c r="AC40" s="63">
        <f t="shared" si="26"/>
        <v>2632.745</v>
      </c>
      <c r="AD40" s="64">
        <f t="shared" si="27"/>
        <v>0</v>
      </c>
      <c r="AE40" s="64">
        <f t="shared" si="28"/>
        <v>0</v>
      </c>
      <c r="AF40" s="64"/>
      <c r="AG40" s="65">
        <f t="shared" si="29"/>
        <v>378.78</v>
      </c>
      <c r="AH40" s="65">
        <f t="shared" si="30"/>
        <v>126.25999999999999</v>
      </c>
      <c r="AI40" s="65">
        <f t="shared" si="31"/>
        <v>631.3</v>
      </c>
      <c r="AJ40" s="65">
        <v>0</v>
      </c>
      <c r="AK40" s="65">
        <f t="shared" si="32"/>
        <v>618.674</v>
      </c>
      <c r="AL40" s="65">
        <v>0</v>
      </c>
      <c r="AM40" s="65">
        <f t="shared" si="33"/>
        <v>1420.425</v>
      </c>
      <c r="AN40" s="65">
        <v>0</v>
      </c>
      <c r="AO40" s="65"/>
      <c r="AP40" s="65"/>
      <c r="AQ40" s="66"/>
      <c r="AR40" s="66"/>
      <c r="AS40" s="67"/>
      <c r="AT40" s="67"/>
      <c r="AU40" s="67">
        <f t="shared" si="34"/>
        <v>0</v>
      </c>
      <c r="AV40" s="68">
        <v>470</v>
      </c>
      <c r="AW40" s="208">
        <v>0.55</v>
      </c>
      <c r="AX40" s="65">
        <f t="shared" si="35"/>
        <v>361.9</v>
      </c>
      <c r="AY40" s="51"/>
      <c r="AZ40" s="69"/>
      <c r="BA40" s="69">
        <f t="shared" si="36"/>
        <v>0</v>
      </c>
      <c r="BB40" s="69">
        <f t="shared" si="37"/>
        <v>3537.339</v>
      </c>
      <c r="BC40" s="70"/>
      <c r="BD40" s="144">
        <f t="shared" si="38"/>
        <v>-904.594</v>
      </c>
      <c r="BE40" s="146">
        <f t="shared" si="39"/>
        <v>-2828.0000000000005</v>
      </c>
    </row>
    <row r="41" spans="1:57" ht="12.75">
      <c r="A41" s="94" t="s">
        <v>43</v>
      </c>
      <c r="B41" s="58">
        <v>631.3</v>
      </c>
      <c r="C41" s="55">
        <f t="shared" si="22"/>
        <v>5460.745</v>
      </c>
      <c r="D41" s="54">
        <f t="shared" si="23"/>
        <v>401.63499999999954</v>
      </c>
      <c r="E41" s="114">
        <v>584.05</v>
      </c>
      <c r="F41" s="114">
        <v>0</v>
      </c>
      <c r="G41" s="114">
        <v>790.83</v>
      </c>
      <c r="H41" s="114">
        <v>0</v>
      </c>
      <c r="I41" s="114">
        <v>1900.51</v>
      </c>
      <c r="J41" s="114">
        <v>0</v>
      </c>
      <c r="K41" s="114">
        <v>1316.48</v>
      </c>
      <c r="L41" s="114">
        <v>0</v>
      </c>
      <c r="M41" s="114">
        <v>467.24</v>
      </c>
      <c r="N41" s="114">
        <v>0</v>
      </c>
      <c r="O41" s="114">
        <v>0</v>
      </c>
      <c r="P41" s="62">
        <v>0</v>
      </c>
      <c r="Q41" s="62"/>
      <c r="R41" s="62"/>
      <c r="S41" s="59">
        <f t="shared" si="24"/>
        <v>5059.110000000001</v>
      </c>
      <c r="T41" s="61">
        <f t="shared" si="25"/>
        <v>0</v>
      </c>
      <c r="U41" s="59">
        <v>869.87</v>
      </c>
      <c r="V41" s="59">
        <v>1177.49</v>
      </c>
      <c r="W41" s="59">
        <v>2830.19</v>
      </c>
      <c r="X41" s="59">
        <v>1960.37</v>
      </c>
      <c r="Y41" s="59">
        <v>695.9</v>
      </c>
      <c r="Z41" s="60">
        <v>0</v>
      </c>
      <c r="AA41" s="60">
        <v>0</v>
      </c>
      <c r="AB41" s="62">
        <f>SUM(U41:AA41)</f>
        <v>7533.82</v>
      </c>
      <c r="AC41" s="63">
        <f>D41+T41+AB41</f>
        <v>7935.454999999999</v>
      </c>
      <c r="AD41" s="64">
        <f t="shared" si="27"/>
        <v>0</v>
      </c>
      <c r="AE41" s="64">
        <f t="shared" si="28"/>
        <v>0</v>
      </c>
      <c r="AF41" s="64"/>
      <c r="AG41" s="65">
        <f t="shared" si="29"/>
        <v>378.78</v>
      </c>
      <c r="AH41" s="65">
        <f t="shared" si="30"/>
        <v>126.25999999999999</v>
      </c>
      <c r="AI41" s="65">
        <f t="shared" si="31"/>
        <v>631.3</v>
      </c>
      <c r="AJ41" s="65">
        <v>0</v>
      </c>
      <c r="AK41" s="65">
        <f t="shared" si="32"/>
        <v>618.674</v>
      </c>
      <c r="AL41" s="65">
        <v>0</v>
      </c>
      <c r="AM41" s="65">
        <f t="shared" si="33"/>
        <v>1420.425</v>
      </c>
      <c r="AN41" s="65">
        <v>0</v>
      </c>
      <c r="AO41" s="65"/>
      <c r="AP41" s="65"/>
      <c r="AQ41" s="66"/>
      <c r="AR41" s="66"/>
      <c r="AS41" s="67"/>
      <c r="AT41" s="76"/>
      <c r="AU41" s="67">
        <f t="shared" si="34"/>
        <v>0</v>
      </c>
      <c r="AV41" s="68">
        <v>514</v>
      </c>
      <c r="AW41" s="208">
        <v>0.55</v>
      </c>
      <c r="AX41" s="65">
        <f t="shared" si="35"/>
        <v>395.78000000000003</v>
      </c>
      <c r="AY41" s="51"/>
      <c r="AZ41" s="69"/>
      <c r="BA41" s="69">
        <f>AZ41*0.18</f>
        <v>0</v>
      </c>
      <c r="BB41" s="69">
        <f>SUM(AG41:BA41)-AV41-AW41</f>
        <v>3571.219</v>
      </c>
      <c r="BC41" s="70"/>
      <c r="BD41" s="144">
        <f t="shared" si="38"/>
        <v>4364.235999999999</v>
      </c>
      <c r="BE41" s="146">
        <f t="shared" si="39"/>
        <v>2474.709999999999</v>
      </c>
    </row>
    <row r="42" spans="1:57" s="9" customFormat="1" ht="12.75">
      <c r="A42" s="6" t="s">
        <v>5</v>
      </c>
      <c r="B42" s="27"/>
      <c r="C42" s="27">
        <f aca="true" t="shared" si="41" ref="C42:AU42">SUM(C30:C41)</f>
        <v>65528.94000000001</v>
      </c>
      <c r="D42" s="27">
        <f t="shared" si="41"/>
        <v>5136.839999999996</v>
      </c>
      <c r="E42" s="25">
        <f t="shared" si="41"/>
        <v>6555.610000000001</v>
      </c>
      <c r="F42" s="25">
        <f t="shared" si="41"/>
        <v>415.63000000000005</v>
      </c>
      <c r="G42" s="25">
        <f t="shared" si="41"/>
        <v>8878.07</v>
      </c>
      <c r="H42" s="25">
        <f t="shared" si="41"/>
        <v>563.38</v>
      </c>
      <c r="I42" s="25">
        <f t="shared" si="41"/>
        <v>21333.609999999997</v>
      </c>
      <c r="J42" s="25">
        <f t="shared" si="41"/>
        <v>1353.12</v>
      </c>
      <c r="K42" s="25">
        <f t="shared" si="41"/>
        <v>14778.199999999997</v>
      </c>
      <c r="L42" s="25">
        <f t="shared" si="41"/>
        <v>937.51</v>
      </c>
      <c r="M42" s="25">
        <f t="shared" si="41"/>
        <v>5244.479999999999</v>
      </c>
      <c r="N42" s="25">
        <f t="shared" si="41"/>
        <v>332.49</v>
      </c>
      <c r="O42" s="25">
        <f t="shared" si="41"/>
        <v>0</v>
      </c>
      <c r="P42" s="25">
        <f t="shared" si="41"/>
        <v>0</v>
      </c>
      <c r="Q42" s="25">
        <f t="shared" si="41"/>
        <v>0</v>
      </c>
      <c r="R42" s="25">
        <f t="shared" si="41"/>
        <v>0</v>
      </c>
      <c r="S42" s="25">
        <f t="shared" si="41"/>
        <v>56789.97000000001</v>
      </c>
      <c r="T42" s="25">
        <f t="shared" si="41"/>
        <v>3602.13</v>
      </c>
      <c r="U42" s="28">
        <f t="shared" si="41"/>
        <v>4553.51</v>
      </c>
      <c r="V42" s="28">
        <f t="shared" si="41"/>
        <v>6163.87</v>
      </c>
      <c r="W42" s="28">
        <f t="shared" si="41"/>
        <v>14813.92</v>
      </c>
      <c r="X42" s="28">
        <f t="shared" si="41"/>
        <v>10262</v>
      </c>
      <c r="Y42" s="28">
        <f t="shared" si="41"/>
        <v>3642.7600000000007</v>
      </c>
      <c r="Z42" s="28">
        <f t="shared" si="41"/>
        <v>0</v>
      </c>
      <c r="AA42" s="28">
        <f t="shared" si="41"/>
        <v>0</v>
      </c>
      <c r="AB42" s="28">
        <f t="shared" si="41"/>
        <v>39436.06</v>
      </c>
      <c r="AC42" s="28">
        <f t="shared" si="41"/>
        <v>48175.03</v>
      </c>
      <c r="AD42" s="28">
        <f t="shared" si="41"/>
        <v>0</v>
      </c>
      <c r="AE42" s="45">
        <f t="shared" si="41"/>
        <v>0</v>
      </c>
      <c r="AF42" s="45">
        <f t="shared" si="41"/>
        <v>0</v>
      </c>
      <c r="AG42" s="7">
        <f t="shared" si="41"/>
        <v>4545.359999999999</v>
      </c>
      <c r="AH42" s="7">
        <f t="shared" si="41"/>
        <v>1515.12</v>
      </c>
      <c r="AI42" s="7">
        <f t="shared" si="41"/>
        <v>7575.600000000001</v>
      </c>
      <c r="AJ42" s="7">
        <f t="shared" si="41"/>
        <v>0</v>
      </c>
      <c r="AK42" s="7">
        <f t="shared" si="41"/>
        <v>7424.088</v>
      </c>
      <c r="AL42" s="7">
        <f t="shared" si="41"/>
        <v>0</v>
      </c>
      <c r="AM42" s="7">
        <f t="shared" si="41"/>
        <v>17045.099999999995</v>
      </c>
      <c r="AN42" s="7">
        <f t="shared" si="41"/>
        <v>0</v>
      </c>
      <c r="AO42" s="7">
        <f t="shared" si="41"/>
        <v>0</v>
      </c>
      <c r="AP42" s="7">
        <f t="shared" si="41"/>
        <v>0</v>
      </c>
      <c r="AQ42" s="7">
        <f t="shared" si="41"/>
        <v>0</v>
      </c>
      <c r="AR42" s="7">
        <f t="shared" si="41"/>
        <v>0</v>
      </c>
      <c r="AS42" s="7">
        <f t="shared" si="41"/>
        <v>2232</v>
      </c>
      <c r="AT42" s="7">
        <f t="shared" si="41"/>
        <v>2505.4300000000003</v>
      </c>
      <c r="AU42" s="7">
        <f t="shared" si="41"/>
        <v>442.3734</v>
      </c>
      <c r="AV42" s="7"/>
      <c r="AW42" s="7"/>
      <c r="AX42" s="7">
        <f aca="true" t="shared" si="42" ref="AX42:BE42">SUM(AX30:AX41)</f>
        <v>3388</v>
      </c>
      <c r="AY42" s="7">
        <f t="shared" si="42"/>
        <v>0</v>
      </c>
      <c r="AZ42" s="7">
        <f t="shared" si="42"/>
        <v>0</v>
      </c>
      <c r="BA42" s="7">
        <f t="shared" si="42"/>
        <v>0</v>
      </c>
      <c r="BB42" s="7">
        <f t="shared" si="42"/>
        <v>46673.07139999999</v>
      </c>
      <c r="BC42" s="7">
        <f t="shared" si="42"/>
        <v>0</v>
      </c>
      <c r="BD42" s="7">
        <f t="shared" si="42"/>
        <v>1501.9585999999986</v>
      </c>
      <c r="BE42" s="8">
        <f t="shared" si="42"/>
        <v>-17353.910000000007</v>
      </c>
    </row>
    <row r="43" spans="1:57" ht="12.75">
      <c r="A43" s="94"/>
      <c r="B43" s="182"/>
      <c r="C43" s="181"/>
      <c r="D43" s="181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74"/>
      <c r="T43" s="174"/>
      <c r="U43" s="110"/>
      <c r="V43" s="110"/>
      <c r="W43" s="110"/>
      <c r="X43" s="110"/>
      <c r="Y43" s="110"/>
      <c r="Z43" s="110"/>
      <c r="AA43" s="110"/>
      <c r="AB43" s="110"/>
      <c r="AC43" s="191"/>
      <c r="AD43" s="191"/>
      <c r="AE43" s="64"/>
      <c r="AF43" s="64"/>
      <c r="AG43" s="65"/>
      <c r="AH43" s="65"/>
      <c r="AI43" s="65"/>
      <c r="AJ43" s="65"/>
      <c r="AK43" s="65"/>
      <c r="AL43" s="65"/>
      <c r="AM43" s="65"/>
      <c r="AN43" s="65"/>
      <c r="AO43" s="192"/>
      <c r="AP43" s="192"/>
      <c r="AQ43" s="192"/>
      <c r="AR43" s="192"/>
      <c r="AS43" s="193"/>
      <c r="AT43" s="193"/>
      <c r="AU43" s="67"/>
      <c r="AV43" s="67"/>
      <c r="AW43" s="67"/>
      <c r="AX43" s="91"/>
      <c r="AY43" s="192"/>
      <c r="AZ43" s="192"/>
      <c r="BA43" s="65"/>
      <c r="BB43" s="65"/>
      <c r="BC43" s="65"/>
      <c r="BD43" s="65"/>
      <c r="BE43" s="164"/>
    </row>
    <row r="44" spans="1:57" s="9" customFormat="1" ht="13.5" thickBot="1">
      <c r="A44" s="10" t="s">
        <v>54</v>
      </c>
      <c r="B44" s="180"/>
      <c r="C44" s="180">
        <f aca="true" t="shared" si="43" ref="C44:AU44">C28+C42</f>
        <v>147440.11500000002</v>
      </c>
      <c r="D44" s="180">
        <f t="shared" si="43"/>
        <v>15344.441071949997</v>
      </c>
      <c r="E44" s="194">
        <f t="shared" si="43"/>
        <v>13979.84</v>
      </c>
      <c r="F44" s="194">
        <f t="shared" si="43"/>
        <v>1261.72</v>
      </c>
      <c r="G44" s="194">
        <f t="shared" si="43"/>
        <v>18919.25</v>
      </c>
      <c r="H44" s="194">
        <f t="shared" si="43"/>
        <v>1708.23</v>
      </c>
      <c r="I44" s="194">
        <f t="shared" si="43"/>
        <v>45480.82</v>
      </c>
      <c r="J44" s="194">
        <f t="shared" si="43"/>
        <v>4105.58</v>
      </c>
      <c r="K44" s="194">
        <f t="shared" si="43"/>
        <v>31501.159999999996</v>
      </c>
      <c r="L44" s="194">
        <f t="shared" si="43"/>
        <v>2843.88</v>
      </c>
      <c r="M44" s="194">
        <f t="shared" si="43"/>
        <v>11183.829999999998</v>
      </c>
      <c r="N44" s="194">
        <f t="shared" si="43"/>
        <v>1009.3100000000002</v>
      </c>
      <c r="O44" s="194">
        <f t="shared" si="43"/>
        <v>0</v>
      </c>
      <c r="P44" s="194">
        <f t="shared" si="43"/>
        <v>0</v>
      </c>
      <c r="Q44" s="194">
        <f t="shared" si="43"/>
        <v>0</v>
      </c>
      <c r="R44" s="194">
        <f t="shared" si="43"/>
        <v>0</v>
      </c>
      <c r="S44" s="194">
        <f t="shared" si="43"/>
        <v>121064.90000000002</v>
      </c>
      <c r="T44" s="194">
        <f t="shared" si="43"/>
        <v>10928.720000000001</v>
      </c>
      <c r="U44" s="195">
        <f t="shared" si="43"/>
        <v>10574.66</v>
      </c>
      <c r="V44" s="195">
        <f t="shared" si="43"/>
        <v>14306.29</v>
      </c>
      <c r="W44" s="195">
        <f t="shared" si="43"/>
        <v>34396.55</v>
      </c>
      <c r="X44" s="195">
        <f t="shared" si="43"/>
        <v>23823.26</v>
      </c>
      <c r="Y44" s="195">
        <f t="shared" si="43"/>
        <v>8459.670000000002</v>
      </c>
      <c r="Z44" s="195">
        <f t="shared" si="43"/>
        <v>0</v>
      </c>
      <c r="AA44" s="195">
        <f t="shared" si="43"/>
        <v>0</v>
      </c>
      <c r="AB44" s="195">
        <f t="shared" si="43"/>
        <v>91560.43000000001</v>
      </c>
      <c r="AC44" s="195">
        <f t="shared" si="43"/>
        <v>117833.59107195001</v>
      </c>
      <c r="AD44" s="195">
        <f t="shared" si="43"/>
        <v>0</v>
      </c>
      <c r="AE44" s="195">
        <f t="shared" si="43"/>
        <v>0</v>
      </c>
      <c r="AF44" s="195">
        <f t="shared" si="43"/>
        <v>0</v>
      </c>
      <c r="AG44" s="180">
        <f t="shared" si="43"/>
        <v>10075.547999999997</v>
      </c>
      <c r="AH44" s="180">
        <f t="shared" si="43"/>
        <v>3376.1142196</v>
      </c>
      <c r="AI44" s="180">
        <f t="shared" si="43"/>
        <v>15329.28320215</v>
      </c>
      <c r="AJ44" s="180">
        <f t="shared" si="43"/>
        <v>1395.6629763869996</v>
      </c>
      <c r="AK44" s="180">
        <f t="shared" si="43"/>
        <v>15270.399225149999</v>
      </c>
      <c r="AL44" s="180">
        <f t="shared" si="43"/>
        <v>1412.3360205269996</v>
      </c>
      <c r="AM44" s="180">
        <f t="shared" si="43"/>
        <v>34227.21107751999</v>
      </c>
      <c r="AN44" s="180">
        <f t="shared" si="43"/>
        <v>3092.7799939535994</v>
      </c>
      <c r="AO44" s="180">
        <f t="shared" si="43"/>
        <v>0</v>
      </c>
      <c r="AP44" s="180">
        <f t="shared" si="43"/>
        <v>0</v>
      </c>
      <c r="AQ44" s="180">
        <f t="shared" si="43"/>
        <v>5232.64</v>
      </c>
      <c r="AR44" s="180">
        <f t="shared" si="43"/>
        <v>941.8752000000001</v>
      </c>
      <c r="AS44" s="180">
        <f t="shared" si="43"/>
        <v>49397.89</v>
      </c>
      <c r="AT44" s="180">
        <f t="shared" si="43"/>
        <v>2505.4300000000003</v>
      </c>
      <c r="AU44" s="180">
        <f t="shared" si="43"/>
        <v>8932.243600000002</v>
      </c>
      <c r="AV44" s="180"/>
      <c r="AW44" s="180"/>
      <c r="AX44" s="180">
        <f aca="true" t="shared" si="44" ref="AX44:BE44">AX28+AX42</f>
        <v>6586.272000000001</v>
      </c>
      <c r="AY44" s="180">
        <f t="shared" si="44"/>
        <v>0</v>
      </c>
      <c r="AZ44" s="180">
        <f t="shared" si="44"/>
        <v>0</v>
      </c>
      <c r="BA44" s="180">
        <f t="shared" si="44"/>
        <v>0</v>
      </c>
      <c r="BB44" s="180">
        <f t="shared" si="44"/>
        <v>157775.6855152876</v>
      </c>
      <c r="BC44" s="180">
        <f t="shared" si="44"/>
        <v>0</v>
      </c>
      <c r="BD44" s="180">
        <f t="shared" si="44"/>
        <v>-39942.0944433376</v>
      </c>
      <c r="BE44" s="196">
        <f t="shared" si="44"/>
        <v>-29504.470000000005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  <mergeCell ref="AB5:AB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B5:BB6"/>
    <mergeCell ref="AT5:AT6"/>
    <mergeCell ref="AU5:AU6"/>
    <mergeCell ref="AV5:AX5"/>
    <mergeCell ref="AY5:AY6"/>
    <mergeCell ref="AZ5:AZ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C7" sqref="C7"/>
    </sheetView>
  </sheetViews>
  <sheetFormatPr defaultColWidth="9.00390625" defaultRowHeight="12.75"/>
  <cols>
    <col min="1" max="1" width="10.00390625" style="80" customWidth="1"/>
    <col min="2" max="2" width="9.125" style="80" customWidth="1"/>
    <col min="3" max="3" width="9.875" style="80" customWidth="1"/>
    <col min="4" max="4" width="10.375" style="80" customWidth="1"/>
    <col min="5" max="5" width="10.125" style="80" bestFit="1" customWidth="1"/>
    <col min="6" max="6" width="9.875" style="80" customWidth="1"/>
    <col min="7" max="7" width="11.00390625" style="80" customWidth="1"/>
    <col min="8" max="8" width="10.125" style="80" customWidth="1"/>
    <col min="9" max="9" width="9.25390625" style="80" customWidth="1"/>
    <col min="10" max="10" width="9.875" style="80" customWidth="1"/>
    <col min="11" max="11" width="10.875" style="80" customWidth="1"/>
    <col min="12" max="12" width="12.00390625" style="80" customWidth="1"/>
    <col min="13" max="13" width="9.375" style="80" customWidth="1"/>
    <col min="14" max="15" width="12.625" style="80" customWidth="1"/>
    <col min="16" max="16" width="13.00390625" style="80" customWidth="1"/>
    <col min="17" max="16384" width="9.125" style="80" customWidth="1"/>
  </cols>
  <sheetData>
    <row r="1" spans="2:8" ht="20.25" customHeight="1">
      <c r="B1" s="336" t="s">
        <v>55</v>
      </c>
      <c r="C1" s="336"/>
      <c r="D1" s="336"/>
      <c r="E1" s="336"/>
      <c r="F1" s="336"/>
      <c r="G1" s="336"/>
      <c r="H1" s="336"/>
    </row>
    <row r="2" spans="2:8" ht="21" customHeight="1">
      <c r="B2" s="336" t="s">
        <v>56</v>
      </c>
      <c r="C2" s="336"/>
      <c r="D2" s="336"/>
      <c r="E2" s="336"/>
      <c r="F2" s="336"/>
      <c r="G2" s="336"/>
      <c r="H2" s="336"/>
    </row>
    <row r="5" spans="1:15" ht="12.75">
      <c r="A5" s="337" t="s">
        <v>114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2.75">
      <c r="A6" s="338" t="s">
        <v>119</v>
      </c>
      <c r="B6" s="338"/>
      <c r="C6" s="338"/>
      <c r="D6" s="338"/>
      <c r="E6" s="338"/>
      <c r="F6" s="338"/>
      <c r="G6" s="338"/>
      <c r="H6" s="46"/>
      <c r="I6" s="46"/>
      <c r="J6" s="46"/>
      <c r="K6" s="46"/>
      <c r="L6" s="46"/>
      <c r="M6" s="46"/>
      <c r="N6" s="46"/>
      <c r="O6" s="46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6" ht="13.5" thickBot="1">
      <c r="A8" s="339" t="s">
        <v>57</v>
      </c>
      <c r="B8" s="339"/>
      <c r="C8" s="339"/>
      <c r="D8" s="339"/>
      <c r="E8" s="339">
        <v>8.65</v>
      </c>
      <c r="F8" s="339"/>
    </row>
    <row r="9" spans="1:16" ht="12.75" customHeight="1">
      <c r="A9" s="291" t="s">
        <v>58</v>
      </c>
      <c r="B9" s="311" t="s">
        <v>1</v>
      </c>
      <c r="C9" s="314" t="s">
        <v>59</v>
      </c>
      <c r="D9" s="325" t="s">
        <v>3</v>
      </c>
      <c r="E9" s="328" t="s">
        <v>60</v>
      </c>
      <c r="F9" s="329"/>
      <c r="G9" s="332" t="s">
        <v>61</v>
      </c>
      <c r="H9" s="333"/>
      <c r="I9" s="303" t="s">
        <v>10</v>
      </c>
      <c r="J9" s="267"/>
      <c r="K9" s="267"/>
      <c r="L9" s="267"/>
      <c r="M9" s="267"/>
      <c r="N9" s="304"/>
      <c r="O9" s="307" t="s">
        <v>62</v>
      </c>
      <c r="P9" s="307" t="s">
        <v>12</v>
      </c>
    </row>
    <row r="10" spans="1:16" ht="12.75">
      <c r="A10" s="292"/>
      <c r="B10" s="312"/>
      <c r="C10" s="315"/>
      <c r="D10" s="326"/>
      <c r="E10" s="330"/>
      <c r="F10" s="331"/>
      <c r="G10" s="334"/>
      <c r="H10" s="335"/>
      <c r="I10" s="305"/>
      <c r="J10" s="250"/>
      <c r="K10" s="250"/>
      <c r="L10" s="250"/>
      <c r="M10" s="250"/>
      <c r="N10" s="306"/>
      <c r="O10" s="308"/>
      <c r="P10" s="308"/>
    </row>
    <row r="11" spans="1:16" ht="26.25" customHeight="1">
      <c r="A11" s="292"/>
      <c r="B11" s="312"/>
      <c r="C11" s="315"/>
      <c r="D11" s="326"/>
      <c r="E11" s="317" t="s">
        <v>63</v>
      </c>
      <c r="F11" s="318"/>
      <c r="G11" s="42" t="s">
        <v>64</v>
      </c>
      <c r="H11" s="319" t="s">
        <v>7</v>
      </c>
      <c r="I11" s="321" t="s">
        <v>65</v>
      </c>
      <c r="J11" s="323" t="s">
        <v>32</v>
      </c>
      <c r="K11" s="323" t="s">
        <v>66</v>
      </c>
      <c r="L11" s="323" t="s">
        <v>37</v>
      </c>
      <c r="M11" s="323" t="s">
        <v>67</v>
      </c>
      <c r="N11" s="319" t="s">
        <v>39</v>
      </c>
      <c r="O11" s="308"/>
      <c r="P11" s="308"/>
    </row>
    <row r="12" spans="1:16" ht="66.75" customHeight="1" thickBot="1">
      <c r="A12" s="310"/>
      <c r="B12" s="313"/>
      <c r="C12" s="316"/>
      <c r="D12" s="327"/>
      <c r="E12" s="137" t="s">
        <v>68</v>
      </c>
      <c r="F12" s="138" t="s">
        <v>21</v>
      </c>
      <c r="G12" s="139" t="s">
        <v>69</v>
      </c>
      <c r="H12" s="320"/>
      <c r="I12" s="322"/>
      <c r="J12" s="324"/>
      <c r="K12" s="324"/>
      <c r="L12" s="324"/>
      <c r="M12" s="324"/>
      <c r="N12" s="320"/>
      <c r="O12" s="309"/>
      <c r="P12" s="309"/>
    </row>
    <row r="13" spans="1:16" ht="13.5" thickBot="1">
      <c r="A13" s="29">
        <v>1</v>
      </c>
      <c r="B13" s="30">
        <v>2</v>
      </c>
      <c r="C13" s="29">
        <v>3</v>
      </c>
      <c r="D13" s="30">
        <v>4</v>
      </c>
      <c r="E13" s="29">
        <v>5</v>
      </c>
      <c r="F13" s="30">
        <v>6</v>
      </c>
      <c r="G13" s="29">
        <v>7</v>
      </c>
      <c r="H13" s="30">
        <v>8</v>
      </c>
      <c r="I13" s="29">
        <v>9</v>
      </c>
      <c r="J13" s="30">
        <v>10</v>
      </c>
      <c r="K13" s="29">
        <v>11</v>
      </c>
      <c r="L13" s="30">
        <v>12</v>
      </c>
      <c r="M13" s="29">
        <v>13</v>
      </c>
      <c r="N13" s="30">
        <v>14</v>
      </c>
      <c r="O13" s="29">
        <v>15</v>
      </c>
      <c r="P13" s="30">
        <v>16</v>
      </c>
    </row>
    <row r="14" spans="1:16" ht="12.75" hidden="1">
      <c r="A14" s="3" t="s">
        <v>40</v>
      </c>
      <c r="B14" s="4"/>
      <c r="C14" s="12"/>
      <c r="D14" s="3"/>
      <c r="E14" s="4"/>
      <c r="F14" s="5"/>
      <c r="G14" s="3"/>
      <c r="H14" s="5"/>
      <c r="I14" s="3"/>
      <c r="J14" s="4"/>
      <c r="K14" s="4"/>
      <c r="L14" s="4"/>
      <c r="M14" s="4"/>
      <c r="N14" s="5"/>
      <c r="O14" s="38"/>
      <c r="P14" s="162"/>
    </row>
    <row r="15" spans="1:16" ht="12.75" hidden="1">
      <c r="A15" s="94" t="s">
        <v>41</v>
      </c>
      <c r="B15" s="40">
        <f>'[5]Лист1'!B9</f>
        <v>631.3</v>
      </c>
      <c r="C15" s="13">
        <f>B15*8.65</f>
        <v>5460.745</v>
      </c>
      <c r="D15" s="14">
        <f>'[5]Лист1'!D9</f>
        <v>1315.3842556</v>
      </c>
      <c r="E15" s="144">
        <f>'[5]Лист1'!S9</f>
        <v>4054.9599999999996</v>
      </c>
      <c r="F15" s="146">
        <f>'[5]Лист1'!T9</f>
        <v>457.40999999999997</v>
      </c>
      <c r="G15" s="148">
        <f>'[5]Лист1'!AB9</f>
        <v>0</v>
      </c>
      <c r="H15" s="146">
        <f>'[5]Лист1'!AC9</f>
        <v>1772.7942555999998</v>
      </c>
      <c r="I15" s="148">
        <f>'[5]Лист1'!AG9</f>
        <v>378.78</v>
      </c>
      <c r="J15" s="144">
        <f>'[5]Лист1'!AI9+'[5]Лист1'!AJ9</f>
        <v>634.5347811999999</v>
      </c>
      <c r="K15" s="144">
        <f>'[5]Лист1'!AH9+'[5]Лист1'!AK9+'[5]Лист1'!AL9+'[5]Лист1'!AM9+'[5]Лист1'!AN9+'[5]Лист1'!AO9+'[5]Лист1'!AP9</f>
        <v>2228.10586403</v>
      </c>
      <c r="L15" s="145">
        <f>'[5]Лист1'!AS9+'[5]Лист1'!AU9</f>
        <v>21618.4496</v>
      </c>
      <c r="M15" s="145">
        <f>'[5]Лист1'!AX9</f>
        <v>0</v>
      </c>
      <c r="N15" s="146">
        <f>'[5]Лист1'!BB9</f>
        <v>24859.87024523</v>
      </c>
      <c r="O15" s="147">
        <f>'[5]Лист1'!BD9</f>
        <v>-23087.07598963</v>
      </c>
      <c r="P15" s="147">
        <f>'[5]Лист1'!BE9</f>
        <v>-4054.9599999999996</v>
      </c>
    </row>
    <row r="16" spans="1:16" ht="12.75" hidden="1">
      <c r="A16" s="94" t="s">
        <v>42</v>
      </c>
      <c r="B16" s="40">
        <f>'[5]Лист1'!B10</f>
        <v>631.3</v>
      </c>
      <c r="C16" s="13">
        <f aca="true" t="shared" si="0" ref="C16:C31">B16*8.65</f>
        <v>5460.745</v>
      </c>
      <c r="D16" s="14">
        <f>'[5]Лист1'!D10</f>
        <v>1315.3842556</v>
      </c>
      <c r="E16" s="144">
        <f>'[5]Лист1'!S10</f>
        <v>4054.9599999999996</v>
      </c>
      <c r="F16" s="146">
        <f>'[5]Лист1'!T10</f>
        <v>457.40999999999997</v>
      </c>
      <c r="G16" s="148">
        <f>'[5]Лист1'!AB10</f>
        <v>2467.73</v>
      </c>
      <c r="H16" s="146">
        <f>'[5]Лист1'!AC10</f>
        <v>4240.524255599999</v>
      </c>
      <c r="I16" s="148">
        <f>'[5]Лист1'!AG10</f>
        <v>378.78</v>
      </c>
      <c r="J16" s="144">
        <f>'[5]Лист1'!AI10+'[5]Лист1'!AJ10</f>
        <v>634.5347811999999</v>
      </c>
      <c r="K16" s="144">
        <f>'[5]Лист1'!AH10+'[5]Лист1'!AK10+'[5]Лист1'!AL10+'[5]Лист1'!AM10+'[5]Лист1'!AN10+'[5]Лист1'!AO10+'[5]Лист1'!AP10</f>
        <v>2221.3812564299997</v>
      </c>
      <c r="L16" s="145">
        <f>'[5]Лист1'!AS10+'[5]Лист1'!AU10</f>
        <v>542.8</v>
      </c>
      <c r="M16" s="145">
        <f>'[5]Лист1'!AX10</f>
        <v>0</v>
      </c>
      <c r="N16" s="146">
        <f>'[5]Лист1'!BB10</f>
        <v>3777.4960376299996</v>
      </c>
      <c r="O16" s="147">
        <f>'[5]Лист1'!BD10</f>
        <v>463.0282179699998</v>
      </c>
      <c r="P16" s="147">
        <f>'[5]Лист1'!BE10</f>
        <v>-1587.2299999999996</v>
      </c>
    </row>
    <row r="17" spans="1:18" ht="13.5" hidden="1" thickBot="1">
      <c r="A17" s="149" t="s">
        <v>43</v>
      </c>
      <c r="B17" s="40">
        <f>'[5]Лист1'!B11</f>
        <v>631.3</v>
      </c>
      <c r="C17" s="15">
        <f t="shared" si="0"/>
        <v>5460.745</v>
      </c>
      <c r="D17" s="14">
        <f>'[5]Лист1'!D11</f>
        <v>1312.49006075</v>
      </c>
      <c r="E17" s="144">
        <f>'[5]Лист1'!S11</f>
        <v>4114.35</v>
      </c>
      <c r="F17" s="146">
        <f>'[5]Лист1'!T11</f>
        <v>457.40999999999997</v>
      </c>
      <c r="G17" s="148">
        <f>'[5]Лист1'!AB11</f>
        <v>1667.56</v>
      </c>
      <c r="H17" s="146">
        <f>'[5]Лист1'!AC11</f>
        <v>3437.46006075</v>
      </c>
      <c r="I17" s="148">
        <f>'[5]Лист1'!AG11</f>
        <v>378.78</v>
      </c>
      <c r="J17" s="144">
        <f>'[5]Лист1'!AI11+'[5]Лист1'!AJ11</f>
        <v>632.68734488</v>
      </c>
      <c r="K17" s="144">
        <f>'[5]Лист1'!AH11+'[5]Лист1'!AK11+'[5]Лист1'!AL11+'[5]Лист1'!AM11+'[5]Лист1'!AN11+'[5]Лист1'!AO11+'[5]Лист1'!AP11</f>
        <v>2217.849530649</v>
      </c>
      <c r="L17" s="145">
        <f>'[5]Лист1'!AS11+'[5]Лист1'!AU11</f>
        <v>1544.62</v>
      </c>
      <c r="M17" s="145">
        <f>'[5]Лист1'!AX11</f>
        <v>0</v>
      </c>
      <c r="N17" s="146">
        <f>'[5]Лист1'!BB11</f>
        <v>4773.936875529</v>
      </c>
      <c r="O17" s="147">
        <f>'[5]Лист1'!BD11</f>
        <v>-1336.4768147789996</v>
      </c>
      <c r="P17" s="147">
        <f>'[5]Лист1'!BE11</f>
        <v>-2446.7900000000004</v>
      </c>
      <c r="Q17" s="79"/>
      <c r="R17" s="79"/>
    </row>
    <row r="18" spans="1:18" s="9" customFormat="1" ht="13.5" thickBot="1">
      <c r="A18" s="16" t="s">
        <v>5</v>
      </c>
      <c r="B18" s="17"/>
      <c r="C18" s="18">
        <f>SUM(C15:C17)</f>
        <v>16382.235</v>
      </c>
      <c r="D18" s="31">
        <f aca="true" t="shared" si="1" ref="D18:P18">SUM(D15:D17)</f>
        <v>3943.2585719500003</v>
      </c>
      <c r="E18" s="18">
        <f t="shared" si="1"/>
        <v>12224.27</v>
      </c>
      <c r="F18" s="32">
        <f t="shared" si="1"/>
        <v>1372.23</v>
      </c>
      <c r="G18" s="31">
        <f t="shared" si="1"/>
        <v>4135.29</v>
      </c>
      <c r="H18" s="32">
        <f t="shared" si="1"/>
        <v>9450.778571949999</v>
      </c>
      <c r="I18" s="31">
        <f t="shared" si="1"/>
        <v>1136.34</v>
      </c>
      <c r="J18" s="18">
        <f t="shared" si="1"/>
        <v>1901.7569072799997</v>
      </c>
      <c r="K18" s="18">
        <f t="shared" si="1"/>
        <v>6667.336651108999</v>
      </c>
      <c r="L18" s="18">
        <f t="shared" si="1"/>
        <v>23705.869599999998</v>
      </c>
      <c r="M18" s="18">
        <f t="shared" si="1"/>
        <v>0</v>
      </c>
      <c r="N18" s="32">
        <f t="shared" si="1"/>
        <v>33411.303158389</v>
      </c>
      <c r="O18" s="37">
        <f t="shared" si="1"/>
        <v>-23960.524586438998</v>
      </c>
      <c r="P18" s="37">
        <f t="shared" si="1"/>
        <v>-8088.98</v>
      </c>
      <c r="Q18" s="34"/>
      <c r="R18" s="35"/>
    </row>
    <row r="19" spans="1:18" ht="12.75">
      <c r="A19" s="3" t="s">
        <v>44</v>
      </c>
      <c r="B19" s="140"/>
      <c r="C19" s="21"/>
      <c r="D19" s="22"/>
      <c r="E19" s="141"/>
      <c r="F19" s="142"/>
      <c r="G19" s="143"/>
      <c r="H19" s="142"/>
      <c r="I19" s="143"/>
      <c r="J19" s="144"/>
      <c r="K19" s="144"/>
      <c r="L19" s="145"/>
      <c r="M19" s="33"/>
      <c r="N19" s="146"/>
      <c r="O19" s="147"/>
      <c r="P19" s="147"/>
      <c r="Q19" s="79"/>
      <c r="R19" s="79"/>
    </row>
    <row r="20" spans="1:18" ht="12.75">
      <c r="A20" s="94" t="s">
        <v>45</v>
      </c>
      <c r="B20" s="40">
        <f>'[5]Лист1'!B14</f>
        <v>631.3</v>
      </c>
      <c r="C20" s="13">
        <f t="shared" si="0"/>
        <v>5460.745</v>
      </c>
      <c r="D20" s="14">
        <f>'[5]Лист1'!D14</f>
        <v>682.593125</v>
      </c>
      <c r="E20" s="144">
        <f>'[5]Лист1'!S14</f>
        <v>4114.35</v>
      </c>
      <c r="F20" s="146">
        <f>'[5]Лист1'!T14</f>
        <v>457.40999999999997</v>
      </c>
      <c r="G20" s="148">
        <f>'[5]Лист1'!AB14</f>
        <v>2983.8900000000003</v>
      </c>
      <c r="H20" s="146">
        <f>'[5]Лист1'!AC14</f>
        <v>4123.8931250000005</v>
      </c>
      <c r="I20" s="148">
        <f>'[5]Лист1'!AG14</f>
        <v>340.902</v>
      </c>
      <c r="J20" s="144">
        <f>'[5]Лист1'!AI14+'[5]Лист1'!AJ14</f>
        <v>548.9555112999999</v>
      </c>
      <c r="K20" s="144">
        <f>'[5]Лист1'!AH14+'[5]Лист1'!AK14+'[5]Лист1'!AL14+'[5]Лист1'!AM14+'[5]Лист1'!AN14+'[5]Лист1'!AO14+'[5]Лист1'!AP14+'[5]Лист1'!AQ14+'[5]Лист1'!AR14</f>
        <v>1885.4137623759998</v>
      </c>
      <c r="L20" s="145">
        <f>'[5]Лист1'!AS14+'[5]Лист1'!AT14+'[5]Лист1'!AU14+'[5]Лист1'!AZ14+'[5]Лист1'!BA14</f>
        <v>10679.01</v>
      </c>
      <c r="M20" s="145">
        <f>'[5]Лист1'!AX14</f>
        <v>369.25504000000006</v>
      </c>
      <c r="N20" s="146">
        <f>'[5]Лист1'!BB14</f>
        <v>13454.281273676</v>
      </c>
      <c r="O20" s="147">
        <f>'[5]Лист1'!BD14</f>
        <v>-9330.388148676</v>
      </c>
      <c r="P20" s="147">
        <f>'[5]Лист1'!BE14</f>
        <v>-1130.46</v>
      </c>
      <c r="Q20" s="79"/>
      <c r="R20" s="79"/>
    </row>
    <row r="21" spans="1:18" ht="12.75">
      <c r="A21" s="94" t="s">
        <v>46</v>
      </c>
      <c r="B21" s="40">
        <f>'[5]Лист1'!B15</f>
        <v>631.3</v>
      </c>
      <c r="C21" s="13">
        <f t="shared" si="0"/>
        <v>5460.745</v>
      </c>
      <c r="D21" s="14">
        <f>'[5]Лист1'!D15</f>
        <v>682.593125</v>
      </c>
      <c r="E21" s="144">
        <f>'[5]Лист1'!S15</f>
        <v>3702.2299999999996</v>
      </c>
      <c r="F21" s="146">
        <f>'[5]Лист1'!T15</f>
        <v>457.40999999999997</v>
      </c>
      <c r="G21" s="148">
        <f>'[5]Лист1'!AB15</f>
        <v>5175.77</v>
      </c>
      <c r="H21" s="146">
        <f>'[5]Лист1'!AC15</f>
        <v>6315.773125000001</v>
      </c>
      <c r="I21" s="148">
        <f>'[5]Лист1'!AG15</f>
        <v>340.902</v>
      </c>
      <c r="J21" s="144">
        <f>'[5]Лист1'!AI15+'[5]Лист1'!AJ15</f>
        <v>548.3459174</v>
      </c>
      <c r="K21" s="144">
        <f>'[5]Лист1'!AH15+'[5]Лист1'!AK15+'[5]Лист1'!AL15+'[5]Лист1'!AM15+'[5]Лист1'!AN15+'[5]Лист1'!AO15+'[5]Лист1'!AP15+'[5]Лист1'!AQ15+'[5]Лист1'!AR15</f>
        <v>1888.1354860659997</v>
      </c>
      <c r="L21" s="145">
        <f>'[5]Лист1'!AS15+'[5]Лист1'!AT15+'[5]Лист1'!AU15+'[5]Лист1'!AZ15+'[5]Лист1'!BA15</f>
        <v>6844</v>
      </c>
      <c r="M21" s="145">
        <f>'[5]Лист1'!AX15</f>
        <v>295.84016</v>
      </c>
      <c r="N21" s="146">
        <f>'[5]Лист1'!BB15</f>
        <v>9621.383403466</v>
      </c>
      <c r="O21" s="147">
        <f>'[5]Лист1'!BD15</f>
        <v>-3305.610278465999</v>
      </c>
      <c r="P21" s="147">
        <f>'[5]Лист1'!BE15</f>
        <v>1473.5400000000009</v>
      </c>
      <c r="Q21" s="79"/>
      <c r="R21" s="79"/>
    </row>
    <row r="22" spans="1:18" ht="12.75">
      <c r="A22" s="94" t="s">
        <v>47</v>
      </c>
      <c r="B22" s="40">
        <f>'[5]Лист1'!B16</f>
        <v>631.3</v>
      </c>
      <c r="C22" s="13">
        <f t="shared" si="0"/>
        <v>5460.745</v>
      </c>
      <c r="D22" s="14">
        <f>'[5]Лист1'!D16</f>
        <v>682.593125</v>
      </c>
      <c r="E22" s="144">
        <f>'[5]Лист1'!S16</f>
        <v>4114.35</v>
      </c>
      <c r="F22" s="146">
        <f>'[5]Лист1'!T16</f>
        <v>457.40999999999997</v>
      </c>
      <c r="G22" s="148">
        <f>'[5]Лист1'!AB16</f>
        <v>2617.52</v>
      </c>
      <c r="H22" s="146">
        <f>'[5]Лист1'!AC16</f>
        <v>3757.5231249999997</v>
      </c>
      <c r="I22" s="148">
        <f>'[5]Лист1'!AG16</f>
        <v>340.902</v>
      </c>
      <c r="J22" s="144">
        <f>'[5]Лист1'!AI16+'[5]Лист1'!AJ16</f>
        <v>549.30750825</v>
      </c>
      <c r="K22" s="144">
        <f>'[5]Лист1'!AH16+'[5]Лист1'!AK16+'[5]Лист1'!AL16+'[5]Лист1'!AM16+'[5]Лист1'!AN16+'[5]Лист1'!AO16+'[5]Лист1'!AP16+'[5]Лист1'!AQ16+'[5]Лист1'!AR16</f>
        <v>1825.1171880799998</v>
      </c>
      <c r="L22" s="145">
        <f>'[5]Лист1'!AS16+'[5]Лист1'!AT16+'[5]Лист1'!AU16+'[5]Лист1'!AZ16+'[5]Лист1'!BA16</f>
        <v>939.28</v>
      </c>
      <c r="M22" s="145">
        <f>'[5]Лист1'!AX16</f>
        <v>278.39504</v>
      </c>
      <c r="N22" s="146">
        <f>'[5]Лист1'!BB16</f>
        <v>3654.60669633</v>
      </c>
      <c r="O22" s="147">
        <f>'[5]Лист1'!BD16</f>
        <v>102.91642866999973</v>
      </c>
      <c r="P22" s="147">
        <f>'[5]Лист1'!BE16</f>
        <v>-1496.8300000000004</v>
      </c>
      <c r="Q22" s="79"/>
      <c r="R22" s="79"/>
    </row>
    <row r="23" spans="1:18" ht="12.75">
      <c r="A23" s="94" t="s">
        <v>48</v>
      </c>
      <c r="B23" s="40">
        <f>'[5]Лист1'!B17</f>
        <v>631.3</v>
      </c>
      <c r="C23" s="13">
        <f t="shared" si="0"/>
        <v>5460.745</v>
      </c>
      <c r="D23" s="14">
        <f>'[5]Лист1'!D17</f>
        <v>682.593125</v>
      </c>
      <c r="E23" s="144">
        <f>'[5]Лист1'!S17</f>
        <v>4092.4600000000005</v>
      </c>
      <c r="F23" s="146">
        <f>'[5]Лист1'!T17</f>
        <v>457.40999999999997</v>
      </c>
      <c r="G23" s="148">
        <f>'[5]Лист1'!AB17</f>
        <v>2228.27</v>
      </c>
      <c r="H23" s="146">
        <f>'[5]Лист1'!AC17</f>
        <v>3368.2731249999997</v>
      </c>
      <c r="I23" s="148">
        <f>'[5]Лист1'!AG17</f>
        <v>340.902</v>
      </c>
      <c r="J23" s="144">
        <f>'[5]Лист1'!AI17+'[5]Лист1'!AJ17</f>
        <v>565.4421527</v>
      </c>
      <c r="K23" s="144">
        <f>'[5]Лист1'!AH17+'[5]Лист1'!AK17+'[5]Лист1'!AL17+'[5]Лист1'!AM17+'[5]Лист1'!AN17+'[5]Лист1'!AO17+'[5]Лист1'!AP17+'[5]Лист1'!AQ17+'[5]Лист1'!AR17</f>
        <v>1851.1315461679997</v>
      </c>
      <c r="L23" s="145">
        <f>'[5]Лист1'!AS17+'[5]Лист1'!AT17+'[5]Лист1'!AU17+'[5]Лист1'!AY17+'[5]Лист1'!AZ17</f>
        <v>365.8</v>
      </c>
      <c r="M23" s="145">
        <f>'[5]Лист1'!AX17</f>
        <v>223.15216000000004</v>
      </c>
      <c r="N23" s="146">
        <f>'[5]Лист1'!BB17</f>
        <v>4289.918098868</v>
      </c>
      <c r="O23" s="147">
        <f>'[5]Лист1'!BD17</f>
        <v>-921.6449738680003</v>
      </c>
      <c r="P23" s="147">
        <f>'[5]Лист1'!BE17</f>
        <v>-1864.1900000000005</v>
      </c>
      <c r="Q23" s="79"/>
      <c r="R23" s="79"/>
    </row>
    <row r="24" spans="1:18" ht="12.75">
      <c r="A24" s="94" t="s">
        <v>49</v>
      </c>
      <c r="B24" s="40">
        <f>'[5]Лист1'!B18</f>
        <v>631.3</v>
      </c>
      <c r="C24" s="13">
        <f t="shared" si="0"/>
        <v>5460.745</v>
      </c>
      <c r="D24" s="14">
        <f>'[5]Лист1'!D18</f>
        <v>436.77500000000043</v>
      </c>
      <c r="E24" s="144">
        <f>'[5]Лист1'!S18</f>
        <v>4508.38</v>
      </c>
      <c r="F24" s="146">
        <f>'[5]Лист1'!T18</f>
        <v>515.59</v>
      </c>
      <c r="G24" s="148">
        <f>'[5]Лист1'!AB18</f>
        <v>3842.2</v>
      </c>
      <c r="H24" s="146">
        <f>'[5]Лист1'!AC18</f>
        <v>4794.5650000000005</v>
      </c>
      <c r="I24" s="148">
        <f>'[5]Лист1'!AG18</f>
        <v>378.78</v>
      </c>
      <c r="J24" s="144">
        <f>'[5]Лист1'!AI18+'[5]Лист1'!AJ18</f>
        <v>633.1938999999999</v>
      </c>
      <c r="K24" s="144">
        <f>'[5]Лист1'!AH18+'[5]Лист1'!AK18+'[5]Лист1'!AL18+'[5]Лист1'!AM18+'[5]Лист1'!AN18+'[5]Лист1'!AO18+'[5]Лист1'!AP18+'[5]Лист1'!AQ18+'[5]Лист1'!AR18</f>
        <v>2168.64176</v>
      </c>
      <c r="L24" s="145">
        <f>'[5]Лист1'!AS18+'[5]Лист1'!AT18+'[5]Лист1'!AU18+'[5]Лист1'!AZ18+'[5]Лист1'!BA18</f>
        <v>0</v>
      </c>
      <c r="M24" s="145">
        <f>'[5]Лист1'!AX18</f>
        <v>191.16944</v>
      </c>
      <c r="N24" s="146">
        <f>'[5]Лист1'!BB18</f>
        <v>3371.7850999999996</v>
      </c>
      <c r="O24" s="147">
        <f>'[5]Лист1'!BD18</f>
        <v>1422.779900000001</v>
      </c>
      <c r="P24" s="147">
        <f>'[5]Лист1'!BE18</f>
        <v>-666.1800000000003</v>
      </c>
      <c r="Q24" s="79"/>
      <c r="R24" s="79"/>
    </row>
    <row r="25" spans="1:18" ht="12.75">
      <c r="A25" s="94" t="s">
        <v>50</v>
      </c>
      <c r="B25" s="40">
        <f>'[5]Лист1'!B19</f>
        <v>631.3</v>
      </c>
      <c r="C25" s="13">
        <f t="shared" si="0"/>
        <v>5460.745</v>
      </c>
      <c r="D25" s="14">
        <f>'[5]Лист1'!D19</f>
        <v>436.77500000000043</v>
      </c>
      <c r="E25" s="144">
        <f>'[5]Лист1'!S19</f>
        <v>4508.38</v>
      </c>
      <c r="F25" s="146">
        <f>'[5]Лист1'!T19</f>
        <v>515.59</v>
      </c>
      <c r="G25" s="148">
        <f>'[5]Лист1'!AB19</f>
        <v>3407.08</v>
      </c>
      <c r="H25" s="146">
        <f>'[5]Лист1'!AC19</f>
        <v>4359.445000000001</v>
      </c>
      <c r="I25" s="148">
        <f>'[5]Лист1'!AG19</f>
        <v>378.78</v>
      </c>
      <c r="J25" s="144">
        <f>'[5]Лист1'!AI19+'[5]Лист1'!AJ19</f>
        <v>633.1938999999999</v>
      </c>
      <c r="K25" s="144">
        <f>'[5]Лист1'!AH19+'[5]Лист1'!AK19+'[5]Лист1'!AL19+'[5]Лист1'!AM19+'[5]Лист1'!AN19+'[5]Лист1'!AO19+'[5]Лист1'!AP19+'[5]Лист1'!AQ19+'[5]Лист1'!AR19</f>
        <v>2168.6985769999997</v>
      </c>
      <c r="L25" s="145">
        <f>'[5]Лист1'!AS19+'[5]Лист1'!AT19+'[5]Лист1'!AU19+'[5]Лист1'!AZ19+'[5]Лист1'!BA19</f>
        <v>8919.8206</v>
      </c>
      <c r="M25" s="145">
        <f>'[5]Лист1'!AX19</f>
        <v>169.36304</v>
      </c>
      <c r="N25" s="146">
        <f>'[5]Лист1'!BB19</f>
        <v>12269.856117</v>
      </c>
      <c r="O25" s="147">
        <f>'[5]Лист1'!BD19</f>
        <v>-7910.411116999999</v>
      </c>
      <c r="P25" s="147">
        <f>'[5]Лист1'!BE19</f>
        <v>-1101.3000000000002</v>
      </c>
      <c r="Q25" s="79"/>
      <c r="R25" s="79"/>
    </row>
    <row r="26" spans="1:18" ht="12.75">
      <c r="A26" s="94" t="s">
        <v>51</v>
      </c>
      <c r="B26" s="40">
        <f>'[5]Лист1'!B20</f>
        <v>631.3</v>
      </c>
      <c r="C26" s="13">
        <f t="shared" si="0"/>
        <v>5460.745</v>
      </c>
      <c r="D26" s="14">
        <f>'[5]Лист1'!D20</f>
        <v>436.77500000000043</v>
      </c>
      <c r="E26" s="144">
        <f>'[5]Лист1'!S20</f>
        <v>4508.38</v>
      </c>
      <c r="F26" s="146">
        <f>'[5]Лист1'!T20</f>
        <v>515.59</v>
      </c>
      <c r="G26" s="148">
        <f>'[5]Лист1'!AB20</f>
        <v>2312.66</v>
      </c>
      <c r="H26" s="146">
        <f>'[5]Лист1'!AC20</f>
        <v>3265.0250000000005</v>
      </c>
      <c r="I26" s="148">
        <f>'[5]Лист1'!AG20</f>
        <v>378.78</v>
      </c>
      <c r="J26" s="144">
        <f>'[5]Лист1'!AI20+'[5]Лист1'!AJ20</f>
        <v>624.2025466199999</v>
      </c>
      <c r="K26" s="144">
        <f>'[5]Лист1'!AH20+'[5]Лист1'!AK20+'[5]Лист1'!AL20+'[5]Лист1'!AM20+'[5]Лист1'!AN20+'[5]Лист1'!AO20+'[5]Лист1'!AP20+'[5]Лист1'!AQ20+'[5]Лист1'!AR20</f>
        <v>2147.1202505859997</v>
      </c>
      <c r="L26" s="145">
        <f>'[5]Лист1'!AS20+'[5]Лист1'!AT20+'[5]Лист1'!AU20+'[5]Лист1'!AZ20+'[5]Лист1'!BA20</f>
        <v>0</v>
      </c>
      <c r="M26" s="145">
        <f>'[5]Лист1'!AX20</f>
        <v>180.26624000000004</v>
      </c>
      <c r="N26" s="146">
        <f>'[5]Лист1'!BB20</f>
        <v>3330.3690372059996</v>
      </c>
      <c r="O26" s="147">
        <f>'[5]Лист1'!BD20</f>
        <v>-65.34403720599903</v>
      </c>
      <c r="P26" s="147">
        <f>'[5]Лист1'!BE20</f>
        <v>-2195.7200000000003</v>
      </c>
      <c r="Q26" s="79"/>
      <c r="R26" s="79"/>
    </row>
    <row r="27" spans="1:18" ht="12.75">
      <c r="A27" s="94" t="s">
        <v>52</v>
      </c>
      <c r="B27" s="40">
        <f>'[5]Лист1'!B21</f>
        <v>631.3</v>
      </c>
      <c r="C27" s="13">
        <f t="shared" si="0"/>
        <v>5460.745</v>
      </c>
      <c r="D27" s="14">
        <f>'[5]Лист1'!D21</f>
        <v>436.77500000000043</v>
      </c>
      <c r="E27" s="144">
        <f>'[5]Лист1'!S21</f>
        <v>4508.38</v>
      </c>
      <c r="F27" s="146">
        <f>'[5]Лист1'!T21</f>
        <v>515.59</v>
      </c>
      <c r="G27" s="148">
        <f>'[5]Лист1'!AB21</f>
        <v>3805.0100000000007</v>
      </c>
      <c r="H27" s="146">
        <f>'[5]Лист1'!AC21</f>
        <v>4757.375000000001</v>
      </c>
      <c r="I27" s="148">
        <f>'[5]Лист1'!AG21</f>
        <v>378.78</v>
      </c>
      <c r="J27" s="144">
        <f>'[5]Лист1'!AI21+'[5]Лист1'!AJ21</f>
        <v>623.8542899749998</v>
      </c>
      <c r="K27" s="144">
        <f>'[5]Лист1'!AH21+'[5]Лист1'!AK21+'[5]Лист1'!AL21+'[5]Лист1'!AM21+'[5]Лист1'!AN21+'[5]Лист1'!AO21+'[5]Лист1'!AP21+'[5]Лист1'!AQ21+'[5]Лист1'!AR21</f>
        <v>8321.184323606</v>
      </c>
      <c r="L27" s="145">
        <f>'[5]Лист1'!AS21+'[5]Лист1'!AT21+'[5]Лист1'!AU21+'[5]Лист1'!AZ21+'[5]Лист1'!BA21</f>
        <v>414.18</v>
      </c>
      <c r="M27" s="145">
        <f>'[5]Лист1'!AX21</f>
        <v>212.97584000000003</v>
      </c>
      <c r="N27" s="146">
        <f>'[5]Лист1'!BB21</f>
        <v>9950.974453581</v>
      </c>
      <c r="O27" s="147">
        <f>'[5]Лист1'!BD21</f>
        <v>-5193.599453581</v>
      </c>
      <c r="P27" s="147">
        <f>'[5]Лист1'!BE21</f>
        <v>-703.3699999999994</v>
      </c>
      <c r="Q27" s="79"/>
      <c r="R27" s="79"/>
    </row>
    <row r="28" spans="1:18" ht="12.75">
      <c r="A28" s="94" t="s">
        <v>53</v>
      </c>
      <c r="B28" s="40">
        <f>'[5]Лист1'!B22</f>
        <v>631.3</v>
      </c>
      <c r="C28" s="13">
        <f t="shared" si="0"/>
        <v>5460.745</v>
      </c>
      <c r="D28" s="14">
        <f>'[5]Лист1'!D22</f>
        <v>436.77500000000043</v>
      </c>
      <c r="E28" s="144">
        <f>'[5]Лист1'!S22</f>
        <v>4508.38</v>
      </c>
      <c r="F28" s="146">
        <f>'[5]Лист1'!T22</f>
        <v>515.59</v>
      </c>
      <c r="G28" s="148">
        <f>'[5]Лист1'!AB22</f>
        <v>4501.22</v>
      </c>
      <c r="H28" s="146">
        <f>'[5]Лист1'!AC22</f>
        <v>5453.585000000001</v>
      </c>
      <c r="I28" s="148">
        <f>'[5]Лист1'!AG22</f>
        <v>378.78</v>
      </c>
      <c r="J28" s="144">
        <f>'[5]Лист1'!AI22+'[5]Лист1'!AJ22</f>
        <v>623.7466470119998</v>
      </c>
      <c r="K28" s="144">
        <f>'[5]Лист1'!AH22+'[5]Лист1'!AK22+'[5]Лист1'!AL22+'[5]Лист1'!AM22+'[5]Лист1'!AN22+'[5]Лист1'!AO22+'[5]Лист1'!AP22+'[5]Лист1'!AQ22+'[5]Лист1'!AR22</f>
        <v>2146.5296517596</v>
      </c>
      <c r="L28" s="145">
        <f>'[5]Лист1'!AS22+'[5]Лист1'!AT22+'[5]Лист1'!AU22+'[5]Лист1'!AZ22+'[5]Лист1'!BA22</f>
        <v>0</v>
      </c>
      <c r="M28" s="145">
        <f>'[5]Лист1'!AX22</f>
        <v>253.68112000000002</v>
      </c>
      <c r="N28" s="146">
        <f>'[5]Лист1'!BB22</f>
        <v>3402.7374187716</v>
      </c>
      <c r="O28" s="147">
        <f>'[5]Лист1'!BD22</f>
        <v>2050.847581228401</v>
      </c>
      <c r="P28" s="147">
        <f>'[5]Лист1'!BE22</f>
        <v>-7.1599999999998545</v>
      </c>
      <c r="Q28" s="79"/>
      <c r="R28" s="79"/>
    </row>
    <row r="29" spans="1:18" ht="12.75">
      <c r="A29" s="94" t="s">
        <v>41</v>
      </c>
      <c r="B29" s="40">
        <f>'[5]Лист1'!B23</f>
        <v>631.3</v>
      </c>
      <c r="C29" s="13">
        <f>B29*8.65</f>
        <v>5460.745</v>
      </c>
      <c r="D29" s="14">
        <f>'[5]Лист1'!D23</f>
        <v>455.9849999999998</v>
      </c>
      <c r="E29" s="144">
        <f>'[5]Лист1'!S23</f>
        <v>4489.17</v>
      </c>
      <c r="F29" s="146">
        <f>'[5]Лист1'!T23</f>
        <v>515.59</v>
      </c>
      <c r="G29" s="148">
        <f>'[5]Лист1'!AB23</f>
        <v>4215.46</v>
      </c>
      <c r="H29" s="146">
        <f>'[5]Лист1'!AC23</f>
        <v>5187.035</v>
      </c>
      <c r="I29" s="148">
        <f>'[5]Лист1'!AG23</f>
        <v>378.78</v>
      </c>
      <c r="J29" s="144">
        <f>'[5]Лист1'!AI23+'[5]Лист1'!AJ23</f>
        <v>630.959098</v>
      </c>
      <c r="K29" s="144">
        <f>'[5]Лист1'!AH23+'[5]Лист1'!AK23+'[5]Лист1'!AL23+'[5]Лист1'!AM23+'[5]Лист1'!AN23+'[5]Лист1'!AO23+'[5]Лист1'!AP23+'[5]Лист1'!AQ23+'[5]Лист1'!AR23</f>
        <v>2164.98022</v>
      </c>
      <c r="L29" s="145">
        <f>'[5]Лист1'!AS23+'[5]Лист1'!AT23+'[5]Лист1'!AU23+'[5]Лист1'!AZ23+'[5]Лист1'!BA23</f>
        <v>0</v>
      </c>
      <c r="M29" s="145">
        <f>'[5]Лист1'!AX23</f>
        <v>308.9240000000001</v>
      </c>
      <c r="N29" s="146">
        <f>'[5]Лист1'!BB23</f>
        <v>3483.6433180000004</v>
      </c>
      <c r="O29" s="147">
        <f>'[5]Лист1'!BD23</f>
        <v>1703.3916819999995</v>
      </c>
      <c r="P29" s="147">
        <f>'[5]Лист1'!BE23</f>
        <v>-273.71000000000004</v>
      </c>
      <c r="Q29" s="79"/>
      <c r="R29" s="79"/>
    </row>
    <row r="30" spans="1:18" ht="12.75">
      <c r="A30" s="94" t="s">
        <v>42</v>
      </c>
      <c r="B30" s="40">
        <f>'[5]Лист1'!B24</f>
        <v>631.3</v>
      </c>
      <c r="C30" s="13">
        <f t="shared" si="0"/>
        <v>5460.745</v>
      </c>
      <c r="D30" s="14">
        <f>'[5]Лист1'!D24</f>
        <v>449.2850000000001</v>
      </c>
      <c r="E30" s="144">
        <f>'[5]Лист1'!S24</f>
        <v>4495.87</v>
      </c>
      <c r="F30" s="146">
        <f>'[5]Лист1'!T24</f>
        <v>515.59</v>
      </c>
      <c r="G30" s="148">
        <f>'[5]Лист1'!AB24</f>
        <v>2484.7599999999998</v>
      </c>
      <c r="H30" s="146">
        <f>'[5]Лист1'!AC24</f>
        <v>3449.6349999999998</v>
      </c>
      <c r="I30" s="148">
        <f>'[5]Лист1'!AG24</f>
        <v>378.78</v>
      </c>
      <c r="J30" s="144">
        <f>'[5]Лист1'!AI24+'[5]Лист1'!AJ24</f>
        <v>633.1938999999999</v>
      </c>
      <c r="K30" s="144">
        <f>'[5]Лист1'!AH24+'[5]Лист1'!AK24+'[5]Лист1'!AL24+'[5]Лист1'!AM24+'[5]Лист1'!AN24+'[5]Лист1'!AO24+'[5]Лист1'!AP24+'[5]Лист1'!AQ24+'[5]Лист1'!AR24</f>
        <v>2167.37916</v>
      </c>
      <c r="L30" s="145">
        <f>'[5]Лист1'!AS24+'[5]Лист1'!AT24+'[5]Лист1'!AU24+'[5]Лист1'!AZ24+'[5]Лист1'!BA24</f>
        <v>0</v>
      </c>
      <c r="M30" s="145">
        <f>'[5]Лист1'!AX24</f>
        <v>341.6336</v>
      </c>
      <c r="N30" s="146">
        <f>'[5]Лист1'!BB24</f>
        <v>3520.9866599999996</v>
      </c>
      <c r="O30" s="147">
        <f>'[5]Лист1'!BD24</f>
        <v>-71.35165999999981</v>
      </c>
      <c r="P30" s="147">
        <f>'[5]Лист1'!BE24</f>
        <v>-2011.1100000000001</v>
      </c>
      <c r="Q30" s="79"/>
      <c r="R30" s="79"/>
    </row>
    <row r="31" spans="1:18" ht="13.5" thickBot="1">
      <c r="A31" s="149" t="s">
        <v>43</v>
      </c>
      <c r="B31" s="40">
        <f>'[5]Лист1'!B25</f>
        <v>631.3</v>
      </c>
      <c r="C31" s="15">
        <f t="shared" si="0"/>
        <v>5460.745</v>
      </c>
      <c r="D31" s="14">
        <f>'[5]Лист1'!D25</f>
        <v>444.8249999999995</v>
      </c>
      <c r="E31" s="144">
        <f>'[5]Лист1'!S25</f>
        <v>4500.329999999999</v>
      </c>
      <c r="F31" s="146">
        <f>'[5]Лист1'!T25</f>
        <v>515.59</v>
      </c>
      <c r="G31" s="148">
        <f>'[5]Лист1'!AB25</f>
        <v>10415.24</v>
      </c>
      <c r="H31" s="146">
        <f>'[5]Лист1'!AC25</f>
        <v>11375.654999999999</v>
      </c>
      <c r="I31" s="148">
        <f>'[5]Лист1'!AG25</f>
        <v>378.78</v>
      </c>
      <c r="J31" s="144">
        <f>'[5]Лист1'!AI25+'[5]Лист1'!AJ25</f>
        <v>633.1938999999999</v>
      </c>
      <c r="K31" s="144">
        <f>'[5]Лист1'!AH25+'[5]Лист1'!AK25+'[5]Лист1'!AL25+'[5]Лист1'!AM25+'[5]Лист1'!AN25+'[5]Лист1'!AO25+'[5]Лист1'!AP25+'[5]Лист1'!AQ25+'[5]Лист1'!AR25</f>
        <v>2167.37916</v>
      </c>
      <c r="L31" s="145">
        <f>'[5]Лист1'!AS25+'[5]Лист1'!AT25+'[5]Лист1'!AU25+'[5]Лист1'!AZ25+'[5]Лист1'!BA25</f>
        <v>3787.8</v>
      </c>
      <c r="M31" s="145">
        <f>'[5]Лист1'!AX25</f>
        <v>373.6163200000001</v>
      </c>
      <c r="N31" s="146">
        <f>'[5]Лист1'!BB25</f>
        <v>7340.76938</v>
      </c>
      <c r="O31" s="147">
        <f>'[5]Лист1'!BD25</f>
        <v>4034.885619999999</v>
      </c>
      <c r="P31" s="147">
        <f>'[5]Лист1'!BE25</f>
        <v>5914.910000000001</v>
      </c>
      <c r="Q31" s="79"/>
      <c r="R31" s="79"/>
    </row>
    <row r="32" spans="1:18" s="9" customFormat="1" ht="13.5" thickBot="1">
      <c r="A32" s="16" t="s">
        <v>5</v>
      </c>
      <c r="B32" s="17"/>
      <c r="C32" s="18">
        <f aca="true" t="shared" si="2" ref="C32:P32">SUM(C20:C31)</f>
        <v>65528.94000000001</v>
      </c>
      <c r="D32" s="31">
        <f t="shared" si="2"/>
        <v>6264.342500000002</v>
      </c>
      <c r="E32" s="18">
        <f t="shared" si="2"/>
        <v>52050.66</v>
      </c>
      <c r="F32" s="32">
        <f t="shared" si="2"/>
        <v>5954.360000000001</v>
      </c>
      <c r="G32" s="31">
        <f t="shared" si="2"/>
        <v>47989.08000000001</v>
      </c>
      <c r="H32" s="32">
        <f t="shared" si="2"/>
        <v>60207.78250000001</v>
      </c>
      <c r="I32" s="31">
        <f t="shared" si="2"/>
        <v>4393.847999999998</v>
      </c>
      <c r="J32" s="18">
        <f t="shared" si="2"/>
        <v>7247.589271257</v>
      </c>
      <c r="K32" s="18">
        <f t="shared" si="2"/>
        <v>30901.7110856416</v>
      </c>
      <c r="L32" s="18">
        <f>SUM(L20:L31)</f>
        <v>31949.8906</v>
      </c>
      <c r="M32" s="18">
        <f t="shared" si="2"/>
        <v>3198.272000000001</v>
      </c>
      <c r="N32" s="32">
        <f t="shared" si="2"/>
        <v>77691.3109568986</v>
      </c>
      <c r="O32" s="37">
        <f t="shared" si="2"/>
        <v>-17483.528456898595</v>
      </c>
      <c r="P32" s="37">
        <f t="shared" si="2"/>
        <v>-4061.579999999999</v>
      </c>
      <c r="Q32" s="35"/>
      <c r="R32" s="35"/>
    </row>
    <row r="33" spans="1:18" ht="13.5" thickBot="1">
      <c r="A33" s="298" t="s">
        <v>85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150"/>
      <c r="Q33" s="79"/>
      <c r="R33" s="79"/>
    </row>
    <row r="34" spans="1:18" s="9" customFormat="1" ht="13.5" thickBot="1">
      <c r="A34" s="39" t="s">
        <v>54</v>
      </c>
      <c r="B34" s="19"/>
      <c r="C34" s="20">
        <f>C18+C32</f>
        <v>81911.17500000002</v>
      </c>
      <c r="D34" s="183">
        <f aca="true" t="shared" si="3" ref="D34:P34">D18+D32</f>
        <v>10207.601071950001</v>
      </c>
      <c r="E34" s="19">
        <f t="shared" si="3"/>
        <v>64274.93000000001</v>
      </c>
      <c r="F34" s="20">
        <f t="shared" si="3"/>
        <v>7326.59</v>
      </c>
      <c r="G34" s="183">
        <f t="shared" si="3"/>
        <v>52124.37000000001</v>
      </c>
      <c r="H34" s="20">
        <f t="shared" si="3"/>
        <v>69658.56107195001</v>
      </c>
      <c r="I34" s="183">
        <f t="shared" si="3"/>
        <v>5530.187999999998</v>
      </c>
      <c r="J34" s="19">
        <f t="shared" si="3"/>
        <v>9149.346178537</v>
      </c>
      <c r="K34" s="19">
        <f t="shared" si="3"/>
        <v>37569.047736750596</v>
      </c>
      <c r="L34" s="19">
        <f t="shared" si="3"/>
        <v>55655.7602</v>
      </c>
      <c r="M34" s="19">
        <f t="shared" si="3"/>
        <v>3198.272000000001</v>
      </c>
      <c r="N34" s="184">
        <f t="shared" si="3"/>
        <v>111102.6141152876</v>
      </c>
      <c r="O34" s="185">
        <f>O18+O32</f>
        <v>-41444.0530433376</v>
      </c>
      <c r="P34" s="185">
        <f t="shared" si="3"/>
        <v>-12150.559999999998</v>
      </c>
      <c r="Q34" s="36"/>
      <c r="R34" s="35"/>
    </row>
    <row r="35" spans="1:18" ht="12.75">
      <c r="A35" s="3" t="s">
        <v>84</v>
      </c>
      <c r="B35" s="140"/>
      <c r="C35" s="21"/>
      <c r="D35" s="22"/>
      <c r="E35" s="141"/>
      <c r="F35" s="142"/>
      <c r="G35" s="143"/>
      <c r="H35" s="142"/>
      <c r="I35" s="143"/>
      <c r="J35" s="144"/>
      <c r="K35" s="144"/>
      <c r="L35" s="145"/>
      <c r="M35" s="33"/>
      <c r="N35" s="146"/>
      <c r="O35" s="147"/>
      <c r="P35" s="147"/>
      <c r="Q35" s="79"/>
      <c r="R35" s="79"/>
    </row>
    <row r="36" spans="1:18" ht="12.75">
      <c r="A36" s="94" t="s">
        <v>45</v>
      </c>
      <c r="B36" s="40">
        <f>'[5]Лист1'!B30</f>
        <v>631.3</v>
      </c>
      <c r="C36" s="13">
        <f aca="true" t="shared" si="4" ref="C36:C47">B36*8.65</f>
        <v>5460.745</v>
      </c>
      <c r="D36" s="14">
        <f>'[5]Лист1'!D30</f>
        <v>447.9649999999998</v>
      </c>
      <c r="E36" s="144">
        <f>'[5]Лист1'!S30</f>
        <v>4497.1900000000005</v>
      </c>
      <c r="F36" s="146">
        <f>'[5]Лист1'!T30</f>
        <v>515.59</v>
      </c>
      <c r="G36" s="148">
        <f>'[5]Лист1'!AB30</f>
        <v>1439.63</v>
      </c>
      <c r="H36" s="146">
        <f>'[5]Лист1'!AC30</f>
        <v>2403.185</v>
      </c>
      <c r="I36" s="148">
        <f>'[5]Лист1'!AG30</f>
        <v>378.78</v>
      </c>
      <c r="J36" s="144">
        <f>'[5]Лист1'!AI30+'[5]Лист1'!AJ30</f>
        <v>631.3</v>
      </c>
      <c r="K36" s="144">
        <f>'[5]Лист1'!AH30+'[5]Лист1'!AK30+'[5]Лист1'!AL30+'[5]Лист1'!AM30+'[5]Лист1'!AN30+'[5]Лист1'!AO30+'[5]Лист1'!AP30+'[5]Лист1'!AQ30+'[5]Лист1'!AR30</f>
        <v>2165.359</v>
      </c>
      <c r="L36" s="145">
        <f>'[5]Лист1'!AS30+'[5]Лист1'!AT30+'[5]Лист1'!AU30+'[5]Лист1'!AZ30+'[5]Лист1'!BA30</f>
        <v>0</v>
      </c>
      <c r="M36" s="145">
        <f>'[5]Лист1'!AX30</f>
        <v>391.16</v>
      </c>
      <c r="N36" s="146">
        <f>'[5]Лист1'!BB30</f>
        <v>3566.5989999999997</v>
      </c>
      <c r="O36" s="147">
        <f>'[5]Лист1'!BD30</f>
        <v>-1163.4139999999998</v>
      </c>
      <c r="P36" s="147">
        <f>'[5]Лист1'!BE30</f>
        <v>-3057.5600000000004</v>
      </c>
      <c r="Q36" s="79"/>
      <c r="R36" s="79"/>
    </row>
    <row r="37" spans="1:18" ht="12.75">
      <c r="A37" s="94" t="s">
        <v>46</v>
      </c>
      <c r="B37" s="40">
        <f>'[5]Лист1'!B31</f>
        <v>631.3</v>
      </c>
      <c r="C37" s="13">
        <f t="shared" si="4"/>
        <v>5460.745</v>
      </c>
      <c r="D37" s="14">
        <f>'[5]Лист1'!D31</f>
        <v>450.1850000000003</v>
      </c>
      <c r="E37" s="144">
        <f>'[5]Лист1'!S31</f>
        <v>4494.97</v>
      </c>
      <c r="F37" s="146">
        <f>'[5]Лист1'!T31</f>
        <v>515.59</v>
      </c>
      <c r="G37" s="148">
        <f>'[5]Лист1'!AB31</f>
        <v>2950.14</v>
      </c>
      <c r="H37" s="146">
        <f>'[5]Лист1'!AC31</f>
        <v>3915.915</v>
      </c>
      <c r="I37" s="148">
        <f>'[5]Лист1'!AG31</f>
        <v>378.78</v>
      </c>
      <c r="J37" s="144">
        <f>'[5]Лист1'!AI31+'[5]Лист1'!AJ31</f>
        <v>631.3</v>
      </c>
      <c r="K37" s="144">
        <f>'[5]Лист1'!AH31+'[5]Лист1'!AK31+'[5]Лист1'!AL31+'[5]Лист1'!AM31+'[5]Лист1'!AN31+'[5]Лист1'!AO31+'[5]Лист1'!AP31+'[5]Лист1'!AQ31+'[5]Лист1'!AR31</f>
        <v>2165.359</v>
      </c>
      <c r="L37" s="145">
        <f>'[5]Лист1'!AS31+'[5]Лист1'!AT31+'[5]Лист1'!AU31+'[5]Лист1'!AZ31+'[5]Лист1'!BA31</f>
        <v>272</v>
      </c>
      <c r="M37" s="145">
        <f>'[5]Лист1'!AX31</f>
        <v>313.39</v>
      </c>
      <c r="N37" s="146">
        <f>'[5]Лист1'!BB31</f>
        <v>3760.8289999999997</v>
      </c>
      <c r="O37" s="147">
        <f>'[5]Лист1'!BD31</f>
        <v>155.08600000000024</v>
      </c>
      <c r="P37" s="147">
        <f>'[5]Лист1'!BE31</f>
        <v>-1544.8300000000004</v>
      </c>
      <c r="Q37" s="79"/>
      <c r="R37" s="79"/>
    </row>
    <row r="38" spans="1:18" ht="12.75">
      <c r="A38" s="94" t="s">
        <v>47</v>
      </c>
      <c r="B38" s="40">
        <f>'[5]Лист1'!B32</f>
        <v>631.3</v>
      </c>
      <c r="C38" s="13">
        <f t="shared" si="4"/>
        <v>5460.745</v>
      </c>
      <c r="D38" s="14">
        <f>'[5]Лист1'!D32</f>
        <v>450.1850000000003</v>
      </c>
      <c r="E38" s="144">
        <f>'[5]Лист1'!S32</f>
        <v>4494.97</v>
      </c>
      <c r="F38" s="146">
        <f>'[5]Лист1'!T32</f>
        <v>515.59</v>
      </c>
      <c r="G38" s="148">
        <f>'[5]Лист1'!AB32</f>
        <v>5616.7</v>
      </c>
      <c r="H38" s="146">
        <f>'[5]Лист1'!AC32</f>
        <v>6582.475</v>
      </c>
      <c r="I38" s="148">
        <f>'[5]Лист1'!AG32</f>
        <v>378.78</v>
      </c>
      <c r="J38" s="144">
        <f>'[5]Лист1'!AI32+'[5]Лист1'!AJ32</f>
        <v>631.3</v>
      </c>
      <c r="K38" s="144">
        <f>'[5]Лист1'!AH32+'[5]Лист1'!AK32+'[5]Лист1'!AL32+'[5]Лист1'!AM32+'[5]Лист1'!AN32+'[5]Лист1'!AO32+'[5]Лист1'!AP32+'[5]Лист1'!AQ32+'[5]Лист1'!AR32</f>
        <v>2165.359</v>
      </c>
      <c r="L38" s="145">
        <f>'[5]Лист1'!AS32+'[5]Лист1'!AT32+'[5]Лист1'!AU32+'[5]Лист1'!AZ32+'[5]Лист1'!BA32</f>
        <v>0</v>
      </c>
      <c r="M38" s="145">
        <f>'[5]Лист1'!AX32</f>
        <v>294.90999999999997</v>
      </c>
      <c r="N38" s="146">
        <f>'[5]Лист1'!BB32</f>
        <v>3470.3489999999997</v>
      </c>
      <c r="O38" s="147">
        <f>'[5]Лист1'!BD32</f>
        <v>3112.1260000000007</v>
      </c>
      <c r="P38" s="147">
        <f>'[5]Лист1'!BE32</f>
        <v>1121.7299999999996</v>
      </c>
      <c r="Q38" s="79"/>
      <c r="R38" s="79"/>
    </row>
    <row r="39" spans="1:18" ht="12.75">
      <c r="A39" s="94" t="s">
        <v>48</v>
      </c>
      <c r="B39" s="40">
        <f>'[5]Лист1'!B33</f>
        <v>631.3</v>
      </c>
      <c r="C39" s="13">
        <f t="shared" si="4"/>
        <v>5460.745</v>
      </c>
      <c r="D39" s="14">
        <f>'[5]Лист1'!D33</f>
        <v>450.16499999999957</v>
      </c>
      <c r="E39" s="144">
        <f>'[5]Лист1'!S33</f>
        <v>4416.200000000001</v>
      </c>
      <c r="F39" s="146">
        <f>'[5]Лист1'!T33</f>
        <v>594.3800000000001</v>
      </c>
      <c r="G39" s="148">
        <f>'[5]Лист1'!AB33</f>
        <v>2228.27</v>
      </c>
      <c r="H39" s="146">
        <f>'[5]Лист1'!AC33</f>
        <v>3272.8149999999996</v>
      </c>
      <c r="I39" s="148">
        <f>'[5]Лист1'!AG33</f>
        <v>378.78</v>
      </c>
      <c r="J39" s="144">
        <f>'[5]Лист1'!AI33+'[5]Лист1'!AJ33</f>
        <v>631.3</v>
      </c>
      <c r="K39" s="144">
        <f>'[5]Лист1'!AH33+'[5]Лист1'!AK33+'[5]Лист1'!AL33+'[5]Лист1'!AM33+'[5]Лист1'!AN33+'[5]Лист1'!AO33+'[5]Лист1'!AP33+'[5]Лист1'!AQ33+'[5]Лист1'!AR33</f>
        <v>2165.359</v>
      </c>
      <c r="L39" s="145">
        <f>'[5]Лист1'!AS33+'[5]Лист1'!AT33+'[5]Лист1'!AU33+'[5]Лист1'!AZ33+'[5]Лист1'!BA33</f>
        <v>98</v>
      </c>
      <c r="M39" s="145">
        <f>'[5]Лист1'!AX33</f>
        <v>236.39000000000001</v>
      </c>
      <c r="N39" s="146">
        <f>'[5]Лист1'!BB33</f>
        <v>3509.8289999999997</v>
      </c>
      <c r="O39" s="147">
        <f>'[5]Лист1'!BD33</f>
        <v>-237.01400000000012</v>
      </c>
      <c r="P39" s="147">
        <f>'[5]Лист1'!BE33</f>
        <v>-2187.9300000000007</v>
      </c>
      <c r="Q39" s="79"/>
      <c r="R39" s="79"/>
    </row>
    <row r="40" spans="1:18" ht="12.75">
      <c r="A40" s="94" t="s">
        <v>49</v>
      </c>
      <c r="B40" s="40">
        <f>'[5]Лист1'!B34</f>
        <v>631.3</v>
      </c>
      <c r="C40" s="13">
        <f t="shared" si="4"/>
        <v>5460.745</v>
      </c>
      <c r="D40" s="14">
        <f>'[5]Лист1'!D34</f>
        <v>450.2449999999996</v>
      </c>
      <c r="E40" s="144">
        <f>'[5]Лист1'!S34</f>
        <v>4280.01</v>
      </c>
      <c r="F40" s="146">
        <f>'[5]Лист1'!T34</f>
        <v>730.49</v>
      </c>
      <c r="G40" s="148">
        <f>'[5]Лист1'!AB34</f>
        <v>3009.38</v>
      </c>
      <c r="H40" s="146">
        <f>'[5]Лист1'!AC34</f>
        <v>4190.115</v>
      </c>
      <c r="I40" s="148">
        <f>'[5]Лист1'!AG34</f>
        <v>378.78</v>
      </c>
      <c r="J40" s="144">
        <f>'[5]Лист1'!AI34+'[5]Лист1'!AJ34</f>
        <v>631.3</v>
      </c>
      <c r="K40" s="144">
        <f>'[5]Лист1'!AH34+'[5]Лист1'!AK34+'[5]Лист1'!AL34+'[5]Лист1'!AM34+'[5]Лист1'!AN34+'[5]Лист1'!AO34+'[5]Лист1'!AP34+'[5]Лист1'!AQ34+'[5]Лист1'!AR34</f>
        <v>2165.359</v>
      </c>
      <c r="L40" s="145">
        <f>'[5]Лист1'!AS34+'[5]Лист1'!AT34+'[5]Лист1'!AU34+'[5]Лист1'!AZ34+'[5]Лист1'!BA34</f>
        <v>0</v>
      </c>
      <c r="M40" s="145">
        <f>'[5]Лист1'!AX34</f>
        <v>202.51</v>
      </c>
      <c r="N40" s="146">
        <f>'[5]Лист1'!BB34</f>
        <v>3377.9489999999996</v>
      </c>
      <c r="O40" s="147">
        <f>'[5]Лист1'!BD34</f>
        <v>812.1660000000002</v>
      </c>
      <c r="P40" s="147">
        <f>'[5]Лист1'!BE34</f>
        <v>-1270.63</v>
      </c>
      <c r="Q40" s="79"/>
      <c r="R40" s="79"/>
    </row>
    <row r="41" spans="1:18" ht="12.75">
      <c r="A41" s="94" t="s">
        <v>50</v>
      </c>
      <c r="B41" s="40">
        <f>'[5]Лист1'!B35</f>
        <v>631.3</v>
      </c>
      <c r="C41" s="13">
        <f t="shared" si="4"/>
        <v>5460.745</v>
      </c>
      <c r="D41" s="14">
        <f>'[5]Лист1'!D35</f>
        <v>450.2449999999996</v>
      </c>
      <c r="E41" s="144">
        <f>'[5]Лист1'!S35</f>
        <v>4280.01</v>
      </c>
      <c r="F41" s="146">
        <f>'[5]Лист1'!T35</f>
        <v>730.49</v>
      </c>
      <c r="G41" s="148">
        <f>'[5]Лист1'!AB35</f>
        <v>3953.44</v>
      </c>
      <c r="H41" s="146">
        <f>'[5]Лист1'!AC35</f>
        <v>5134.174999999999</v>
      </c>
      <c r="I41" s="148">
        <f>'[5]Лист1'!AG35</f>
        <v>378.78</v>
      </c>
      <c r="J41" s="144">
        <f>'[5]Лист1'!AI35+'[5]Лист1'!AJ35</f>
        <v>631.3</v>
      </c>
      <c r="K41" s="144">
        <f>'[5]Лист1'!AH35+'[5]Лист1'!AK35+'[5]Лист1'!AL35+'[5]Лист1'!AM35+'[5]Лист1'!AN35+'[5]Лист1'!AO35+'[5]Лист1'!AP35+'[5]Лист1'!AQ35+'[5]Лист1'!AR35</f>
        <v>2165.359</v>
      </c>
      <c r="L41" s="145">
        <f>'[5]Лист1'!AS35+'[5]Лист1'!AT35+'[5]Лист1'!AU35+'[5]Лист1'!AZ35+'[5]Лист1'!BA35</f>
        <v>0</v>
      </c>
      <c r="M41" s="145">
        <f>'[5]Лист1'!AX35</f>
        <v>179.41</v>
      </c>
      <c r="N41" s="146">
        <f>'[5]Лист1'!BB35</f>
        <v>3354.8489999999997</v>
      </c>
      <c r="O41" s="147">
        <f>'[5]Лист1'!BD35</f>
        <v>1779.3259999999996</v>
      </c>
      <c r="P41" s="147">
        <f>'[5]Лист1'!BE35</f>
        <v>-326.57000000000016</v>
      </c>
      <c r="Q41" s="79"/>
      <c r="R41" s="79"/>
    </row>
    <row r="42" spans="1:18" ht="12.75">
      <c r="A42" s="94" t="s">
        <v>51</v>
      </c>
      <c r="B42" s="40">
        <f>'[5]Лист1'!B36</f>
        <v>631.3</v>
      </c>
      <c r="C42" s="13">
        <f t="shared" si="4"/>
        <v>5460.745</v>
      </c>
      <c r="D42" s="14">
        <f>'[5]Лист1'!D36</f>
        <v>429.67500000000007</v>
      </c>
      <c r="E42" s="144">
        <f>'[5]Лист1'!S36</f>
        <v>5031.07</v>
      </c>
      <c r="F42" s="146">
        <f>'[5]Лист1'!T36</f>
        <v>0</v>
      </c>
      <c r="G42" s="148">
        <f>'[5]Лист1'!AB36</f>
        <v>1399.29</v>
      </c>
      <c r="H42" s="146">
        <f>'[5]Лист1'!AC36</f>
        <v>1828.9650000000001</v>
      </c>
      <c r="I42" s="148">
        <f>'[5]Лист1'!AG36</f>
        <v>378.78</v>
      </c>
      <c r="J42" s="144">
        <f>'[5]Лист1'!AI36+'[5]Лист1'!AJ36</f>
        <v>631.3</v>
      </c>
      <c r="K42" s="144">
        <f>'[5]Лист1'!AH36+'[5]Лист1'!AK36+'[5]Лист1'!AL36+'[5]Лист1'!AM36+'[5]Лист1'!AN36+'[5]Лист1'!AO36+'[5]Лист1'!AP36+'[5]Лист1'!AQ36+'[5]Лист1'!AR36</f>
        <v>2165.359</v>
      </c>
      <c r="L42" s="145">
        <f>'[5]Лист1'!AS36+'[5]Лист1'!AT36+'[5]Лист1'!AU36+'[5]Лист1'!AZ36+'[5]Лист1'!BA36</f>
        <v>2900.0034</v>
      </c>
      <c r="M42" s="145">
        <f>'[5]Лист1'!AX36</f>
        <v>190.96</v>
      </c>
      <c r="N42" s="146">
        <f>'[5]Лист1'!BB36</f>
        <v>6266.4024</v>
      </c>
      <c r="O42" s="147">
        <f>'[5]Лист1'!BD36</f>
        <v>-4437.4374</v>
      </c>
      <c r="P42" s="147">
        <f>'[5]Лист1'!BE36</f>
        <v>-3631.7799999999997</v>
      </c>
      <c r="Q42" s="79"/>
      <c r="R42" s="79"/>
    </row>
    <row r="43" spans="1:18" ht="12.75">
      <c r="A43" s="94" t="s">
        <v>52</v>
      </c>
      <c r="B43" s="40">
        <f>'[5]Лист1'!B37</f>
        <v>631.3</v>
      </c>
      <c r="C43" s="13">
        <f t="shared" si="4"/>
        <v>5460.745</v>
      </c>
      <c r="D43" s="14">
        <f>'[5]Лист1'!D37</f>
        <v>401.63499999999954</v>
      </c>
      <c r="E43" s="144">
        <f>'[5]Лист1'!S37</f>
        <v>5059.110000000001</v>
      </c>
      <c r="F43" s="146">
        <f>'[5]Лист1'!T37</f>
        <v>0</v>
      </c>
      <c r="G43" s="148">
        <f>'[5]Лист1'!AB37</f>
        <v>3049.27</v>
      </c>
      <c r="H43" s="146">
        <f>'[5]Лист1'!AC37</f>
        <v>3450.9049999999997</v>
      </c>
      <c r="I43" s="148">
        <f>'[5]Лист1'!AG37</f>
        <v>378.78</v>
      </c>
      <c r="J43" s="144">
        <f>'[5]Лист1'!AI37+'[5]Лист1'!AJ37</f>
        <v>631.3</v>
      </c>
      <c r="K43" s="144">
        <f>'[5]Лист1'!AH37+'[5]Лист1'!AK37+'[5]Лист1'!AL37+'[5]Лист1'!AM37+'[5]Лист1'!AN37+'[5]Лист1'!AO37+'[5]Лист1'!AP37+'[5]Лист1'!AQ37+'[5]Лист1'!AR37</f>
        <v>2165.359</v>
      </c>
      <c r="L43" s="145">
        <f>'[5]Лист1'!AS37+'[5]Лист1'!AT37+'[5]Лист1'!AU37+'[5]Лист1'!AZ37+'[5]Лист1'!BA37</f>
        <v>1918.404</v>
      </c>
      <c r="M43" s="145">
        <f>'[5]Лист1'!AX37</f>
        <v>225.60999999999999</v>
      </c>
      <c r="N43" s="146">
        <f>'[5]Лист1'!BB37</f>
        <v>5319.453</v>
      </c>
      <c r="O43" s="147">
        <f>'[5]Лист1'!BD37</f>
        <v>-1868.5480000000007</v>
      </c>
      <c r="P43" s="147">
        <f>'[5]Лист1'!BE37</f>
        <v>-2009.8400000000006</v>
      </c>
      <c r="Q43" s="79"/>
      <c r="R43" s="79"/>
    </row>
    <row r="44" spans="1:18" ht="12.75">
      <c r="A44" s="94" t="s">
        <v>53</v>
      </c>
      <c r="B44" s="40">
        <f>'[5]Лист1'!B38</f>
        <v>631.3</v>
      </c>
      <c r="C44" s="13">
        <f t="shared" si="4"/>
        <v>5460.745</v>
      </c>
      <c r="D44" s="14">
        <f>'[5]Лист1'!D38</f>
        <v>401.63499999999954</v>
      </c>
      <c r="E44" s="144">
        <f>'[5]Лист1'!S38</f>
        <v>5059.110000000001</v>
      </c>
      <c r="F44" s="146">
        <f>'[5]Лист1'!T38</f>
        <v>0</v>
      </c>
      <c r="G44" s="148">
        <f>'[5]Лист1'!AB38</f>
        <v>3390.71</v>
      </c>
      <c r="H44" s="146">
        <f>'[5]Лист1'!AC38</f>
        <v>3792.3449999999993</v>
      </c>
      <c r="I44" s="148">
        <f>'[5]Лист1'!AG38</f>
        <v>378.78</v>
      </c>
      <c r="J44" s="144">
        <f>'[5]Лист1'!AI38+'[5]Лист1'!AJ38</f>
        <v>631.3</v>
      </c>
      <c r="K44" s="144">
        <f>'[5]Лист1'!AH38+'[5]Лист1'!AK38+'[5]Лист1'!AL38+'[5]Лист1'!AM38+'[5]Лист1'!AN38+'[5]Лист1'!AO38+'[5]Лист1'!AP38+'[5]Лист1'!AQ38+'[5]Лист1'!AR38</f>
        <v>2165.359</v>
      </c>
      <c r="L44" s="145">
        <f>'[5]Лист1'!AS38+'[5]Лист1'!AT38+'[5]Лист1'!AU38+'[5]Лист1'!AZ38+'[5]Лист1'!BA38</f>
        <v>0</v>
      </c>
      <c r="M44" s="145">
        <f>'[5]Лист1'!AX38</f>
        <v>268.73</v>
      </c>
      <c r="N44" s="146">
        <f>'[5]Лист1'!BB38</f>
        <v>3444.169</v>
      </c>
      <c r="O44" s="147">
        <f>'[5]Лист1'!BD38</f>
        <v>348.1759999999995</v>
      </c>
      <c r="P44" s="147">
        <f>'[5]Лист1'!BE38</f>
        <v>-1668.4000000000005</v>
      </c>
      <c r="Q44" s="79"/>
      <c r="R44" s="79"/>
    </row>
    <row r="45" spans="1:18" ht="12.75">
      <c r="A45" s="94" t="s">
        <v>41</v>
      </c>
      <c r="B45" s="40">
        <f>'[5]Лист1'!B39</f>
        <v>631.3</v>
      </c>
      <c r="C45" s="13">
        <f t="shared" si="4"/>
        <v>5460.745</v>
      </c>
      <c r="D45" s="14">
        <f>'[5]Лист1'!D39</f>
        <v>401.63499999999954</v>
      </c>
      <c r="E45" s="144">
        <f>'[5]Лист1'!S39</f>
        <v>5059.110000000001</v>
      </c>
      <c r="F45" s="146">
        <f>'[5]Лист1'!T39</f>
        <v>0</v>
      </c>
      <c r="G45" s="148">
        <f>'[5]Лист1'!AB39</f>
        <v>2634.3</v>
      </c>
      <c r="H45" s="146">
        <f>'[5]Лист1'!AC39</f>
        <v>3035.9349999999995</v>
      </c>
      <c r="I45" s="148">
        <f>'[5]Лист1'!AG39</f>
        <v>378.78</v>
      </c>
      <c r="J45" s="144">
        <f>'[5]Лист1'!AI39+'[5]Лист1'!AJ39</f>
        <v>631.3</v>
      </c>
      <c r="K45" s="144">
        <f>'[5]Лист1'!AH39+'[5]Лист1'!AK39+'[5]Лист1'!AL39+'[5]Лист1'!AM39+'[5]Лист1'!AN39+'[5]Лист1'!AO39+'[5]Лист1'!AP39+'[5]Лист1'!AQ39+'[5]Лист1'!AR39</f>
        <v>2165.359</v>
      </c>
      <c r="L45" s="145">
        <f>'[5]Лист1'!AS39+'[5]Лист1'!AT39+'[5]Лист1'!AU39+'[5]Лист1'!AZ39+'[5]Лист1'!BA39</f>
        <v>0</v>
      </c>
      <c r="M45" s="145">
        <f>'[5]Лист1'!AX39</f>
        <v>327.25</v>
      </c>
      <c r="N45" s="146">
        <f>'[5]Лист1'!BB39</f>
        <v>3502.689</v>
      </c>
      <c r="O45" s="147">
        <f>'[5]Лист1'!BD39</f>
        <v>-466.75400000000036</v>
      </c>
      <c r="P45" s="147">
        <f>'[5]Лист1'!BE39</f>
        <v>-2424.8100000000004</v>
      </c>
      <c r="Q45" s="79"/>
      <c r="R45" s="79"/>
    </row>
    <row r="46" spans="1:18" ht="12.75">
      <c r="A46" s="94" t="s">
        <v>42</v>
      </c>
      <c r="B46" s="40">
        <f>'[5]Лист1'!B40</f>
        <v>631.3</v>
      </c>
      <c r="C46" s="13">
        <f t="shared" si="4"/>
        <v>5460.745</v>
      </c>
      <c r="D46" s="14">
        <f>'[5]Лист1'!D40</f>
        <v>401.63499999999954</v>
      </c>
      <c r="E46" s="144">
        <f>'[5]Лист1'!S40</f>
        <v>5059.110000000001</v>
      </c>
      <c r="F46" s="146">
        <f>'[5]Лист1'!T40</f>
        <v>0</v>
      </c>
      <c r="G46" s="148">
        <f>'[5]Лист1'!AB40</f>
        <v>2231.11</v>
      </c>
      <c r="H46" s="146">
        <f>'[5]Лист1'!AC40</f>
        <v>2632.745</v>
      </c>
      <c r="I46" s="148">
        <f>'[5]Лист1'!AG40</f>
        <v>378.78</v>
      </c>
      <c r="J46" s="144">
        <f>'[5]Лист1'!AI40+'[5]Лист1'!AJ40</f>
        <v>631.3</v>
      </c>
      <c r="K46" s="144">
        <f>'[5]Лист1'!AH40+'[5]Лист1'!AK40+'[5]Лист1'!AL40+'[5]Лист1'!AM40+'[5]Лист1'!AN40+'[5]Лист1'!AO40+'[5]Лист1'!AP40+'[5]Лист1'!AQ40+'[5]Лист1'!AR40</f>
        <v>2165.359</v>
      </c>
      <c r="L46" s="145">
        <f>'[5]Лист1'!AS40+'[5]Лист1'!AT40+'[5]Лист1'!AU40+'[5]Лист1'!AZ40+'[5]Лист1'!BA40</f>
        <v>0</v>
      </c>
      <c r="M46" s="145">
        <f>'[5]Лист1'!AX40</f>
        <v>361.9</v>
      </c>
      <c r="N46" s="146">
        <f>'[5]Лист1'!BB40</f>
        <v>3537.339</v>
      </c>
      <c r="O46" s="147">
        <f>'[5]Лист1'!BD40</f>
        <v>-904.594</v>
      </c>
      <c r="P46" s="147">
        <f>'[5]Лист1'!BE40</f>
        <v>-2828.0000000000005</v>
      </c>
      <c r="Q46" s="79"/>
      <c r="R46" s="79"/>
    </row>
    <row r="47" spans="1:16" ht="13.5" thickBot="1">
      <c r="A47" s="149" t="s">
        <v>43</v>
      </c>
      <c r="B47" s="40">
        <f>'[5]Лист1'!B41</f>
        <v>631.3</v>
      </c>
      <c r="C47" s="13">
        <f t="shared" si="4"/>
        <v>5460.745</v>
      </c>
      <c r="D47" s="14">
        <f>'[5]Лист1'!D41</f>
        <v>401.63499999999954</v>
      </c>
      <c r="E47" s="144">
        <f>'[5]Лист1'!S41</f>
        <v>5059.110000000001</v>
      </c>
      <c r="F47" s="146">
        <f>'[5]Лист1'!T41</f>
        <v>0</v>
      </c>
      <c r="G47" s="148">
        <f>'[5]Лист1'!AB41</f>
        <v>7533.82</v>
      </c>
      <c r="H47" s="146">
        <f>'[5]Лист1'!AC41</f>
        <v>7935.454999999999</v>
      </c>
      <c r="I47" s="148">
        <f>'[5]Лист1'!AG41</f>
        <v>378.78</v>
      </c>
      <c r="J47" s="144">
        <f>'[5]Лист1'!AI41+'[5]Лист1'!AJ41</f>
        <v>631.3</v>
      </c>
      <c r="K47" s="144">
        <f>'[5]Лист1'!AH41+'[5]Лист1'!AK41+'[5]Лист1'!AL41+'[5]Лист1'!AM41+'[5]Лист1'!AN41+'[5]Лист1'!AO41+'[5]Лист1'!AP41+'[5]Лист1'!AQ41+'[5]Лист1'!AR41</f>
        <v>2165.359</v>
      </c>
      <c r="L47" s="145">
        <f>'[5]Лист1'!AS41+'[5]Лист1'!AT41+'[5]Лист1'!AU41+'[5]Лист1'!AZ41+'[5]Лист1'!BA41</f>
        <v>0</v>
      </c>
      <c r="M47" s="145">
        <f>'[5]Лист1'!AX41</f>
        <v>395.78000000000003</v>
      </c>
      <c r="N47" s="146">
        <f>'[5]Лист1'!BB41</f>
        <v>3571.219</v>
      </c>
      <c r="O47" s="147">
        <f>'[5]Лист1'!BD41</f>
        <v>4364.235999999999</v>
      </c>
      <c r="P47" s="147">
        <f>'[5]Лист1'!BE41</f>
        <v>2474.709999999999</v>
      </c>
    </row>
    <row r="48" spans="1:18" s="9" customFormat="1" ht="13.5" thickBot="1">
      <c r="A48" s="16" t="s">
        <v>5</v>
      </c>
      <c r="B48" s="17"/>
      <c r="C48" s="18">
        <f aca="true" t="shared" si="5" ref="C48:P48">SUM(C36:C47)</f>
        <v>65528.94000000001</v>
      </c>
      <c r="D48" s="31">
        <f t="shared" si="5"/>
        <v>5136.839999999996</v>
      </c>
      <c r="E48" s="18">
        <f t="shared" si="5"/>
        <v>56789.97000000001</v>
      </c>
      <c r="F48" s="32">
        <f t="shared" si="5"/>
        <v>3602.13</v>
      </c>
      <c r="G48" s="31">
        <f t="shared" si="5"/>
        <v>39436.06</v>
      </c>
      <c r="H48" s="32">
        <f t="shared" si="5"/>
        <v>48175.03</v>
      </c>
      <c r="I48" s="31">
        <f t="shared" si="5"/>
        <v>4545.359999999999</v>
      </c>
      <c r="J48" s="18">
        <f t="shared" si="5"/>
        <v>7575.600000000001</v>
      </c>
      <c r="K48" s="18">
        <f t="shared" si="5"/>
        <v>25984.308</v>
      </c>
      <c r="L48" s="18">
        <f t="shared" si="5"/>
        <v>5188.4074</v>
      </c>
      <c r="M48" s="18">
        <f t="shared" si="5"/>
        <v>3388</v>
      </c>
      <c r="N48" s="32">
        <f t="shared" si="5"/>
        <v>46681.67539999999</v>
      </c>
      <c r="O48" s="37">
        <f t="shared" si="5"/>
        <v>1493.3545999999983</v>
      </c>
      <c r="P48" s="37">
        <f t="shared" si="5"/>
        <v>-17353.910000000007</v>
      </c>
      <c r="Q48" s="35"/>
      <c r="R48" s="35"/>
    </row>
    <row r="49" spans="1:18" ht="13.5" thickBot="1">
      <c r="A49" s="298" t="s">
        <v>70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150"/>
      <c r="Q49" s="79"/>
      <c r="R49" s="79"/>
    </row>
    <row r="50" spans="1:18" s="9" customFormat="1" ht="13.5" thickBot="1">
      <c r="A50" s="39" t="s">
        <v>54</v>
      </c>
      <c r="B50" s="19"/>
      <c r="C50" s="20">
        <f>C34+C48</f>
        <v>147440.11500000002</v>
      </c>
      <c r="D50" s="183">
        <f aca="true" t="shared" si="6" ref="D50:N50">D34+D48</f>
        <v>15344.441071949997</v>
      </c>
      <c r="E50" s="19">
        <f t="shared" si="6"/>
        <v>121064.90000000002</v>
      </c>
      <c r="F50" s="20">
        <f t="shared" si="6"/>
        <v>10928.720000000001</v>
      </c>
      <c r="G50" s="183">
        <f t="shared" si="6"/>
        <v>91560.43000000001</v>
      </c>
      <c r="H50" s="20">
        <f t="shared" si="6"/>
        <v>117833.59107195001</v>
      </c>
      <c r="I50" s="183">
        <f t="shared" si="6"/>
        <v>10075.547999999997</v>
      </c>
      <c r="J50" s="19">
        <f t="shared" si="6"/>
        <v>16724.946178537</v>
      </c>
      <c r="K50" s="19">
        <f t="shared" si="6"/>
        <v>63553.3557367506</v>
      </c>
      <c r="L50" s="19">
        <f t="shared" si="6"/>
        <v>60844.1676</v>
      </c>
      <c r="M50" s="19">
        <f t="shared" si="6"/>
        <v>6586.272000000001</v>
      </c>
      <c r="N50" s="184">
        <f t="shared" si="6"/>
        <v>157784.2895152876</v>
      </c>
      <c r="O50" s="185">
        <f>O34+O48</f>
        <v>-39950.6984433376</v>
      </c>
      <c r="P50" s="185">
        <f>P34+P48</f>
        <v>-29504.470000000005</v>
      </c>
      <c r="Q50" s="36"/>
      <c r="R50" s="35"/>
    </row>
    <row r="53" spans="1:18" ht="12.75" hidden="1">
      <c r="A53" s="9" t="s">
        <v>113</v>
      </c>
      <c r="D53" s="41" t="s">
        <v>116</v>
      </c>
      <c r="Q53" s="79"/>
      <c r="R53" s="79"/>
    </row>
    <row r="54" spans="1:18" ht="12.75" hidden="1">
      <c r="A54" s="91" t="s">
        <v>71</v>
      </c>
      <c r="B54" s="91" t="s">
        <v>72</v>
      </c>
      <c r="C54" s="300" t="s">
        <v>73</v>
      </c>
      <c r="D54" s="300"/>
      <c r="Q54" s="79"/>
      <c r="R54" s="79"/>
    </row>
    <row r="55" spans="1:18" ht="12.75" hidden="1">
      <c r="A55" s="56">
        <v>29141.63</v>
      </c>
      <c r="B55" s="56">
        <v>0</v>
      </c>
      <c r="C55" s="301">
        <f>A55-B55</f>
        <v>29141.63</v>
      </c>
      <c r="D55" s="302"/>
      <c r="Q55" s="79"/>
      <c r="R55" s="79"/>
    </row>
    <row r="56" spans="1:18" ht="12.75" hidden="1">
      <c r="A56" s="160"/>
      <c r="Q56" s="79"/>
      <c r="R56" s="79"/>
    </row>
    <row r="57" spans="1:18" ht="12.75" hidden="1">
      <c r="A57" s="80" t="s">
        <v>109</v>
      </c>
      <c r="G57" s="80" t="s">
        <v>110</v>
      </c>
      <c r="Q57" s="79"/>
      <c r="R57" s="79"/>
    </row>
    <row r="58" ht="12.75" hidden="1">
      <c r="A58" s="79"/>
    </row>
    <row r="59" ht="12.75" hidden="1">
      <c r="A59" s="79"/>
    </row>
    <row r="60" ht="12.75" hidden="1">
      <c r="A60" s="80" t="s">
        <v>117</v>
      </c>
    </row>
    <row r="61" ht="12.75" hidden="1">
      <c r="A61" s="80" t="s">
        <v>111</v>
      </c>
    </row>
  </sheetData>
  <sheetProtection/>
  <mergeCells count="27">
    <mergeCell ref="G9:H10"/>
    <mergeCell ref="B1:H1"/>
    <mergeCell ref="B2:H2"/>
    <mergeCell ref="A5:O5"/>
    <mergeCell ref="A6:G6"/>
    <mergeCell ref="A8:D8"/>
    <mergeCell ref="E8:F8"/>
    <mergeCell ref="P9:P12"/>
    <mergeCell ref="E11:F11"/>
    <mergeCell ref="H11:H12"/>
    <mergeCell ref="I11:I12"/>
    <mergeCell ref="J11:J12"/>
    <mergeCell ref="K11:K12"/>
    <mergeCell ref="L11:L12"/>
    <mergeCell ref="M11:M12"/>
    <mergeCell ref="N11:N12"/>
    <mergeCell ref="E9:F10"/>
    <mergeCell ref="A33:O33"/>
    <mergeCell ref="A49:O49"/>
    <mergeCell ref="C54:D54"/>
    <mergeCell ref="C55:D55"/>
    <mergeCell ref="I9:N10"/>
    <mergeCell ref="O9:O12"/>
    <mergeCell ref="A9:A12"/>
    <mergeCell ref="B9:B12"/>
    <mergeCell ref="C9:C12"/>
    <mergeCell ref="D9:D12"/>
  </mergeCells>
  <printOptions/>
  <pageMargins left="0.2362204724409449" right="0.15748031496062992" top="0.1968503937007874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4"/>
  <sheetViews>
    <sheetView zoomScalePageLayoutView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8" sqref="AK8:AY8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2" width="9.125" style="80" customWidth="1"/>
    <col min="13" max="13" width="10.125" style="80" bestFit="1" customWidth="1"/>
    <col min="14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1" width="10.125" style="80" bestFit="1" customWidth="1"/>
    <col min="22" max="22" width="11.00390625" style="80" customWidth="1"/>
    <col min="23" max="23" width="10.625" style="80" customWidth="1"/>
    <col min="24" max="24" width="10.125" style="80" customWidth="1"/>
    <col min="25" max="25" width="9.125" style="80" customWidth="1"/>
    <col min="26" max="28" width="10.125" style="80" bestFit="1" customWidth="1"/>
    <col min="29" max="30" width="11.375" style="80" customWidth="1"/>
    <col min="31" max="31" width="9.25390625" style="80" bestFit="1" customWidth="1"/>
    <col min="32" max="32" width="10.1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1" width="9.25390625" style="80" bestFit="1" customWidth="1"/>
    <col min="42" max="42" width="10.125" style="80" bestFit="1" customWidth="1"/>
    <col min="43" max="45" width="9.25390625" style="80" customWidth="1"/>
    <col min="46" max="46" width="10.125" style="80" bestFit="1" customWidth="1"/>
    <col min="47" max="47" width="11.625" style="80" customWidth="1"/>
    <col min="48" max="48" width="10.875" style="80" customWidth="1"/>
    <col min="49" max="49" width="10.625" style="80" customWidth="1"/>
    <col min="50" max="50" width="9.25390625" style="80" customWidth="1"/>
    <col min="51" max="51" width="10.625" style="80" customWidth="1"/>
    <col min="52" max="52" width="9.25390625" style="80" bestFit="1" customWidth="1"/>
    <col min="53" max="54" width="10.125" style="80" bestFit="1" customWidth="1"/>
    <col min="55" max="55" width="12.25390625" style="80" customWidth="1"/>
    <col min="56" max="56" width="10.375" style="80" customWidth="1"/>
    <col min="57" max="57" width="12.125" style="80" customWidth="1"/>
    <col min="58" max="58" width="14.00390625" style="80" customWidth="1"/>
    <col min="59" max="59" width="10.375" style="80" customWidth="1"/>
    <col min="60" max="16384" width="9.125" style="80" customWidth="1"/>
  </cols>
  <sheetData>
    <row r="1" spans="1:18" ht="21" customHeight="1">
      <c r="A1" s="290" t="s">
        <v>115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60" ht="29.25" customHeight="1" thickBot="1">
      <c r="A3" s="340" t="s">
        <v>0</v>
      </c>
      <c r="B3" s="342" t="s">
        <v>1</v>
      </c>
      <c r="C3" s="344" t="s">
        <v>2</v>
      </c>
      <c r="D3" s="346" t="s">
        <v>3</v>
      </c>
      <c r="E3" s="340" t="s">
        <v>86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29"/>
      <c r="S3" s="340"/>
      <c r="T3" s="348"/>
      <c r="U3" s="340" t="s">
        <v>5</v>
      </c>
      <c r="V3" s="348"/>
      <c r="W3" s="356" t="s">
        <v>6</v>
      </c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8"/>
      <c r="AJ3" s="385" t="s">
        <v>74</v>
      </c>
      <c r="AK3" s="388" t="s">
        <v>10</v>
      </c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90"/>
      <c r="BF3" s="399" t="s">
        <v>11</v>
      </c>
      <c r="BG3" s="396" t="s">
        <v>12</v>
      </c>
      <c r="BH3" s="83"/>
    </row>
    <row r="4" spans="1:59" ht="51.75" customHeight="1" hidden="1" thickBot="1">
      <c r="A4" s="341"/>
      <c r="B4" s="343"/>
      <c r="C4" s="345"/>
      <c r="D4" s="347"/>
      <c r="E4" s="341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18"/>
      <c r="S4" s="354"/>
      <c r="T4" s="355"/>
      <c r="U4" s="354"/>
      <c r="V4" s="355"/>
      <c r="W4" s="359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J4" s="386"/>
      <c r="AK4" s="391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3"/>
      <c r="BF4" s="400"/>
      <c r="BG4" s="397"/>
    </row>
    <row r="5" spans="1:61" ht="19.5" customHeight="1">
      <c r="A5" s="341"/>
      <c r="B5" s="343"/>
      <c r="C5" s="345"/>
      <c r="D5" s="347"/>
      <c r="E5" s="350" t="s">
        <v>13</v>
      </c>
      <c r="F5" s="351"/>
      <c r="G5" s="350" t="s">
        <v>87</v>
      </c>
      <c r="H5" s="351"/>
      <c r="I5" s="350" t="s">
        <v>14</v>
      </c>
      <c r="J5" s="351"/>
      <c r="K5" s="350" t="s">
        <v>16</v>
      </c>
      <c r="L5" s="351"/>
      <c r="M5" s="350" t="s">
        <v>15</v>
      </c>
      <c r="N5" s="351"/>
      <c r="O5" s="368" t="s">
        <v>17</v>
      </c>
      <c r="P5" s="368"/>
      <c r="Q5" s="350" t="s">
        <v>88</v>
      </c>
      <c r="R5" s="351"/>
      <c r="S5" s="368" t="s">
        <v>89</v>
      </c>
      <c r="T5" s="351"/>
      <c r="U5" s="371" t="s">
        <v>20</v>
      </c>
      <c r="V5" s="362" t="s">
        <v>21</v>
      </c>
      <c r="W5" s="364" t="s">
        <v>22</v>
      </c>
      <c r="X5" s="364" t="s">
        <v>90</v>
      </c>
      <c r="Y5" s="364" t="s">
        <v>23</v>
      </c>
      <c r="Z5" s="364" t="s">
        <v>25</v>
      </c>
      <c r="AA5" s="364" t="s">
        <v>24</v>
      </c>
      <c r="AB5" s="364" t="s">
        <v>26</v>
      </c>
      <c r="AC5" s="364" t="s">
        <v>27</v>
      </c>
      <c r="AD5" s="366" t="s">
        <v>28</v>
      </c>
      <c r="AE5" s="366" t="s">
        <v>91</v>
      </c>
      <c r="AF5" s="373" t="s">
        <v>29</v>
      </c>
      <c r="AG5" s="375" t="s">
        <v>83</v>
      </c>
      <c r="AH5" s="377" t="s">
        <v>8</v>
      </c>
      <c r="AI5" s="379" t="s">
        <v>9</v>
      </c>
      <c r="AJ5" s="386"/>
      <c r="AK5" s="381" t="s">
        <v>92</v>
      </c>
      <c r="AL5" s="383" t="s">
        <v>93</v>
      </c>
      <c r="AM5" s="383" t="s">
        <v>94</v>
      </c>
      <c r="AN5" s="394" t="s">
        <v>95</v>
      </c>
      <c r="AO5" s="383" t="s">
        <v>96</v>
      </c>
      <c r="AP5" s="394" t="s">
        <v>97</v>
      </c>
      <c r="AQ5" s="394" t="s">
        <v>98</v>
      </c>
      <c r="AR5" s="394" t="s">
        <v>99</v>
      </c>
      <c r="AS5" s="394" t="s">
        <v>100</v>
      </c>
      <c r="AT5" s="394" t="s">
        <v>36</v>
      </c>
      <c r="AU5" s="261" t="s">
        <v>101</v>
      </c>
      <c r="AV5" s="259" t="s">
        <v>102</v>
      </c>
      <c r="AW5" s="261" t="s">
        <v>103</v>
      </c>
      <c r="AX5" s="252" t="s">
        <v>104</v>
      </c>
      <c r="AY5" s="77"/>
      <c r="AZ5" s="402" t="s">
        <v>19</v>
      </c>
      <c r="BA5" s="394" t="s">
        <v>38</v>
      </c>
      <c r="BB5" s="394" t="s">
        <v>33</v>
      </c>
      <c r="BC5" s="404" t="s">
        <v>39</v>
      </c>
      <c r="BD5" s="406" t="s">
        <v>75</v>
      </c>
      <c r="BE5" s="394" t="s">
        <v>105</v>
      </c>
      <c r="BF5" s="400"/>
      <c r="BG5" s="397"/>
      <c r="BH5" s="84"/>
      <c r="BI5" s="85"/>
    </row>
    <row r="6" spans="1:61" ht="56.25" customHeight="1" thickBot="1">
      <c r="A6" s="341"/>
      <c r="B6" s="343"/>
      <c r="C6" s="345"/>
      <c r="D6" s="347"/>
      <c r="E6" s="352"/>
      <c r="F6" s="353"/>
      <c r="G6" s="352"/>
      <c r="H6" s="353"/>
      <c r="I6" s="352"/>
      <c r="J6" s="353"/>
      <c r="K6" s="352"/>
      <c r="L6" s="353"/>
      <c r="M6" s="352"/>
      <c r="N6" s="353"/>
      <c r="O6" s="369"/>
      <c r="P6" s="369"/>
      <c r="Q6" s="352"/>
      <c r="R6" s="353"/>
      <c r="S6" s="370"/>
      <c r="T6" s="353"/>
      <c r="U6" s="372"/>
      <c r="V6" s="363"/>
      <c r="W6" s="365"/>
      <c r="X6" s="365"/>
      <c r="Y6" s="365"/>
      <c r="Z6" s="365"/>
      <c r="AA6" s="365"/>
      <c r="AB6" s="365"/>
      <c r="AC6" s="365"/>
      <c r="AD6" s="367"/>
      <c r="AE6" s="367"/>
      <c r="AF6" s="374"/>
      <c r="AG6" s="376"/>
      <c r="AH6" s="378"/>
      <c r="AI6" s="380"/>
      <c r="AJ6" s="387"/>
      <c r="AK6" s="382"/>
      <c r="AL6" s="384"/>
      <c r="AM6" s="384"/>
      <c r="AN6" s="395"/>
      <c r="AO6" s="384"/>
      <c r="AP6" s="395"/>
      <c r="AQ6" s="395"/>
      <c r="AR6" s="395"/>
      <c r="AS6" s="395"/>
      <c r="AT6" s="395"/>
      <c r="AU6" s="262"/>
      <c r="AV6" s="260"/>
      <c r="AW6" s="262"/>
      <c r="AX6" s="253"/>
      <c r="AY6" s="78" t="s">
        <v>106</v>
      </c>
      <c r="AZ6" s="403"/>
      <c r="BA6" s="395"/>
      <c r="BB6" s="395"/>
      <c r="BC6" s="405"/>
      <c r="BD6" s="407"/>
      <c r="BE6" s="395"/>
      <c r="BF6" s="401"/>
      <c r="BG6" s="398"/>
      <c r="BH6" s="84"/>
      <c r="BI6" s="85"/>
    </row>
    <row r="7" spans="1:61" ht="19.5" customHeight="1" thickBot="1">
      <c r="A7" s="86">
        <v>1</v>
      </c>
      <c r="B7" s="87">
        <v>2</v>
      </c>
      <c r="C7" s="87">
        <v>3</v>
      </c>
      <c r="D7" s="86">
        <v>4</v>
      </c>
      <c r="E7" s="87">
        <v>5</v>
      </c>
      <c r="F7" s="87">
        <v>6</v>
      </c>
      <c r="G7" s="86">
        <v>7</v>
      </c>
      <c r="H7" s="87">
        <v>8</v>
      </c>
      <c r="I7" s="87">
        <v>9</v>
      </c>
      <c r="J7" s="86">
        <v>10</v>
      </c>
      <c r="K7" s="87">
        <v>11</v>
      </c>
      <c r="L7" s="87">
        <v>12</v>
      </c>
      <c r="M7" s="86">
        <v>13</v>
      </c>
      <c r="N7" s="87">
        <v>14</v>
      </c>
      <c r="O7" s="87">
        <v>15</v>
      </c>
      <c r="P7" s="86">
        <v>16</v>
      </c>
      <c r="Q7" s="87">
        <v>17</v>
      </c>
      <c r="R7" s="87">
        <v>18</v>
      </c>
      <c r="S7" s="86">
        <v>19</v>
      </c>
      <c r="T7" s="87">
        <v>20</v>
      </c>
      <c r="U7" s="87">
        <v>21</v>
      </c>
      <c r="V7" s="86">
        <v>22</v>
      </c>
      <c r="W7" s="87">
        <v>23</v>
      </c>
      <c r="X7" s="86">
        <v>24</v>
      </c>
      <c r="Y7" s="87">
        <v>25</v>
      </c>
      <c r="Z7" s="86">
        <v>26</v>
      </c>
      <c r="AA7" s="87">
        <v>27</v>
      </c>
      <c r="AB7" s="86">
        <v>28</v>
      </c>
      <c r="AC7" s="87">
        <v>29</v>
      </c>
      <c r="AD7" s="86">
        <v>30</v>
      </c>
      <c r="AE7" s="86">
        <v>31</v>
      </c>
      <c r="AF7" s="87">
        <v>32</v>
      </c>
      <c r="AG7" s="86">
        <v>33</v>
      </c>
      <c r="AH7" s="87">
        <v>34</v>
      </c>
      <c r="AI7" s="86">
        <v>35</v>
      </c>
      <c r="AJ7" s="87">
        <v>36</v>
      </c>
      <c r="AK7" s="86">
        <v>37</v>
      </c>
      <c r="AL7" s="87">
        <v>38</v>
      </c>
      <c r="AM7" s="86">
        <v>39</v>
      </c>
      <c r="AN7" s="86">
        <v>40</v>
      </c>
      <c r="AO7" s="87">
        <v>41</v>
      </c>
      <c r="AP7" s="86">
        <v>42</v>
      </c>
      <c r="AQ7" s="87">
        <v>43</v>
      </c>
      <c r="AR7" s="86"/>
      <c r="AS7" s="86">
        <v>44</v>
      </c>
      <c r="AT7" s="87">
        <v>45</v>
      </c>
      <c r="AU7" s="86">
        <v>46</v>
      </c>
      <c r="AV7" s="87">
        <v>47</v>
      </c>
      <c r="AW7" s="86">
        <v>48</v>
      </c>
      <c r="AX7" s="86">
        <v>49</v>
      </c>
      <c r="AY7" s="87"/>
      <c r="AZ7" s="87">
        <v>50</v>
      </c>
      <c r="BA7" s="87">
        <v>51</v>
      </c>
      <c r="BB7" s="87">
        <v>52</v>
      </c>
      <c r="BC7" s="87">
        <v>53</v>
      </c>
      <c r="BD7" s="87">
        <v>54</v>
      </c>
      <c r="BE7" s="87"/>
      <c r="BF7" s="87">
        <v>55</v>
      </c>
      <c r="BG7" s="87">
        <v>56</v>
      </c>
      <c r="BH7" s="85"/>
      <c r="BI7" s="85"/>
    </row>
    <row r="8" spans="1:59" s="9" customFormat="1" ht="13.5" thickBot="1">
      <c r="A8" s="10" t="s">
        <v>54</v>
      </c>
      <c r="B8" s="71"/>
      <c r="C8" s="71">
        <f>Лист1!C44</f>
        <v>147440.11500000002</v>
      </c>
      <c r="D8" s="71">
        <f>Лист1!D44</f>
        <v>15344.441071949997</v>
      </c>
      <c r="E8" s="71">
        <f>Лист1!E44</f>
        <v>13979.84</v>
      </c>
      <c r="F8" s="71">
        <f>Лист1!F44</f>
        <v>1261.72</v>
      </c>
      <c r="G8" s="71">
        <f>0</f>
        <v>0</v>
      </c>
      <c r="H8" s="71">
        <f>0</f>
        <v>0</v>
      </c>
      <c r="I8" s="71">
        <f>Лист1!G44</f>
        <v>18919.25</v>
      </c>
      <c r="J8" s="71">
        <f>Лист1!H44</f>
        <v>1708.23</v>
      </c>
      <c r="K8" s="71">
        <f>Лист1!K44</f>
        <v>31501.159999999996</v>
      </c>
      <c r="L8" s="71">
        <f>Лист1!L44</f>
        <v>2843.88</v>
      </c>
      <c r="M8" s="71">
        <f>Лист1!I44</f>
        <v>45480.82</v>
      </c>
      <c r="N8" s="71">
        <f>Лист1!J44</f>
        <v>4105.58</v>
      </c>
      <c r="O8" s="71">
        <f>Лист1!M44</f>
        <v>11183.829999999998</v>
      </c>
      <c r="P8" s="71">
        <f>Лист1!N44</f>
        <v>1009.3100000000002</v>
      </c>
      <c r="Q8" s="71">
        <f>'[1]Лист1'!O44</f>
        <v>0</v>
      </c>
      <c r="R8" s="71">
        <f>'[1]Лист1'!P44</f>
        <v>0</v>
      </c>
      <c r="S8" s="71">
        <f>'[1]Лист1'!Q44</f>
        <v>0</v>
      </c>
      <c r="T8" s="71">
        <f>'[1]Лист1'!R44</f>
        <v>0</v>
      </c>
      <c r="U8" s="71">
        <f>Лист1!S44</f>
        <v>121064.90000000002</v>
      </c>
      <c r="V8" s="71">
        <f>Лист1!T44</f>
        <v>10928.720000000001</v>
      </c>
      <c r="W8" s="71">
        <f>Лист1!U44</f>
        <v>10574.66</v>
      </c>
      <c r="X8" s="71">
        <v>0</v>
      </c>
      <c r="Y8" s="71">
        <f>Лист1!V44</f>
        <v>14306.29</v>
      </c>
      <c r="Z8" s="71">
        <f>Лист1!X44</f>
        <v>23823.26</v>
      </c>
      <c r="AA8" s="71">
        <f>Лист1!W44</f>
        <v>34396.55</v>
      </c>
      <c r="AB8" s="71">
        <f>Лист1!Y44</f>
        <v>8459.670000000002</v>
      </c>
      <c r="AC8" s="71">
        <f>'[2]Лист1'!Z46</f>
        <v>0</v>
      </c>
      <c r="AD8" s="71">
        <f>'[2]Лист1'!AA46</f>
        <v>0</v>
      </c>
      <c r="AF8" s="71">
        <f>Лист1!AB44</f>
        <v>91560.43000000001</v>
      </c>
      <c r="AG8" s="71">
        <f>Лист1!AC44</f>
        <v>117833.59107195001</v>
      </c>
      <c r="AH8" s="71">
        <f>'[2]Лист1'!AD46</f>
        <v>0</v>
      </c>
      <c r="AI8" s="71">
        <f>'[2]Лист1'!AE46</f>
        <v>0</v>
      </c>
      <c r="AJ8" s="71">
        <f>Лист1!AF44</f>
        <v>0</v>
      </c>
      <c r="AK8" s="71">
        <f>Лист1!AG44</f>
        <v>10075.547999999997</v>
      </c>
      <c r="AL8" s="71">
        <f>Лист1!AH44</f>
        <v>3376.1142196</v>
      </c>
      <c r="AM8" s="71">
        <f>Лист1!AI44+Лист1!AJ44</f>
        <v>16724.946178537</v>
      </c>
      <c r="AN8" s="71">
        <v>0</v>
      </c>
      <c r="AO8" s="71">
        <f>Лист1!AK44+Лист1!AL44</f>
        <v>16682.735245677</v>
      </c>
      <c r="AP8" s="71">
        <f>Лист1!AM44+Лист1!AN44</f>
        <v>37319.99107147359</v>
      </c>
      <c r="AQ8" s="71">
        <v>0</v>
      </c>
      <c r="AR8" s="71">
        <v>0</v>
      </c>
      <c r="AS8" s="71">
        <f>0</f>
        <v>0</v>
      </c>
      <c r="AT8" s="71">
        <f>Лист1!AO44</f>
        <v>0</v>
      </c>
      <c r="AU8" s="71">
        <f>Лист1!AS44+Лист1!AU44</f>
        <v>58330.1336</v>
      </c>
      <c r="AV8" s="71">
        <f>0</f>
        <v>0</v>
      </c>
      <c r="AW8" s="71">
        <f>Лист1!AT44</f>
        <v>2505.4300000000003</v>
      </c>
      <c r="AX8" s="71">
        <f>Лист1!AQ44+Лист1!AR44</f>
        <v>6174.515200000001</v>
      </c>
      <c r="AY8" s="88">
        <f>Лист1!AX44</f>
        <v>6586.272000000001</v>
      </c>
      <c r="AZ8" s="88">
        <f>'[2]Лист1'!AY46</f>
        <v>0</v>
      </c>
      <c r="BA8" s="88">
        <f>'[2]Лист1'!AZ46</f>
        <v>0</v>
      </c>
      <c r="BB8" s="88">
        <f>'[2]Лист1'!BA46</f>
        <v>0</v>
      </c>
      <c r="BC8" s="88">
        <f>Лист1!BB44</f>
        <v>157775.6855152876</v>
      </c>
      <c r="BD8" s="88">
        <f>'[2]Лист1'!BC46</f>
        <v>0</v>
      </c>
      <c r="BE8" s="89">
        <f>'2011 полн'!BC8</f>
        <v>157775.6855152876</v>
      </c>
      <c r="BF8" s="90">
        <f>Лист1!BD44</f>
        <v>-39942.0944433376</v>
      </c>
      <c r="BG8" s="90">
        <f>Лист1!BE44</f>
        <v>-29504.470000000005</v>
      </c>
    </row>
    <row r="9" spans="1:65" ht="12.75">
      <c r="A9" s="1" t="s">
        <v>107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0"/>
      <c r="BG9" s="93"/>
      <c r="BH9" s="79"/>
      <c r="BJ9" s="79"/>
      <c r="BK9" s="79"/>
      <c r="BL9" s="79"/>
      <c r="BM9" s="79"/>
    </row>
    <row r="10" spans="1:73" ht="12.75">
      <c r="A10" s="94" t="s">
        <v>45</v>
      </c>
      <c r="B10" s="58">
        <v>631.3</v>
      </c>
      <c r="C10" s="55">
        <f aca="true" t="shared" si="0" ref="C10:C15">B10*8.55</f>
        <v>5397.615</v>
      </c>
      <c r="D10" s="48">
        <v>163.5788</v>
      </c>
      <c r="E10" s="114">
        <v>0</v>
      </c>
      <c r="F10" s="62">
        <v>0</v>
      </c>
      <c r="G10" s="114">
        <v>3354.33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1629.04</v>
      </c>
      <c r="N10" s="114">
        <v>0</v>
      </c>
      <c r="O10" s="114">
        <v>565.11</v>
      </c>
      <c r="P10" s="62">
        <v>0</v>
      </c>
      <c r="Q10" s="95">
        <v>0</v>
      </c>
      <c r="R10" s="96">
        <v>0</v>
      </c>
      <c r="S10" s="237">
        <v>0</v>
      </c>
      <c r="T10" s="96">
        <v>0</v>
      </c>
      <c r="U10" s="97">
        <f aca="true" t="shared" si="1" ref="U10:V21">E10+G10+I10+K10+M10+O10+Q10+S10</f>
        <v>5548.48</v>
      </c>
      <c r="V10" s="98">
        <f t="shared" si="1"/>
        <v>0</v>
      </c>
      <c r="W10" s="59">
        <v>195.09</v>
      </c>
      <c r="X10" s="59"/>
      <c r="Y10" s="59">
        <v>264.21</v>
      </c>
      <c r="Z10" s="59">
        <v>439.81</v>
      </c>
      <c r="AA10" s="59">
        <v>640.75</v>
      </c>
      <c r="AB10" s="59">
        <v>157.52</v>
      </c>
      <c r="AC10" s="60">
        <v>0</v>
      </c>
      <c r="AD10" s="60">
        <v>0</v>
      </c>
      <c r="AE10" s="99">
        <v>0</v>
      </c>
      <c r="AF10" s="99">
        <f>SUM(W10:AE10)</f>
        <v>1697.3799999999999</v>
      </c>
      <c r="AG10" s="100">
        <f>AF10+V10+D10</f>
        <v>1860.9587999999999</v>
      </c>
      <c r="AH10" s="101">
        <f aca="true" t="shared" si="2" ref="AH10:AI21">AC10</f>
        <v>0</v>
      </c>
      <c r="AI10" s="101">
        <f t="shared" si="2"/>
        <v>0</v>
      </c>
      <c r="AJ10" s="64"/>
      <c r="AK10" s="65">
        <f aca="true" t="shared" si="3" ref="AK10:AK21">0.67*B10</f>
        <v>422.971</v>
      </c>
      <c r="AL10" s="65">
        <f aca="true" t="shared" si="4" ref="AL10:AL21">B10*0.2</f>
        <v>126.25999999999999</v>
      </c>
      <c r="AM10" s="65">
        <f aca="true" t="shared" si="5" ref="AM10:AM21">B10*1</f>
        <v>631.3</v>
      </c>
      <c r="AN10" s="65">
        <f aca="true" t="shared" si="6" ref="AN10:AN21">B10*0.21</f>
        <v>132.57299999999998</v>
      </c>
      <c r="AO10" s="65">
        <f aca="true" t="shared" si="7" ref="AO10:AO21">2.02*B10</f>
        <v>1275.2259999999999</v>
      </c>
      <c r="AP10" s="65">
        <f aca="true" t="shared" si="8" ref="AP10:AP21">B10*1.03</f>
        <v>650.2389999999999</v>
      </c>
      <c r="AQ10" s="65">
        <f aca="true" t="shared" si="9" ref="AQ10:AQ21">B10*0.75</f>
        <v>473.47499999999997</v>
      </c>
      <c r="AR10" s="65">
        <f aca="true" t="shared" si="10" ref="AR10:AR21">B10*0.75</f>
        <v>473.47499999999997</v>
      </c>
      <c r="AS10" s="65">
        <f>B10*1.15</f>
        <v>725.9949999999999</v>
      </c>
      <c r="AT10" s="65"/>
      <c r="AU10" s="67"/>
      <c r="AV10" s="66"/>
      <c r="AW10" s="67"/>
      <c r="AX10" s="67"/>
      <c r="AY10" s="67"/>
      <c r="AZ10" s="65"/>
      <c r="BA10" s="69"/>
      <c r="BB10" s="69">
        <f>BA10*0.18</f>
        <v>0</v>
      </c>
      <c r="BC10" s="69">
        <f aca="true" t="shared" si="11" ref="BC10:BC21">SUM(AK10:BB10)</f>
        <v>4911.514</v>
      </c>
      <c r="BD10" s="70"/>
      <c r="BE10" s="70">
        <f>BC10</f>
        <v>4911.514</v>
      </c>
      <c r="BF10" s="70">
        <f>AG10-BE10</f>
        <v>-3050.5552000000002</v>
      </c>
      <c r="BG10" s="70">
        <f>AF10-U10</f>
        <v>-3851.0999999999995</v>
      </c>
      <c r="BH10" s="70"/>
      <c r="BI10" s="207"/>
      <c r="BJ10" s="240"/>
      <c r="BK10" s="241"/>
      <c r="BL10" s="176"/>
      <c r="BM10" s="176"/>
      <c r="BN10" s="81"/>
      <c r="BO10" s="81"/>
      <c r="BP10" s="36"/>
      <c r="BQ10" s="102"/>
      <c r="BR10" s="36"/>
      <c r="BS10" s="102"/>
      <c r="BT10" s="36"/>
      <c r="BU10" s="102"/>
    </row>
    <row r="11" spans="1:71" ht="14.25">
      <c r="A11" s="94" t="s">
        <v>46</v>
      </c>
      <c r="B11" s="58">
        <v>631.3</v>
      </c>
      <c r="C11" s="55">
        <f t="shared" si="0"/>
        <v>5397.615</v>
      </c>
      <c r="D11" s="48">
        <v>163.5788</v>
      </c>
      <c r="E11" s="114">
        <v>0</v>
      </c>
      <c r="F11" s="62">
        <v>0</v>
      </c>
      <c r="G11" s="114">
        <v>3354.33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1629.04</v>
      </c>
      <c r="N11" s="114">
        <v>0</v>
      </c>
      <c r="O11" s="114">
        <v>565.11</v>
      </c>
      <c r="P11" s="114">
        <v>0</v>
      </c>
      <c r="Q11" s="62">
        <v>0</v>
      </c>
      <c r="R11" s="62">
        <v>0</v>
      </c>
      <c r="S11" s="60">
        <v>0</v>
      </c>
      <c r="T11" s="59">
        <v>0</v>
      </c>
      <c r="U11" s="103">
        <f t="shared" si="1"/>
        <v>5548.48</v>
      </c>
      <c r="V11" s="98">
        <f t="shared" si="1"/>
        <v>0</v>
      </c>
      <c r="W11" s="238">
        <v>122.93</v>
      </c>
      <c r="X11" s="239">
        <v>2003.71</v>
      </c>
      <c r="Y11" s="238">
        <v>166.48</v>
      </c>
      <c r="Z11" s="238">
        <v>277.13</v>
      </c>
      <c r="AA11" s="238">
        <v>1373.17</v>
      </c>
      <c r="AB11" s="238">
        <v>435.96</v>
      </c>
      <c r="AC11" s="239">
        <v>0</v>
      </c>
      <c r="AD11" s="239">
        <v>0</v>
      </c>
      <c r="AE11" s="239">
        <v>0</v>
      </c>
      <c r="AF11" s="99">
        <f>SUM(W11:AE11)</f>
        <v>4379.38</v>
      </c>
      <c r="AG11" s="100">
        <f>AF11+V11+D11</f>
        <v>4542.9588</v>
      </c>
      <c r="AH11" s="101">
        <f t="shared" si="2"/>
        <v>0</v>
      </c>
      <c r="AI11" s="101">
        <f t="shared" si="2"/>
        <v>0</v>
      </c>
      <c r="AJ11" s="64"/>
      <c r="AK11" s="65">
        <f t="shared" si="3"/>
        <v>422.971</v>
      </c>
      <c r="AL11" s="65">
        <f t="shared" si="4"/>
        <v>126.25999999999999</v>
      </c>
      <c r="AM11" s="65">
        <f t="shared" si="5"/>
        <v>631.3</v>
      </c>
      <c r="AN11" s="65">
        <f t="shared" si="6"/>
        <v>132.57299999999998</v>
      </c>
      <c r="AO11" s="65">
        <f t="shared" si="7"/>
        <v>1275.2259999999999</v>
      </c>
      <c r="AP11" s="65">
        <f t="shared" si="8"/>
        <v>650.2389999999999</v>
      </c>
      <c r="AQ11" s="65">
        <f t="shared" si="9"/>
        <v>473.47499999999997</v>
      </c>
      <c r="AR11" s="65">
        <f t="shared" si="10"/>
        <v>473.47499999999997</v>
      </c>
      <c r="AS11" s="65">
        <f>B11*1.15</f>
        <v>725.9949999999999</v>
      </c>
      <c r="AT11" s="65"/>
      <c r="AU11" s="67"/>
      <c r="AV11" s="66"/>
      <c r="AW11" s="67"/>
      <c r="AX11" s="67">
        <f>80</f>
        <v>80</v>
      </c>
      <c r="AY11" s="67"/>
      <c r="AZ11" s="65"/>
      <c r="BA11" s="69"/>
      <c r="BB11" s="69">
        <f>BA11*0.18</f>
        <v>0</v>
      </c>
      <c r="BC11" s="69">
        <f t="shared" si="11"/>
        <v>4991.514</v>
      </c>
      <c r="BD11" s="70"/>
      <c r="BE11" s="70">
        <f aca="true" t="shared" si="12" ref="BE11:BE21">BC11</f>
        <v>4991.514</v>
      </c>
      <c r="BF11" s="70">
        <f aca="true" t="shared" si="13" ref="BF11:BF21">AG11-BE11</f>
        <v>-448.5551999999998</v>
      </c>
      <c r="BG11" s="70">
        <f aca="true" t="shared" si="14" ref="BG11:BG21">AF11-U11</f>
        <v>-1169.0999999999995</v>
      </c>
      <c r="BH11" s="70"/>
      <c r="BI11" s="207"/>
      <c r="BJ11" s="240"/>
      <c r="BK11" s="241"/>
      <c r="BL11" s="177"/>
      <c r="BM11" s="177"/>
      <c r="BN11" s="81"/>
      <c r="BO11" s="81"/>
      <c r="BP11" s="36"/>
      <c r="BQ11" s="102"/>
      <c r="BR11" s="102"/>
      <c r="BS11" s="104"/>
    </row>
    <row r="12" spans="1:71" ht="12.75">
      <c r="A12" s="94" t="s">
        <v>47</v>
      </c>
      <c r="B12" s="58">
        <v>631.3</v>
      </c>
      <c r="C12" s="55">
        <f t="shared" si="0"/>
        <v>5397.615</v>
      </c>
      <c r="D12" s="48">
        <v>163.5788</v>
      </c>
      <c r="E12" s="114">
        <v>0</v>
      </c>
      <c r="F12" s="62">
        <v>0</v>
      </c>
      <c r="G12" s="114">
        <v>3354.33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1629.04</v>
      </c>
      <c r="N12" s="114">
        <v>0</v>
      </c>
      <c r="O12" s="114">
        <v>565.11</v>
      </c>
      <c r="P12" s="114">
        <v>0</v>
      </c>
      <c r="Q12" s="114">
        <v>0</v>
      </c>
      <c r="R12" s="114">
        <v>0</v>
      </c>
      <c r="S12" s="114">
        <v>0</v>
      </c>
      <c r="T12" s="59">
        <v>0</v>
      </c>
      <c r="U12" s="59">
        <f t="shared" si="1"/>
        <v>5548.48</v>
      </c>
      <c r="V12" s="61">
        <f t="shared" si="1"/>
        <v>0</v>
      </c>
      <c r="W12" s="73">
        <v>111.56</v>
      </c>
      <c r="X12" s="60">
        <v>1548.03</v>
      </c>
      <c r="Y12" s="59">
        <v>150.62</v>
      </c>
      <c r="Z12" s="59">
        <v>251.01</v>
      </c>
      <c r="AA12" s="59">
        <v>1114.53</v>
      </c>
      <c r="AB12" s="59">
        <v>350.26</v>
      </c>
      <c r="AC12" s="60">
        <v>0</v>
      </c>
      <c r="AD12" s="60">
        <v>0</v>
      </c>
      <c r="AE12" s="59">
        <v>0</v>
      </c>
      <c r="AF12" s="108">
        <f>SUM(W12:AE12)</f>
        <v>3526.01</v>
      </c>
      <c r="AG12" s="100">
        <f>AF12+V12+D12</f>
        <v>3689.5888000000004</v>
      </c>
      <c r="AH12" s="101">
        <f t="shared" si="2"/>
        <v>0</v>
      </c>
      <c r="AI12" s="101">
        <f t="shared" si="2"/>
        <v>0</v>
      </c>
      <c r="AJ12" s="64"/>
      <c r="AK12" s="65">
        <f t="shared" si="3"/>
        <v>422.971</v>
      </c>
      <c r="AL12" s="65">
        <f t="shared" si="4"/>
        <v>126.25999999999999</v>
      </c>
      <c r="AM12" s="65">
        <f t="shared" si="5"/>
        <v>631.3</v>
      </c>
      <c r="AN12" s="65">
        <f t="shared" si="6"/>
        <v>132.57299999999998</v>
      </c>
      <c r="AO12" s="65">
        <f t="shared" si="7"/>
        <v>1275.2259999999999</v>
      </c>
      <c r="AP12" s="65">
        <f t="shared" si="8"/>
        <v>650.2389999999999</v>
      </c>
      <c r="AQ12" s="65">
        <f t="shared" si="9"/>
        <v>473.47499999999997</v>
      </c>
      <c r="AR12" s="65">
        <f t="shared" si="10"/>
        <v>473.47499999999997</v>
      </c>
      <c r="AS12" s="65">
        <f>B12*1.15</f>
        <v>725.9949999999999</v>
      </c>
      <c r="AT12" s="65"/>
      <c r="AU12" s="67"/>
      <c r="AV12" s="66"/>
      <c r="AW12" s="67"/>
      <c r="AX12" s="67"/>
      <c r="AY12" s="67"/>
      <c r="AZ12" s="65"/>
      <c r="BA12" s="69"/>
      <c r="BB12" s="69">
        <f>BA12*0.18</f>
        <v>0</v>
      </c>
      <c r="BC12" s="69">
        <f t="shared" si="11"/>
        <v>4911.514</v>
      </c>
      <c r="BD12" s="70"/>
      <c r="BE12" s="70">
        <f t="shared" si="12"/>
        <v>4911.514</v>
      </c>
      <c r="BF12" s="70">
        <f t="shared" si="13"/>
        <v>-1221.9251999999997</v>
      </c>
      <c r="BG12" s="70">
        <f t="shared" si="14"/>
        <v>-2022.4699999999993</v>
      </c>
      <c r="BH12" s="70"/>
      <c r="BI12" s="207"/>
      <c r="BJ12" s="240"/>
      <c r="BK12" s="241"/>
      <c r="BL12" s="177"/>
      <c r="BM12" s="177"/>
      <c r="BN12" s="81"/>
      <c r="BO12" s="81"/>
      <c r="BP12" s="36"/>
      <c r="BQ12" s="102"/>
      <c r="BR12" s="102"/>
      <c r="BS12" s="104"/>
    </row>
    <row r="13" spans="1:71" ht="12.75">
      <c r="A13" s="94" t="s">
        <v>48</v>
      </c>
      <c r="B13" s="58">
        <v>631.3</v>
      </c>
      <c r="C13" s="55">
        <f t="shared" si="0"/>
        <v>5397.615</v>
      </c>
      <c r="D13" s="105">
        <v>163.5788</v>
      </c>
      <c r="E13" s="95">
        <v>0</v>
      </c>
      <c r="F13" s="62">
        <v>0</v>
      </c>
      <c r="G13" s="114">
        <v>3354.33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1629.04</v>
      </c>
      <c r="N13" s="114">
        <v>0</v>
      </c>
      <c r="O13" s="114">
        <v>565.11</v>
      </c>
      <c r="P13" s="114">
        <v>0</v>
      </c>
      <c r="Q13" s="62">
        <v>0</v>
      </c>
      <c r="R13" s="62">
        <v>0</v>
      </c>
      <c r="S13" s="198">
        <v>0</v>
      </c>
      <c r="T13" s="108">
        <v>0</v>
      </c>
      <c r="U13" s="103">
        <f t="shared" si="1"/>
        <v>5548.48</v>
      </c>
      <c r="V13" s="61">
        <f t="shared" si="1"/>
        <v>0</v>
      </c>
      <c r="W13" s="59">
        <v>138.45</v>
      </c>
      <c r="X13" s="60">
        <v>3441.4</v>
      </c>
      <c r="Y13" s="59">
        <v>187.48</v>
      </c>
      <c r="Z13" s="59">
        <v>312.1</v>
      </c>
      <c r="AA13" s="59">
        <v>1753.69</v>
      </c>
      <c r="AB13" s="60">
        <v>562.23</v>
      </c>
      <c r="AC13" s="59">
        <v>0</v>
      </c>
      <c r="AD13" s="60">
        <v>0</v>
      </c>
      <c r="AE13" s="60">
        <v>0</v>
      </c>
      <c r="AF13" s="99">
        <f>SUM(W13:AD13)</f>
        <v>6395.35</v>
      </c>
      <c r="AG13" s="109">
        <f>AF13+V13+D13</f>
        <v>6558.928800000001</v>
      </c>
      <c r="AH13" s="110">
        <f t="shared" si="2"/>
        <v>0</v>
      </c>
      <c r="AI13" s="110">
        <f t="shared" si="2"/>
        <v>0</v>
      </c>
      <c r="AJ13" s="111"/>
      <c r="AK13" s="65">
        <f t="shared" si="3"/>
        <v>422.971</v>
      </c>
      <c r="AL13" s="65">
        <f t="shared" si="4"/>
        <v>126.25999999999999</v>
      </c>
      <c r="AM13" s="65">
        <f t="shared" si="5"/>
        <v>631.3</v>
      </c>
      <c r="AN13" s="65">
        <f t="shared" si="6"/>
        <v>132.57299999999998</v>
      </c>
      <c r="AO13" s="65">
        <f t="shared" si="7"/>
        <v>1275.2259999999999</v>
      </c>
      <c r="AP13" s="65">
        <f t="shared" si="8"/>
        <v>650.2389999999999</v>
      </c>
      <c r="AQ13" s="65">
        <f t="shared" si="9"/>
        <v>473.47499999999997</v>
      </c>
      <c r="AR13" s="65">
        <f t="shared" si="10"/>
        <v>473.47499999999997</v>
      </c>
      <c r="AS13" s="65"/>
      <c r="AT13" s="112"/>
      <c r="AU13" s="113"/>
      <c r="AV13" s="113">
        <v>150</v>
      </c>
      <c r="AW13" s="113"/>
      <c r="AX13" s="113"/>
      <c r="AY13" s="113"/>
      <c r="AZ13" s="65"/>
      <c r="BA13" s="112"/>
      <c r="BB13" s="112"/>
      <c r="BC13" s="114">
        <f t="shared" si="11"/>
        <v>4335.519</v>
      </c>
      <c r="BD13" s="115"/>
      <c r="BE13" s="70">
        <f t="shared" si="12"/>
        <v>4335.519</v>
      </c>
      <c r="BF13" s="70">
        <f t="shared" si="13"/>
        <v>2223.4098000000004</v>
      </c>
      <c r="BG13" s="70">
        <f t="shared" si="14"/>
        <v>846.8700000000008</v>
      </c>
      <c r="BH13" s="70"/>
      <c r="BI13" s="207"/>
      <c r="BJ13" s="240"/>
      <c r="BK13" s="241"/>
      <c r="BL13" s="177"/>
      <c r="BM13" s="177"/>
      <c r="BN13" s="81"/>
      <c r="BO13" s="81"/>
      <c r="BP13" s="36"/>
      <c r="BQ13" s="102"/>
      <c r="BR13" s="102"/>
      <c r="BS13" s="104"/>
    </row>
    <row r="14" spans="1:71" ht="12.75">
      <c r="A14" s="94" t="s">
        <v>49</v>
      </c>
      <c r="B14" s="161">
        <v>631.3</v>
      </c>
      <c r="C14" s="55">
        <f t="shared" si="0"/>
        <v>5397.615</v>
      </c>
      <c r="D14" s="105">
        <v>163.5788</v>
      </c>
      <c r="E14" s="197">
        <v>0</v>
      </c>
      <c r="F14" s="62">
        <v>0</v>
      </c>
      <c r="G14" s="114">
        <v>3354.33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1629.04</v>
      </c>
      <c r="N14" s="114">
        <v>0</v>
      </c>
      <c r="O14" s="114">
        <v>565.11</v>
      </c>
      <c r="P14" s="114">
        <v>0</v>
      </c>
      <c r="Q14" s="62">
        <v>0</v>
      </c>
      <c r="R14" s="62">
        <v>0</v>
      </c>
      <c r="S14" s="114">
        <v>0</v>
      </c>
      <c r="T14" s="60">
        <v>0</v>
      </c>
      <c r="U14" s="106">
        <f t="shared" si="1"/>
        <v>5548.48</v>
      </c>
      <c r="V14" s="116">
        <f>F14+H14+J14+L14+N14++R14+T14</f>
        <v>0</v>
      </c>
      <c r="W14" s="59">
        <v>0.27</v>
      </c>
      <c r="X14" s="60">
        <v>1442.31</v>
      </c>
      <c r="Y14" s="59">
        <v>0.37</v>
      </c>
      <c r="Z14" s="59">
        <v>0.61</v>
      </c>
      <c r="AA14" s="59">
        <v>701.32</v>
      </c>
      <c r="AB14" s="59">
        <v>243.2</v>
      </c>
      <c r="AC14" s="60">
        <v>0</v>
      </c>
      <c r="AD14" s="60">
        <v>0</v>
      </c>
      <c r="AE14" s="99">
        <v>0</v>
      </c>
      <c r="AF14" s="117">
        <f>SUM(W14:AE14)</f>
        <v>2388.0799999999995</v>
      </c>
      <c r="AG14" s="109">
        <f aca="true" t="shared" si="15" ref="AG14:AG21">D14+V14+AF14</f>
        <v>2551.6587999999992</v>
      </c>
      <c r="AH14" s="110">
        <f t="shared" si="2"/>
        <v>0</v>
      </c>
      <c r="AI14" s="110">
        <f t="shared" si="2"/>
        <v>0</v>
      </c>
      <c r="AJ14" s="111"/>
      <c r="AK14" s="65">
        <f t="shared" si="3"/>
        <v>422.971</v>
      </c>
      <c r="AL14" s="65">
        <f t="shared" si="4"/>
        <v>126.25999999999999</v>
      </c>
      <c r="AM14" s="65">
        <f t="shared" si="5"/>
        <v>631.3</v>
      </c>
      <c r="AN14" s="65">
        <f t="shared" si="6"/>
        <v>132.57299999999998</v>
      </c>
      <c r="AO14" s="65">
        <f t="shared" si="7"/>
        <v>1275.2259999999999</v>
      </c>
      <c r="AP14" s="65">
        <f t="shared" si="8"/>
        <v>650.2389999999999</v>
      </c>
      <c r="AQ14" s="65">
        <f t="shared" si="9"/>
        <v>473.47499999999997</v>
      </c>
      <c r="AR14" s="65">
        <f t="shared" si="10"/>
        <v>473.47499999999997</v>
      </c>
      <c r="AS14" s="65"/>
      <c r="AT14" s="112"/>
      <c r="AU14" s="113"/>
      <c r="AV14" s="113"/>
      <c r="AW14" s="113"/>
      <c r="AX14" s="113"/>
      <c r="AY14" s="113"/>
      <c r="AZ14" s="65"/>
      <c r="BA14" s="112"/>
      <c r="BB14" s="112"/>
      <c r="BC14" s="114">
        <f t="shared" si="11"/>
        <v>4185.519</v>
      </c>
      <c r="BD14" s="115"/>
      <c r="BE14" s="70">
        <f t="shared" si="12"/>
        <v>4185.519</v>
      </c>
      <c r="BF14" s="70">
        <f t="shared" si="13"/>
        <v>-1633.860200000001</v>
      </c>
      <c r="BG14" s="70">
        <f t="shared" si="14"/>
        <v>-3160.4</v>
      </c>
      <c r="BH14" s="70"/>
      <c r="BI14" s="207"/>
      <c r="BJ14" s="240"/>
      <c r="BK14" s="241"/>
      <c r="BL14" s="177"/>
      <c r="BM14" s="177"/>
      <c r="BN14" s="81"/>
      <c r="BO14" s="81"/>
      <c r="BP14" s="36"/>
      <c r="BQ14" s="102"/>
      <c r="BR14" s="102"/>
      <c r="BS14" s="104"/>
    </row>
    <row r="15" spans="1:72" ht="12.75">
      <c r="A15" s="94" t="s">
        <v>50</v>
      </c>
      <c r="B15" s="58">
        <v>631.3</v>
      </c>
      <c r="C15" s="55">
        <f t="shared" si="0"/>
        <v>5397.615</v>
      </c>
      <c r="D15" s="105">
        <v>163.5788</v>
      </c>
      <c r="E15" s="118">
        <v>0</v>
      </c>
      <c r="F15" s="118"/>
      <c r="G15" s="118">
        <v>3354.33</v>
      </c>
      <c r="H15" s="118"/>
      <c r="I15" s="119">
        <v>0</v>
      </c>
      <c r="J15" s="119"/>
      <c r="K15" s="119">
        <v>0</v>
      </c>
      <c r="L15" s="119"/>
      <c r="M15" s="119">
        <v>1629.04</v>
      </c>
      <c r="N15" s="119"/>
      <c r="O15" s="119">
        <v>565.11</v>
      </c>
      <c r="P15" s="119"/>
      <c r="Q15" s="119">
        <v>0</v>
      </c>
      <c r="R15" s="120"/>
      <c r="S15" s="120">
        <v>0</v>
      </c>
      <c r="T15" s="119"/>
      <c r="U15" s="199">
        <f t="shared" si="1"/>
        <v>5548.48</v>
      </c>
      <c r="V15" s="121">
        <f t="shared" si="1"/>
        <v>0</v>
      </c>
      <c r="W15" s="122">
        <v>33.73</v>
      </c>
      <c r="X15" s="118">
        <v>2938.34</v>
      </c>
      <c r="Y15" s="118">
        <v>45.53</v>
      </c>
      <c r="Z15" s="118">
        <v>75.87</v>
      </c>
      <c r="AA15" s="118">
        <v>1537.12</v>
      </c>
      <c r="AB15" s="118">
        <v>522.68</v>
      </c>
      <c r="AC15" s="118">
        <v>0</v>
      </c>
      <c r="AD15" s="118">
        <v>0</v>
      </c>
      <c r="AE15" s="200">
        <v>0</v>
      </c>
      <c r="AF15" s="123">
        <f aca="true" t="shared" si="16" ref="AF15:AF21">SUM(W15:AE15)</f>
        <v>5153.27</v>
      </c>
      <c r="AG15" s="109">
        <f t="shared" si="15"/>
        <v>5316.848800000001</v>
      </c>
      <c r="AH15" s="110">
        <f t="shared" si="2"/>
        <v>0</v>
      </c>
      <c r="AI15" s="110">
        <f t="shared" si="2"/>
        <v>0</v>
      </c>
      <c r="AJ15" s="111"/>
      <c r="AK15" s="65">
        <f t="shared" si="3"/>
        <v>422.971</v>
      </c>
      <c r="AL15" s="65">
        <f t="shared" si="4"/>
        <v>126.25999999999999</v>
      </c>
      <c r="AM15" s="65">
        <f t="shared" si="5"/>
        <v>631.3</v>
      </c>
      <c r="AN15" s="65">
        <f t="shared" si="6"/>
        <v>132.57299999999998</v>
      </c>
      <c r="AO15" s="65">
        <f t="shared" si="7"/>
        <v>1275.2259999999999</v>
      </c>
      <c r="AP15" s="65">
        <f t="shared" si="8"/>
        <v>650.2389999999999</v>
      </c>
      <c r="AQ15" s="65">
        <f t="shared" si="9"/>
        <v>473.47499999999997</v>
      </c>
      <c r="AR15" s="65">
        <f t="shared" si="10"/>
        <v>473.47499999999997</v>
      </c>
      <c r="AS15" s="65"/>
      <c r="AT15" s="112"/>
      <c r="AU15" s="113"/>
      <c r="AV15" s="113"/>
      <c r="AW15" s="113"/>
      <c r="AX15" s="113"/>
      <c r="AY15" s="113"/>
      <c r="AZ15" s="65"/>
      <c r="BA15" s="112"/>
      <c r="BB15" s="112"/>
      <c r="BC15" s="243">
        <f t="shared" si="11"/>
        <v>4185.519</v>
      </c>
      <c r="BD15" s="115"/>
      <c r="BE15" s="70">
        <f t="shared" si="12"/>
        <v>4185.519</v>
      </c>
      <c r="BF15" s="70">
        <f t="shared" si="13"/>
        <v>1131.3298000000004</v>
      </c>
      <c r="BG15" s="70">
        <f t="shared" si="14"/>
        <v>-395.2099999999991</v>
      </c>
      <c r="BH15" s="70"/>
      <c r="BI15" s="207"/>
      <c r="BJ15" s="240"/>
      <c r="BK15" s="241"/>
      <c r="BL15" s="177"/>
      <c r="BM15" s="177"/>
      <c r="BN15" s="81"/>
      <c r="BO15" s="81"/>
      <c r="BP15" s="36"/>
      <c r="BQ15" s="102"/>
      <c r="BR15" s="102"/>
      <c r="BS15" s="102"/>
      <c r="BT15" s="104"/>
    </row>
    <row r="16" spans="1:70" ht="12.75">
      <c r="A16" s="94" t="s">
        <v>51</v>
      </c>
      <c r="B16" s="220">
        <v>631.3</v>
      </c>
      <c r="C16" s="221">
        <f aca="true" t="shared" si="17" ref="C16:C21">B16*14.05</f>
        <v>8869.765</v>
      </c>
      <c r="D16" s="222">
        <v>163.5788</v>
      </c>
      <c r="E16" s="124"/>
      <c r="F16" s="124"/>
      <c r="G16" s="124">
        <v>6218.31</v>
      </c>
      <c r="H16" s="124"/>
      <c r="I16" s="124"/>
      <c r="J16" s="124"/>
      <c r="K16" s="124"/>
      <c r="L16" s="124"/>
      <c r="M16" s="124">
        <v>1893.9</v>
      </c>
      <c r="N16" s="124"/>
      <c r="O16" s="124">
        <v>757.56</v>
      </c>
      <c r="P16" s="124"/>
      <c r="Q16" s="124"/>
      <c r="R16" s="124"/>
      <c r="S16" s="125"/>
      <c r="T16" s="223"/>
      <c r="U16" s="126">
        <f t="shared" si="1"/>
        <v>8869.77</v>
      </c>
      <c r="V16" s="224">
        <f t="shared" si="1"/>
        <v>0</v>
      </c>
      <c r="W16" s="127">
        <v>-689.82</v>
      </c>
      <c r="X16" s="124">
        <v>5015.71</v>
      </c>
      <c r="Y16" s="124">
        <v>-933.76</v>
      </c>
      <c r="Z16" s="124">
        <v>-1554.56</v>
      </c>
      <c r="AA16" s="124">
        <v>554.04</v>
      </c>
      <c r="AB16" s="124">
        <v>420.23</v>
      </c>
      <c r="AC16" s="225"/>
      <c r="AD16" s="124"/>
      <c r="AE16" s="125"/>
      <c r="AF16" s="226">
        <f t="shared" si="16"/>
        <v>2811.84</v>
      </c>
      <c r="AG16" s="128">
        <f t="shared" si="15"/>
        <v>2975.4188000000004</v>
      </c>
      <c r="AH16" s="227">
        <f t="shared" si="2"/>
        <v>0</v>
      </c>
      <c r="AI16" s="227">
        <f t="shared" si="2"/>
        <v>0</v>
      </c>
      <c r="AJ16" s="228"/>
      <c r="AK16" s="65">
        <f t="shared" si="3"/>
        <v>422.971</v>
      </c>
      <c r="AL16" s="65">
        <f t="shared" si="4"/>
        <v>126.25999999999999</v>
      </c>
      <c r="AM16" s="65">
        <f t="shared" si="5"/>
        <v>631.3</v>
      </c>
      <c r="AN16" s="65">
        <f t="shared" si="6"/>
        <v>132.57299999999998</v>
      </c>
      <c r="AO16" s="65">
        <f t="shared" si="7"/>
        <v>1275.2259999999999</v>
      </c>
      <c r="AP16" s="65">
        <f t="shared" si="8"/>
        <v>650.2389999999999</v>
      </c>
      <c r="AQ16" s="65">
        <f t="shared" si="9"/>
        <v>473.47499999999997</v>
      </c>
      <c r="AR16" s="65">
        <f t="shared" si="10"/>
        <v>473.47499999999997</v>
      </c>
      <c r="AS16" s="229"/>
      <c r="AT16" s="112"/>
      <c r="AU16" s="230"/>
      <c r="AV16" s="230"/>
      <c r="AW16" s="230"/>
      <c r="AX16" s="113">
        <f>74.43+18.86</f>
        <v>93.29</v>
      </c>
      <c r="AY16" s="113"/>
      <c r="AZ16" s="229"/>
      <c r="BA16" s="231">
        <v>194.83</v>
      </c>
      <c r="BB16" s="231"/>
      <c r="BC16" s="232">
        <f t="shared" si="11"/>
        <v>4473.639</v>
      </c>
      <c r="BD16" s="233"/>
      <c r="BE16" s="70">
        <f t="shared" si="12"/>
        <v>4473.639</v>
      </c>
      <c r="BF16" s="70">
        <f t="shared" si="13"/>
        <v>-1498.2201999999997</v>
      </c>
      <c r="BG16" s="70">
        <f t="shared" si="14"/>
        <v>-6057.93</v>
      </c>
      <c r="BH16" s="70"/>
      <c r="BI16" s="207"/>
      <c r="BJ16" s="240"/>
      <c r="BK16" s="241"/>
      <c r="BL16" s="177"/>
      <c r="BM16" s="177"/>
      <c r="BN16" s="81"/>
      <c r="BO16" s="81"/>
      <c r="BP16" s="79"/>
      <c r="BQ16" s="79"/>
      <c r="BR16" s="79"/>
    </row>
    <row r="17" spans="1:70" ht="12.75">
      <c r="A17" s="94" t="s">
        <v>52</v>
      </c>
      <c r="B17" s="220">
        <v>631.3</v>
      </c>
      <c r="C17" s="221">
        <f t="shared" si="17"/>
        <v>8869.765</v>
      </c>
      <c r="D17" s="222">
        <v>163.5788</v>
      </c>
      <c r="E17" s="201"/>
      <c r="F17" s="201"/>
      <c r="G17" s="201">
        <v>6218.31</v>
      </c>
      <c r="H17" s="201"/>
      <c r="I17" s="201"/>
      <c r="J17" s="201"/>
      <c r="K17" s="201"/>
      <c r="L17" s="201"/>
      <c r="M17" s="201">
        <v>1893.9</v>
      </c>
      <c r="N17" s="201"/>
      <c r="O17" s="201">
        <v>757.56</v>
      </c>
      <c r="P17" s="201"/>
      <c r="Q17" s="201"/>
      <c r="R17" s="201"/>
      <c r="S17" s="202"/>
      <c r="T17" s="234"/>
      <c r="U17" s="235">
        <f t="shared" si="1"/>
        <v>8869.77</v>
      </c>
      <c r="V17" s="236">
        <f t="shared" si="1"/>
        <v>0</v>
      </c>
      <c r="W17" s="124">
        <v>47.75</v>
      </c>
      <c r="X17" s="124">
        <v>3130.82</v>
      </c>
      <c r="Y17" s="124">
        <v>64.68</v>
      </c>
      <c r="Z17" s="124">
        <v>107.66</v>
      </c>
      <c r="AA17" s="124">
        <v>1155.32</v>
      </c>
      <c r="AB17" s="124">
        <v>431.55</v>
      </c>
      <c r="AC17" s="124"/>
      <c r="AD17" s="124"/>
      <c r="AE17" s="125"/>
      <c r="AF17" s="226">
        <f t="shared" si="16"/>
        <v>4937.78</v>
      </c>
      <c r="AG17" s="128">
        <f t="shared" si="15"/>
        <v>5101.3588</v>
      </c>
      <c r="AH17" s="227">
        <f t="shared" si="2"/>
        <v>0</v>
      </c>
      <c r="AI17" s="227">
        <f t="shared" si="2"/>
        <v>0</v>
      </c>
      <c r="AJ17" s="228"/>
      <c r="AK17" s="65">
        <f t="shared" si="3"/>
        <v>422.971</v>
      </c>
      <c r="AL17" s="65">
        <f t="shared" si="4"/>
        <v>126.25999999999999</v>
      </c>
      <c r="AM17" s="65">
        <f t="shared" si="5"/>
        <v>631.3</v>
      </c>
      <c r="AN17" s="65">
        <f t="shared" si="6"/>
        <v>132.57299999999998</v>
      </c>
      <c r="AO17" s="65">
        <f t="shared" si="7"/>
        <v>1275.2259999999999</v>
      </c>
      <c r="AP17" s="65">
        <f t="shared" si="8"/>
        <v>650.2389999999999</v>
      </c>
      <c r="AQ17" s="65">
        <f t="shared" si="9"/>
        <v>473.47499999999997</v>
      </c>
      <c r="AR17" s="65">
        <f t="shared" si="10"/>
        <v>473.47499999999997</v>
      </c>
      <c r="AS17" s="229"/>
      <c r="AT17" s="112"/>
      <c r="AU17" s="230"/>
      <c r="AV17" s="230"/>
      <c r="AW17" s="230"/>
      <c r="AX17" s="230"/>
      <c r="AY17" s="230"/>
      <c r="AZ17" s="229"/>
      <c r="BA17" s="231"/>
      <c r="BB17" s="231"/>
      <c r="BC17" s="232">
        <f t="shared" si="11"/>
        <v>4185.519</v>
      </c>
      <c r="BD17" s="233"/>
      <c r="BE17" s="70">
        <f t="shared" si="12"/>
        <v>4185.519</v>
      </c>
      <c r="BF17" s="70">
        <f t="shared" si="13"/>
        <v>915.8397999999997</v>
      </c>
      <c r="BG17" s="70">
        <f t="shared" si="14"/>
        <v>-3931.9900000000007</v>
      </c>
      <c r="BH17" s="70"/>
      <c r="BI17" s="207"/>
      <c r="BJ17" s="240"/>
      <c r="BK17" s="241"/>
      <c r="BL17" s="177"/>
      <c r="BM17" s="177"/>
      <c r="BN17" s="81"/>
      <c r="BO17" s="81"/>
      <c r="BP17" s="79"/>
      <c r="BQ17" s="79"/>
      <c r="BR17" s="79"/>
    </row>
    <row r="18" spans="1:70" ht="12.75">
      <c r="A18" s="94" t="s">
        <v>53</v>
      </c>
      <c r="B18" s="58">
        <v>631.3</v>
      </c>
      <c r="C18" s="221">
        <f t="shared" si="17"/>
        <v>8869.765</v>
      </c>
      <c r="D18" s="222">
        <v>163.5788</v>
      </c>
      <c r="E18" s="124"/>
      <c r="F18" s="124"/>
      <c r="G18" s="124">
        <v>6218.34</v>
      </c>
      <c r="H18" s="124"/>
      <c r="I18" s="124"/>
      <c r="J18" s="124"/>
      <c r="K18" s="124"/>
      <c r="L18" s="124"/>
      <c r="M18" s="124">
        <v>1893.9</v>
      </c>
      <c r="N18" s="124"/>
      <c r="O18" s="124">
        <v>757.56</v>
      </c>
      <c r="P18" s="124"/>
      <c r="Q18" s="124"/>
      <c r="R18" s="124"/>
      <c r="S18" s="125"/>
      <c r="T18" s="168"/>
      <c r="U18" s="168">
        <f t="shared" si="1"/>
        <v>8869.8</v>
      </c>
      <c r="V18" s="169">
        <f t="shared" si="1"/>
        <v>0</v>
      </c>
      <c r="W18" s="124">
        <v>0</v>
      </c>
      <c r="X18" s="124">
        <v>2969.39</v>
      </c>
      <c r="Y18" s="124">
        <v>0</v>
      </c>
      <c r="Z18" s="124">
        <v>0</v>
      </c>
      <c r="AA18" s="124">
        <v>912.75</v>
      </c>
      <c r="AB18" s="124">
        <v>363.91</v>
      </c>
      <c r="AC18" s="124"/>
      <c r="AD18" s="124"/>
      <c r="AE18" s="125"/>
      <c r="AF18" s="226">
        <f t="shared" si="16"/>
        <v>4246.05</v>
      </c>
      <c r="AG18" s="128">
        <f t="shared" si="15"/>
        <v>4409.6288</v>
      </c>
      <c r="AH18" s="227">
        <f t="shared" si="2"/>
        <v>0</v>
      </c>
      <c r="AI18" s="227">
        <f t="shared" si="2"/>
        <v>0</v>
      </c>
      <c r="AJ18" s="228"/>
      <c r="AK18" s="65">
        <f t="shared" si="3"/>
        <v>422.971</v>
      </c>
      <c r="AL18" s="65">
        <f t="shared" si="4"/>
        <v>126.25999999999999</v>
      </c>
      <c r="AM18" s="65">
        <f t="shared" si="5"/>
        <v>631.3</v>
      </c>
      <c r="AN18" s="65">
        <f t="shared" si="6"/>
        <v>132.57299999999998</v>
      </c>
      <c r="AO18" s="65">
        <f t="shared" si="7"/>
        <v>1275.2259999999999</v>
      </c>
      <c r="AP18" s="65">
        <f t="shared" si="8"/>
        <v>650.2389999999999</v>
      </c>
      <c r="AQ18" s="65">
        <f t="shared" si="9"/>
        <v>473.47499999999997</v>
      </c>
      <c r="AR18" s="65">
        <f t="shared" si="10"/>
        <v>473.47499999999997</v>
      </c>
      <c r="AS18" s="229"/>
      <c r="AT18" s="112"/>
      <c r="AU18" s="230"/>
      <c r="AV18" s="230"/>
      <c r="AW18" s="230"/>
      <c r="AX18" s="230"/>
      <c r="AY18" s="230"/>
      <c r="AZ18" s="229"/>
      <c r="BA18" s="231"/>
      <c r="BB18" s="231"/>
      <c r="BC18" s="232">
        <f t="shared" si="11"/>
        <v>4185.519</v>
      </c>
      <c r="BD18" s="233"/>
      <c r="BE18" s="70">
        <f t="shared" si="12"/>
        <v>4185.519</v>
      </c>
      <c r="BF18" s="70">
        <f t="shared" si="13"/>
        <v>224.10980000000018</v>
      </c>
      <c r="BG18" s="70">
        <f t="shared" si="14"/>
        <v>-4623.749999999999</v>
      </c>
      <c r="BH18" s="70"/>
      <c r="BI18" s="207"/>
      <c r="BJ18" s="240"/>
      <c r="BK18" s="241"/>
      <c r="BL18" s="177"/>
      <c r="BM18" s="177"/>
      <c r="BN18" s="81"/>
      <c r="BO18" s="81"/>
      <c r="BP18" s="79"/>
      <c r="BQ18" s="79"/>
      <c r="BR18" s="79"/>
    </row>
    <row r="19" spans="1:63" ht="12.75">
      <c r="A19" s="94" t="s">
        <v>41</v>
      </c>
      <c r="B19" s="58">
        <v>631.3</v>
      </c>
      <c r="C19" s="221">
        <f t="shared" si="17"/>
        <v>8869.765</v>
      </c>
      <c r="D19" s="203">
        <v>163.5788</v>
      </c>
      <c r="E19" s="118"/>
      <c r="F19" s="118"/>
      <c r="G19" s="118">
        <v>6218.34</v>
      </c>
      <c r="H19" s="118"/>
      <c r="I19" s="118"/>
      <c r="J19" s="118"/>
      <c r="K19" s="118"/>
      <c r="L19" s="118"/>
      <c r="M19" s="118">
        <v>1893.9</v>
      </c>
      <c r="N19" s="118"/>
      <c r="O19" s="118">
        <v>757.56</v>
      </c>
      <c r="P19" s="118"/>
      <c r="Q19" s="118"/>
      <c r="R19" s="118"/>
      <c r="S19" s="200"/>
      <c r="T19" s="204"/>
      <c r="U19" s="205">
        <f t="shared" si="1"/>
        <v>8869.8</v>
      </c>
      <c r="V19" s="206">
        <f t="shared" si="1"/>
        <v>0</v>
      </c>
      <c r="W19" s="118">
        <v>0</v>
      </c>
      <c r="X19" s="118">
        <v>6316.98</v>
      </c>
      <c r="Y19" s="118">
        <v>0</v>
      </c>
      <c r="Z19" s="118">
        <v>0</v>
      </c>
      <c r="AA19" s="118">
        <v>1923.99</v>
      </c>
      <c r="AB19" s="118">
        <v>769.64</v>
      </c>
      <c r="AC19" s="118"/>
      <c r="AD19" s="118"/>
      <c r="AE19" s="200"/>
      <c r="AF19" s="226">
        <f t="shared" si="16"/>
        <v>9010.609999999999</v>
      </c>
      <c r="AG19" s="128">
        <f t="shared" si="15"/>
        <v>9174.188799999998</v>
      </c>
      <c r="AH19" s="227">
        <f t="shared" si="2"/>
        <v>0</v>
      </c>
      <c r="AI19" s="227">
        <f t="shared" si="2"/>
        <v>0</v>
      </c>
      <c r="AJ19" s="228"/>
      <c r="AK19" s="65">
        <f t="shared" si="3"/>
        <v>422.971</v>
      </c>
      <c r="AL19" s="65">
        <f t="shared" si="4"/>
        <v>126.25999999999999</v>
      </c>
      <c r="AM19" s="65">
        <f t="shared" si="5"/>
        <v>631.3</v>
      </c>
      <c r="AN19" s="65">
        <f t="shared" si="6"/>
        <v>132.57299999999998</v>
      </c>
      <c r="AO19" s="65">
        <f t="shared" si="7"/>
        <v>1275.2259999999999</v>
      </c>
      <c r="AP19" s="65">
        <f t="shared" si="8"/>
        <v>650.2389999999999</v>
      </c>
      <c r="AQ19" s="65">
        <f t="shared" si="9"/>
        <v>473.47499999999997</v>
      </c>
      <c r="AR19" s="65">
        <f t="shared" si="10"/>
        <v>473.47499999999997</v>
      </c>
      <c r="AS19" s="244">
        <f>B19*1.15</f>
        <v>725.9949999999999</v>
      </c>
      <c r="AT19" s="112"/>
      <c r="AU19" s="230"/>
      <c r="AV19" s="230"/>
      <c r="AW19" s="230"/>
      <c r="AX19" s="230"/>
      <c r="AY19" s="230"/>
      <c r="AZ19" s="229"/>
      <c r="BA19" s="231"/>
      <c r="BB19" s="231"/>
      <c r="BC19" s="232">
        <f t="shared" si="11"/>
        <v>4911.514</v>
      </c>
      <c r="BD19" s="233"/>
      <c r="BE19" s="70">
        <f t="shared" si="12"/>
        <v>4911.514</v>
      </c>
      <c r="BF19" s="70">
        <f t="shared" si="13"/>
        <v>4262.674799999998</v>
      </c>
      <c r="BG19" s="70">
        <f t="shared" si="14"/>
        <v>140.8099999999995</v>
      </c>
      <c r="BH19" s="70"/>
      <c r="BI19" s="207"/>
      <c r="BJ19" s="79"/>
      <c r="BK19" s="79"/>
    </row>
    <row r="20" spans="1:63" ht="12.75">
      <c r="A20" s="94" t="s">
        <v>42</v>
      </c>
      <c r="B20" s="58">
        <v>631.3</v>
      </c>
      <c r="C20" s="55">
        <f t="shared" si="17"/>
        <v>8869.765</v>
      </c>
      <c r="D20" s="245">
        <v>163.5788</v>
      </c>
      <c r="E20" s="118"/>
      <c r="F20" s="118"/>
      <c r="G20" s="118">
        <v>6286.3</v>
      </c>
      <c r="H20" s="118"/>
      <c r="I20" s="118"/>
      <c r="J20" s="118"/>
      <c r="K20" s="118"/>
      <c r="L20" s="118"/>
      <c r="M20" s="118">
        <v>1914.6</v>
      </c>
      <c r="N20" s="118"/>
      <c r="O20" s="118">
        <v>765.84</v>
      </c>
      <c r="P20" s="118"/>
      <c r="Q20" s="118"/>
      <c r="R20" s="118"/>
      <c r="S20" s="200"/>
      <c r="T20" s="204"/>
      <c r="U20" s="205">
        <f t="shared" si="1"/>
        <v>8966.74</v>
      </c>
      <c r="V20" s="206">
        <f t="shared" si="1"/>
        <v>0</v>
      </c>
      <c r="W20" s="118">
        <v>0</v>
      </c>
      <c r="X20" s="118">
        <v>5233.76</v>
      </c>
      <c r="Y20" s="118">
        <v>0</v>
      </c>
      <c r="Z20" s="118">
        <v>0</v>
      </c>
      <c r="AA20" s="118">
        <v>1593.94</v>
      </c>
      <c r="AB20" s="118">
        <v>637.55</v>
      </c>
      <c r="AC20" s="118"/>
      <c r="AD20" s="118"/>
      <c r="AE20" s="200"/>
      <c r="AF20" s="226">
        <f t="shared" si="16"/>
        <v>7465.250000000001</v>
      </c>
      <c r="AG20" s="128">
        <f t="shared" si="15"/>
        <v>7628.828800000001</v>
      </c>
      <c r="AH20" s="227">
        <f t="shared" si="2"/>
        <v>0</v>
      </c>
      <c r="AI20" s="227">
        <f t="shared" si="2"/>
        <v>0</v>
      </c>
      <c r="AJ20" s="228"/>
      <c r="AK20" s="65">
        <f t="shared" si="3"/>
        <v>422.971</v>
      </c>
      <c r="AL20" s="65">
        <f t="shared" si="4"/>
        <v>126.25999999999999</v>
      </c>
      <c r="AM20" s="65">
        <f t="shared" si="5"/>
        <v>631.3</v>
      </c>
      <c r="AN20" s="65">
        <f t="shared" si="6"/>
        <v>132.57299999999998</v>
      </c>
      <c r="AO20" s="65">
        <f t="shared" si="7"/>
        <v>1275.2259999999999</v>
      </c>
      <c r="AP20" s="65">
        <f t="shared" si="8"/>
        <v>650.2389999999999</v>
      </c>
      <c r="AQ20" s="65">
        <f t="shared" si="9"/>
        <v>473.47499999999997</v>
      </c>
      <c r="AR20" s="65">
        <f t="shared" si="10"/>
        <v>473.47499999999997</v>
      </c>
      <c r="AS20" s="244">
        <f>B20*1.15</f>
        <v>725.9949999999999</v>
      </c>
      <c r="AT20" s="112"/>
      <c r="AU20" s="230"/>
      <c r="AV20" s="230"/>
      <c r="AW20" s="230"/>
      <c r="AX20" s="230"/>
      <c r="AY20" s="230"/>
      <c r="AZ20" s="229"/>
      <c r="BA20" s="231"/>
      <c r="BB20" s="231"/>
      <c r="BC20" s="232">
        <f t="shared" si="11"/>
        <v>4911.514</v>
      </c>
      <c r="BD20" s="233"/>
      <c r="BE20" s="70">
        <f t="shared" si="12"/>
        <v>4911.514</v>
      </c>
      <c r="BF20" s="70">
        <f t="shared" si="13"/>
        <v>2717.314800000001</v>
      </c>
      <c r="BG20" s="70">
        <f t="shared" si="14"/>
        <v>-1501.4899999999989</v>
      </c>
      <c r="BH20" s="242"/>
      <c r="BI20" s="240"/>
      <c r="BJ20" s="79"/>
      <c r="BK20" s="79"/>
    </row>
    <row r="21" spans="1:63" ht="13.5" thickBot="1">
      <c r="A21" s="94" t="s">
        <v>43</v>
      </c>
      <c r="B21" s="58">
        <v>631.3</v>
      </c>
      <c r="C21" s="55">
        <f t="shared" si="17"/>
        <v>8869.765</v>
      </c>
      <c r="D21" s="246">
        <v>163.5788</v>
      </c>
      <c r="E21" s="247"/>
      <c r="F21" s="247"/>
      <c r="G21" s="247">
        <v>5484.96</v>
      </c>
      <c r="H21" s="247"/>
      <c r="I21" s="247"/>
      <c r="J21" s="247"/>
      <c r="K21" s="247"/>
      <c r="L21" s="247"/>
      <c r="M21" s="247">
        <v>1819.83</v>
      </c>
      <c r="N21" s="247"/>
      <c r="O21" s="247">
        <v>706.58</v>
      </c>
      <c r="P21" s="247"/>
      <c r="Q21" s="247"/>
      <c r="R21" s="247"/>
      <c r="S21" s="248"/>
      <c r="T21" s="249"/>
      <c r="U21" s="205">
        <f t="shared" si="1"/>
        <v>8011.37</v>
      </c>
      <c r="V21" s="206">
        <f t="shared" si="1"/>
        <v>0</v>
      </c>
      <c r="W21" s="118">
        <v>0</v>
      </c>
      <c r="X21" s="118">
        <v>4339</v>
      </c>
      <c r="Y21" s="118">
        <v>0</v>
      </c>
      <c r="Z21" s="118">
        <v>0</v>
      </c>
      <c r="AA21" s="118">
        <v>1321.56</v>
      </c>
      <c r="AB21" s="118">
        <v>528.6</v>
      </c>
      <c r="AC21" s="118"/>
      <c r="AD21" s="118"/>
      <c r="AE21" s="200"/>
      <c r="AF21" s="226">
        <f t="shared" si="16"/>
        <v>6189.16</v>
      </c>
      <c r="AG21" s="128">
        <f t="shared" si="15"/>
        <v>6352.7388</v>
      </c>
      <c r="AH21" s="227">
        <f t="shared" si="2"/>
        <v>0</v>
      </c>
      <c r="AI21" s="227">
        <f t="shared" si="2"/>
        <v>0</v>
      </c>
      <c r="AJ21" s="228"/>
      <c r="AK21" s="65">
        <f t="shared" si="3"/>
        <v>422.971</v>
      </c>
      <c r="AL21" s="65">
        <f t="shared" si="4"/>
        <v>126.25999999999999</v>
      </c>
      <c r="AM21" s="65">
        <f t="shared" si="5"/>
        <v>631.3</v>
      </c>
      <c r="AN21" s="65">
        <f t="shared" si="6"/>
        <v>132.57299999999998</v>
      </c>
      <c r="AO21" s="65">
        <f t="shared" si="7"/>
        <v>1275.2259999999999</v>
      </c>
      <c r="AP21" s="65">
        <f t="shared" si="8"/>
        <v>650.2389999999999</v>
      </c>
      <c r="AQ21" s="65">
        <f t="shared" si="9"/>
        <v>473.47499999999997</v>
      </c>
      <c r="AR21" s="65">
        <f t="shared" si="10"/>
        <v>473.47499999999997</v>
      </c>
      <c r="AS21" s="244">
        <f>B21*1.15</f>
        <v>725.9949999999999</v>
      </c>
      <c r="AT21" s="112"/>
      <c r="AU21" s="230"/>
      <c r="AV21" s="230"/>
      <c r="AW21" s="230"/>
      <c r="AX21" s="230"/>
      <c r="AY21" s="230"/>
      <c r="AZ21" s="229"/>
      <c r="BA21" s="231"/>
      <c r="BB21" s="231"/>
      <c r="BC21" s="232">
        <f t="shared" si="11"/>
        <v>4911.514</v>
      </c>
      <c r="BD21" s="233"/>
      <c r="BE21" s="70">
        <f t="shared" si="12"/>
        <v>4911.514</v>
      </c>
      <c r="BF21" s="70">
        <f t="shared" si="13"/>
        <v>1441.2248</v>
      </c>
      <c r="BG21" s="70">
        <f t="shared" si="14"/>
        <v>-1822.21</v>
      </c>
      <c r="BH21" s="242"/>
      <c r="BI21" s="240"/>
      <c r="BJ21" s="79"/>
      <c r="BK21" s="79"/>
    </row>
    <row r="22" spans="1:65" s="9" customFormat="1" ht="13.5" thickBot="1">
      <c r="A22" s="129" t="s">
        <v>5</v>
      </c>
      <c r="B22" s="130"/>
      <c r="C22" s="136">
        <f aca="true" t="shared" si="18" ref="C22:BF22">SUM(C10:C21)</f>
        <v>85604.28</v>
      </c>
      <c r="D22" s="136">
        <f t="shared" si="18"/>
        <v>1962.9456</v>
      </c>
      <c r="E22" s="136">
        <f t="shared" si="18"/>
        <v>0</v>
      </c>
      <c r="F22" s="136">
        <f t="shared" si="18"/>
        <v>0</v>
      </c>
      <c r="G22" s="136">
        <f t="shared" si="18"/>
        <v>56770.54</v>
      </c>
      <c r="H22" s="136">
        <f t="shared" si="18"/>
        <v>0</v>
      </c>
      <c r="I22" s="136">
        <f t="shared" si="18"/>
        <v>0</v>
      </c>
      <c r="J22" s="136">
        <f t="shared" si="18"/>
        <v>0</v>
      </c>
      <c r="K22" s="136">
        <f t="shared" si="18"/>
        <v>0</v>
      </c>
      <c r="L22" s="136">
        <f t="shared" si="18"/>
        <v>0</v>
      </c>
      <c r="M22" s="136">
        <f t="shared" si="18"/>
        <v>21084.269999999997</v>
      </c>
      <c r="N22" s="136">
        <f t="shared" si="18"/>
        <v>0</v>
      </c>
      <c r="O22" s="136">
        <f t="shared" si="18"/>
        <v>7893.32</v>
      </c>
      <c r="P22" s="136">
        <f t="shared" si="18"/>
        <v>0</v>
      </c>
      <c r="Q22" s="136">
        <f t="shared" si="18"/>
        <v>0</v>
      </c>
      <c r="R22" s="136">
        <f t="shared" si="18"/>
        <v>0</v>
      </c>
      <c r="S22" s="136">
        <f t="shared" si="18"/>
        <v>0</v>
      </c>
      <c r="T22" s="136">
        <f t="shared" si="18"/>
        <v>0</v>
      </c>
      <c r="U22" s="136">
        <f t="shared" si="18"/>
        <v>85748.13</v>
      </c>
      <c r="V22" s="136">
        <f t="shared" si="18"/>
        <v>0</v>
      </c>
      <c r="W22" s="136">
        <f t="shared" si="18"/>
        <v>-40.04000000000008</v>
      </c>
      <c r="X22" s="136">
        <f t="shared" si="18"/>
        <v>38379.45</v>
      </c>
      <c r="Y22" s="136">
        <f t="shared" si="18"/>
        <v>-54.39000000000004</v>
      </c>
      <c r="Z22" s="136">
        <f t="shared" si="18"/>
        <v>-90.36999999999975</v>
      </c>
      <c r="AA22" s="136">
        <f t="shared" si="18"/>
        <v>14582.179999999998</v>
      </c>
      <c r="AB22" s="136">
        <f t="shared" si="18"/>
        <v>5423.330000000001</v>
      </c>
      <c r="AC22" s="136">
        <f t="shared" si="18"/>
        <v>0</v>
      </c>
      <c r="AD22" s="136">
        <f t="shared" si="18"/>
        <v>0</v>
      </c>
      <c r="AE22" s="136">
        <f t="shared" si="18"/>
        <v>0</v>
      </c>
      <c r="AF22" s="136">
        <f t="shared" si="18"/>
        <v>58200.16</v>
      </c>
      <c r="AG22" s="136">
        <f t="shared" si="18"/>
        <v>60163.1056</v>
      </c>
      <c r="AH22" s="136">
        <f t="shared" si="18"/>
        <v>0</v>
      </c>
      <c r="AI22" s="136">
        <f t="shared" si="18"/>
        <v>0</v>
      </c>
      <c r="AJ22" s="136">
        <f t="shared" si="18"/>
        <v>0</v>
      </c>
      <c r="AK22" s="136">
        <f t="shared" si="18"/>
        <v>5075.652</v>
      </c>
      <c r="AL22" s="136">
        <f t="shared" si="18"/>
        <v>1515.12</v>
      </c>
      <c r="AM22" s="136">
        <f t="shared" si="18"/>
        <v>7575.600000000001</v>
      </c>
      <c r="AN22" s="136">
        <f t="shared" si="18"/>
        <v>1590.8759999999993</v>
      </c>
      <c r="AO22" s="136">
        <f t="shared" si="18"/>
        <v>15302.712000000001</v>
      </c>
      <c r="AP22" s="136">
        <f t="shared" si="18"/>
        <v>7802.867999999998</v>
      </c>
      <c r="AQ22" s="136">
        <f t="shared" si="18"/>
        <v>5681.700000000001</v>
      </c>
      <c r="AR22" s="136">
        <f t="shared" si="18"/>
        <v>5681.700000000001</v>
      </c>
      <c r="AS22" s="136">
        <f t="shared" si="18"/>
        <v>4355.969999999999</v>
      </c>
      <c r="AT22" s="136">
        <f t="shared" si="18"/>
        <v>0</v>
      </c>
      <c r="AU22" s="136">
        <f t="shared" si="18"/>
        <v>0</v>
      </c>
      <c r="AV22" s="136">
        <f t="shared" si="18"/>
        <v>150</v>
      </c>
      <c r="AW22" s="136">
        <f t="shared" si="18"/>
        <v>0</v>
      </c>
      <c r="AX22" s="136">
        <f t="shared" si="18"/>
        <v>173.29000000000002</v>
      </c>
      <c r="AY22" s="136">
        <f t="shared" si="18"/>
        <v>0</v>
      </c>
      <c r="AZ22" s="136">
        <f t="shared" si="18"/>
        <v>0</v>
      </c>
      <c r="BA22" s="136">
        <f t="shared" si="18"/>
        <v>194.83</v>
      </c>
      <c r="BB22" s="136">
        <f t="shared" si="18"/>
        <v>0</v>
      </c>
      <c r="BC22" s="136">
        <f t="shared" si="18"/>
        <v>55100.31800000001</v>
      </c>
      <c r="BD22" s="136">
        <f t="shared" si="18"/>
        <v>0</v>
      </c>
      <c r="BE22" s="136">
        <f t="shared" si="18"/>
        <v>55100.31800000001</v>
      </c>
      <c r="BF22" s="136">
        <f t="shared" si="18"/>
        <v>5062.7876</v>
      </c>
      <c r="BG22" s="136">
        <f>SUM(BG10:BG21)</f>
        <v>-27547.969999999994</v>
      </c>
      <c r="BH22" s="177"/>
      <c r="BI22" s="177"/>
      <c r="BJ22" s="35"/>
      <c r="BK22" s="35"/>
      <c r="BL22" s="35"/>
      <c r="BM22" s="35"/>
    </row>
    <row r="23" spans="1:61" s="9" customFormat="1" ht="13.5" thickBot="1">
      <c r="A23" s="5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2"/>
      <c r="BF23" s="131"/>
      <c r="BG23" s="133"/>
      <c r="BI23" s="35"/>
    </row>
    <row r="24" spans="1:59" s="9" customFormat="1" ht="13.5" thickBot="1">
      <c r="A24" s="10" t="s">
        <v>54</v>
      </c>
      <c r="B24" s="131"/>
      <c r="C24" s="134">
        <f aca="true" t="shared" si="19" ref="C24:AD24">C22+C8</f>
        <v>233044.39500000002</v>
      </c>
      <c r="D24" s="134">
        <f t="shared" si="19"/>
        <v>17307.386671949997</v>
      </c>
      <c r="E24" s="134">
        <f t="shared" si="19"/>
        <v>13979.84</v>
      </c>
      <c r="F24" s="134">
        <f t="shared" si="19"/>
        <v>1261.72</v>
      </c>
      <c r="G24" s="134">
        <f t="shared" si="19"/>
        <v>56770.54</v>
      </c>
      <c r="H24" s="134">
        <f t="shared" si="19"/>
        <v>0</v>
      </c>
      <c r="I24" s="134">
        <f t="shared" si="19"/>
        <v>18919.25</v>
      </c>
      <c r="J24" s="134">
        <f t="shared" si="19"/>
        <v>1708.23</v>
      </c>
      <c r="K24" s="134">
        <f t="shared" si="19"/>
        <v>31501.159999999996</v>
      </c>
      <c r="L24" s="134">
        <f t="shared" si="19"/>
        <v>2843.88</v>
      </c>
      <c r="M24" s="134">
        <f t="shared" si="19"/>
        <v>66565.09</v>
      </c>
      <c r="N24" s="134">
        <f t="shared" si="19"/>
        <v>4105.58</v>
      </c>
      <c r="O24" s="134">
        <f t="shared" si="19"/>
        <v>19077.149999999998</v>
      </c>
      <c r="P24" s="134">
        <f t="shared" si="19"/>
        <v>1009.3100000000002</v>
      </c>
      <c r="Q24" s="134">
        <f t="shared" si="19"/>
        <v>0</v>
      </c>
      <c r="R24" s="134">
        <f t="shared" si="19"/>
        <v>0</v>
      </c>
      <c r="S24" s="134">
        <f t="shared" si="19"/>
        <v>0</v>
      </c>
      <c r="T24" s="134">
        <f t="shared" si="19"/>
        <v>0</v>
      </c>
      <c r="U24" s="134">
        <f t="shared" si="19"/>
        <v>206813.03000000003</v>
      </c>
      <c r="V24" s="134">
        <f t="shared" si="19"/>
        <v>10928.720000000001</v>
      </c>
      <c r="W24" s="134">
        <f t="shared" si="19"/>
        <v>10534.619999999999</v>
      </c>
      <c r="X24" s="134">
        <f t="shared" si="19"/>
        <v>38379.45</v>
      </c>
      <c r="Y24" s="134">
        <f t="shared" si="19"/>
        <v>14251.900000000001</v>
      </c>
      <c r="Z24" s="134">
        <f t="shared" si="19"/>
        <v>23732.89</v>
      </c>
      <c r="AA24" s="134">
        <f t="shared" si="19"/>
        <v>48978.73</v>
      </c>
      <c r="AB24" s="134">
        <f t="shared" si="19"/>
        <v>13883.000000000004</v>
      </c>
      <c r="AC24" s="134">
        <f t="shared" si="19"/>
        <v>0</v>
      </c>
      <c r="AD24" s="134">
        <f t="shared" si="19"/>
        <v>0</v>
      </c>
      <c r="AE24" s="134">
        <f>AE22+AF8</f>
        <v>91560.43000000001</v>
      </c>
      <c r="AF24" s="134" t="e">
        <f>AF22+#REF!</f>
        <v>#REF!</v>
      </c>
      <c r="AG24" s="134">
        <f aca="true" t="shared" si="20" ref="AG24:BG24">AG22+AG8</f>
        <v>177996.69667195002</v>
      </c>
      <c r="AH24" s="134">
        <f t="shared" si="20"/>
        <v>0</v>
      </c>
      <c r="AI24" s="134">
        <f t="shared" si="20"/>
        <v>0</v>
      </c>
      <c r="AJ24" s="134">
        <f t="shared" si="20"/>
        <v>0</v>
      </c>
      <c r="AK24" s="134">
        <f t="shared" si="20"/>
        <v>15151.199999999997</v>
      </c>
      <c r="AL24" s="134">
        <f t="shared" si="20"/>
        <v>4891.2342196</v>
      </c>
      <c r="AM24" s="134">
        <f t="shared" si="20"/>
        <v>24300.546178537003</v>
      </c>
      <c r="AN24" s="134">
        <f t="shared" si="20"/>
        <v>1590.8759999999993</v>
      </c>
      <c r="AO24" s="134">
        <f t="shared" si="20"/>
        <v>31985.447245677</v>
      </c>
      <c r="AP24" s="134">
        <f t="shared" si="20"/>
        <v>45122.859071473584</v>
      </c>
      <c r="AQ24" s="134">
        <f t="shared" si="20"/>
        <v>5681.700000000001</v>
      </c>
      <c r="AR24" s="134">
        <f t="shared" si="20"/>
        <v>5681.700000000001</v>
      </c>
      <c r="AS24" s="134">
        <f t="shared" si="20"/>
        <v>4355.969999999999</v>
      </c>
      <c r="AT24" s="134">
        <f t="shared" si="20"/>
        <v>0</v>
      </c>
      <c r="AU24" s="134">
        <f t="shared" si="20"/>
        <v>58330.1336</v>
      </c>
      <c r="AV24" s="134">
        <f t="shared" si="20"/>
        <v>150</v>
      </c>
      <c r="AW24" s="134">
        <f t="shared" si="20"/>
        <v>2505.4300000000003</v>
      </c>
      <c r="AX24" s="134">
        <f t="shared" si="20"/>
        <v>6347.805200000001</v>
      </c>
      <c r="AY24" s="134">
        <f t="shared" si="20"/>
        <v>6586.272000000001</v>
      </c>
      <c r="AZ24" s="134">
        <f t="shared" si="20"/>
        <v>0</v>
      </c>
      <c r="BA24" s="134">
        <f t="shared" si="20"/>
        <v>194.83</v>
      </c>
      <c r="BB24" s="134">
        <f t="shared" si="20"/>
        <v>0</v>
      </c>
      <c r="BC24" s="134">
        <f t="shared" si="20"/>
        <v>212876.0035152876</v>
      </c>
      <c r="BD24" s="134">
        <f t="shared" si="20"/>
        <v>0</v>
      </c>
      <c r="BE24" s="135">
        <f t="shared" si="20"/>
        <v>212876.0035152876</v>
      </c>
      <c r="BF24" s="134">
        <f t="shared" si="20"/>
        <v>-34879.3068433376</v>
      </c>
      <c r="BG24" s="136">
        <f t="shared" si="20"/>
        <v>-57052.44</v>
      </c>
    </row>
  </sheetData>
  <sheetProtection/>
  <mergeCells count="56">
    <mergeCell ref="AU5:AU6"/>
    <mergeCell ref="AV5:AV6"/>
    <mergeCell ref="AW5:AW6"/>
    <mergeCell ref="AX5:AX6"/>
    <mergeCell ref="BG3:BG6"/>
    <mergeCell ref="BF3:BF6"/>
    <mergeCell ref="AZ5:AZ6"/>
    <mergeCell ref="BA5:BA6"/>
    <mergeCell ref="BB5:BB6"/>
    <mergeCell ref="BC5:BC6"/>
    <mergeCell ref="BD5:BD6"/>
    <mergeCell ref="BE5:BE6"/>
    <mergeCell ref="AO5:AO6"/>
    <mergeCell ref="AP5:AP6"/>
    <mergeCell ref="AQ5:AQ6"/>
    <mergeCell ref="AR5:AR6"/>
    <mergeCell ref="AS5:AS6"/>
    <mergeCell ref="AT5:AT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K5:L6"/>
    <mergeCell ref="M5:N6"/>
    <mergeCell ref="O5:P6"/>
    <mergeCell ref="Z5:Z6"/>
    <mergeCell ref="AA5:AA6"/>
    <mergeCell ref="AB5:AB6"/>
    <mergeCell ref="S5:T6"/>
    <mergeCell ref="U5:U6"/>
    <mergeCell ref="S3:T4"/>
    <mergeCell ref="U3:V4"/>
    <mergeCell ref="W3:AI4"/>
    <mergeCell ref="V5:V6"/>
    <mergeCell ref="W5:W6"/>
    <mergeCell ref="X5:X6"/>
    <mergeCell ref="Y5:Y6"/>
    <mergeCell ref="AC5:AC6"/>
    <mergeCell ref="AD5:AD6"/>
    <mergeCell ref="AE5:AE6"/>
    <mergeCell ref="A1:N1"/>
    <mergeCell ref="A3:A6"/>
    <mergeCell ref="B3:B6"/>
    <mergeCell ref="C3:C6"/>
    <mergeCell ref="D3:D6"/>
    <mergeCell ref="E3:R4"/>
    <mergeCell ref="Q5:R6"/>
    <mergeCell ref="E5:F6"/>
    <mergeCell ref="G5:H6"/>
    <mergeCell ref="I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D8" sqref="D8:D11"/>
    </sheetView>
  </sheetViews>
  <sheetFormatPr defaultColWidth="9.00390625" defaultRowHeight="12.75"/>
  <cols>
    <col min="1" max="1" width="10.00390625" style="80" customWidth="1"/>
    <col min="2" max="2" width="9.125" style="80" customWidth="1"/>
    <col min="3" max="3" width="12.00390625" style="80" customWidth="1"/>
    <col min="4" max="4" width="10.375" style="80" customWidth="1"/>
    <col min="5" max="5" width="10.125" style="80" bestFit="1" customWidth="1"/>
    <col min="6" max="6" width="9.875" style="80" customWidth="1"/>
    <col min="7" max="7" width="10.00390625" style="80" customWidth="1"/>
    <col min="8" max="8" width="11.625" style="80" customWidth="1"/>
    <col min="9" max="9" width="9.25390625" style="80" customWidth="1"/>
    <col min="10" max="10" width="9.875" style="80" customWidth="1"/>
    <col min="11" max="11" width="10.875" style="80" customWidth="1"/>
    <col min="12" max="12" width="10.125" style="80" customWidth="1"/>
    <col min="13" max="13" width="9.375" style="80" hidden="1" customWidth="1"/>
    <col min="14" max="14" width="12.625" style="80" customWidth="1"/>
    <col min="15" max="15" width="10.75390625" style="80" customWidth="1"/>
    <col min="16" max="16" width="10.25390625" style="80" customWidth="1"/>
    <col min="17" max="16384" width="9.125" style="80" customWidth="1"/>
  </cols>
  <sheetData>
    <row r="1" spans="2:8" ht="20.25" customHeight="1">
      <c r="B1" s="336" t="s">
        <v>55</v>
      </c>
      <c r="C1" s="336"/>
      <c r="D1" s="336"/>
      <c r="E1" s="336"/>
      <c r="F1" s="336"/>
      <c r="G1" s="336"/>
      <c r="H1" s="336"/>
    </row>
    <row r="2" spans="2:8" ht="21" customHeight="1">
      <c r="B2" s="336" t="s">
        <v>56</v>
      </c>
      <c r="C2" s="336"/>
      <c r="D2" s="336"/>
      <c r="E2" s="336"/>
      <c r="F2" s="336"/>
      <c r="G2" s="336"/>
      <c r="H2" s="336"/>
    </row>
    <row r="5" spans="1:15" ht="12.75">
      <c r="A5" s="337" t="s">
        <v>114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2.75">
      <c r="A6" s="338" t="s">
        <v>120</v>
      </c>
      <c r="B6" s="338"/>
      <c r="C6" s="338"/>
      <c r="D6" s="338"/>
      <c r="E6" s="338"/>
      <c r="F6" s="338"/>
      <c r="G6" s="338"/>
      <c r="H6" s="46"/>
      <c r="I6" s="46"/>
      <c r="J6" s="46"/>
      <c r="K6" s="46"/>
      <c r="L6" s="46"/>
      <c r="M6" s="46"/>
      <c r="N6" s="46"/>
      <c r="O6" s="46"/>
    </row>
    <row r="7" spans="1:6" ht="13.5" thickBot="1">
      <c r="A7" s="339" t="s">
        <v>57</v>
      </c>
      <c r="B7" s="339"/>
      <c r="C7" s="339"/>
      <c r="D7" s="339"/>
      <c r="E7" s="339">
        <v>14.05</v>
      </c>
      <c r="F7" s="339"/>
    </row>
    <row r="8" spans="1:16" ht="12.75" customHeight="1">
      <c r="A8" s="291" t="s">
        <v>58</v>
      </c>
      <c r="B8" s="311" t="s">
        <v>1</v>
      </c>
      <c r="C8" s="314" t="s">
        <v>59</v>
      </c>
      <c r="D8" s="325" t="s">
        <v>3</v>
      </c>
      <c r="E8" s="328" t="s">
        <v>60</v>
      </c>
      <c r="F8" s="329"/>
      <c r="G8" s="332" t="s">
        <v>61</v>
      </c>
      <c r="H8" s="333"/>
      <c r="I8" s="303" t="s">
        <v>10</v>
      </c>
      <c r="J8" s="267"/>
      <c r="K8" s="267"/>
      <c r="L8" s="267"/>
      <c r="M8" s="267"/>
      <c r="N8" s="304"/>
      <c r="O8" s="307" t="s">
        <v>62</v>
      </c>
      <c r="P8" s="307" t="s">
        <v>12</v>
      </c>
    </row>
    <row r="9" spans="1:16" ht="12.75">
      <c r="A9" s="292"/>
      <c r="B9" s="312"/>
      <c r="C9" s="315"/>
      <c r="D9" s="326"/>
      <c r="E9" s="330"/>
      <c r="F9" s="331"/>
      <c r="G9" s="334"/>
      <c r="H9" s="335"/>
      <c r="I9" s="305"/>
      <c r="J9" s="250"/>
      <c r="K9" s="250"/>
      <c r="L9" s="250"/>
      <c r="M9" s="250"/>
      <c r="N9" s="306"/>
      <c r="O9" s="308"/>
      <c r="P9" s="308"/>
    </row>
    <row r="10" spans="1:16" ht="26.25" customHeight="1">
      <c r="A10" s="292"/>
      <c r="B10" s="312"/>
      <c r="C10" s="315"/>
      <c r="D10" s="326"/>
      <c r="E10" s="317" t="s">
        <v>63</v>
      </c>
      <c r="F10" s="318"/>
      <c r="G10" s="42" t="s">
        <v>64</v>
      </c>
      <c r="H10" s="319" t="s">
        <v>7</v>
      </c>
      <c r="I10" s="321" t="s">
        <v>65</v>
      </c>
      <c r="J10" s="323" t="s">
        <v>108</v>
      </c>
      <c r="K10" s="323" t="s">
        <v>66</v>
      </c>
      <c r="L10" s="323" t="s">
        <v>37</v>
      </c>
      <c r="M10" s="323" t="s">
        <v>67</v>
      </c>
      <c r="N10" s="319" t="s">
        <v>39</v>
      </c>
      <c r="O10" s="308"/>
      <c r="P10" s="308"/>
    </row>
    <row r="11" spans="1:16" ht="66.75" customHeight="1" thickBot="1">
      <c r="A11" s="310"/>
      <c r="B11" s="313"/>
      <c r="C11" s="316"/>
      <c r="D11" s="327"/>
      <c r="E11" s="137" t="s">
        <v>68</v>
      </c>
      <c r="F11" s="138" t="s">
        <v>21</v>
      </c>
      <c r="G11" s="139" t="s">
        <v>69</v>
      </c>
      <c r="H11" s="320"/>
      <c r="I11" s="322"/>
      <c r="J11" s="324"/>
      <c r="K11" s="324"/>
      <c r="L11" s="324"/>
      <c r="M11" s="324"/>
      <c r="N11" s="320"/>
      <c r="O11" s="309"/>
      <c r="P11" s="309"/>
    </row>
    <row r="12" spans="1:16" ht="13.5" thickBot="1">
      <c r="A12" s="29">
        <v>1</v>
      </c>
      <c r="B12" s="30">
        <v>2</v>
      </c>
      <c r="C12" s="29">
        <v>3</v>
      </c>
      <c r="D12" s="30">
        <v>4</v>
      </c>
      <c r="E12" s="29">
        <v>5</v>
      </c>
      <c r="F12" s="30">
        <v>6</v>
      </c>
      <c r="G12" s="29">
        <v>7</v>
      </c>
      <c r="H12" s="30">
        <v>8</v>
      </c>
      <c r="I12" s="29">
        <v>9</v>
      </c>
      <c r="J12" s="30">
        <v>10</v>
      </c>
      <c r="K12" s="29">
        <v>11</v>
      </c>
      <c r="L12" s="30">
        <v>12</v>
      </c>
      <c r="M12" s="29">
        <v>13</v>
      </c>
      <c r="N12" s="30">
        <v>13</v>
      </c>
      <c r="O12" s="29">
        <v>14</v>
      </c>
      <c r="P12" s="30">
        <v>15</v>
      </c>
    </row>
    <row r="13" spans="1:18" ht="13.5" hidden="1" thickBot="1">
      <c r="A13" s="3" t="s">
        <v>44</v>
      </c>
      <c r="B13" s="140"/>
      <c r="C13" s="21"/>
      <c r="D13" s="22"/>
      <c r="E13" s="141"/>
      <c r="F13" s="142"/>
      <c r="G13" s="143"/>
      <c r="H13" s="142"/>
      <c r="I13" s="143"/>
      <c r="J13" s="144"/>
      <c r="K13" s="144"/>
      <c r="L13" s="145"/>
      <c r="M13" s="33"/>
      <c r="N13" s="146"/>
      <c r="O13" s="147"/>
      <c r="P13" s="147"/>
      <c r="Q13" s="79"/>
      <c r="R13" s="79"/>
    </row>
    <row r="14" spans="1:18" ht="13.5" hidden="1" thickBot="1">
      <c r="A14" s="94" t="s">
        <v>45</v>
      </c>
      <c r="B14" s="40">
        <f>'[3]Лист1'!B8</f>
        <v>0</v>
      </c>
      <c r="C14" s="13">
        <f aca="true" t="shared" si="0" ref="C14:C25">B14*8.65</f>
        <v>0</v>
      </c>
      <c r="D14" s="14">
        <f>'[3]Лист1'!D8</f>
        <v>0</v>
      </c>
      <c r="E14" s="144">
        <f>'[3]Лист1'!S8</f>
        <v>0</v>
      </c>
      <c r="F14" s="146">
        <f>'[3]Лист1'!T8</f>
        <v>0</v>
      </c>
      <c r="G14" s="148">
        <f>'[3]Лист1'!AB8</f>
        <v>0</v>
      </c>
      <c r="H14" s="146">
        <f>'[3]Лист1'!AC8</f>
        <v>0</v>
      </c>
      <c r="I14" s="148">
        <f>'[3]Лист1'!AG8</f>
        <v>0</v>
      </c>
      <c r="J14" s="144">
        <f>'[3]Лист1'!AI8+'[3]Лист1'!AJ8</f>
        <v>0</v>
      </c>
      <c r="K14" s="144">
        <f>'[3]Лист1'!AH8+'[3]Лист1'!AK8+'[3]Лист1'!AL8+'[3]Лист1'!AM8+'[3]Лист1'!AN8+'[3]Лист1'!AO8+'[3]Лист1'!AP8+'[3]Лист1'!AQ8+'[3]Лист1'!AR8</f>
        <v>0</v>
      </c>
      <c r="L14" s="145">
        <f>'[3]Лист1'!AS8+'[3]Лист1'!AT8+'[3]Лист1'!AU8+'[3]Лист1'!AZ8+'[3]Лист1'!BA8</f>
        <v>0</v>
      </c>
      <c r="M14" s="145">
        <f>'[3]Лист1'!AX8</f>
        <v>0</v>
      </c>
      <c r="N14" s="146">
        <f>'[3]Лист1'!BB8</f>
        <v>0</v>
      </c>
      <c r="O14" s="147">
        <f>'[3]Лист1'!BD8</f>
        <v>0</v>
      </c>
      <c r="P14" s="147">
        <f>'[3]Лист1'!BE8</f>
        <v>0</v>
      </c>
      <c r="Q14" s="79"/>
      <c r="R14" s="79"/>
    </row>
    <row r="15" spans="1:18" ht="13.5" hidden="1" thickBot="1">
      <c r="A15" s="94" t="s">
        <v>46</v>
      </c>
      <c r="B15" s="40">
        <f>'[3]Лист1'!B9</f>
        <v>347</v>
      </c>
      <c r="C15" s="13">
        <f t="shared" si="0"/>
        <v>3001.55</v>
      </c>
      <c r="D15" s="14">
        <f>'[3]Лист1'!D9</f>
        <v>375.19375</v>
      </c>
      <c r="E15" s="144">
        <f>'[3]Лист1'!S9</f>
        <v>1402.63</v>
      </c>
      <c r="F15" s="146">
        <f>'[3]Лист1'!T9</f>
        <v>770.85</v>
      </c>
      <c r="G15" s="148">
        <f>'[3]Лист1'!AB9</f>
        <v>1205.52</v>
      </c>
      <c r="H15" s="146">
        <f>'[3]Лист1'!AC9</f>
        <v>2351.5637500000003</v>
      </c>
      <c r="I15" s="148">
        <f>'[3]Лист1'!AG9</f>
        <v>187.38</v>
      </c>
      <c r="J15" s="144">
        <f>'[3]Лист1'!AI9+'[3]Лист1'!AJ9</f>
        <v>301.727947</v>
      </c>
      <c r="K15" s="144">
        <f>'[3]Лист1'!AH9+'[3]Лист1'!AK9+'[3]Лист1'!AL9+'[3]Лист1'!AM9+'[3]Лист1'!AN9+'[3]Лист1'!AO9+'[3]Лист1'!AP9+'[3]Лист1'!AQ9+'[3]Лист1'!AR9</f>
        <v>1036.33545944</v>
      </c>
      <c r="L15" s="145">
        <f>'[3]Лист1'!AS9+'[3]Лист1'!AT9+'[3]Лист1'!AU9+'[3]Лист1'!AZ9+'[3]Лист1'!BA9</f>
        <v>0</v>
      </c>
      <c r="M15" s="145">
        <f>'[3]Лист1'!AX9</f>
        <v>100.70592</v>
      </c>
      <c r="N15" s="146">
        <f>'[3]Лист1'!BB9</f>
        <v>1525.4434064399998</v>
      </c>
      <c r="O15" s="147">
        <f>'[3]Лист1'!BD9</f>
        <v>826.1203435600005</v>
      </c>
      <c r="P15" s="147">
        <f>'[3]Лист1'!BE9</f>
        <v>-197.11000000000013</v>
      </c>
      <c r="Q15" s="79"/>
      <c r="R15" s="79"/>
    </row>
    <row r="16" spans="1:18" ht="13.5" hidden="1" thickBot="1">
      <c r="A16" s="94" t="s">
        <v>47</v>
      </c>
      <c r="B16" s="40">
        <f>'[3]Лист1'!B10</f>
        <v>347</v>
      </c>
      <c r="C16" s="13">
        <f t="shared" si="0"/>
        <v>3001.55</v>
      </c>
      <c r="D16" s="14">
        <f>'[3]Лист1'!D10</f>
        <v>375.19375</v>
      </c>
      <c r="E16" s="144">
        <f>'[3]Лист1'!S10</f>
        <v>1402.63</v>
      </c>
      <c r="F16" s="146">
        <f>'[3]Лист1'!T10</f>
        <v>770.85</v>
      </c>
      <c r="G16" s="148">
        <f>'[3]Лист1'!AB10</f>
        <v>1141.3000000000002</v>
      </c>
      <c r="H16" s="146">
        <f>'[3]Лист1'!AC10</f>
        <v>2287.34375</v>
      </c>
      <c r="I16" s="148">
        <f>'[3]Лист1'!AG10</f>
        <v>187.38</v>
      </c>
      <c r="J16" s="144">
        <f>'[3]Лист1'!AI10+'[3]Лист1'!AJ10</f>
        <v>301.403506</v>
      </c>
      <c r="K16" s="144">
        <f>'[3]Лист1'!AH10+'[3]Лист1'!AK10+'[3]Лист1'!AL10+'[3]Лист1'!AM10+'[3]Лист1'!AN10+'[3]Лист1'!AO10+'[3]Лист1'!AP10+'[3]Лист1'!AQ10+'[3]Лист1'!AR10</f>
        <v>1037.8314805399998</v>
      </c>
      <c r="L16" s="145">
        <f>'[3]Лист1'!AS10+'[3]Лист1'!AT10+'[3]Лист1'!AU10+'[3]Лист1'!AZ10+'[3]Лист1'!BA10</f>
        <v>1569.4</v>
      </c>
      <c r="M16" s="145">
        <f>'[3]Лист1'!AX10</f>
        <v>80.68368</v>
      </c>
      <c r="N16" s="146">
        <f>'[3]Лист1'!BB10</f>
        <v>3096.0149865399994</v>
      </c>
      <c r="O16" s="147">
        <f>'[3]Лист1'!BD10</f>
        <v>-808.6712365399994</v>
      </c>
      <c r="P16" s="147">
        <f>'[3]Лист1'!BE10</f>
        <v>-261.3299999999999</v>
      </c>
      <c r="Q16" s="79"/>
      <c r="R16" s="79"/>
    </row>
    <row r="17" spans="1:18" ht="13.5" hidden="1" thickBot="1">
      <c r="A17" s="94" t="s">
        <v>48</v>
      </c>
      <c r="B17" s="40">
        <f>'[3]Лист1'!B11</f>
        <v>347</v>
      </c>
      <c r="C17" s="13">
        <f t="shared" si="0"/>
        <v>3001.55</v>
      </c>
      <c r="D17" s="14">
        <f>'[3]Лист1'!D11</f>
        <v>375.19375</v>
      </c>
      <c r="E17" s="144">
        <f>'[3]Лист1'!S11</f>
        <v>1402.63</v>
      </c>
      <c r="F17" s="146">
        <f>'[3]Лист1'!T11</f>
        <v>770.85</v>
      </c>
      <c r="G17" s="148">
        <f>'[3]Лист1'!AB11</f>
        <v>1864.7600000000002</v>
      </c>
      <c r="H17" s="146">
        <f>'[3]Лист1'!AC11</f>
        <v>3010.80375</v>
      </c>
      <c r="I17" s="148">
        <f>'[3]Лист1'!AG11</f>
        <v>187.38</v>
      </c>
      <c r="J17" s="144">
        <f>'[3]Лист1'!AI11+'[3]Лист1'!AJ11</f>
        <v>301.9373675</v>
      </c>
      <c r="K17" s="144">
        <f>'[3]Лист1'!AH11+'[3]Лист1'!AK11+'[3]Лист1'!AL11+'[3]Лист1'!AM11+'[3]Лист1'!AN11+'[3]Лист1'!AO11+'[3]Лист1'!AP11+'[3]Лист1'!AQ11+'[3]Лист1'!AR11</f>
        <v>1003.1883752000001</v>
      </c>
      <c r="L17" s="145">
        <f>'[3]Лист1'!AS11+'[3]Лист1'!AT11+'[3]Лист1'!AU11+'[3]Лист1'!AY11+'[3]Лист1'!AZ11</f>
        <v>0</v>
      </c>
      <c r="M17" s="145">
        <f>'[3]Лист1'!AX11</f>
        <v>75.92592</v>
      </c>
      <c r="N17" s="146">
        <f>'[3]Лист1'!BB11</f>
        <v>1492.5057427</v>
      </c>
      <c r="O17" s="147">
        <f>'[3]Лист1'!BD11</f>
        <v>1518.2980073</v>
      </c>
      <c r="P17" s="147">
        <f>'[3]Лист1'!BE11</f>
        <v>462.1300000000001</v>
      </c>
      <c r="Q17" s="79"/>
      <c r="R17" s="79"/>
    </row>
    <row r="18" spans="1:18" ht="13.5" hidden="1" thickBot="1">
      <c r="A18" s="94" t="s">
        <v>49</v>
      </c>
      <c r="B18" s="40">
        <f>'[3]Лист1'!B12</f>
        <v>347</v>
      </c>
      <c r="C18" s="13">
        <f t="shared" si="0"/>
        <v>3001.55</v>
      </c>
      <c r="D18" s="14">
        <f>'[3]Лист1'!D12</f>
        <v>375.19375</v>
      </c>
      <c r="E18" s="144">
        <f>'[3]Лист1'!S12</f>
        <v>1401.9099999999999</v>
      </c>
      <c r="F18" s="146">
        <f>'[3]Лист1'!T12</f>
        <v>770.85</v>
      </c>
      <c r="G18" s="148">
        <f>'[3]Лист1'!AB12</f>
        <v>1402.6</v>
      </c>
      <c r="H18" s="146">
        <f>'[3]Лист1'!AC12</f>
        <v>2548.64375</v>
      </c>
      <c r="I18" s="148">
        <f>'[3]Лист1'!AG12</f>
        <v>187.38</v>
      </c>
      <c r="J18" s="144">
        <f>'[3]Лист1'!AI12+'[3]Лист1'!AJ12</f>
        <v>310.800613</v>
      </c>
      <c r="K18" s="144">
        <f>'[3]Лист1'!AH12+'[3]Лист1'!AK12+'[3]Лист1'!AL12+'[3]Лист1'!AM12+'[3]Лист1'!AN12+'[3]Лист1'!AO12+'[3]Лист1'!AP12+'[3]Лист1'!AQ12+'[3]Лист1'!AR12</f>
        <v>1017.49191592</v>
      </c>
      <c r="L18" s="145">
        <f>'[3]Лист1'!AS12+'[3]Лист1'!AT12+'[3]Лист1'!AU12+'[3]Лист1'!AZ12+'[3]Лист1'!BA12</f>
        <v>0</v>
      </c>
      <c r="M18" s="145">
        <f>'[3]Лист1'!AX12</f>
        <v>60.85968</v>
      </c>
      <c r="N18" s="146">
        <f>'[3]Лист1'!BB12</f>
        <v>1833.8477289200002</v>
      </c>
      <c r="O18" s="147">
        <f>'[3]Лист1'!BD12</f>
        <v>714.79602108</v>
      </c>
      <c r="P18" s="147">
        <f>'[3]Лист1'!BE12</f>
        <v>0.6900000000000546</v>
      </c>
      <c r="Q18" s="79"/>
      <c r="R18" s="79"/>
    </row>
    <row r="19" spans="1:18" ht="13.5" hidden="1" thickBot="1">
      <c r="A19" s="94" t="s">
        <v>50</v>
      </c>
      <c r="B19" s="40">
        <f>'[3]Лист1'!B13</f>
        <v>347</v>
      </c>
      <c r="C19" s="13">
        <f t="shared" si="0"/>
        <v>3001.55</v>
      </c>
      <c r="D19" s="14">
        <f>'[3]Лист1'!D13</f>
        <v>577.8599999999997</v>
      </c>
      <c r="E19" s="144">
        <f>'[3]Лист1'!S13</f>
        <v>1563.57</v>
      </c>
      <c r="F19" s="146">
        <f>'[3]Лист1'!T13</f>
        <v>860.12</v>
      </c>
      <c r="G19" s="148">
        <f>'[3]Лист1'!AB13</f>
        <v>1101.03</v>
      </c>
      <c r="H19" s="146">
        <f>'[3]Лист1'!AC13</f>
        <v>2539.0099999999993</v>
      </c>
      <c r="I19" s="148">
        <f>'[3]Лист1'!AG13</f>
        <v>208.2</v>
      </c>
      <c r="J19" s="144">
        <f>'[3]Лист1'!AI13+'[3]Лист1'!AJ13</f>
        <v>348.041</v>
      </c>
      <c r="K19" s="144">
        <f>'[3]Лист1'!AH13+'[3]Лист1'!AK13+'[3]Лист1'!AL13+'[3]Лист1'!AM13+'[3]Лист1'!AN13+'[3]Лист1'!AO13+'[3]Лист1'!AP13+'[3]Лист1'!AQ13+'[3]Лист1'!AR13</f>
        <v>1192.0144</v>
      </c>
      <c r="L19" s="145">
        <f>'[3]Лист1'!AS13+'[3]Лист1'!AT13+'[3]Лист1'!AU13+'[3]Лист1'!AZ13+'[3]Лист1'!BA13</f>
        <v>0</v>
      </c>
      <c r="M19" s="145">
        <f>'[3]Лист1'!AX13</f>
        <v>52.137119999999996</v>
      </c>
      <c r="N19" s="146">
        <f>'[3]Лист1'!BB13</f>
        <v>1800.3925199999999</v>
      </c>
      <c r="O19" s="147">
        <f>'[3]Лист1'!BD13</f>
        <v>738.6174799999994</v>
      </c>
      <c r="P19" s="147">
        <f>'[3]Лист1'!BE13</f>
        <v>-462.53999999999996</v>
      </c>
      <c r="Q19" s="79"/>
      <c r="R19" s="79"/>
    </row>
    <row r="20" spans="1:18" ht="13.5" hidden="1" thickBot="1">
      <c r="A20" s="94" t="s">
        <v>51</v>
      </c>
      <c r="B20" s="40">
        <f>'[3]Лист1'!B14</f>
        <v>347</v>
      </c>
      <c r="C20" s="13">
        <f t="shared" si="0"/>
        <v>3001.55</v>
      </c>
      <c r="D20" s="14">
        <f>'[3]Лист1'!D14</f>
        <v>577.73</v>
      </c>
      <c r="E20" s="144">
        <f>'[3]Лист1'!S14</f>
        <v>1563.7</v>
      </c>
      <c r="F20" s="146">
        <f>'[3]Лист1'!T14</f>
        <v>860.12</v>
      </c>
      <c r="G20" s="148">
        <f>'[3]Лист1'!AB14</f>
        <v>1864.8400000000001</v>
      </c>
      <c r="H20" s="146">
        <f>'[3]Лист1'!AC14</f>
        <v>3302.69</v>
      </c>
      <c r="I20" s="148">
        <f>'[3]Лист1'!AG14</f>
        <v>208.2</v>
      </c>
      <c r="J20" s="144">
        <f>'[3]Лист1'!AI14+'[3]Лист1'!AJ14</f>
        <v>348.041</v>
      </c>
      <c r="K20" s="144">
        <f>'[3]Лист1'!AH14+'[3]Лист1'!AK14+'[3]Лист1'!AL14+'[3]Лист1'!AM14+'[3]Лист1'!AN14+'[3]Лист1'!AO14+'[3]Лист1'!AP14+'[3]Лист1'!AQ14+'[3]Лист1'!AR14</f>
        <v>1192.04563</v>
      </c>
      <c r="L20" s="145">
        <f>'[3]Лист1'!AS14+'[3]Лист1'!AT14+'[3]Лист1'!AU14+'[3]Лист1'!AZ14+'[3]Лист1'!BA14</f>
        <v>0</v>
      </c>
      <c r="M20" s="145">
        <f>'[3]Лист1'!AX14</f>
        <v>46.189919999999994</v>
      </c>
      <c r="N20" s="146">
        <f>'[3]Лист1'!BB14</f>
        <v>1794.47655</v>
      </c>
      <c r="O20" s="147">
        <f>'[3]Лист1'!BD14</f>
        <v>1508.21345</v>
      </c>
      <c r="P20" s="147">
        <f>'[3]Лист1'!BE14</f>
        <v>301.1400000000001</v>
      </c>
      <c r="Q20" s="79"/>
      <c r="R20" s="79"/>
    </row>
    <row r="21" spans="1:18" ht="13.5" hidden="1" thickBot="1">
      <c r="A21" s="94" t="s">
        <v>52</v>
      </c>
      <c r="B21" s="40">
        <f>'[3]Лист1'!B15</f>
        <v>347</v>
      </c>
      <c r="C21" s="13">
        <f t="shared" si="0"/>
        <v>3001.55</v>
      </c>
      <c r="D21" s="14">
        <f>'[3]Лист1'!D15</f>
        <v>595.9700000000003</v>
      </c>
      <c r="E21" s="144">
        <f>'[3]Лист1'!S15</f>
        <v>1553.6399999999999</v>
      </c>
      <c r="F21" s="146">
        <f>'[3]Лист1'!T15</f>
        <v>851.9399999999999</v>
      </c>
      <c r="G21" s="148">
        <f>'[3]Лист1'!AB15</f>
        <v>1230.87</v>
      </c>
      <c r="H21" s="146">
        <f>'[3]Лист1'!AC15</f>
        <v>2678.78</v>
      </c>
      <c r="I21" s="148">
        <f>'[3]Лист1'!AG15</f>
        <v>208.2</v>
      </c>
      <c r="J21" s="144">
        <f>'[3]Лист1'!AI15+'[3]Лист1'!AJ15</f>
        <v>343.0988178</v>
      </c>
      <c r="K21" s="144">
        <f>'[3]Лист1'!AH15+'[3]Лист1'!AK15+'[3]Лист1'!AL15+'[3]Лист1'!AM15+'[3]Лист1'!AN15+'[3]Лист1'!AO15+'[3]Лист1'!AP15+'[3]Лист1'!AQ15+'[3]Лист1'!AR15</f>
        <v>1180.18489934</v>
      </c>
      <c r="L21" s="145">
        <f>'[3]Лист1'!AS15+'[3]Лист1'!AT15+'[3]Лист1'!AU15+'[3]Лист1'!AZ15+'[3]Лист1'!BA15</f>
        <v>0</v>
      </c>
      <c r="M21" s="145">
        <f>'[3]Лист1'!AX15</f>
        <v>49.16352</v>
      </c>
      <c r="N21" s="146">
        <f>'[3]Лист1'!BB15</f>
        <v>1780.64723714</v>
      </c>
      <c r="O21" s="147">
        <f>'[3]Лист1'!BD15</f>
        <v>898.1327628600002</v>
      </c>
      <c r="P21" s="147">
        <f>'[3]Лист1'!BE15</f>
        <v>-322.77</v>
      </c>
      <c r="Q21" s="79"/>
      <c r="R21" s="79"/>
    </row>
    <row r="22" spans="1:18" ht="13.5" hidden="1" thickBot="1">
      <c r="A22" s="94" t="s">
        <v>53</v>
      </c>
      <c r="B22" s="40">
        <f>'[3]Лист1'!B16</f>
        <v>347</v>
      </c>
      <c r="C22" s="13">
        <f t="shared" si="0"/>
        <v>3001.55</v>
      </c>
      <c r="D22" s="14">
        <f>'[3]Лист1'!D16</f>
        <v>577.73</v>
      </c>
      <c r="E22" s="144">
        <f>'[3]Лист1'!S16</f>
        <v>1563.7</v>
      </c>
      <c r="F22" s="146">
        <f>'[3]Лист1'!T16</f>
        <v>860.12</v>
      </c>
      <c r="G22" s="148">
        <f>'[3]Лист1'!AB16</f>
        <v>1843.1499999999999</v>
      </c>
      <c r="H22" s="146">
        <f>'[3]Лист1'!AC16</f>
        <v>3281</v>
      </c>
      <c r="I22" s="148">
        <f>'[3]Лист1'!AG16</f>
        <v>208.2</v>
      </c>
      <c r="J22" s="144">
        <f>'[3]Лист1'!AI16+'[3]Лист1'!AJ16</f>
        <v>342.9073952499999</v>
      </c>
      <c r="K22" s="144">
        <f>'[3]Лист1'!AH16+'[3]Лист1'!AK16+'[3]Лист1'!AL16+'[3]Лист1'!AM16+'[3]Лист1'!AN16+'[3]Лист1'!AO16+'[3]Лист1'!AP16+'[3]Лист1'!AQ16+'[3]Лист1'!AR16</f>
        <v>1179.93693314</v>
      </c>
      <c r="L22" s="145">
        <f>'[3]Лист1'!AS16+'[3]Лист1'!AT16+'[3]Лист1'!AU16+'[3]Лист1'!AZ16+'[3]Лист1'!BA16</f>
        <v>0</v>
      </c>
      <c r="M22" s="145">
        <f>'[3]Лист1'!AX16</f>
        <v>58.08431999999999</v>
      </c>
      <c r="N22" s="146">
        <f>'[3]Лист1'!BB16</f>
        <v>1789.1286483900003</v>
      </c>
      <c r="O22" s="147">
        <f>'[3]Лист1'!BD16</f>
        <v>1491.8713516099997</v>
      </c>
      <c r="P22" s="147">
        <f>'[3]Лист1'!BE16</f>
        <v>279.4499999999998</v>
      </c>
      <c r="Q22" s="79"/>
      <c r="R22" s="79"/>
    </row>
    <row r="23" spans="1:18" ht="13.5" hidden="1" thickBot="1">
      <c r="A23" s="94" t="s">
        <v>41</v>
      </c>
      <c r="B23" s="40">
        <f>'[3]Лист1'!B17</f>
        <v>347</v>
      </c>
      <c r="C23" s="13">
        <f t="shared" si="0"/>
        <v>3001.55</v>
      </c>
      <c r="D23" s="14">
        <f>'[3]Лист1'!D17</f>
        <v>577.73</v>
      </c>
      <c r="E23" s="144">
        <f>'[3]Лист1'!S17</f>
        <v>1563.7</v>
      </c>
      <c r="F23" s="146">
        <f>'[3]Лист1'!T17</f>
        <v>860.12</v>
      </c>
      <c r="G23" s="148">
        <f>'[3]Лист1'!AB17</f>
        <v>1231.0300000000002</v>
      </c>
      <c r="H23" s="146">
        <f>'[3]Лист1'!AC17</f>
        <v>2668.88</v>
      </c>
      <c r="I23" s="148">
        <f>'[3]Лист1'!AG17</f>
        <v>208.2</v>
      </c>
      <c r="J23" s="144">
        <f>'[3]Лист1'!AI17+'[3]Лист1'!AJ17</f>
        <v>342.84822827999994</v>
      </c>
      <c r="K23" s="144">
        <f>'[3]Лист1'!AH17+'[3]Лист1'!AK17+'[3]Лист1'!AL17+'[3]Лист1'!AM17+'[3]Лист1'!AN17+'[3]Лист1'!AO17+'[3]Лист1'!AP17+'[3]Лист1'!AQ17+'[3]Лист1'!AR17</f>
        <v>1179.8602711239998</v>
      </c>
      <c r="L23" s="145">
        <f>'[3]Лист1'!AS17+'[3]Лист1'!AT17+'[3]Лист1'!AU17+'[3]Лист1'!AZ17+'[3]Лист1'!BA17</f>
        <v>0</v>
      </c>
      <c r="M23" s="145">
        <f>'[3]Лист1'!AX17</f>
        <v>69.18576</v>
      </c>
      <c r="N23" s="146">
        <f>'[3]Лист1'!BB17</f>
        <v>1800.0942594039993</v>
      </c>
      <c r="O23" s="147">
        <f>'[3]Лист1'!BD17</f>
        <v>868.7857405960008</v>
      </c>
      <c r="P23" s="147">
        <f>'[3]Лист1'!BE17</f>
        <v>-332.66999999999985</v>
      </c>
      <c r="Q23" s="79"/>
      <c r="R23" s="79"/>
    </row>
    <row r="24" spans="1:18" ht="13.5" hidden="1" thickBot="1">
      <c r="A24" s="94" t="s">
        <v>42</v>
      </c>
      <c r="B24" s="40">
        <f>'[3]Лист1'!B18</f>
        <v>347</v>
      </c>
      <c r="C24" s="13">
        <f t="shared" si="0"/>
        <v>3001.55</v>
      </c>
      <c r="D24" s="14">
        <f>'[3]Лист1'!D18</f>
        <v>577.73</v>
      </c>
      <c r="E24" s="144">
        <f>'[3]Лист1'!S18</f>
        <v>1563.7</v>
      </c>
      <c r="F24" s="146">
        <f>'[3]Лист1'!T18</f>
        <v>860.12</v>
      </c>
      <c r="G24" s="148">
        <f>'[3]Лист1'!AB18</f>
        <v>1939.5499999999997</v>
      </c>
      <c r="H24" s="146">
        <f>'[3]Лист1'!AC18</f>
        <v>3377.3999999999996</v>
      </c>
      <c r="I24" s="148">
        <f>'[3]Лист1'!AG18</f>
        <v>208.2</v>
      </c>
      <c r="J24" s="144">
        <f>'[3]Лист1'!AI18+'[3]Лист1'!AJ18</f>
        <v>346.81262</v>
      </c>
      <c r="K24" s="144">
        <f>'[3]Лист1'!AH18+'[3]Лист1'!AK18+'[3]Лист1'!AL18+'[3]Лист1'!AM18+'[3]Лист1'!AN18+'[3]Лист1'!AO18+'[3]Лист1'!AP18+'[3]Лист1'!AQ18+'[3]Лист1'!AR18</f>
        <v>1190.0018</v>
      </c>
      <c r="L24" s="145">
        <f>'[3]Лист1'!AS18+'[3]Лист1'!AT18+'[3]Лист1'!AU18+'[3]Лист1'!AZ18+'[3]Лист1'!BA18</f>
        <v>0</v>
      </c>
      <c r="M24" s="145">
        <f>'[3]Лист1'!AX18</f>
        <v>84.252</v>
      </c>
      <c r="N24" s="146">
        <f>'[3]Лист1'!BB18</f>
        <v>1829.2664200000002</v>
      </c>
      <c r="O24" s="147">
        <f>'[3]Лист1'!BD18</f>
        <v>1548.1335799999995</v>
      </c>
      <c r="P24" s="147">
        <f>'[3]Лист1'!BE18</f>
        <v>375.8499999999997</v>
      </c>
      <c r="Q24" s="79"/>
      <c r="R24" s="79"/>
    </row>
    <row r="25" spans="1:18" ht="13.5" hidden="1" thickBot="1">
      <c r="A25" s="149" t="s">
        <v>43</v>
      </c>
      <c r="B25" s="40">
        <f>'[3]Лист1'!B19</f>
        <v>347</v>
      </c>
      <c r="C25" s="15">
        <f t="shared" si="0"/>
        <v>3001.55</v>
      </c>
      <c r="D25" s="14">
        <f>'[3]Лист1'!D19</f>
        <v>577.73</v>
      </c>
      <c r="E25" s="144">
        <f>'[3]Лист1'!S19</f>
        <v>1563.7</v>
      </c>
      <c r="F25" s="146">
        <f>'[3]Лист1'!T19</f>
        <v>860.12</v>
      </c>
      <c r="G25" s="148">
        <f>'[3]Лист1'!AB19</f>
        <v>1230.9</v>
      </c>
      <c r="H25" s="146">
        <f>'[3]Лист1'!AC19</f>
        <v>2668.75</v>
      </c>
      <c r="I25" s="148">
        <f>'[3]Лист1'!AG19</f>
        <v>208.2</v>
      </c>
      <c r="J25" s="144">
        <f>'[3]Лист1'!AI19+'[3]Лист1'!AJ19</f>
        <v>348.041</v>
      </c>
      <c r="K25" s="144">
        <f>'[3]Лист1'!AH19+'[3]Лист1'!AK19+'[3]Лист1'!AL19+'[3]Лист1'!AM19+'[3]Лист1'!AN19+'[3]Лист1'!AO19+'[3]Лист1'!AP19+'[3]Лист1'!AQ19+'[3]Лист1'!AR19</f>
        <v>1191.3204</v>
      </c>
      <c r="L25" s="145">
        <f>'[3]Лист1'!AS19+'[3]Лист1'!AT19+'[3]Лист1'!AU19+'[3]Лист1'!AZ19+'[3]Лист1'!BA19</f>
        <v>0</v>
      </c>
      <c r="M25" s="145">
        <f>'[3]Лист1'!AX19</f>
        <v>93.17280000000001</v>
      </c>
      <c r="N25" s="146">
        <f>'[3]Лист1'!BB19</f>
        <v>1840.7342</v>
      </c>
      <c r="O25" s="147">
        <f>'[3]Лист1'!BD19</f>
        <v>828.0157999999999</v>
      </c>
      <c r="P25" s="147">
        <f>'[3]Лист1'!BE19</f>
        <v>-332.79999999999995</v>
      </c>
      <c r="Q25" s="79"/>
      <c r="R25" s="79"/>
    </row>
    <row r="26" spans="1:18" s="9" customFormat="1" ht="13.5" hidden="1" thickBot="1">
      <c r="A26" s="16" t="s">
        <v>5</v>
      </c>
      <c r="B26" s="17"/>
      <c r="C26" s="18">
        <f aca="true" t="shared" si="1" ref="C26:P26">SUM(C14:C25)</f>
        <v>33017.049999999996</v>
      </c>
      <c r="D26" s="31">
        <f t="shared" si="1"/>
        <v>5563.254999999999</v>
      </c>
      <c r="E26" s="18">
        <f t="shared" si="1"/>
        <v>16545.510000000002</v>
      </c>
      <c r="F26" s="32">
        <f t="shared" si="1"/>
        <v>9096.060000000001</v>
      </c>
      <c r="G26" s="31">
        <f t="shared" si="1"/>
        <v>16055.549999999997</v>
      </c>
      <c r="H26" s="32">
        <f t="shared" si="1"/>
        <v>30714.864999999998</v>
      </c>
      <c r="I26" s="31">
        <f t="shared" si="1"/>
        <v>2206.92</v>
      </c>
      <c r="J26" s="18">
        <f t="shared" si="1"/>
        <v>3635.6594948300003</v>
      </c>
      <c r="K26" s="18">
        <f t="shared" si="1"/>
        <v>12400.211564704</v>
      </c>
      <c r="L26" s="18">
        <f t="shared" si="1"/>
        <v>1569.4</v>
      </c>
      <c r="M26" s="18">
        <f t="shared" si="1"/>
        <v>770.36064</v>
      </c>
      <c r="N26" s="32">
        <f t="shared" si="1"/>
        <v>20582.551699533997</v>
      </c>
      <c r="O26" s="37">
        <f t="shared" si="1"/>
        <v>10132.313300466</v>
      </c>
      <c r="P26" s="37">
        <f t="shared" si="1"/>
        <v>-489.96000000000004</v>
      </c>
      <c r="Q26" s="35"/>
      <c r="R26" s="35"/>
    </row>
    <row r="27" spans="1:18" ht="13.5" thickBot="1">
      <c r="A27" s="298" t="s">
        <v>85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150"/>
      <c r="Q27" s="79"/>
      <c r="R27" s="79"/>
    </row>
    <row r="28" spans="1:18" s="9" customFormat="1" ht="13.5" thickBot="1">
      <c r="A28" s="39" t="s">
        <v>54</v>
      </c>
      <c r="B28" s="19"/>
      <c r="C28" s="20">
        <f>'2011 полн'!C8</f>
        <v>147440.11500000002</v>
      </c>
      <c r="D28" s="20">
        <f>'2011 полн'!D8</f>
        <v>15344.441071949997</v>
      </c>
      <c r="E28" s="20">
        <f>'2011 полн'!U8</f>
        <v>121064.90000000002</v>
      </c>
      <c r="F28" s="20">
        <f>'2011 полн'!V8</f>
        <v>10928.720000000001</v>
      </c>
      <c r="G28" s="20">
        <f>'2011 полн'!AF8</f>
        <v>91560.43000000001</v>
      </c>
      <c r="H28" s="20">
        <f>'2011 полн'!AG8</f>
        <v>117833.59107195001</v>
      </c>
      <c r="I28" s="20">
        <f>'2011 полн'!AK8</f>
        <v>10075.547999999997</v>
      </c>
      <c r="J28" s="20">
        <f>'2011 полн'!AL8</f>
        <v>3376.1142196</v>
      </c>
      <c r="K28" s="20">
        <f>'2011 полн'!AM8+'2011 полн'!AO8+'2011 полн'!AP8+'2011 полн'!AX8+'2011 полн'!AY8+194.83</f>
        <v>83683.28969568758</v>
      </c>
      <c r="L28" s="20">
        <f>'2011 полн'!AU8+'2011 полн'!AV8+'2011 полн'!AW8</f>
        <v>60835.5636</v>
      </c>
      <c r="M28" s="20">
        <v>0</v>
      </c>
      <c r="N28" s="20">
        <f>'2011 полн'!BC8+194.83</f>
        <v>157970.51551528758</v>
      </c>
      <c r="O28" s="20">
        <f>'2011 полн'!BF8</f>
        <v>-39942.0944433376</v>
      </c>
      <c r="P28" s="20">
        <f>'2011 полн'!BG8</f>
        <v>-29504.470000000005</v>
      </c>
      <c r="Q28" s="36"/>
      <c r="R28" s="35"/>
    </row>
    <row r="29" spans="1:18" ht="13.5" thickBot="1">
      <c r="A29" s="29" t="s">
        <v>107</v>
      </c>
      <c r="B29" s="15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5"/>
      <c r="O29" s="20"/>
      <c r="P29" s="20"/>
      <c r="Q29" s="79"/>
      <c r="R29" s="79"/>
    </row>
    <row r="30" spans="1:18" ht="12.75">
      <c r="A30" s="152" t="s">
        <v>45</v>
      </c>
      <c r="B30" s="153">
        <f>'2011 полн'!B10</f>
        <v>631.3</v>
      </c>
      <c r="C30" s="141">
        <f>'2011 полн'!C10</f>
        <v>5397.615</v>
      </c>
      <c r="D30" s="141">
        <f>'2011 полн'!D10</f>
        <v>163.5788</v>
      </c>
      <c r="E30" s="141">
        <f>'2011 полн'!U10</f>
        <v>5548.48</v>
      </c>
      <c r="F30" s="141">
        <f>'2011 полн'!V10</f>
        <v>0</v>
      </c>
      <c r="G30" s="141">
        <f>'2011 полн'!AF10</f>
        <v>1697.3799999999999</v>
      </c>
      <c r="H30" s="141">
        <f>'2011 полн'!AG10</f>
        <v>1860.9587999999999</v>
      </c>
      <c r="I30" s="141">
        <f>'2011 полн'!AK10</f>
        <v>422.971</v>
      </c>
      <c r="J30" s="141">
        <f>'2011 полн'!AL10</f>
        <v>126.25999999999999</v>
      </c>
      <c r="K30" s="141">
        <f>'2011 полн'!AM10+'2011 полн'!AN10+'2011 полн'!AO10+'2011 полн'!AP10+'2011 полн'!AQ10+'2011 полн'!AR10+'2011 полн'!AS10</f>
        <v>4362.282999999999</v>
      </c>
      <c r="L30" s="141">
        <f>'2011 полн'!AU10+'2011 полн'!AV10+'2011 полн'!AW10</f>
        <v>0</v>
      </c>
      <c r="M30" s="154">
        <f>'[4]2011 полн'!AZ10</f>
        <v>0</v>
      </c>
      <c r="N30" s="141">
        <f>I30+J30+K30+L30</f>
        <v>4911.513999999999</v>
      </c>
      <c r="O30" s="141">
        <f>'2011 полн'!BF10</f>
        <v>-3050.5552000000002</v>
      </c>
      <c r="P30" s="141">
        <f>'2011 полн'!BG10</f>
        <v>-3851.0999999999995</v>
      </c>
      <c r="Q30" s="79"/>
      <c r="R30" s="79"/>
    </row>
    <row r="31" spans="1:18" ht="12.75">
      <c r="A31" s="94" t="s">
        <v>46</v>
      </c>
      <c r="B31" s="153">
        <f>'2011 полн'!B11</f>
        <v>631.3</v>
      </c>
      <c r="C31" s="141">
        <f>'2011 полн'!C11</f>
        <v>5397.615</v>
      </c>
      <c r="D31" s="141">
        <f>'2011 полн'!D11</f>
        <v>163.5788</v>
      </c>
      <c r="E31" s="141">
        <f>'2011 полн'!U11</f>
        <v>5548.48</v>
      </c>
      <c r="F31" s="141">
        <f>'2011 полн'!V11</f>
        <v>0</v>
      </c>
      <c r="G31" s="141">
        <f>'2011 полн'!AF11</f>
        <v>4379.38</v>
      </c>
      <c r="H31" s="141">
        <f>'2011 полн'!AG11</f>
        <v>4542.9588</v>
      </c>
      <c r="I31" s="141">
        <f>'2011 полн'!AK11</f>
        <v>422.971</v>
      </c>
      <c r="J31" s="141">
        <f>'2011 полн'!AL11</f>
        <v>126.25999999999999</v>
      </c>
      <c r="K31" s="141">
        <f>'2011 полн'!AM11+'2011 полн'!AN11+'2011 полн'!AO11+'2011 полн'!AP11+'2011 полн'!AQ11+'2011 полн'!AR11+'2011 полн'!AS11</f>
        <v>4362.282999999999</v>
      </c>
      <c r="L31" s="141">
        <f>'2011 полн'!AU11+'2011 полн'!AV11+'2011 полн'!AW11</f>
        <v>0</v>
      </c>
      <c r="M31" s="154">
        <f>'[4]2011 полн'!AZ11</f>
        <v>0</v>
      </c>
      <c r="N31" s="141">
        <f aca="true" t="shared" si="2" ref="N31:N41">I31+J31+K31+L31</f>
        <v>4911.513999999999</v>
      </c>
      <c r="O31" s="141">
        <f>'2011 полн'!BF11</f>
        <v>-448.5551999999998</v>
      </c>
      <c r="P31" s="141">
        <f>'2011 полн'!BG11</f>
        <v>-1169.0999999999995</v>
      </c>
      <c r="Q31" s="79"/>
      <c r="R31" s="79"/>
    </row>
    <row r="32" spans="1:18" ht="12.75">
      <c r="A32" s="94" t="s">
        <v>47</v>
      </c>
      <c r="B32" s="153">
        <f>'2011 полн'!B12</f>
        <v>631.3</v>
      </c>
      <c r="C32" s="141">
        <f>'2011 полн'!C12</f>
        <v>5397.615</v>
      </c>
      <c r="D32" s="141">
        <f>'2011 полн'!D12</f>
        <v>163.5788</v>
      </c>
      <c r="E32" s="141">
        <f>'2011 полн'!U12</f>
        <v>5548.48</v>
      </c>
      <c r="F32" s="141">
        <f>'2011 полн'!V12</f>
        <v>0</v>
      </c>
      <c r="G32" s="141">
        <f>'2011 полн'!AF12</f>
        <v>3526.01</v>
      </c>
      <c r="H32" s="141">
        <f>'2011 полн'!AG12</f>
        <v>3689.5888000000004</v>
      </c>
      <c r="I32" s="141">
        <f>'2011 полн'!AK12</f>
        <v>422.971</v>
      </c>
      <c r="J32" s="141">
        <f>'2011 полн'!AL12</f>
        <v>126.25999999999999</v>
      </c>
      <c r="K32" s="141">
        <f>'2011 полн'!AM12+'2011 полн'!AN12+'2011 полн'!AO12+'2011 полн'!AP12+'2011 полн'!AQ12+'2011 полн'!AR12+'2011 полн'!AS12</f>
        <v>4362.282999999999</v>
      </c>
      <c r="L32" s="141">
        <f>'2011 полн'!AU12+'2011 полн'!AV12+'2011 полн'!AW12</f>
        <v>0</v>
      </c>
      <c r="M32" s="154">
        <f>'[4]2011 полн'!AZ12</f>
        <v>0</v>
      </c>
      <c r="N32" s="141">
        <f t="shared" si="2"/>
        <v>4911.513999999999</v>
      </c>
      <c r="O32" s="141">
        <f>'2011 полн'!BF12</f>
        <v>-1221.9251999999997</v>
      </c>
      <c r="P32" s="141">
        <f>'2011 полн'!BG12</f>
        <v>-2022.4699999999993</v>
      </c>
      <c r="Q32" s="79"/>
      <c r="R32" s="79"/>
    </row>
    <row r="33" spans="1:18" ht="12.75">
      <c r="A33" s="94" t="s">
        <v>48</v>
      </c>
      <c r="B33" s="153">
        <f>'2011 полн'!B13</f>
        <v>631.3</v>
      </c>
      <c r="C33" s="141">
        <f>'2011 полн'!C13</f>
        <v>5397.615</v>
      </c>
      <c r="D33" s="141">
        <f>'2011 полн'!D13</f>
        <v>163.5788</v>
      </c>
      <c r="E33" s="141">
        <f>'2011 полн'!U13</f>
        <v>5548.48</v>
      </c>
      <c r="F33" s="141">
        <f>'2011 полн'!V13</f>
        <v>0</v>
      </c>
      <c r="G33" s="141">
        <f>'2011 полн'!AF13</f>
        <v>6395.35</v>
      </c>
      <c r="H33" s="141">
        <f>'2011 полн'!AG13</f>
        <v>6558.928800000001</v>
      </c>
      <c r="I33" s="141">
        <f>'2011 полн'!AK13</f>
        <v>422.971</v>
      </c>
      <c r="J33" s="141">
        <f>'2011 полн'!AL13</f>
        <v>126.25999999999999</v>
      </c>
      <c r="K33" s="141">
        <f>'2011 полн'!AM13+'2011 полн'!AN13+'2011 полн'!AO13+'2011 полн'!AP13+'2011 полн'!AQ13+'2011 полн'!AR13+'2011 полн'!AS13</f>
        <v>3636.2879999999996</v>
      </c>
      <c r="L33" s="141">
        <f>'2011 полн'!AU13+'2011 полн'!AV13+'2011 полн'!AW13</f>
        <v>150</v>
      </c>
      <c r="M33" s="154">
        <f>'[4]2011 полн'!AZ13</f>
        <v>0</v>
      </c>
      <c r="N33" s="141">
        <f t="shared" si="2"/>
        <v>4335.518999999999</v>
      </c>
      <c r="O33" s="141">
        <f>'2011 полн'!BF13</f>
        <v>2223.4098000000004</v>
      </c>
      <c r="P33" s="141">
        <f>'2011 полн'!BG13</f>
        <v>846.8700000000008</v>
      </c>
      <c r="Q33" s="79"/>
      <c r="R33" s="79"/>
    </row>
    <row r="34" spans="1:18" ht="12.75">
      <c r="A34" s="94" t="s">
        <v>49</v>
      </c>
      <c r="B34" s="153">
        <f>'2011 полн'!B14</f>
        <v>631.3</v>
      </c>
      <c r="C34" s="141">
        <f>'2011 полн'!C14</f>
        <v>5397.615</v>
      </c>
      <c r="D34" s="141">
        <f>'2011 полн'!D14</f>
        <v>163.5788</v>
      </c>
      <c r="E34" s="141">
        <f>'2011 полн'!U14</f>
        <v>5548.48</v>
      </c>
      <c r="F34" s="141">
        <f>'2011 полн'!V14</f>
        <v>0</v>
      </c>
      <c r="G34" s="141">
        <f>'2011 полн'!AF14</f>
        <v>2388.0799999999995</v>
      </c>
      <c r="H34" s="141">
        <f>'2011 полн'!AG14</f>
        <v>2551.6587999999992</v>
      </c>
      <c r="I34" s="141">
        <f>'2011 полн'!AK14</f>
        <v>422.971</v>
      </c>
      <c r="J34" s="141">
        <f>'2011 полн'!AL14</f>
        <v>126.25999999999999</v>
      </c>
      <c r="K34" s="141">
        <f>'2011 полн'!AM14+'2011 полн'!AN14+'2011 полн'!AO14+'2011 полн'!AP14+'2011 полн'!AQ14+'2011 полн'!AR14+'2011 полн'!AS14</f>
        <v>3636.2879999999996</v>
      </c>
      <c r="L34" s="141">
        <f>'2011 полн'!AU14+'2011 полн'!AV14+'2011 полн'!AW14</f>
        <v>0</v>
      </c>
      <c r="M34" s="154">
        <f>'[4]2011 полн'!AZ14</f>
        <v>0</v>
      </c>
      <c r="N34" s="141">
        <f t="shared" si="2"/>
        <v>4185.518999999999</v>
      </c>
      <c r="O34" s="141">
        <f>'2011 полн'!BF14</f>
        <v>-1633.860200000001</v>
      </c>
      <c r="P34" s="141">
        <f>'2011 полн'!BG14</f>
        <v>-3160.4</v>
      </c>
      <c r="Q34" s="79"/>
      <c r="R34" s="79"/>
    </row>
    <row r="35" spans="1:18" ht="12.75">
      <c r="A35" s="94" t="s">
        <v>50</v>
      </c>
      <c r="B35" s="153">
        <f>'2011 полн'!B15</f>
        <v>631.3</v>
      </c>
      <c r="C35" s="141">
        <f>'2011 полн'!C15</f>
        <v>5397.615</v>
      </c>
      <c r="D35" s="141">
        <f>'2011 полн'!D15</f>
        <v>163.5788</v>
      </c>
      <c r="E35" s="141">
        <f>'2011 полн'!U15</f>
        <v>5548.48</v>
      </c>
      <c r="F35" s="141">
        <f>'2011 полн'!V15</f>
        <v>0</v>
      </c>
      <c r="G35" s="141">
        <f>'2011 полн'!AF15</f>
        <v>5153.27</v>
      </c>
      <c r="H35" s="141">
        <f>'2011 полн'!AG15</f>
        <v>5316.848800000001</v>
      </c>
      <c r="I35" s="141">
        <f>'2011 полн'!AK15</f>
        <v>422.971</v>
      </c>
      <c r="J35" s="141">
        <f>'2011 полн'!AL15</f>
        <v>126.25999999999999</v>
      </c>
      <c r="K35" s="141">
        <f>'2011 полн'!AM15+'2011 полн'!AN15+'2011 полн'!AO15+'2011 полн'!AP15+'2011 полн'!AQ15+'2011 полн'!AR15+'2011 полн'!AS15</f>
        <v>3636.2879999999996</v>
      </c>
      <c r="L35" s="141">
        <f>'2011 полн'!AU15+'2011 полн'!AV15+'2011 полн'!AW15</f>
        <v>0</v>
      </c>
      <c r="M35" s="154">
        <f>'[4]2011 полн'!AZ15</f>
        <v>0</v>
      </c>
      <c r="N35" s="141">
        <f t="shared" si="2"/>
        <v>4185.518999999999</v>
      </c>
      <c r="O35" s="141">
        <f>'2011 полн'!BF15</f>
        <v>1131.3298000000004</v>
      </c>
      <c r="P35" s="141">
        <f>'2011 полн'!BG15</f>
        <v>-395.2099999999991</v>
      </c>
      <c r="Q35" s="79"/>
      <c r="R35" s="79"/>
    </row>
    <row r="36" spans="1:16" ht="12.75">
      <c r="A36" s="94" t="s">
        <v>51</v>
      </c>
      <c r="B36" s="153">
        <f>'2011 полн'!B16</f>
        <v>631.3</v>
      </c>
      <c r="C36" s="141">
        <f>'2011 полн'!C16</f>
        <v>8869.765</v>
      </c>
      <c r="D36" s="141">
        <f>'2011 полн'!D16</f>
        <v>163.5788</v>
      </c>
      <c r="E36" s="141">
        <f>'2011 полн'!U16</f>
        <v>8869.77</v>
      </c>
      <c r="F36" s="141">
        <f>'2011 полн'!V16</f>
        <v>0</v>
      </c>
      <c r="G36" s="141">
        <f>'2011 полн'!AF16</f>
        <v>2811.84</v>
      </c>
      <c r="H36" s="141">
        <f>'2011 полн'!AG16</f>
        <v>2975.4188000000004</v>
      </c>
      <c r="I36" s="141">
        <f>'2011 полн'!AK16</f>
        <v>422.971</v>
      </c>
      <c r="J36" s="141">
        <f>'2011 полн'!AL16</f>
        <v>126.25999999999999</v>
      </c>
      <c r="K36" s="141">
        <f>'2011 полн'!AM16+'2011 полн'!AN16+'2011 полн'!AO16+'2011 полн'!AP16+'2011 полн'!AQ16+'2011 полн'!AR16+'2011 полн'!AS16</f>
        <v>3636.2879999999996</v>
      </c>
      <c r="L36" s="141">
        <f>'2011 полн'!AU16+'2011 полн'!AV16+'2011 полн'!AW16</f>
        <v>0</v>
      </c>
      <c r="M36" s="154">
        <f>'[4]2011 полн'!AZ16</f>
        <v>0</v>
      </c>
      <c r="N36" s="141">
        <f t="shared" si="2"/>
        <v>4185.518999999999</v>
      </c>
      <c r="O36" s="141">
        <f>'2011 полн'!BF16</f>
        <v>-1498.2201999999997</v>
      </c>
      <c r="P36" s="141">
        <f>'2011 полн'!BG16</f>
        <v>-6057.93</v>
      </c>
    </row>
    <row r="37" spans="1:16" ht="12.75">
      <c r="A37" s="94" t="s">
        <v>52</v>
      </c>
      <c r="B37" s="153">
        <f>'2011 полн'!B17</f>
        <v>631.3</v>
      </c>
      <c r="C37" s="141">
        <f>'2011 полн'!C17</f>
        <v>8869.765</v>
      </c>
      <c r="D37" s="141">
        <f>'2011 полн'!D17</f>
        <v>163.5788</v>
      </c>
      <c r="E37" s="141">
        <f>'2011 полн'!U17</f>
        <v>8869.77</v>
      </c>
      <c r="F37" s="141">
        <f>'2011 полн'!V17</f>
        <v>0</v>
      </c>
      <c r="G37" s="141">
        <f>'2011 полн'!AF17</f>
        <v>4937.78</v>
      </c>
      <c r="H37" s="141">
        <f>'2011 полн'!AG17</f>
        <v>5101.3588</v>
      </c>
      <c r="I37" s="141">
        <f>'2011 полн'!AK17</f>
        <v>422.971</v>
      </c>
      <c r="J37" s="141">
        <f>'2011 полн'!AL17</f>
        <v>126.25999999999999</v>
      </c>
      <c r="K37" s="141">
        <f>'2011 полн'!AM17+'2011 полн'!AN17+'2011 полн'!AO17+'2011 полн'!AP17+'2011 полн'!AQ17+'2011 полн'!AR17+'2011 полн'!AS17</f>
        <v>3636.2879999999996</v>
      </c>
      <c r="L37" s="141">
        <f>'2011 полн'!AU17+'2011 полн'!AV17+'2011 полн'!AW17</f>
        <v>0</v>
      </c>
      <c r="M37" s="154">
        <f>'[4]2011 полн'!AZ17</f>
        <v>0</v>
      </c>
      <c r="N37" s="141">
        <f t="shared" si="2"/>
        <v>4185.518999999999</v>
      </c>
      <c r="O37" s="141">
        <f>'2011 полн'!BF17</f>
        <v>915.8397999999997</v>
      </c>
      <c r="P37" s="141">
        <f>'2011 полн'!BG17</f>
        <v>-3931.9900000000007</v>
      </c>
    </row>
    <row r="38" spans="1:16" ht="12.75">
      <c r="A38" s="94" t="s">
        <v>53</v>
      </c>
      <c r="B38" s="153">
        <f>'2011 полн'!B18</f>
        <v>631.3</v>
      </c>
      <c r="C38" s="141">
        <f>'2011 полн'!C18</f>
        <v>8869.765</v>
      </c>
      <c r="D38" s="141">
        <f>'2011 полн'!D18</f>
        <v>163.5788</v>
      </c>
      <c r="E38" s="141">
        <f>'2011 полн'!U18</f>
        <v>8869.8</v>
      </c>
      <c r="F38" s="141">
        <f>'2011 полн'!V18</f>
        <v>0</v>
      </c>
      <c r="G38" s="141">
        <f>'2011 полн'!AF18</f>
        <v>4246.05</v>
      </c>
      <c r="H38" s="141">
        <f>'2011 полн'!AG18</f>
        <v>4409.6288</v>
      </c>
      <c r="I38" s="141">
        <f>'2011 полн'!AK18</f>
        <v>422.971</v>
      </c>
      <c r="J38" s="141">
        <f>'2011 полн'!AL18</f>
        <v>126.25999999999999</v>
      </c>
      <c r="K38" s="141">
        <f>'2011 полн'!AM18+'2011 полн'!AN18+'2011 полн'!AO18+'2011 полн'!AP18+'2011 полн'!AQ18+'2011 полн'!AR18+'2011 полн'!AS18</f>
        <v>3636.2879999999996</v>
      </c>
      <c r="L38" s="141">
        <f>'2011 полн'!AU18+'2011 полн'!AV18+'2011 полн'!AW18</f>
        <v>0</v>
      </c>
      <c r="M38" s="154">
        <f>'[4]2011 полн'!AZ18</f>
        <v>0</v>
      </c>
      <c r="N38" s="141">
        <f t="shared" si="2"/>
        <v>4185.518999999999</v>
      </c>
      <c r="O38" s="141">
        <f>'2011 полн'!BF18</f>
        <v>224.10980000000018</v>
      </c>
      <c r="P38" s="141">
        <f>'2011 полн'!BG18</f>
        <v>-4623.749999999999</v>
      </c>
    </row>
    <row r="39" spans="1:16" ht="12.75">
      <c r="A39" s="94" t="s">
        <v>41</v>
      </c>
      <c r="B39" s="153">
        <f>'2011 полн'!B19</f>
        <v>631.3</v>
      </c>
      <c r="C39" s="141">
        <f>'2011 полн'!C19</f>
        <v>8869.765</v>
      </c>
      <c r="D39" s="141">
        <f>'2011 полн'!D19</f>
        <v>163.5788</v>
      </c>
      <c r="E39" s="141">
        <f>'2011 полн'!U19</f>
        <v>8869.8</v>
      </c>
      <c r="F39" s="141">
        <f>'2011 полн'!V19</f>
        <v>0</v>
      </c>
      <c r="G39" s="141">
        <f>'2011 полн'!AF19</f>
        <v>9010.609999999999</v>
      </c>
      <c r="H39" s="141">
        <f>'2011 полн'!AG19</f>
        <v>9174.188799999998</v>
      </c>
      <c r="I39" s="141">
        <f>'2011 полн'!AK19</f>
        <v>422.971</v>
      </c>
      <c r="J39" s="141">
        <f>'2011 полн'!AL19</f>
        <v>126.25999999999999</v>
      </c>
      <c r="K39" s="141">
        <f>'2011 полн'!AM19+'2011 полн'!AN19+'2011 полн'!AO19+'2011 полн'!AP19+'2011 полн'!AQ19+'2011 полн'!AR19+'2011 полн'!AS19</f>
        <v>4362.282999999999</v>
      </c>
      <c r="L39" s="141">
        <f>'2011 полн'!AU19+'2011 полн'!AV19+'2011 полн'!AW19</f>
        <v>0</v>
      </c>
      <c r="M39" s="154">
        <f>'[4]2011 полн'!AZ19</f>
        <v>0</v>
      </c>
      <c r="N39" s="141">
        <f t="shared" si="2"/>
        <v>4911.513999999999</v>
      </c>
      <c r="O39" s="141">
        <f>'2011 полн'!BF19</f>
        <v>4262.674799999998</v>
      </c>
      <c r="P39" s="141">
        <f>'2011 полн'!BG19</f>
        <v>140.8099999999995</v>
      </c>
    </row>
    <row r="40" spans="1:16" ht="12.75">
      <c r="A40" s="94" t="s">
        <v>42</v>
      </c>
      <c r="B40" s="153">
        <f>'2011 полн'!B20</f>
        <v>631.3</v>
      </c>
      <c r="C40" s="141">
        <f>'2011 полн'!C20</f>
        <v>8869.765</v>
      </c>
      <c r="D40" s="141">
        <f>'2011 полн'!D20</f>
        <v>163.5788</v>
      </c>
      <c r="E40" s="141">
        <f>'2011 полн'!U20</f>
        <v>8966.74</v>
      </c>
      <c r="F40" s="141">
        <f>'2011 полн'!V20</f>
        <v>0</v>
      </c>
      <c r="G40" s="141">
        <f>'2011 полн'!AF20</f>
        <v>7465.250000000001</v>
      </c>
      <c r="H40" s="141">
        <f>'2011 полн'!AG20</f>
        <v>7628.828800000001</v>
      </c>
      <c r="I40" s="141">
        <f>'2011 полн'!AK20</f>
        <v>422.971</v>
      </c>
      <c r="J40" s="141">
        <f>'2011 полн'!AL20</f>
        <v>126.25999999999999</v>
      </c>
      <c r="K40" s="141">
        <f>'2011 полн'!AM20+'2011 полн'!AN20+'2011 полн'!AO20+'2011 полн'!AP20+'2011 полн'!AQ20+'2011 полн'!AR20+'2011 полн'!AS20</f>
        <v>4362.282999999999</v>
      </c>
      <c r="L40" s="141">
        <f>'2011 полн'!AU20+'2011 полн'!AV20+'2011 полн'!AW20</f>
        <v>0</v>
      </c>
      <c r="M40" s="154">
        <f>'[4]2011 полн'!AZ20</f>
        <v>0</v>
      </c>
      <c r="N40" s="141">
        <f t="shared" si="2"/>
        <v>4911.513999999999</v>
      </c>
      <c r="O40" s="141">
        <f>'2011 полн'!BF20</f>
        <v>2717.314800000001</v>
      </c>
      <c r="P40" s="141">
        <f>'2011 полн'!BG20</f>
        <v>-1501.4899999999989</v>
      </c>
    </row>
    <row r="41" spans="1:16" ht="13.5" thickBot="1">
      <c r="A41" s="94" t="s">
        <v>43</v>
      </c>
      <c r="B41" s="153">
        <f>'2011 полн'!B21</f>
        <v>631.3</v>
      </c>
      <c r="C41" s="141">
        <f>'2011 полн'!C21</f>
        <v>8869.765</v>
      </c>
      <c r="D41" s="141">
        <f>'2011 полн'!D21</f>
        <v>163.5788</v>
      </c>
      <c r="E41" s="141">
        <f>'2011 полн'!U21</f>
        <v>8011.37</v>
      </c>
      <c r="F41" s="141">
        <f>'2011 полн'!V21</f>
        <v>0</v>
      </c>
      <c r="G41" s="141">
        <f>'2011 полн'!AF21</f>
        <v>6189.16</v>
      </c>
      <c r="H41" s="141">
        <f>'2011 полн'!AG21</f>
        <v>6352.7388</v>
      </c>
      <c r="I41" s="141">
        <f>'2011 полн'!AK21</f>
        <v>422.971</v>
      </c>
      <c r="J41" s="141">
        <f>'2011 полн'!AL21</f>
        <v>126.25999999999999</v>
      </c>
      <c r="K41" s="141">
        <f>'2011 полн'!AM21+'2011 полн'!AN21+'2011 полн'!AO21+'2011 полн'!AP21+'2011 полн'!AQ21+'2011 полн'!AR21+'2011 полн'!AS21</f>
        <v>4362.282999999999</v>
      </c>
      <c r="L41" s="141">
        <f>'2011 полн'!AU21+'2011 полн'!AV21+'2011 полн'!AW21</f>
        <v>0</v>
      </c>
      <c r="M41" s="154">
        <f>'[4]2011 полн'!AZ21</f>
        <v>0</v>
      </c>
      <c r="N41" s="141">
        <f t="shared" si="2"/>
        <v>4911.513999999999</v>
      </c>
      <c r="O41" s="141">
        <f>'2011 полн'!BF21</f>
        <v>1441.2248</v>
      </c>
      <c r="P41" s="141">
        <f>'2011 полн'!BG21</f>
        <v>-1822.21</v>
      </c>
    </row>
    <row r="42" spans="1:18" s="9" customFormat="1" ht="13.5" thickBot="1">
      <c r="A42" s="16" t="s">
        <v>5</v>
      </c>
      <c r="B42" s="17"/>
      <c r="C42" s="155">
        <f aca="true" t="shared" si="3" ref="C42:O42">SUM(C30:C41)</f>
        <v>85604.28</v>
      </c>
      <c r="D42" s="155">
        <f t="shared" si="3"/>
        <v>1962.9456</v>
      </c>
      <c r="E42" s="155">
        <f t="shared" si="3"/>
        <v>85748.13</v>
      </c>
      <c r="F42" s="155">
        <f t="shared" si="3"/>
        <v>0</v>
      </c>
      <c r="G42" s="155">
        <f t="shared" si="3"/>
        <v>58200.16</v>
      </c>
      <c r="H42" s="155">
        <f t="shared" si="3"/>
        <v>60163.1056</v>
      </c>
      <c r="I42" s="155">
        <f t="shared" si="3"/>
        <v>5075.652</v>
      </c>
      <c r="J42" s="155">
        <f t="shared" si="3"/>
        <v>1515.12</v>
      </c>
      <c r="K42" s="155">
        <f t="shared" si="3"/>
        <v>47991.42599999999</v>
      </c>
      <c r="L42" s="155">
        <f t="shared" si="3"/>
        <v>150</v>
      </c>
      <c r="M42" s="155">
        <f t="shared" si="3"/>
        <v>0</v>
      </c>
      <c r="N42" s="155">
        <f t="shared" si="3"/>
        <v>54732.19799999999</v>
      </c>
      <c r="O42" s="155">
        <f t="shared" si="3"/>
        <v>5062.7876</v>
      </c>
      <c r="P42" s="155">
        <f>SUM(P30:P41)</f>
        <v>-27547.969999999994</v>
      </c>
      <c r="Q42" s="35"/>
      <c r="R42" s="35"/>
    </row>
    <row r="43" spans="1:18" ht="13.5" thickBot="1">
      <c r="A43" s="298" t="s">
        <v>70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337"/>
      <c r="O43" s="337"/>
      <c r="P43" s="156"/>
      <c r="Q43" s="79"/>
      <c r="R43" s="79"/>
    </row>
    <row r="44" spans="1:18" s="9" customFormat="1" ht="13.5" thickBot="1">
      <c r="A44" s="39" t="s">
        <v>54</v>
      </c>
      <c r="B44" s="19"/>
      <c r="C44" s="20">
        <f aca="true" t="shared" si="4" ref="C44:O44">C42+C28</f>
        <v>233044.39500000002</v>
      </c>
      <c r="D44" s="20">
        <f t="shared" si="4"/>
        <v>17307.386671949997</v>
      </c>
      <c r="E44" s="20">
        <f t="shared" si="4"/>
        <v>206813.03000000003</v>
      </c>
      <c r="F44" s="20">
        <f t="shared" si="4"/>
        <v>10928.720000000001</v>
      </c>
      <c r="G44" s="20">
        <f t="shared" si="4"/>
        <v>149760.59000000003</v>
      </c>
      <c r="H44" s="20">
        <f t="shared" si="4"/>
        <v>177996.69667195002</v>
      </c>
      <c r="I44" s="20">
        <f t="shared" si="4"/>
        <v>15151.199999999997</v>
      </c>
      <c r="J44" s="20">
        <f t="shared" si="4"/>
        <v>4891.2342196</v>
      </c>
      <c r="K44" s="20">
        <f t="shared" si="4"/>
        <v>131674.71569568757</v>
      </c>
      <c r="L44" s="20">
        <f t="shared" si="4"/>
        <v>60985.5636</v>
      </c>
      <c r="M44" s="20">
        <f t="shared" si="4"/>
        <v>0</v>
      </c>
      <c r="N44" s="20">
        <f t="shared" si="4"/>
        <v>212702.71351528756</v>
      </c>
      <c r="O44" s="20">
        <f t="shared" si="4"/>
        <v>-34879.3068433376</v>
      </c>
      <c r="P44" s="20">
        <f>P42+P28</f>
        <v>-57052.44</v>
      </c>
      <c r="Q44" s="36"/>
      <c r="R44" s="35"/>
    </row>
    <row r="46" spans="1:18" ht="12.75">
      <c r="A46" s="9" t="s">
        <v>113</v>
      </c>
      <c r="D46" s="41" t="s">
        <v>121</v>
      </c>
      <c r="Q46" s="79"/>
      <c r="R46" s="79"/>
    </row>
    <row r="47" spans="1:18" ht="12.75">
      <c r="A47" s="91" t="s">
        <v>71</v>
      </c>
      <c r="B47" s="91" t="s">
        <v>72</v>
      </c>
      <c r="C47" s="178" t="s">
        <v>73</v>
      </c>
      <c r="D47" s="179"/>
      <c r="Q47" s="79"/>
      <c r="R47" s="79"/>
    </row>
    <row r="48" spans="1:18" ht="12.75">
      <c r="A48" s="157">
        <v>39392.49</v>
      </c>
      <c r="B48" s="56">
        <v>0</v>
      </c>
      <c r="C48" s="158">
        <f>A48-B48</f>
        <v>39392.49</v>
      </c>
      <c r="D48" s="159"/>
      <c r="Q48" s="79"/>
      <c r="R48" s="79"/>
    </row>
    <row r="49" spans="1:18" ht="12.75">
      <c r="A49" s="160"/>
      <c r="Q49" s="79"/>
      <c r="R49" s="79"/>
    </row>
    <row r="50" spans="1:18" ht="12.75">
      <c r="A50" s="80" t="s">
        <v>109</v>
      </c>
      <c r="G50" s="80" t="s">
        <v>110</v>
      </c>
      <c r="Q50" s="79"/>
      <c r="R50" s="79"/>
    </row>
    <row r="51" ht="12.75">
      <c r="A51" s="79"/>
    </row>
    <row r="52" ht="12.75">
      <c r="A52" s="79"/>
    </row>
    <row r="53" ht="12.75">
      <c r="A53" s="41" t="s">
        <v>112</v>
      </c>
    </row>
    <row r="54" ht="12.75">
      <c r="A54" s="80" t="s">
        <v>111</v>
      </c>
    </row>
  </sheetData>
  <sheetProtection/>
  <mergeCells count="25">
    <mergeCell ref="N10:N11"/>
    <mergeCell ref="A27:O27"/>
    <mergeCell ref="A43:O43"/>
    <mergeCell ref="I8:N9"/>
    <mergeCell ref="O8:O11"/>
    <mergeCell ref="A8:A11"/>
    <mergeCell ref="B8:B11"/>
    <mergeCell ref="C8:C11"/>
    <mergeCell ref="D8:D11"/>
    <mergeCell ref="P8:P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1968503937007874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2011-12-01T03:30:48Z</cp:lastPrinted>
  <dcterms:created xsi:type="dcterms:W3CDTF">2010-04-02T05:03:24Z</dcterms:created>
  <dcterms:modified xsi:type="dcterms:W3CDTF">2012-03-21T05:32:01Z</dcterms:modified>
  <cp:category/>
  <cp:version/>
  <cp:contentType/>
  <cp:contentStatus/>
</cp:coreProperties>
</file>