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для печати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<sst xmlns="http://schemas.openxmlformats.org/spreadsheetml/2006/main" count="300" uniqueCount="121">
  <si>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</si>
  <si>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</si>
  <si>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</si>
  <si>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</si>
  <si>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</si>
  <si>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</si>
  <si>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</si>
  <si>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</si>
  <si>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</si>
  <si>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</si>
  <si>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</si>
  <si>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</si>
  <si>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</si>
  <si>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</si>
  <si>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</si>
  <si>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</si>
  <si>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</si>
  <si>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</si>
  <si>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</si>
  <si>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</si>
  <si>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</si>
  <si>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</si>
  <si>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</si>
  <si>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</si>
  <si>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</si>
  <si>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</si>
  <si>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</si>
  <si>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</si>
  <si>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</si>
  <si>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</si>
  <si>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</si>
  <si>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</si>
  <si>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</si>
  <si>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</si>
  <si>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</si>
  <si>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</si>
  <si>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</si>
  <si>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</si>
  <si>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</si>
  <si>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</si>
  <si>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</si>
  <si>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</si>
  <si>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</si>
  <si>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</si>
  <si>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</si>
  <si>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</si>
  <si>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</si>
  <si>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</si>
  <si>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</si>
  <si>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</si>
  <si>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</si>
  <si>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</si>
  <si>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</si>
  <si>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</si>
  <si>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</si>
  <si>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</si>
  <si>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</si>
  <si>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</si>
  <si>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</si>
  <si>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</si>
  <si>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</si>
  <si>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</si>
  <si>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</si>
  <si>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</si>
  <si>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</si>
  <si>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</si>
  <si>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</si>
  <si>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</si>
  <si>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</si>
  <si>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</si>
  <si>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</si>
  <si>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</si>
  <si>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</si>
  <si>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</si>
  <si>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</si>
  <si>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</si>
  <si>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</si>
  <si>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</si>
  <si>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</si>
  <si>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</si>
  <si>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</si>
  <si>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</si>
  <si>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</si>
  <si>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</si>
  <si>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</si>
  <si>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</si>
  <si>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</si>
  <si>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</si>
  <si>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</si>
  <si>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Юбилейная, д. 5</t>
  </si>
  <si>
    <t>Выписка по лицевому счету по адресу г. Таштагол ул. Юбилейная, д. 5</t>
  </si>
  <si>
    <t>2010 год</t>
  </si>
  <si>
    <t>*по состоянию на 01.01.2011 г.</t>
  </si>
  <si>
    <t>на 01.01. 2011 г.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</si>
  <si>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</si>
  <si>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</si>
  <si>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</si>
  <si>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</si>
  <si>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</si>
  <si>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</si>
  <si>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</si>
  <si>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</si>
  <si>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</si>
  <si>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</si>
  <si>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</si>
  <si>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</si>
  <si>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</si>
  <si>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</si>
  <si>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</si>
  <si>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</si>
  <si>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</si>
  <si>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</si>
  <si>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</si>
  <si>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</si>
  <si>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</si>
  <si>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</si>
  <si>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Тариф по содержанию и тек.ремонту 100 % (14,05 руб.*площадь)</t>
  </si>
  <si>
    <t>Услуга начисления</t>
  </si>
  <si>
    <t>*по состоянию на 01.01.2012 г.</t>
  </si>
  <si>
    <t>Исп. В.В. Колмогорова</t>
  </si>
  <si>
    <t>Лицевой счет по адресу г. Таштагол, ул. Юбилейная, д.5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</si>
</sst>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3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8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7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2" fontId="10" fillId="34" borderId="11" xfId="0" applyNumberFormat="1" applyFont="1" applyFill="1" applyBorder="1" applyAlignment="1">
      <alignment horizontal="center"/>
    </xf>
    <xf numFmtId="4" fontId="0" fillId="0" borderId="69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horizontal="center" wrapText="1"/>
    </xf>
    <xf numFmtId="4" fontId="30" fillId="0" borderId="34" xfId="34" applyNumberFormat="1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0" fillId="0" borderId="34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30" fillId="35" borderId="31" xfId="0" applyFont="1" applyFill="1" applyBorder="1" applyAlignment="1">
      <alignment/>
    </xf>
    <xf numFmtId="0" fontId="31" fillId="0" borderId="34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0" fillId="0" borderId="20" xfId="0" applyFont="1" applyBorder="1" applyAlignment="1">
      <alignment wrapText="1"/>
    </xf>
    <xf numFmtId="0" fontId="30" fillId="0" borderId="59" xfId="0" applyFont="1" applyBorder="1" applyAlignment="1">
      <alignment wrapText="1"/>
    </xf>
    <xf numFmtId="0" fontId="30" fillId="35" borderId="15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4" fontId="1" fillId="0" borderId="56" xfId="0" applyNumberFormat="1" applyFont="1" applyFill="1" applyBorder="1" applyAlignment="1">
      <alignment horizontal="right"/>
    </xf>
    <xf numFmtId="4" fontId="0" fillId="34" borderId="70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0" fontId="0" fillId="39" borderId="0" xfId="0" applyFont="1" applyFill="1" applyAlignment="1">
      <alignment/>
    </xf>
    <xf numFmtId="4" fontId="2" fillId="34" borderId="70" xfId="0" applyNumberFormat="1" applyFont="1" applyFill="1" applyBorder="1" applyAlignment="1">
      <alignment horizontal="right" wrapText="1"/>
    </xf>
    <xf numFmtId="4" fontId="0" fillId="39" borderId="56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38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4" xfId="0" applyFont="1" applyFill="1" applyBorder="1" applyAlignment="1">
      <alignment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0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45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70;&#1073;&#1080;&#1083;&#1077;&#1081;&#1085;&#1072;&#1103;,%204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86;&#1083;&#1085;&#1077;&#1095;&#1085;&#1072;&#1103;,%204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7;&#1091;&#1074;&#1086;&#1088;&#1086;&#1074;&#1072;,%209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4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ля печати"/>
      <sheetName val="2011 полн"/>
      <sheetName val="2011 печать"/>
      <sheetName val="Для дениса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Z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O44">
            <v>0</v>
          </cell>
          <cell r="AQ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41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2" t="s">
        <v>0</v>
      </c>
      <c r="B3" s="145" t="s">
        <v>1</v>
      </c>
      <c r="C3" s="145" t="s">
        <v>2</v>
      </c>
      <c r="D3" s="145" t="s">
        <v>3</v>
      </c>
      <c r="E3" s="148" t="s">
        <v>4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65" t="s">
        <v>5</v>
      </c>
      <c r="T3" s="165"/>
      <c r="U3" s="166" t="s">
        <v>6</v>
      </c>
      <c r="V3" s="166"/>
      <c r="W3" s="166"/>
      <c r="X3" s="166"/>
      <c r="Y3" s="166"/>
      <c r="Z3" s="166"/>
      <c r="AA3" s="166"/>
      <c r="AB3" s="166"/>
      <c r="AC3" s="168" t="s">
        <v>86</v>
      </c>
      <c r="AD3" s="168" t="s">
        <v>8</v>
      </c>
      <c r="AE3" s="171" t="s">
        <v>9</v>
      </c>
      <c r="AF3" s="178" t="s">
        <v>74</v>
      </c>
      <c r="AG3" s="181" t="s">
        <v>10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57" t="s">
        <v>75</v>
      </c>
      <c r="BD3" s="162" t="s">
        <v>11</v>
      </c>
      <c r="BE3" s="150" t="s">
        <v>12</v>
      </c>
    </row>
    <row r="4" spans="1:57" ht="36" customHeight="1" thickBot="1">
      <c r="A4" s="143"/>
      <c r="B4" s="146"/>
      <c r="C4" s="146"/>
      <c r="D4" s="146"/>
      <c r="E4" s="149" t="s">
        <v>13</v>
      </c>
      <c r="F4" s="149"/>
      <c r="G4" s="149" t="s">
        <v>14</v>
      </c>
      <c r="H4" s="149"/>
      <c r="I4" s="149" t="s">
        <v>15</v>
      </c>
      <c r="J4" s="149"/>
      <c r="K4" s="149" t="s">
        <v>16</v>
      </c>
      <c r="L4" s="149"/>
      <c r="M4" s="149" t="s">
        <v>17</v>
      </c>
      <c r="N4" s="149"/>
      <c r="O4" s="149" t="s">
        <v>18</v>
      </c>
      <c r="P4" s="149"/>
      <c r="Q4" s="149" t="s">
        <v>19</v>
      </c>
      <c r="R4" s="149"/>
      <c r="S4" s="149"/>
      <c r="T4" s="149"/>
      <c r="U4" s="167"/>
      <c r="V4" s="167"/>
      <c r="W4" s="167"/>
      <c r="X4" s="167"/>
      <c r="Y4" s="167"/>
      <c r="Z4" s="167"/>
      <c r="AA4" s="167"/>
      <c r="AB4" s="167"/>
      <c r="AC4" s="169"/>
      <c r="AD4" s="169"/>
      <c r="AE4" s="172"/>
      <c r="AF4" s="179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8"/>
      <c r="BD4" s="163"/>
      <c r="BE4" s="151"/>
    </row>
    <row r="5" spans="1:57" ht="29.25" customHeight="1" thickBot="1">
      <c r="A5" s="143"/>
      <c r="B5" s="146"/>
      <c r="C5" s="146"/>
      <c r="D5" s="146"/>
      <c r="E5" s="160" t="s">
        <v>20</v>
      </c>
      <c r="F5" s="160" t="s">
        <v>21</v>
      </c>
      <c r="G5" s="160" t="s">
        <v>20</v>
      </c>
      <c r="H5" s="160" t="s">
        <v>21</v>
      </c>
      <c r="I5" s="160" t="s">
        <v>20</v>
      </c>
      <c r="J5" s="160" t="s">
        <v>21</v>
      </c>
      <c r="K5" s="160" t="s">
        <v>20</v>
      </c>
      <c r="L5" s="160" t="s">
        <v>21</v>
      </c>
      <c r="M5" s="160" t="s">
        <v>20</v>
      </c>
      <c r="N5" s="160" t="s">
        <v>21</v>
      </c>
      <c r="O5" s="160" t="s">
        <v>20</v>
      </c>
      <c r="P5" s="160" t="s">
        <v>21</v>
      </c>
      <c r="Q5" s="160" t="s">
        <v>20</v>
      </c>
      <c r="R5" s="160" t="s">
        <v>21</v>
      </c>
      <c r="S5" s="160" t="s">
        <v>20</v>
      </c>
      <c r="T5" s="160" t="s">
        <v>21</v>
      </c>
      <c r="U5" s="174" t="s">
        <v>22</v>
      </c>
      <c r="V5" s="174" t="s">
        <v>23</v>
      </c>
      <c r="W5" s="174" t="s">
        <v>24</v>
      </c>
      <c r="X5" s="174" t="s">
        <v>25</v>
      </c>
      <c r="Y5" s="174" t="s">
        <v>26</v>
      </c>
      <c r="Z5" s="174" t="s">
        <v>27</v>
      </c>
      <c r="AA5" s="174" t="s">
        <v>28</v>
      </c>
      <c r="AB5" s="174" t="s">
        <v>29</v>
      </c>
      <c r="AC5" s="169"/>
      <c r="AD5" s="169"/>
      <c r="AE5" s="172"/>
      <c r="AF5" s="179"/>
      <c r="AG5" s="153" t="s">
        <v>30</v>
      </c>
      <c r="AH5" s="153" t="s">
        <v>31</v>
      </c>
      <c r="AI5" s="153" t="s">
        <v>32</v>
      </c>
      <c r="AJ5" s="153" t="s">
        <v>33</v>
      </c>
      <c r="AK5" s="153" t="s">
        <v>34</v>
      </c>
      <c r="AL5" s="153" t="s">
        <v>33</v>
      </c>
      <c r="AM5" s="153" t="s">
        <v>35</v>
      </c>
      <c r="AN5" s="153" t="s">
        <v>33</v>
      </c>
      <c r="AO5" s="153" t="s">
        <v>36</v>
      </c>
      <c r="AP5" s="153" t="s">
        <v>33</v>
      </c>
      <c r="AQ5" s="185" t="s">
        <v>79</v>
      </c>
      <c r="AR5" s="187" t="s">
        <v>33</v>
      </c>
      <c r="AS5" s="155" t="s">
        <v>80</v>
      </c>
      <c r="AT5" s="176" t="s">
        <v>81</v>
      </c>
      <c r="AU5" s="176" t="s">
        <v>33</v>
      </c>
      <c r="AV5" s="182" t="s">
        <v>82</v>
      </c>
      <c r="AW5" s="183"/>
      <c r="AX5" s="184"/>
      <c r="AY5" s="153" t="s">
        <v>19</v>
      </c>
      <c r="AZ5" s="153" t="s">
        <v>38</v>
      </c>
      <c r="BA5" s="153" t="s">
        <v>33</v>
      </c>
      <c r="BB5" s="153" t="s">
        <v>39</v>
      </c>
      <c r="BC5" s="158"/>
      <c r="BD5" s="163"/>
      <c r="BE5" s="151"/>
    </row>
    <row r="6" spans="1:57" ht="54" customHeight="1" thickBot="1">
      <c r="A6" s="144"/>
      <c r="B6" s="147"/>
      <c r="C6" s="147"/>
      <c r="D6" s="147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75"/>
      <c r="V6" s="175"/>
      <c r="W6" s="175"/>
      <c r="X6" s="175"/>
      <c r="Y6" s="175"/>
      <c r="Z6" s="175"/>
      <c r="AA6" s="175"/>
      <c r="AB6" s="175"/>
      <c r="AC6" s="170"/>
      <c r="AD6" s="170"/>
      <c r="AE6" s="173"/>
      <c r="AF6" s="180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86"/>
      <c r="AR6" s="188"/>
      <c r="AS6" s="156"/>
      <c r="AT6" s="177"/>
      <c r="AU6" s="177"/>
      <c r="AV6" s="111" t="s">
        <v>83</v>
      </c>
      <c r="AW6" s="111" t="s">
        <v>84</v>
      </c>
      <c r="AX6" s="111" t="s">
        <v>85</v>
      </c>
      <c r="AY6" s="154"/>
      <c r="AZ6" s="154"/>
      <c r="BA6" s="154"/>
      <c r="BB6" s="154"/>
      <c r="BC6" s="159"/>
      <c r="BD6" s="164"/>
      <c r="BE6" s="152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7">
        <v>606.5</v>
      </c>
      <c r="C9" s="98">
        <f>B9*8.65</f>
        <v>5246.225</v>
      </c>
      <c r="D9" s="99">
        <f>C9*0.24088</f>
        <v>1263.7106780000001</v>
      </c>
      <c r="E9" s="100">
        <v>407.56</v>
      </c>
      <c r="F9" s="100">
        <v>85.76</v>
      </c>
      <c r="G9" s="100">
        <v>550.21</v>
      </c>
      <c r="H9" s="100">
        <v>115.78</v>
      </c>
      <c r="I9" s="100">
        <v>1324.57</v>
      </c>
      <c r="J9" s="100">
        <v>278.72</v>
      </c>
      <c r="K9" s="100">
        <v>917.01</v>
      </c>
      <c r="L9" s="100">
        <v>192.96</v>
      </c>
      <c r="M9" s="100">
        <v>326.05</v>
      </c>
      <c r="N9" s="100">
        <v>68.61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3525.4000000000005</v>
      </c>
      <c r="T9" s="101">
        <f>P9+N9+L9+J9+H9+F9+R9</f>
        <v>741.8299999999999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2005.540678</v>
      </c>
      <c r="AD9" s="104">
        <f>P9+Z9</f>
        <v>0</v>
      </c>
      <c r="AE9" s="95">
        <f>R9+AA9</f>
        <v>0</v>
      </c>
      <c r="AF9" s="95"/>
      <c r="AG9" s="16">
        <f>0.6*B9</f>
        <v>363.9</v>
      </c>
      <c r="AH9" s="16">
        <f>B9*0.2*1.05826</f>
        <v>128.366938</v>
      </c>
      <c r="AI9" s="16">
        <f>0.8518*B9</f>
        <v>516.6167</v>
      </c>
      <c r="AJ9" s="16">
        <f>AI9*0.18</f>
        <v>92.991006</v>
      </c>
      <c r="AK9" s="16">
        <f>1.04*B9*0.9531</f>
        <v>601.1773559999999</v>
      </c>
      <c r="AL9" s="16">
        <f>AK9*0.18</f>
        <v>108.21192407999997</v>
      </c>
      <c r="AM9" s="16">
        <f>(1.91)*B9*0.9531</f>
        <v>1104.0853364999998</v>
      </c>
      <c r="AN9" s="16">
        <f>AM9*0.18</f>
        <v>198.73536056999995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3114.0846211499997</v>
      </c>
      <c r="BC9" s="123"/>
      <c r="BD9" s="14">
        <f>AC9-BB9</f>
        <v>-1108.5439431499997</v>
      </c>
      <c r="BE9" s="30">
        <f>AB9-S9</f>
        <v>-3525.4000000000005</v>
      </c>
    </row>
    <row r="10" spans="1:57" ht="12.75" hidden="1">
      <c r="A10" s="11" t="s">
        <v>42</v>
      </c>
      <c r="B10" s="97">
        <v>606.5</v>
      </c>
      <c r="C10" s="98">
        <f>B10*8.65</f>
        <v>5246.225</v>
      </c>
      <c r="D10" s="99">
        <f>C10*0.24088</f>
        <v>1263.7106780000001</v>
      </c>
      <c r="E10" s="100">
        <v>407.56</v>
      </c>
      <c r="F10" s="100">
        <v>85.76</v>
      </c>
      <c r="G10" s="100">
        <v>550.21</v>
      </c>
      <c r="H10" s="100">
        <v>115.78</v>
      </c>
      <c r="I10" s="100">
        <v>1324.57</v>
      </c>
      <c r="J10" s="100">
        <v>278.72</v>
      </c>
      <c r="K10" s="100">
        <v>917.01</v>
      </c>
      <c r="L10" s="100">
        <v>192.96</v>
      </c>
      <c r="M10" s="100">
        <v>326.05</v>
      </c>
      <c r="N10" s="100">
        <v>68.61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3525.4000000000005</v>
      </c>
      <c r="T10" s="101">
        <f>P10+N10+L10+J10+H10+F10+R10</f>
        <v>741.8299999999999</v>
      </c>
      <c r="U10" s="85">
        <v>304.15</v>
      </c>
      <c r="V10" s="85">
        <v>410.58</v>
      </c>
      <c r="W10" s="85">
        <v>988.45</v>
      </c>
      <c r="X10" s="85">
        <v>684.29</v>
      </c>
      <c r="Y10" s="85">
        <v>243.31</v>
      </c>
      <c r="Z10" s="102">
        <v>0</v>
      </c>
      <c r="AA10" s="102">
        <v>0</v>
      </c>
      <c r="AB10" s="105">
        <f>SUM(U10:AA10)</f>
        <v>2630.78</v>
      </c>
      <c r="AC10" s="106">
        <f>D10+T10+AB10</f>
        <v>4636.320678</v>
      </c>
      <c r="AD10" s="95">
        <f>P10+Z10</f>
        <v>0</v>
      </c>
      <c r="AE10" s="95">
        <f>R10+AA10</f>
        <v>0</v>
      </c>
      <c r="AF10" s="95"/>
      <c r="AG10" s="16">
        <f>0.6*B10</f>
        <v>363.9</v>
      </c>
      <c r="AH10" s="16">
        <f>B10*0.201</f>
        <v>121.90650000000001</v>
      </c>
      <c r="AI10" s="16">
        <f>0.8518*B10</f>
        <v>516.6167</v>
      </c>
      <c r="AJ10" s="16">
        <f>AI10*0.18</f>
        <v>92.991006</v>
      </c>
      <c r="AK10" s="16">
        <f>1.04*B10*0.9531</f>
        <v>601.1773559999999</v>
      </c>
      <c r="AL10" s="16">
        <f>AK10*0.18</f>
        <v>108.21192407999997</v>
      </c>
      <c r="AM10" s="16">
        <f>(1.91)*B10*0.9531</f>
        <v>1104.0853364999998</v>
      </c>
      <c r="AN10" s="16">
        <f>AM10*0.18</f>
        <v>198.73536056999995</v>
      </c>
      <c r="AO10" s="16"/>
      <c r="AP10" s="16">
        <f>AO10*0.18</f>
        <v>0</v>
      </c>
      <c r="AQ10" s="109"/>
      <c r="AR10" s="109"/>
      <c r="AS10" s="90">
        <v>960</v>
      </c>
      <c r="AT10" s="90"/>
      <c r="AU10" s="90">
        <f>(AS10+AT10)*0.18</f>
        <v>172.79999999999998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4240.424183149999</v>
      </c>
      <c r="BC10" s="123"/>
      <c r="BD10" s="14">
        <f>AC10-BB10</f>
        <v>395.89649485000064</v>
      </c>
      <c r="BE10" s="30">
        <f>AB10-S10</f>
        <v>-894.6200000000003</v>
      </c>
    </row>
    <row r="11" spans="1:57" ht="12.75" hidden="1">
      <c r="A11" s="11" t="s">
        <v>43</v>
      </c>
      <c r="B11" s="97">
        <v>606.5</v>
      </c>
      <c r="C11" s="98">
        <f>B11*8.65</f>
        <v>5246.225</v>
      </c>
      <c r="D11" s="99">
        <f>C11*0.24035</f>
        <v>1260.93017875</v>
      </c>
      <c r="E11" s="100">
        <v>407.56</v>
      </c>
      <c r="F11" s="100">
        <v>85.76</v>
      </c>
      <c r="G11" s="100">
        <v>550.21</v>
      </c>
      <c r="H11" s="100">
        <v>115.78</v>
      </c>
      <c r="I11" s="100">
        <v>1324.57</v>
      </c>
      <c r="J11" s="100">
        <v>278.72</v>
      </c>
      <c r="K11" s="100">
        <v>917.01</v>
      </c>
      <c r="L11" s="100">
        <v>192.96</v>
      </c>
      <c r="M11" s="100">
        <v>326.05</v>
      </c>
      <c r="N11" s="100">
        <v>68.61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3525.4000000000005</v>
      </c>
      <c r="T11" s="101">
        <f>P11+N11+L11+J11+H11+F11+R11</f>
        <v>741.8299999999999</v>
      </c>
      <c r="U11" s="85">
        <v>333.94</v>
      </c>
      <c r="V11" s="85">
        <v>450.83</v>
      </c>
      <c r="W11" s="85">
        <v>1163.45</v>
      </c>
      <c r="X11" s="85">
        <v>751.38</v>
      </c>
      <c r="Y11" s="85">
        <v>267.16</v>
      </c>
      <c r="Z11" s="102">
        <v>0</v>
      </c>
      <c r="AA11" s="102">
        <v>0</v>
      </c>
      <c r="AB11" s="105">
        <f>SUM(U11:AA11)</f>
        <v>2966.7599999999998</v>
      </c>
      <c r="AC11" s="106">
        <f>D11+T11+AB11</f>
        <v>4969.52017875</v>
      </c>
      <c r="AD11" s="95">
        <f>P11+Z11</f>
        <v>0</v>
      </c>
      <c r="AE11" s="95">
        <f>R11+AA11</f>
        <v>0</v>
      </c>
      <c r="AF11" s="95"/>
      <c r="AG11" s="16">
        <f>0.6*B11</f>
        <v>363.9</v>
      </c>
      <c r="AH11" s="16">
        <f>B11*0.2*1.02524</f>
        <v>124.36161200000001</v>
      </c>
      <c r="AI11" s="16">
        <f>0.84932*B11</f>
        <v>515.11258</v>
      </c>
      <c r="AJ11" s="16">
        <f>AI11*0.18</f>
        <v>92.72026439999999</v>
      </c>
      <c r="AK11" s="16">
        <f>1.04*B11*0.95033</f>
        <v>599.4301508</v>
      </c>
      <c r="AL11" s="16">
        <f>AK11*0.18</f>
        <v>107.89742714399999</v>
      </c>
      <c r="AM11" s="16">
        <f>(1.91)*B11*0.95033</f>
        <v>1100.87652695</v>
      </c>
      <c r="AN11" s="16">
        <f>AM11*0.18</f>
        <v>198.157774851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3102.456336145</v>
      </c>
      <c r="BC11" s="123"/>
      <c r="BD11" s="14">
        <f>AC11-BB11</f>
        <v>1867.063842605</v>
      </c>
      <c r="BE11" s="30">
        <f>AB11-S11</f>
        <v>-558.6400000000008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15738.675000000001</v>
      </c>
      <c r="D12" s="60">
        <f t="shared" si="0"/>
        <v>3788.3515347500006</v>
      </c>
      <c r="E12" s="57">
        <f>SUM(E9:E11)</f>
        <v>1222.68</v>
      </c>
      <c r="F12" s="57">
        <f t="shared" si="0"/>
        <v>257.28000000000003</v>
      </c>
      <c r="G12" s="57">
        <f t="shared" si="0"/>
        <v>1650.63</v>
      </c>
      <c r="H12" s="57">
        <f t="shared" si="0"/>
        <v>347.34000000000003</v>
      </c>
      <c r="I12" s="57">
        <f t="shared" si="0"/>
        <v>3973.71</v>
      </c>
      <c r="J12" s="57">
        <f t="shared" si="0"/>
        <v>836.1600000000001</v>
      </c>
      <c r="K12" s="57">
        <f t="shared" si="0"/>
        <v>2751.0299999999997</v>
      </c>
      <c r="L12" s="57">
        <f t="shared" si="0"/>
        <v>578.88</v>
      </c>
      <c r="M12" s="57">
        <f t="shared" si="0"/>
        <v>978.1500000000001</v>
      </c>
      <c r="N12" s="57">
        <f t="shared" si="0"/>
        <v>205.82999999999998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10576.2</v>
      </c>
      <c r="T12" s="57">
        <f t="shared" si="0"/>
        <v>2225.49</v>
      </c>
      <c r="U12" s="61">
        <f t="shared" si="0"/>
        <v>638.0899999999999</v>
      </c>
      <c r="V12" s="61">
        <f t="shared" si="0"/>
        <v>861.41</v>
      </c>
      <c r="W12" s="61">
        <f t="shared" si="0"/>
        <v>2151.9</v>
      </c>
      <c r="X12" s="61">
        <f t="shared" si="0"/>
        <v>1435.67</v>
      </c>
      <c r="Y12" s="61">
        <f t="shared" si="0"/>
        <v>510.47</v>
      </c>
      <c r="Z12" s="61">
        <f t="shared" si="0"/>
        <v>0</v>
      </c>
      <c r="AA12" s="61">
        <f t="shared" si="0"/>
        <v>0</v>
      </c>
      <c r="AB12" s="61">
        <f t="shared" si="0"/>
        <v>5597.54</v>
      </c>
      <c r="AC12" s="61">
        <f t="shared" si="0"/>
        <v>11611.38153475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1091.6999999999998</v>
      </c>
      <c r="AH12" s="18">
        <f t="shared" si="0"/>
        <v>374.63505</v>
      </c>
      <c r="AI12" s="18">
        <f t="shared" si="0"/>
        <v>1548.34598</v>
      </c>
      <c r="AJ12" s="18">
        <f t="shared" si="0"/>
        <v>278.70227639999996</v>
      </c>
      <c r="AK12" s="18">
        <f t="shared" si="0"/>
        <v>1801.7848627999997</v>
      </c>
      <c r="AL12" s="18">
        <f t="shared" si="0"/>
        <v>324.3212753039999</v>
      </c>
      <c r="AM12" s="18">
        <f>SUM(AM9:AM11)</f>
        <v>3309.0471999499996</v>
      </c>
      <c r="AN12" s="18">
        <f>SUM(AN9:AN11)</f>
        <v>595.6284959909999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960</v>
      </c>
      <c r="AT12" s="18">
        <f>SUM(AT9:AT11)</f>
        <v>0</v>
      </c>
      <c r="AU12" s="18">
        <f>SUM(AU9:AU11)</f>
        <v>172.79999999999998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10456.965140445</v>
      </c>
      <c r="BC12" s="18">
        <f t="shared" si="0"/>
        <v>0</v>
      </c>
      <c r="BD12" s="18">
        <f t="shared" si="0"/>
        <v>1154.416394305001</v>
      </c>
      <c r="BE12" s="19">
        <f t="shared" si="0"/>
        <v>-4978.660000000002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33">
        <v>606.5</v>
      </c>
      <c r="C14" s="98">
        <f aca="true" t="shared" si="1" ref="C14:C25">B14*8.65</f>
        <v>5246.225</v>
      </c>
      <c r="D14" s="99">
        <f>C14*0.125</f>
        <v>655.778125</v>
      </c>
      <c r="E14" s="100">
        <v>407.56</v>
      </c>
      <c r="F14" s="100">
        <v>85.76</v>
      </c>
      <c r="G14" s="100">
        <v>550.21</v>
      </c>
      <c r="H14" s="100">
        <v>115.78</v>
      </c>
      <c r="I14" s="100">
        <v>1324.57</v>
      </c>
      <c r="J14" s="100">
        <v>278.72</v>
      </c>
      <c r="K14" s="100">
        <v>917.01</v>
      </c>
      <c r="L14" s="100">
        <v>192.96</v>
      </c>
      <c r="M14" s="100">
        <v>326.05</v>
      </c>
      <c r="N14" s="100">
        <v>68.61</v>
      </c>
      <c r="O14" s="100">
        <v>0</v>
      </c>
      <c r="P14" s="107">
        <v>0</v>
      </c>
      <c r="Q14" s="100">
        <v>0</v>
      </c>
      <c r="R14" s="107">
        <v>0</v>
      </c>
      <c r="S14" s="85">
        <f aca="true" t="shared" si="2" ref="S14:S25">E14+G14+I14+K14+M14+O14+Q14</f>
        <v>3525.4000000000005</v>
      </c>
      <c r="T14" s="101">
        <f aca="true" t="shared" si="3" ref="T14:T25">P14+N14+L14+J14+H14+F14+R14</f>
        <v>741.8299999999999</v>
      </c>
      <c r="U14" s="85">
        <v>314.09</v>
      </c>
      <c r="V14" s="85">
        <v>424.03</v>
      </c>
      <c r="W14" s="85">
        <v>1020.85</v>
      </c>
      <c r="X14" s="85">
        <v>706.73</v>
      </c>
      <c r="Y14" s="85">
        <v>251.29</v>
      </c>
      <c r="Z14" s="102">
        <v>0</v>
      </c>
      <c r="AA14" s="102">
        <v>0</v>
      </c>
      <c r="AB14" s="108">
        <f aca="true" t="shared" si="4" ref="AB14:AB22">SUM(U14:AA14)</f>
        <v>2716.99</v>
      </c>
      <c r="AC14" s="106">
        <f aca="true" t="shared" si="5" ref="AC14:AC22">D14+T14+AB14</f>
        <v>4114.5981249999995</v>
      </c>
      <c r="AD14" s="95">
        <f aca="true" t="shared" si="6" ref="AD14:AD25">P14+Z14</f>
        <v>0</v>
      </c>
      <c r="AE14" s="95">
        <f aca="true" t="shared" si="7" ref="AE14:AE25">R14+AA14</f>
        <v>0</v>
      </c>
      <c r="AF14" s="95"/>
      <c r="AG14" s="16">
        <f>0.6*B14*0.9</f>
        <v>327.51</v>
      </c>
      <c r="AH14" s="16">
        <f>B14*0.2*0.891</f>
        <v>108.07830000000001</v>
      </c>
      <c r="AI14" s="16">
        <f>0.85*B14*0.867-0.02</f>
        <v>446.940175</v>
      </c>
      <c r="AJ14" s="16">
        <f aca="true" t="shared" si="8" ref="AJ14:AJ25">AI14*0.18</f>
        <v>80.4492315</v>
      </c>
      <c r="AK14" s="16">
        <f>0.83*B14*0.8686</f>
        <v>437.248897</v>
      </c>
      <c r="AL14" s="16">
        <f aca="true" t="shared" si="9" ref="AL14:AL25">AK14*0.18</f>
        <v>78.70480146</v>
      </c>
      <c r="AM14" s="16">
        <f>1.91*B14*0.8686</f>
        <v>1006.199269</v>
      </c>
      <c r="AN14" s="16">
        <f aca="true" t="shared" si="10" ref="AN14:AN25">AM14*0.18</f>
        <v>181.11586842</v>
      </c>
      <c r="AO14" s="16"/>
      <c r="AP14" s="16">
        <f aca="true" t="shared" si="11" ref="AP14:AR25">AO14*0.18</f>
        <v>0</v>
      </c>
      <c r="AQ14" s="109"/>
      <c r="AR14" s="109">
        <f>AQ14*0.18</f>
        <v>0</v>
      </c>
      <c r="AS14" s="90"/>
      <c r="AT14" s="90"/>
      <c r="AU14" s="90">
        <f>(AS14+AT14)*0.18</f>
        <v>0</v>
      </c>
      <c r="AV14" s="110">
        <v>508</v>
      </c>
      <c r="AW14" s="131">
        <v>0.55</v>
      </c>
      <c r="AX14" s="115">
        <f aca="true" t="shared" si="12" ref="AX14:AX25">AV14*AW14*1.12*1.18</f>
        <v>369.25504000000006</v>
      </c>
      <c r="AY14" s="115"/>
      <c r="AZ14" s="130"/>
      <c r="BA14" s="130">
        <f>AZ14*0.18</f>
        <v>0</v>
      </c>
      <c r="BB14" s="113">
        <f>SUM(AG14:AU14)</f>
        <v>2666.24654238</v>
      </c>
      <c r="BC14" s="123"/>
      <c r="BD14" s="14">
        <f>AC14+AF14-BB14-BC14</f>
        <v>1448.3515826199996</v>
      </c>
      <c r="BE14" s="30">
        <f>AB14-S14</f>
        <v>-808.4100000000008</v>
      </c>
    </row>
    <row r="15" spans="1:57" ht="12.75" hidden="1">
      <c r="A15" s="11" t="s">
        <v>46</v>
      </c>
      <c r="B15" s="133">
        <v>606.5</v>
      </c>
      <c r="C15" s="98">
        <f t="shared" si="1"/>
        <v>5246.225</v>
      </c>
      <c r="D15" s="99">
        <f>C15*0.125</f>
        <v>655.778125</v>
      </c>
      <c r="E15" s="100">
        <v>407.56</v>
      </c>
      <c r="F15" s="100">
        <v>85.76</v>
      </c>
      <c r="G15" s="100">
        <v>550.21</v>
      </c>
      <c r="H15" s="100">
        <v>115.78</v>
      </c>
      <c r="I15" s="100">
        <v>1324.57</v>
      </c>
      <c r="J15" s="100">
        <v>278.72</v>
      </c>
      <c r="K15" s="100">
        <v>917.01</v>
      </c>
      <c r="L15" s="100">
        <v>192.96</v>
      </c>
      <c r="M15" s="100">
        <v>326.05</v>
      </c>
      <c r="N15" s="100">
        <v>68.61</v>
      </c>
      <c r="O15" s="100">
        <v>0</v>
      </c>
      <c r="P15" s="107">
        <v>0</v>
      </c>
      <c r="Q15" s="100">
        <v>0</v>
      </c>
      <c r="R15" s="107">
        <v>0</v>
      </c>
      <c r="S15" s="85">
        <f t="shared" si="2"/>
        <v>3525.4000000000005</v>
      </c>
      <c r="T15" s="101">
        <f t="shared" si="3"/>
        <v>741.8299999999999</v>
      </c>
      <c r="U15" s="85">
        <v>303.22</v>
      </c>
      <c r="V15" s="85">
        <v>409.36</v>
      </c>
      <c r="W15" s="85">
        <v>985.47</v>
      </c>
      <c r="X15" s="85">
        <v>682.25</v>
      </c>
      <c r="Y15" s="85">
        <v>242.57</v>
      </c>
      <c r="Z15" s="102">
        <v>0</v>
      </c>
      <c r="AA15" s="102">
        <v>0</v>
      </c>
      <c r="AB15" s="105">
        <f t="shared" si="4"/>
        <v>2622.8700000000003</v>
      </c>
      <c r="AC15" s="106">
        <f t="shared" si="5"/>
        <v>4020.4781250000005</v>
      </c>
      <c r="AD15" s="95">
        <f t="shared" si="6"/>
        <v>0</v>
      </c>
      <c r="AE15" s="95">
        <f t="shared" si="7"/>
        <v>0</v>
      </c>
      <c r="AF15" s="95"/>
      <c r="AG15" s="16">
        <f>0.6*B15*0.9</f>
        <v>327.51</v>
      </c>
      <c r="AH15" s="16">
        <f>B15*0.2*0.9153</f>
        <v>111.02589</v>
      </c>
      <c r="AI15" s="16">
        <f>0.85*B15*0.866</f>
        <v>446.44464999999997</v>
      </c>
      <c r="AJ15" s="16">
        <f t="shared" si="8"/>
        <v>80.36003699999999</v>
      </c>
      <c r="AK15" s="16">
        <f>0.83*B15*0.8685</f>
        <v>437.1985575</v>
      </c>
      <c r="AL15" s="16">
        <f t="shared" si="9"/>
        <v>78.69574035</v>
      </c>
      <c r="AM15" s="16">
        <f>(1.91)*B15*0.8684</f>
        <v>1005.9675859999999</v>
      </c>
      <c r="AN15" s="16">
        <f t="shared" si="10"/>
        <v>181.07416547999998</v>
      </c>
      <c r="AO15" s="16"/>
      <c r="AP15" s="16">
        <f t="shared" si="11"/>
        <v>0</v>
      </c>
      <c r="AQ15" s="109"/>
      <c r="AR15" s="109">
        <f>AQ15*0.18</f>
        <v>0</v>
      </c>
      <c r="AS15" s="90">
        <v>11278</v>
      </c>
      <c r="AT15" s="90"/>
      <c r="AU15" s="90">
        <f aca="true" t="shared" si="13" ref="AU15:AU25">(AS15+AT15)*0.18</f>
        <v>2030.04</v>
      </c>
      <c r="AV15" s="110">
        <v>407</v>
      </c>
      <c r="AW15" s="125">
        <v>0.55</v>
      </c>
      <c r="AX15" s="16">
        <f t="shared" si="12"/>
        <v>295.84016</v>
      </c>
      <c r="AY15" s="112"/>
      <c r="AZ15" s="113"/>
      <c r="BA15" s="113">
        <f>AZ15*0.18</f>
        <v>0</v>
      </c>
      <c r="BB15" s="113">
        <f>SUM(AG15:AU15)+AY15</f>
        <v>15976.31662633</v>
      </c>
      <c r="BC15" s="119"/>
      <c r="BD15" s="14">
        <f aca="true" t="shared" si="14" ref="BD15:BD24">AC15+AF15-BB15-BC15</f>
        <v>-11955.83850133</v>
      </c>
      <c r="BE15" s="30">
        <f aca="true" t="shared" si="15" ref="BE15:BE20">AB15-S15</f>
        <v>-902.5300000000002</v>
      </c>
    </row>
    <row r="16" spans="1:57" ht="12.75" hidden="1">
      <c r="A16" s="11" t="s">
        <v>47</v>
      </c>
      <c r="B16" s="120">
        <v>606.5</v>
      </c>
      <c r="C16" s="98">
        <f t="shared" si="1"/>
        <v>5246.225</v>
      </c>
      <c r="D16" s="99">
        <f>C16*0.125</f>
        <v>655.778125</v>
      </c>
      <c r="E16" s="100">
        <v>405.27</v>
      </c>
      <c r="F16" s="100">
        <v>85.76</v>
      </c>
      <c r="G16" s="100">
        <v>547.12</v>
      </c>
      <c r="H16" s="100">
        <v>115.78</v>
      </c>
      <c r="I16" s="100">
        <v>1317.12</v>
      </c>
      <c r="J16" s="100">
        <v>278.72</v>
      </c>
      <c r="K16" s="100">
        <v>911.85</v>
      </c>
      <c r="L16" s="100">
        <v>192.96</v>
      </c>
      <c r="M16" s="100">
        <v>324.21</v>
      </c>
      <c r="N16" s="100">
        <v>68.61</v>
      </c>
      <c r="O16" s="100">
        <v>0</v>
      </c>
      <c r="P16" s="107">
        <v>0</v>
      </c>
      <c r="Q16" s="100">
        <v>0</v>
      </c>
      <c r="R16" s="107">
        <v>0</v>
      </c>
      <c r="S16" s="86">
        <f t="shared" si="2"/>
        <v>3505.5699999999997</v>
      </c>
      <c r="T16" s="127">
        <f t="shared" si="3"/>
        <v>741.8299999999999</v>
      </c>
      <c r="U16" s="86">
        <v>536.23</v>
      </c>
      <c r="V16" s="86">
        <v>723.91</v>
      </c>
      <c r="W16" s="86">
        <v>1695.65</v>
      </c>
      <c r="X16" s="86">
        <v>1206.51</v>
      </c>
      <c r="Y16" s="86">
        <v>428.98</v>
      </c>
      <c r="Z16" s="114">
        <v>0</v>
      </c>
      <c r="AA16" s="114">
        <v>0</v>
      </c>
      <c r="AB16" s="108">
        <f t="shared" si="4"/>
        <v>4591.280000000001</v>
      </c>
      <c r="AC16" s="106">
        <f t="shared" si="5"/>
        <v>5988.888125</v>
      </c>
      <c r="AD16" s="95">
        <f t="shared" si="6"/>
        <v>0</v>
      </c>
      <c r="AE16" s="95">
        <f t="shared" si="7"/>
        <v>0</v>
      </c>
      <c r="AF16" s="95"/>
      <c r="AG16" s="115">
        <f>0.6*B16*0.9</f>
        <v>327.51</v>
      </c>
      <c r="AH16" s="115">
        <f>B16*0.2*0.9082-0.01</f>
        <v>110.15466</v>
      </c>
      <c r="AI16" s="16">
        <f>0.85*B16*0.8675+0.01</f>
        <v>447.2279375</v>
      </c>
      <c r="AJ16" s="16">
        <f t="shared" si="8"/>
        <v>80.50102875</v>
      </c>
      <c r="AK16" s="115">
        <f>0.83*B16*0.838</f>
        <v>421.84500999999995</v>
      </c>
      <c r="AL16" s="16">
        <f t="shared" si="9"/>
        <v>75.93210179999998</v>
      </c>
      <c r="AM16" s="16">
        <f>1.91*B16*0.838</f>
        <v>970.75177</v>
      </c>
      <c r="AN16" s="16">
        <f t="shared" si="10"/>
        <v>174.7353186</v>
      </c>
      <c r="AO16" s="16"/>
      <c r="AP16" s="16">
        <f t="shared" si="11"/>
        <v>0</v>
      </c>
      <c r="AQ16" s="109"/>
      <c r="AR16" s="109">
        <f>AQ16*0.18</f>
        <v>0</v>
      </c>
      <c r="AS16" s="90">
        <v>5021</v>
      </c>
      <c r="AT16" s="90"/>
      <c r="AU16" s="90">
        <f t="shared" si="13"/>
        <v>903.78</v>
      </c>
      <c r="AV16" s="110">
        <v>383</v>
      </c>
      <c r="AW16" s="125">
        <v>0.55</v>
      </c>
      <c r="AX16" s="115">
        <f t="shared" si="12"/>
        <v>278.39504</v>
      </c>
      <c r="AY16" s="115"/>
      <c r="AZ16" s="130"/>
      <c r="BA16" s="130">
        <f>AZ16*0.18</f>
        <v>0</v>
      </c>
      <c r="BB16" s="113">
        <f>SUM(AG16:AU16)</f>
        <v>8533.43782665</v>
      </c>
      <c r="BC16" s="119"/>
      <c r="BD16" s="14">
        <f t="shared" si="14"/>
        <v>-2544.5497016500003</v>
      </c>
      <c r="BE16" s="30">
        <f t="shared" si="15"/>
        <v>1085.710000000001</v>
      </c>
    </row>
    <row r="17" spans="1:57" ht="12.75" hidden="1">
      <c r="A17" s="11" t="s">
        <v>48</v>
      </c>
      <c r="B17" s="116">
        <v>606.5</v>
      </c>
      <c r="C17" s="98">
        <f t="shared" si="1"/>
        <v>5246.225</v>
      </c>
      <c r="D17" s="99">
        <f>C17*0.125</f>
        <v>655.778125</v>
      </c>
      <c r="E17" s="117">
        <v>409.6</v>
      </c>
      <c r="F17" s="117">
        <v>85.76</v>
      </c>
      <c r="G17" s="117">
        <v>552.95</v>
      </c>
      <c r="H17" s="117">
        <v>115.78</v>
      </c>
      <c r="I17" s="117">
        <v>1331.18</v>
      </c>
      <c r="J17" s="117">
        <v>278.72</v>
      </c>
      <c r="K17" s="117">
        <v>921.58</v>
      </c>
      <c r="L17" s="117">
        <v>192.96</v>
      </c>
      <c r="M17" s="117">
        <v>327.68</v>
      </c>
      <c r="N17" s="117">
        <v>68.61</v>
      </c>
      <c r="O17" s="117">
        <v>0</v>
      </c>
      <c r="P17" s="118">
        <v>0</v>
      </c>
      <c r="Q17" s="117">
        <v>0</v>
      </c>
      <c r="R17" s="118">
        <v>0</v>
      </c>
      <c r="S17" s="85">
        <f t="shared" si="2"/>
        <v>3542.99</v>
      </c>
      <c r="T17" s="101">
        <f t="shared" si="3"/>
        <v>741.8299999999999</v>
      </c>
      <c r="U17" s="85">
        <v>406.78</v>
      </c>
      <c r="V17" s="85">
        <v>549.17</v>
      </c>
      <c r="W17" s="85">
        <v>1300.47</v>
      </c>
      <c r="X17" s="85">
        <v>915.26</v>
      </c>
      <c r="Y17" s="85">
        <v>325.42</v>
      </c>
      <c r="Z17" s="85">
        <v>0</v>
      </c>
      <c r="AA17" s="85">
        <v>0</v>
      </c>
      <c r="AB17" s="108">
        <f t="shared" si="4"/>
        <v>3497.1000000000004</v>
      </c>
      <c r="AC17" s="106">
        <f t="shared" si="5"/>
        <v>4894.708125</v>
      </c>
      <c r="AD17" s="95">
        <f t="shared" si="6"/>
        <v>0</v>
      </c>
      <c r="AE17" s="95">
        <f t="shared" si="7"/>
        <v>0</v>
      </c>
      <c r="AF17" s="95"/>
      <c r="AG17" s="16">
        <f>0.6*B17*0.9</f>
        <v>327.51</v>
      </c>
      <c r="AH17" s="115">
        <f>B17*0.2*0.9234</f>
        <v>112.00842000000002</v>
      </c>
      <c r="AI17" s="16">
        <f>0.85*B17*0.893</f>
        <v>460.36382499999996</v>
      </c>
      <c r="AJ17" s="16">
        <f t="shared" si="8"/>
        <v>82.86548849999998</v>
      </c>
      <c r="AK17" s="16">
        <f>0.83*B17*0.8498</f>
        <v>427.78507099999996</v>
      </c>
      <c r="AL17" s="16">
        <f t="shared" si="9"/>
        <v>77.00131277999999</v>
      </c>
      <c r="AM17" s="16">
        <f>(1.91)*B17*0.8498</f>
        <v>984.421067</v>
      </c>
      <c r="AN17" s="16">
        <f t="shared" si="10"/>
        <v>177.19579206</v>
      </c>
      <c r="AO17" s="16"/>
      <c r="AP17" s="16">
        <f t="shared" si="11"/>
        <v>0</v>
      </c>
      <c r="AQ17" s="109"/>
      <c r="AR17" s="109">
        <f t="shared" si="11"/>
        <v>0</v>
      </c>
      <c r="AS17" s="90">
        <v>1227.78</v>
      </c>
      <c r="AT17" s="90"/>
      <c r="AU17" s="90">
        <f t="shared" si="13"/>
        <v>221.00039999999998</v>
      </c>
      <c r="AV17" s="110">
        <v>307</v>
      </c>
      <c r="AW17" s="125">
        <v>0.55</v>
      </c>
      <c r="AX17" s="16">
        <f t="shared" si="12"/>
        <v>223.15216000000004</v>
      </c>
      <c r="AY17" s="132"/>
      <c r="AZ17" s="112"/>
      <c r="BA17" s="130">
        <f aca="true" t="shared" si="16" ref="BA17:BA25">AZ17*0.18</f>
        <v>0</v>
      </c>
      <c r="BB17" s="113">
        <f>SUM(AG17:AU17)+AX17+AX14+AX15+AX16</f>
        <v>5264.573776339999</v>
      </c>
      <c r="BC17" s="119"/>
      <c r="BD17" s="14">
        <f t="shared" si="14"/>
        <v>-369.8656513399992</v>
      </c>
      <c r="BE17" s="30">
        <f t="shared" si="15"/>
        <v>-45.88999999999942</v>
      </c>
    </row>
    <row r="18" spans="1:57" ht="12.75" hidden="1">
      <c r="A18" s="11" t="s">
        <v>49</v>
      </c>
      <c r="B18" s="120">
        <v>606.5</v>
      </c>
      <c r="C18" s="98">
        <f t="shared" si="1"/>
        <v>5246.225</v>
      </c>
      <c r="D18" s="121">
        <f aca="true" t="shared" si="17" ref="D18:D25">C18-E18-F18-G18-H18-I18-J18-K18-L18-M18-N18</f>
        <v>469.8450000000013</v>
      </c>
      <c r="E18" s="117">
        <v>460.11</v>
      </c>
      <c r="F18" s="117">
        <v>91.11</v>
      </c>
      <c r="G18" s="117">
        <v>623.41</v>
      </c>
      <c r="H18" s="117">
        <v>123.5</v>
      </c>
      <c r="I18" s="117">
        <v>1497.65</v>
      </c>
      <c r="J18" s="117">
        <v>296.6</v>
      </c>
      <c r="K18" s="117">
        <v>1037.54</v>
      </c>
      <c r="L18" s="117">
        <v>205.49</v>
      </c>
      <c r="M18" s="117">
        <v>368.09</v>
      </c>
      <c r="N18" s="117">
        <v>72.88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2"/>
        <v>3986.8</v>
      </c>
      <c r="T18" s="127">
        <f t="shared" si="3"/>
        <v>789.58</v>
      </c>
      <c r="U18" s="86">
        <v>299.27</v>
      </c>
      <c r="V18" s="86">
        <v>404.03</v>
      </c>
      <c r="W18" s="86">
        <v>972.67</v>
      </c>
      <c r="X18" s="86">
        <v>673.38</v>
      </c>
      <c r="Y18" s="86">
        <v>239.42</v>
      </c>
      <c r="Z18" s="114">
        <v>0</v>
      </c>
      <c r="AA18" s="114">
        <v>0</v>
      </c>
      <c r="AB18" s="108">
        <f t="shared" si="4"/>
        <v>2588.77</v>
      </c>
      <c r="AC18" s="106">
        <f t="shared" si="5"/>
        <v>3848.1950000000015</v>
      </c>
      <c r="AD18" s="95">
        <f t="shared" si="6"/>
        <v>0</v>
      </c>
      <c r="AE18" s="95">
        <f t="shared" si="7"/>
        <v>0</v>
      </c>
      <c r="AF18" s="95"/>
      <c r="AG18" s="16">
        <f aca="true" t="shared" si="18" ref="AG18:AG25">0.6*B18</f>
        <v>363.9</v>
      </c>
      <c r="AH18" s="16">
        <f>B18*0.2*1.01</f>
        <v>122.51300000000002</v>
      </c>
      <c r="AI18" s="16">
        <f>0.85*B18</f>
        <v>515.525</v>
      </c>
      <c r="AJ18" s="16">
        <f t="shared" si="8"/>
        <v>92.7945</v>
      </c>
      <c r="AK18" s="16">
        <f>0.83*B18</f>
        <v>503.395</v>
      </c>
      <c r="AL18" s="16">
        <f t="shared" si="9"/>
        <v>90.6111</v>
      </c>
      <c r="AM18" s="16">
        <f>(1.91)*B18</f>
        <v>1158.415</v>
      </c>
      <c r="AN18" s="16">
        <f t="shared" si="10"/>
        <v>208.51469999999998</v>
      </c>
      <c r="AO18" s="16"/>
      <c r="AP18" s="16">
        <f t="shared" si="11"/>
        <v>0</v>
      </c>
      <c r="AQ18" s="109"/>
      <c r="AR18" s="109">
        <f t="shared" si="11"/>
        <v>0</v>
      </c>
      <c r="AS18" s="90"/>
      <c r="AT18" s="90"/>
      <c r="AU18" s="90">
        <f t="shared" si="13"/>
        <v>0</v>
      </c>
      <c r="AV18" s="110">
        <v>263</v>
      </c>
      <c r="AW18" s="125">
        <v>0.55</v>
      </c>
      <c r="AX18" s="115">
        <f t="shared" si="12"/>
        <v>191.16944</v>
      </c>
      <c r="AY18" s="115"/>
      <c r="AZ18" s="130"/>
      <c r="BA18" s="130">
        <f t="shared" si="16"/>
        <v>0</v>
      </c>
      <c r="BB18" s="130">
        <f>SUM(AG18:BA18)-AV18-AW18</f>
        <v>3246.8377400000004</v>
      </c>
      <c r="BC18" s="119"/>
      <c r="BD18" s="14">
        <f t="shared" si="14"/>
        <v>601.3572600000011</v>
      </c>
      <c r="BE18" s="30">
        <f t="shared" si="15"/>
        <v>-1398.0300000000002</v>
      </c>
    </row>
    <row r="19" spans="1:57" ht="12.75" hidden="1">
      <c r="A19" s="11" t="s">
        <v>50</v>
      </c>
      <c r="B19" s="120">
        <v>606.5</v>
      </c>
      <c r="C19" s="98">
        <f t="shared" si="1"/>
        <v>5246.225</v>
      </c>
      <c r="D19" s="121">
        <f t="shared" si="17"/>
        <v>469.8450000000013</v>
      </c>
      <c r="E19" s="117">
        <v>460.11</v>
      </c>
      <c r="F19" s="117">
        <v>91.11</v>
      </c>
      <c r="G19" s="117">
        <v>623.41</v>
      </c>
      <c r="H19" s="117">
        <v>123.5</v>
      </c>
      <c r="I19" s="117">
        <v>1497.65</v>
      </c>
      <c r="J19" s="117">
        <v>296.6</v>
      </c>
      <c r="K19" s="117">
        <v>1037.54</v>
      </c>
      <c r="L19" s="117">
        <v>205.49</v>
      </c>
      <c r="M19" s="117">
        <v>368.09</v>
      </c>
      <c r="N19" s="117">
        <v>72.88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2"/>
        <v>3986.8</v>
      </c>
      <c r="T19" s="101">
        <f t="shared" si="3"/>
        <v>789.58</v>
      </c>
      <c r="U19" s="86">
        <v>367.51</v>
      </c>
      <c r="V19" s="86">
        <v>497.58</v>
      </c>
      <c r="W19" s="86">
        <v>1195.86</v>
      </c>
      <c r="X19" s="86">
        <v>828.35</v>
      </c>
      <c r="Y19" s="86">
        <v>294.01</v>
      </c>
      <c r="Z19" s="114">
        <v>0</v>
      </c>
      <c r="AA19" s="114">
        <v>0</v>
      </c>
      <c r="AB19" s="108">
        <f t="shared" si="4"/>
        <v>3183.3099999999995</v>
      </c>
      <c r="AC19" s="106">
        <f t="shared" si="5"/>
        <v>4442.735000000001</v>
      </c>
      <c r="AD19" s="95">
        <f t="shared" si="6"/>
        <v>0</v>
      </c>
      <c r="AE19" s="95">
        <f t="shared" si="7"/>
        <v>0</v>
      </c>
      <c r="AF19" s="95"/>
      <c r="AG19" s="16">
        <f t="shared" si="18"/>
        <v>363.9</v>
      </c>
      <c r="AH19" s="16">
        <f>B19*0.2*1.01045</f>
        <v>122.56758500000002</v>
      </c>
      <c r="AI19" s="16">
        <f>0.85*B19</f>
        <v>515.525</v>
      </c>
      <c r="AJ19" s="16">
        <f t="shared" si="8"/>
        <v>92.7945</v>
      </c>
      <c r="AK19" s="16">
        <f>0.83*B19</f>
        <v>503.395</v>
      </c>
      <c r="AL19" s="16">
        <f t="shared" si="9"/>
        <v>90.6111</v>
      </c>
      <c r="AM19" s="16">
        <f>(1.91)*B19</f>
        <v>1158.415</v>
      </c>
      <c r="AN19" s="115">
        <f t="shared" si="10"/>
        <v>208.51469999999998</v>
      </c>
      <c r="AO19" s="115"/>
      <c r="AP19" s="115">
        <f t="shared" si="11"/>
        <v>0</v>
      </c>
      <c r="AQ19" s="109"/>
      <c r="AR19" s="109">
        <f t="shared" si="11"/>
        <v>0</v>
      </c>
      <c r="AS19" s="128"/>
      <c r="AT19" s="128"/>
      <c r="AU19" s="90">
        <f t="shared" si="13"/>
        <v>0</v>
      </c>
      <c r="AV19" s="129">
        <v>233</v>
      </c>
      <c r="AW19" s="131">
        <v>0.55</v>
      </c>
      <c r="AX19" s="115">
        <f t="shared" si="12"/>
        <v>169.36304</v>
      </c>
      <c r="AY19" s="112"/>
      <c r="AZ19" s="113"/>
      <c r="BA19" s="113">
        <f t="shared" si="16"/>
        <v>0</v>
      </c>
      <c r="BB19" s="113">
        <f>SUM(AG19:BA19)-AV19-AW19</f>
        <v>3225.0859250000003</v>
      </c>
      <c r="BC19" s="119"/>
      <c r="BD19" s="14">
        <f t="shared" si="14"/>
        <v>1217.6490750000003</v>
      </c>
      <c r="BE19" s="30">
        <f t="shared" si="15"/>
        <v>-803.4900000000007</v>
      </c>
    </row>
    <row r="20" spans="1:57" ht="12.75" hidden="1">
      <c r="A20" s="11" t="s">
        <v>51</v>
      </c>
      <c r="B20" s="133">
        <v>606.5</v>
      </c>
      <c r="C20" s="98">
        <f t="shared" si="1"/>
        <v>5246.225</v>
      </c>
      <c r="D20" s="121">
        <f t="shared" si="17"/>
        <v>469.8450000000013</v>
      </c>
      <c r="E20" s="117">
        <v>460.11</v>
      </c>
      <c r="F20" s="117">
        <v>91.11</v>
      </c>
      <c r="G20" s="117">
        <v>623.41</v>
      </c>
      <c r="H20" s="117">
        <v>123.5</v>
      </c>
      <c r="I20" s="117">
        <v>1497.65</v>
      </c>
      <c r="J20" s="117">
        <v>296.6</v>
      </c>
      <c r="K20" s="117">
        <v>1037.54</v>
      </c>
      <c r="L20" s="117">
        <v>205.49</v>
      </c>
      <c r="M20" s="117">
        <v>368.09</v>
      </c>
      <c r="N20" s="117">
        <v>72.88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2"/>
        <v>3986.8</v>
      </c>
      <c r="T20" s="101">
        <f t="shared" si="3"/>
        <v>789.58</v>
      </c>
      <c r="U20" s="86">
        <v>441.36</v>
      </c>
      <c r="V20" s="86">
        <v>597.7</v>
      </c>
      <c r="W20" s="86">
        <v>1436.36</v>
      </c>
      <c r="X20" s="86">
        <v>994.99</v>
      </c>
      <c r="Y20" s="86">
        <v>353.1</v>
      </c>
      <c r="Z20" s="114">
        <v>0</v>
      </c>
      <c r="AA20" s="114">
        <v>0</v>
      </c>
      <c r="AB20" s="108">
        <f t="shared" si="4"/>
        <v>3823.5099999999998</v>
      </c>
      <c r="AC20" s="106">
        <f t="shared" si="5"/>
        <v>5082.935000000001</v>
      </c>
      <c r="AD20" s="95">
        <f t="shared" si="6"/>
        <v>0</v>
      </c>
      <c r="AE20" s="95">
        <f t="shared" si="7"/>
        <v>0</v>
      </c>
      <c r="AF20" s="95"/>
      <c r="AG20" s="16">
        <f t="shared" si="18"/>
        <v>363.9</v>
      </c>
      <c r="AH20" s="16">
        <f>B20*0.2*0.99425</f>
        <v>120.60252500000001</v>
      </c>
      <c r="AI20" s="115">
        <f>0.85*B20*0.9858</f>
        <v>508.204545</v>
      </c>
      <c r="AJ20" s="16">
        <f t="shared" si="8"/>
        <v>91.4768181</v>
      </c>
      <c r="AK20" s="115">
        <f>0.83*B20*0.9905</f>
        <v>498.6127475</v>
      </c>
      <c r="AL20" s="16">
        <f t="shared" si="9"/>
        <v>89.75029454999999</v>
      </c>
      <c r="AM20" s="115">
        <f>(1.91)*B20*0.9904</f>
        <v>1147.294216</v>
      </c>
      <c r="AN20" s="115">
        <f t="shared" si="10"/>
        <v>206.51295887999999</v>
      </c>
      <c r="AO20" s="115"/>
      <c r="AP20" s="115">
        <f t="shared" si="11"/>
        <v>0</v>
      </c>
      <c r="AQ20" s="109"/>
      <c r="AR20" s="109">
        <f t="shared" si="11"/>
        <v>0</v>
      </c>
      <c r="AS20" s="128"/>
      <c r="AT20" s="90"/>
      <c r="AU20" s="90">
        <f t="shared" si="13"/>
        <v>0</v>
      </c>
      <c r="AV20" s="129">
        <v>248</v>
      </c>
      <c r="AW20" s="131">
        <v>0.55</v>
      </c>
      <c r="AX20" s="115">
        <f t="shared" si="12"/>
        <v>180.26624000000004</v>
      </c>
      <c r="AY20" s="112"/>
      <c r="AZ20" s="113"/>
      <c r="BA20" s="113">
        <f t="shared" si="16"/>
        <v>0</v>
      </c>
      <c r="BB20" s="113">
        <f>SUM(AG20:BA20)-AV20-AW20</f>
        <v>3206.62034503</v>
      </c>
      <c r="BC20" s="119"/>
      <c r="BD20" s="14">
        <f t="shared" si="14"/>
        <v>1876.3146549700014</v>
      </c>
      <c r="BE20" s="30">
        <f t="shared" si="15"/>
        <v>-163.29000000000042</v>
      </c>
    </row>
    <row r="21" spans="1:57" ht="12.75" hidden="1">
      <c r="A21" s="11" t="s">
        <v>52</v>
      </c>
      <c r="B21" s="133">
        <v>606.5</v>
      </c>
      <c r="C21" s="98">
        <f t="shared" si="1"/>
        <v>5246.225</v>
      </c>
      <c r="D21" s="121">
        <f t="shared" si="17"/>
        <v>574.6750000000003</v>
      </c>
      <c r="E21" s="117">
        <v>448.01</v>
      </c>
      <c r="F21" s="117">
        <v>91.11</v>
      </c>
      <c r="G21" s="117">
        <v>607.01</v>
      </c>
      <c r="H21" s="117">
        <v>123.5</v>
      </c>
      <c r="I21" s="117">
        <v>1458.29</v>
      </c>
      <c r="J21" s="117">
        <v>296.6</v>
      </c>
      <c r="K21" s="117">
        <v>1010.25</v>
      </c>
      <c r="L21" s="117">
        <v>205.49</v>
      </c>
      <c r="M21" s="117">
        <v>358.41</v>
      </c>
      <c r="N21" s="117">
        <v>72.88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2"/>
        <v>3881.97</v>
      </c>
      <c r="T21" s="101">
        <f t="shared" si="3"/>
        <v>789.58</v>
      </c>
      <c r="U21" s="86">
        <v>450.04</v>
      </c>
      <c r="V21" s="86">
        <v>609.55</v>
      </c>
      <c r="W21" s="86">
        <v>1463.28</v>
      </c>
      <c r="X21" s="86">
        <v>1014.52</v>
      </c>
      <c r="Y21" s="86">
        <v>360.05</v>
      </c>
      <c r="Z21" s="114">
        <v>0</v>
      </c>
      <c r="AA21" s="114">
        <v>0</v>
      </c>
      <c r="AB21" s="108">
        <f t="shared" si="4"/>
        <v>3897.44</v>
      </c>
      <c r="AC21" s="106">
        <f t="shared" si="5"/>
        <v>5261.695000000001</v>
      </c>
      <c r="AD21" s="95">
        <f t="shared" si="6"/>
        <v>0</v>
      </c>
      <c r="AE21" s="95">
        <f t="shared" si="7"/>
        <v>0</v>
      </c>
      <c r="AF21" s="95"/>
      <c r="AG21" s="16">
        <f t="shared" si="18"/>
        <v>363.9</v>
      </c>
      <c r="AH21" s="16">
        <f>B21*0.2*0.99876</f>
        <v>121.14958800000001</v>
      </c>
      <c r="AI21" s="16">
        <f>0.85*B21*0.98525</f>
        <v>507.92100624999995</v>
      </c>
      <c r="AJ21" s="16">
        <f t="shared" si="8"/>
        <v>91.42578112499999</v>
      </c>
      <c r="AK21" s="16">
        <f>0.83*B21*0.99</f>
        <v>498.36105</v>
      </c>
      <c r="AL21" s="16">
        <f t="shared" si="9"/>
        <v>89.704989</v>
      </c>
      <c r="AM21" s="16">
        <f>(1.91)*B21*0.9899</f>
        <v>1146.7150085</v>
      </c>
      <c r="AN21" s="115">
        <f t="shared" si="10"/>
        <v>206.40870153</v>
      </c>
      <c r="AO21" s="115"/>
      <c r="AP21" s="115">
        <f t="shared" si="11"/>
        <v>0</v>
      </c>
      <c r="AQ21" s="109"/>
      <c r="AR21" s="109">
        <f t="shared" si="11"/>
        <v>0</v>
      </c>
      <c r="AS21" s="128"/>
      <c r="AT21" s="90"/>
      <c r="AU21" s="90">
        <f t="shared" si="13"/>
        <v>0</v>
      </c>
      <c r="AV21" s="129">
        <v>293</v>
      </c>
      <c r="AW21" s="131">
        <v>0.55</v>
      </c>
      <c r="AX21" s="115">
        <f t="shared" si="12"/>
        <v>212.97584000000003</v>
      </c>
      <c r="AY21" s="112"/>
      <c r="AZ21" s="113"/>
      <c r="BA21" s="113">
        <f t="shared" si="16"/>
        <v>0</v>
      </c>
      <c r="BB21" s="113">
        <f>SUM(AG21:BA21)-AV21-AW21</f>
        <v>3238.5619644050003</v>
      </c>
      <c r="BC21" s="119"/>
      <c r="BD21" s="14">
        <f t="shared" si="14"/>
        <v>2023.1330355950004</v>
      </c>
      <c r="BE21" s="30">
        <f>AB21-S21</f>
        <v>15.470000000000255</v>
      </c>
    </row>
    <row r="22" spans="1:57" ht="12.75" hidden="1">
      <c r="A22" s="11" t="s">
        <v>53</v>
      </c>
      <c r="B22" s="97">
        <v>606.5</v>
      </c>
      <c r="C22" s="98">
        <f t="shared" si="1"/>
        <v>5246.225</v>
      </c>
      <c r="D22" s="121">
        <f t="shared" si="17"/>
        <v>469.8450000000013</v>
      </c>
      <c r="E22" s="100">
        <v>460.11</v>
      </c>
      <c r="F22" s="100">
        <v>91.11</v>
      </c>
      <c r="G22" s="100">
        <v>623.41</v>
      </c>
      <c r="H22" s="100">
        <v>123.5</v>
      </c>
      <c r="I22" s="100">
        <v>1497.65</v>
      </c>
      <c r="J22" s="100">
        <v>296.6</v>
      </c>
      <c r="K22" s="100">
        <v>1037.54</v>
      </c>
      <c r="L22" s="100">
        <v>205.49</v>
      </c>
      <c r="M22" s="100">
        <v>368.09</v>
      </c>
      <c r="N22" s="100">
        <v>72.88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2"/>
        <v>3986.8</v>
      </c>
      <c r="T22" s="101">
        <f t="shared" si="3"/>
        <v>789.58</v>
      </c>
      <c r="U22" s="85">
        <v>709.48</v>
      </c>
      <c r="V22" s="85">
        <v>960.67</v>
      </c>
      <c r="W22" s="85">
        <v>2300.57</v>
      </c>
      <c r="X22" s="85">
        <v>1599.23</v>
      </c>
      <c r="Y22" s="85">
        <v>567.56</v>
      </c>
      <c r="Z22" s="102">
        <v>0</v>
      </c>
      <c r="AA22" s="102">
        <v>0</v>
      </c>
      <c r="AB22" s="108">
        <f t="shared" si="4"/>
        <v>6137.51</v>
      </c>
      <c r="AC22" s="106">
        <f t="shared" si="5"/>
        <v>7396.935000000001</v>
      </c>
      <c r="AD22" s="95">
        <f t="shared" si="6"/>
        <v>0</v>
      </c>
      <c r="AE22" s="95">
        <f t="shared" si="7"/>
        <v>0</v>
      </c>
      <c r="AF22" s="95"/>
      <c r="AG22" s="16">
        <f t="shared" si="18"/>
        <v>363.9</v>
      </c>
      <c r="AH22" s="16">
        <f>B22*0.2*0.9996</f>
        <v>121.25148000000002</v>
      </c>
      <c r="AI22" s="16">
        <f>0.85*B22*0.98508</f>
        <v>507.83336699999995</v>
      </c>
      <c r="AJ22" s="16">
        <f t="shared" si="8"/>
        <v>91.41000605999999</v>
      </c>
      <c r="AK22" s="16">
        <f>0.83*B22*0.98981</f>
        <v>498.26540494999995</v>
      </c>
      <c r="AL22" s="16">
        <f t="shared" si="9"/>
        <v>89.68777289099998</v>
      </c>
      <c r="AM22" s="16">
        <f>(1.91)*B22*0.98981</f>
        <v>1146.61075115</v>
      </c>
      <c r="AN22" s="115">
        <f t="shared" si="10"/>
        <v>206.38993520699998</v>
      </c>
      <c r="AO22" s="115"/>
      <c r="AP22" s="115">
        <f t="shared" si="11"/>
        <v>0</v>
      </c>
      <c r="AQ22" s="109"/>
      <c r="AR22" s="109">
        <f t="shared" si="11"/>
        <v>0</v>
      </c>
      <c r="AS22" s="128"/>
      <c r="AT22" s="90"/>
      <c r="AU22" s="90">
        <f t="shared" si="13"/>
        <v>0</v>
      </c>
      <c r="AV22" s="129">
        <v>349</v>
      </c>
      <c r="AW22" s="131">
        <v>0.55</v>
      </c>
      <c r="AX22" s="115">
        <f t="shared" si="12"/>
        <v>253.68112000000002</v>
      </c>
      <c r="AY22" s="112"/>
      <c r="AZ22" s="113"/>
      <c r="BA22" s="113">
        <f t="shared" si="16"/>
        <v>0</v>
      </c>
      <c r="BB22" s="113">
        <f>SUM(AG22:BA22)-AV22-AW22</f>
        <v>3279.0298372579996</v>
      </c>
      <c r="BC22" s="119"/>
      <c r="BD22" s="14">
        <f t="shared" si="14"/>
        <v>4117.905162742001</v>
      </c>
      <c r="BE22" s="30">
        <f>AB22-S22</f>
        <v>2150.71</v>
      </c>
    </row>
    <row r="23" spans="1:57" ht="12.75" hidden="1">
      <c r="A23" s="11" t="s">
        <v>41</v>
      </c>
      <c r="B23" s="97">
        <v>606.5</v>
      </c>
      <c r="C23" s="122">
        <f t="shared" si="1"/>
        <v>5246.225</v>
      </c>
      <c r="D23" s="121">
        <f t="shared" si="17"/>
        <v>469.85500000000127</v>
      </c>
      <c r="E23" s="87">
        <v>460.11</v>
      </c>
      <c r="F23" s="85">
        <v>91.11</v>
      </c>
      <c r="G23" s="85">
        <v>623.41</v>
      </c>
      <c r="H23" s="85">
        <v>123.5</v>
      </c>
      <c r="I23" s="85">
        <v>1497.65</v>
      </c>
      <c r="J23" s="85">
        <v>296.6</v>
      </c>
      <c r="K23" s="85">
        <f>1037.53+0.01</f>
        <v>1037.54</v>
      </c>
      <c r="L23" s="85">
        <v>205.48</v>
      </c>
      <c r="M23" s="85">
        <v>368.08</v>
      </c>
      <c r="N23" s="85">
        <v>72.89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2"/>
        <v>3986.79</v>
      </c>
      <c r="T23" s="101">
        <f t="shared" si="3"/>
        <v>789.58</v>
      </c>
      <c r="U23" s="88">
        <f>203.39+182.89</f>
        <v>386.28</v>
      </c>
      <c r="V23" s="85">
        <f>275.6+247.75</f>
        <v>523.35</v>
      </c>
      <c r="W23" s="85">
        <f>662.07+595.26</f>
        <v>1257.33</v>
      </c>
      <c r="X23" s="85">
        <f>458.69+412.37</f>
        <v>871.06</v>
      </c>
      <c r="Y23" s="85">
        <f>162.73+146.32</f>
        <v>309.04999999999995</v>
      </c>
      <c r="Z23" s="102">
        <v>0</v>
      </c>
      <c r="AA23" s="102">
        <v>0</v>
      </c>
      <c r="AB23" s="102">
        <f>SUM(U23:AA23)</f>
        <v>3347.0699999999997</v>
      </c>
      <c r="AC23" s="106">
        <f>AB23+T23+D23</f>
        <v>4606.505000000001</v>
      </c>
      <c r="AD23" s="95">
        <f t="shared" si="6"/>
        <v>0</v>
      </c>
      <c r="AE23" s="95">
        <f t="shared" si="7"/>
        <v>0</v>
      </c>
      <c r="AF23" s="95"/>
      <c r="AG23" s="16">
        <f t="shared" si="18"/>
        <v>363.9</v>
      </c>
      <c r="AH23" s="16">
        <f>B23*0.2</f>
        <v>121.30000000000001</v>
      </c>
      <c r="AI23" s="16">
        <f>(0.847*B23)</f>
        <v>513.7055</v>
      </c>
      <c r="AJ23" s="16">
        <f t="shared" si="8"/>
        <v>92.46699</v>
      </c>
      <c r="AK23" s="16">
        <f>0.83*B23</f>
        <v>503.395</v>
      </c>
      <c r="AL23" s="16">
        <f t="shared" si="9"/>
        <v>90.6111</v>
      </c>
      <c r="AM23" s="16">
        <f>(2.25/1.18)*B23</f>
        <v>1156.4618644067796</v>
      </c>
      <c r="AN23" s="16">
        <f t="shared" si="10"/>
        <v>208.16313559322032</v>
      </c>
      <c r="AO23" s="16"/>
      <c r="AP23" s="16">
        <f t="shared" si="11"/>
        <v>0</v>
      </c>
      <c r="AQ23" s="109"/>
      <c r="AR23" s="109">
        <f t="shared" si="11"/>
        <v>0</v>
      </c>
      <c r="AS23" s="90">
        <v>0</v>
      </c>
      <c r="AT23" s="90"/>
      <c r="AU23" s="90">
        <f t="shared" si="13"/>
        <v>0</v>
      </c>
      <c r="AV23" s="110">
        <v>425</v>
      </c>
      <c r="AW23" s="125">
        <v>0.55</v>
      </c>
      <c r="AX23" s="16">
        <f t="shared" si="12"/>
        <v>308.9240000000001</v>
      </c>
      <c r="AY23" s="112"/>
      <c r="AZ23" s="126"/>
      <c r="BA23" s="113">
        <f t="shared" si="16"/>
        <v>0</v>
      </c>
      <c r="BB23" s="113">
        <f>SUM(AG23:AU23)+AX23+AY23+AZ23+BA23</f>
        <v>3358.9275900000002</v>
      </c>
      <c r="BC23" s="119"/>
      <c r="BD23" s="14">
        <f t="shared" si="14"/>
        <v>1247.5774100000008</v>
      </c>
      <c r="BE23" s="30">
        <f>AB23-S23</f>
        <v>-639.7200000000003</v>
      </c>
    </row>
    <row r="24" spans="1:57" ht="12.75" hidden="1">
      <c r="A24" s="11" t="s">
        <v>42</v>
      </c>
      <c r="B24" s="133">
        <v>606.5</v>
      </c>
      <c r="C24" s="122">
        <f t="shared" si="1"/>
        <v>5246.225</v>
      </c>
      <c r="D24" s="121">
        <f t="shared" si="17"/>
        <v>469.8450000000013</v>
      </c>
      <c r="E24" s="100">
        <v>460.11</v>
      </c>
      <c r="F24" s="100">
        <v>91.11</v>
      </c>
      <c r="G24" s="100">
        <v>623.41</v>
      </c>
      <c r="H24" s="100">
        <v>123.5</v>
      </c>
      <c r="I24" s="100">
        <v>1497.65</v>
      </c>
      <c r="J24" s="100">
        <v>296.6</v>
      </c>
      <c r="K24" s="100">
        <f>1037.53+0.01</f>
        <v>1037.54</v>
      </c>
      <c r="L24" s="100">
        <v>205.49</v>
      </c>
      <c r="M24" s="100">
        <v>368.09</v>
      </c>
      <c r="N24" s="100">
        <v>72.88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2"/>
        <v>3986.8</v>
      </c>
      <c r="T24" s="101">
        <f t="shared" si="3"/>
        <v>789.58</v>
      </c>
      <c r="U24" s="85">
        <v>365.47</v>
      </c>
      <c r="V24" s="85">
        <v>495.03</v>
      </c>
      <c r="W24" s="85">
        <v>1189.37</v>
      </c>
      <c r="X24" s="85">
        <v>823.92</v>
      </c>
      <c r="Y24" s="85">
        <v>292.36</v>
      </c>
      <c r="Z24" s="102">
        <v>0</v>
      </c>
      <c r="AA24" s="102">
        <v>0</v>
      </c>
      <c r="AB24" s="107">
        <f>SUM(U24:AA24)</f>
        <v>3166.15</v>
      </c>
      <c r="AC24" s="106">
        <f>D24+T24+AB24</f>
        <v>4425.575000000002</v>
      </c>
      <c r="AD24" s="95">
        <f t="shared" si="6"/>
        <v>0</v>
      </c>
      <c r="AE24" s="95">
        <f t="shared" si="7"/>
        <v>0</v>
      </c>
      <c r="AF24" s="95"/>
      <c r="AG24" s="16">
        <f t="shared" si="18"/>
        <v>363.9</v>
      </c>
      <c r="AH24" s="16">
        <f>B24*0.2</f>
        <v>121.30000000000001</v>
      </c>
      <c r="AI24" s="16">
        <f>0.85*B24</f>
        <v>515.525</v>
      </c>
      <c r="AJ24" s="16">
        <f t="shared" si="8"/>
        <v>92.7945</v>
      </c>
      <c r="AK24" s="16">
        <f>0.83*B24</f>
        <v>503.395</v>
      </c>
      <c r="AL24" s="16">
        <f t="shared" si="9"/>
        <v>90.6111</v>
      </c>
      <c r="AM24" s="16">
        <f>(1.91)*B24</f>
        <v>1158.415</v>
      </c>
      <c r="AN24" s="16">
        <f t="shared" si="10"/>
        <v>208.51469999999998</v>
      </c>
      <c r="AO24" s="16"/>
      <c r="AP24" s="16">
        <f t="shared" si="11"/>
        <v>0</v>
      </c>
      <c r="AQ24" s="109"/>
      <c r="AR24" s="109">
        <f t="shared" si="11"/>
        <v>0</v>
      </c>
      <c r="AS24" s="90">
        <v>0</v>
      </c>
      <c r="AT24" s="90"/>
      <c r="AU24" s="90">
        <f t="shared" si="13"/>
        <v>0</v>
      </c>
      <c r="AV24" s="110">
        <v>470</v>
      </c>
      <c r="AW24" s="125">
        <v>0.55</v>
      </c>
      <c r="AX24" s="16">
        <f t="shared" si="12"/>
        <v>341.6336</v>
      </c>
      <c r="AY24" s="112"/>
      <c r="AZ24" s="113"/>
      <c r="BA24" s="113">
        <f t="shared" si="16"/>
        <v>0</v>
      </c>
      <c r="BB24" s="113">
        <f>SUM(AG24:AU24)+AX24+AY24+AZ24+BA24</f>
        <v>3396.0889</v>
      </c>
      <c r="BC24" s="123"/>
      <c r="BD24" s="14">
        <f t="shared" si="14"/>
        <v>1029.4861000000014</v>
      </c>
      <c r="BE24" s="30">
        <f>AB24-S24</f>
        <v>-820.6500000000001</v>
      </c>
    </row>
    <row r="25" spans="1:57" ht="12.75" hidden="1">
      <c r="A25" s="11" t="s">
        <v>43</v>
      </c>
      <c r="B25" s="97">
        <v>606.5</v>
      </c>
      <c r="C25" s="122">
        <f t="shared" si="1"/>
        <v>5246.225</v>
      </c>
      <c r="D25" s="121">
        <f t="shared" si="17"/>
        <v>469.8450000000013</v>
      </c>
      <c r="E25" s="100">
        <v>460.11</v>
      </c>
      <c r="F25" s="100">
        <v>91.11</v>
      </c>
      <c r="G25" s="100">
        <v>623.41</v>
      </c>
      <c r="H25" s="100">
        <v>123.5</v>
      </c>
      <c r="I25" s="100">
        <v>1497.65</v>
      </c>
      <c r="J25" s="100">
        <v>296.6</v>
      </c>
      <c r="K25" s="100">
        <v>1037.54</v>
      </c>
      <c r="L25" s="100">
        <v>205.49</v>
      </c>
      <c r="M25" s="100">
        <v>368.09</v>
      </c>
      <c r="N25" s="100">
        <v>72.88</v>
      </c>
      <c r="O25" s="100">
        <v>0</v>
      </c>
      <c r="P25" s="107">
        <v>0</v>
      </c>
      <c r="Q25" s="107"/>
      <c r="R25" s="107"/>
      <c r="S25" s="85">
        <f t="shared" si="2"/>
        <v>3986.8</v>
      </c>
      <c r="T25" s="101">
        <f t="shared" si="3"/>
        <v>789.58</v>
      </c>
      <c r="U25" s="85">
        <v>627.85</v>
      </c>
      <c r="V25" s="85">
        <v>850.74</v>
      </c>
      <c r="W25" s="85">
        <v>2043.75</v>
      </c>
      <c r="X25" s="85">
        <v>1415.89</v>
      </c>
      <c r="Y25" s="85">
        <v>502.29</v>
      </c>
      <c r="Z25" s="102">
        <v>0</v>
      </c>
      <c r="AA25" s="102">
        <v>0</v>
      </c>
      <c r="AB25" s="107">
        <f>SUM(U25:AA25)</f>
        <v>5440.52</v>
      </c>
      <c r="AC25" s="106">
        <f>D25+T25+AB25</f>
        <v>6699.9450000000015</v>
      </c>
      <c r="AD25" s="95">
        <f t="shared" si="6"/>
        <v>0</v>
      </c>
      <c r="AE25" s="95">
        <f t="shared" si="7"/>
        <v>0</v>
      </c>
      <c r="AF25" s="95"/>
      <c r="AG25" s="16">
        <f t="shared" si="18"/>
        <v>363.9</v>
      </c>
      <c r="AH25" s="16">
        <f>B25*0.2</f>
        <v>121.30000000000001</v>
      </c>
      <c r="AI25" s="16">
        <f>0.85*B25</f>
        <v>515.525</v>
      </c>
      <c r="AJ25" s="16">
        <f t="shared" si="8"/>
        <v>92.7945</v>
      </c>
      <c r="AK25" s="16">
        <f>0.83*B25</f>
        <v>503.395</v>
      </c>
      <c r="AL25" s="16">
        <f t="shared" si="9"/>
        <v>90.6111</v>
      </c>
      <c r="AM25" s="16">
        <f>(1.91)*B25</f>
        <v>1158.415</v>
      </c>
      <c r="AN25" s="16">
        <f t="shared" si="10"/>
        <v>208.51469999999998</v>
      </c>
      <c r="AO25" s="16"/>
      <c r="AP25" s="16">
        <f t="shared" si="11"/>
        <v>0</v>
      </c>
      <c r="AQ25" s="109"/>
      <c r="AR25" s="109">
        <f t="shared" si="11"/>
        <v>0</v>
      </c>
      <c r="AS25" s="90">
        <v>0</v>
      </c>
      <c r="AT25" s="90"/>
      <c r="AU25" s="90">
        <f t="shared" si="13"/>
        <v>0</v>
      </c>
      <c r="AV25" s="110">
        <v>514</v>
      </c>
      <c r="AW25" s="125">
        <v>0.55</v>
      </c>
      <c r="AX25" s="16">
        <f t="shared" si="12"/>
        <v>373.6163200000001</v>
      </c>
      <c r="AY25" s="112"/>
      <c r="AZ25" s="113"/>
      <c r="BA25" s="113">
        <f t="shared" si="16"/>
        <v>0</v>
      </c>
      <c r="BB25" s="113">
        <f>SUM(AG25:BA25)-AV25-AW25</f>
        <v>3428.07162</v>
      </c>
      <c r="BC25" s="123"/>
      <c r="BD25" s="14">
        <f>AC25+AF25-BB25-BC25</f>
        <v>3271.8733800000014</v>
      </c>
      <c r="BE25" s="30">
        <f>AB25-S25</f>
        <v>1453.7200000000003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62954.69999999999</v>
      </c>
      <c r="D26" s="60">
        <f t="shared" si="19"/>
        <v>6486.712500000009</v>
      </c>
      <c r="E26" s="57">
        <f t="shared" si="19"/>
        <v>5298.7699999999995</v>
      </c>
      <c r="F26" s="57">
        <f t="shared" si="19"/>
        <v>1071.92</v>
      </c>
      <c r="G26" s="57">
        <f t="shared" si="19"/>
        <v>7171.369999999999</v>
      </c>
      <c r="H26" s="57">
        <f t="shared" si="19"/>
        <v>1451.12</v>
      </c>
      <c r="I26" s="57">
        <f t="shared" si="19"/>
        <v>17239.28</v>
      </c>
      <c r="J26" s="57">
        <f t="shared" si="19"/>
        <v>3487.6799999999994</v>
      </c>
      <c r="K26" s="57">
        <f t="shared" si="19"/>
        <v>11940.480000000003</v>
      </c>
      <c r="L26" s="57">
        <f t="shared" si="19"/>
        <v>2415.75</v>
      </c>
      <c r="M26" s="57">
        <f t="shared" si="19"/>
        <v>4239.0199999999995</v>
      </c>
      <c r="N26" s="57">
        <f t="shared" si="19"/>
        <v>857.49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45888.920000000006</v>
      </c>
      <c r="T26" s="57">
        <f t="shared" si="19"/>
        <v>9283.96</v>
      </c>
      <c r="U26" s="61">
        <f t="shared" si="19"/>
        <v>5207.580000000001</v>
      </c>
      <c r="V26" s="61">
        <f t="shared" si="19"/>
        <v>7045.12</v>
      </c>
      <c r="W26" s="61">
        <f t="shared" si="19"/>
        <v>16861.63</v>
      </c>
      <c r="X26" s="61">
        <f t="shared" si="19"/>
        <v>11732.089999999998</v>
      </c>
      <c r="Y26" s="61">
        <f t="shared" si="19"/>
        <v>4166.1</v>
      </c>
      <c r="Z26" s="61">
        <f t="shared" si="19"/>
        <v>0</v>
      </c>
      <c r="AA26" s="61">
        <f t="shared" si="19"/>
        <v>0</v>
      </c>
      <c r="AB26" s="61">
        <f t="shared" si="19"/>
        <v>45012.520000000004</v>
      </c>
      <c r="AC26" s="61">
        <f t="shared" si="19"/>
        <v>60783.19250000002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4221.240000000001</v>
      </c>
      <c r="AH26" s="18">
        <f t="shared" si="19"/>
        <v>1413.251448</v>
      </c>
      <c r="AI26" s="18">
        <f t="shared" si="19"/>
        <v>5900.741005749999</v>
      </c>
      <c r="AJ26" s="18">
        <f t="shared" si="19"/>
        <v>1062.1333810349997</v>
      </c>
      <c r="AK26" s="18">
        <f t="shared" si="19"/>
        <v>5736.291737950001</v>
      </c>
      <c r="AL26" s="18">
        <f t="shared" si="19"/>
        <v>1032.5325128309998</v>
      </c>
      <c r="AM26" s="18">
        <f t="shared" si="19"/>
        <v>13198.081532056778</v>
      </c>
      <c r="AN26" s="18">
        <f t="shared" si="19"/>
        <v>2375.654675770221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17526.78</v>
      </c>
      <c r="AT26" s="18">
        <f>SUM(AT14:AT25)</f>
        <v>0</v>
      </c>
      <c r="AU26" s="18">
        <f>SUM(AU14:AU25)</f>
        <v>3154.8203999999996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58819.79869339301</v>
      </c>
      <c r="BC26" s="18">
        <f t="shared" si="19"/>
        <v>0</v>
      </c>
      <c r="BD26" s="18">
        <f>SUM(BD14:BD25)</f>
        <v>1963.3938066070114</v>
      </c>
      <c r="BE26" s="19">
        <f>SUM(BE14:BE25)</f>
        <v>-876.4000000000005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78693.37499999999</v>
      </c>
      <c r="D28" s="23">
        <f>D12+D26</f>
        <v>10275.064034750008</v>
      </c>
      <c r="E28" s="50">
        <f aca="true" t="shared" si="20" ref="E28:BC28">E12+E26</f>
        <v>6521.45</v>
      </c>
      <c r="F28" s="50">
        <f t="shared" si="20"/>
        <v>1329.2</v>
      </c>
      <c r="G28" s="50">
        <f t="shared" si="20"/>
        <v>8822</v>
      </c>
      <c r="H28" s="50">
        <f t="shared" si="20"/>
        <v>1798.46</v>
      </c>
      <c r="I28" s="50">
        <f t="shared" si="20"/>
        <v>21212.989999999998</v>
      </c>
      <c r="J28" s="50">
        <f t="shared" si="20"/>
        <v>4323.839999999999</v>
      </c>
      <c r="K28" s="50">
        <f t="shared" si="20"/>
        <v>14691.510000000002</v>
      </c>
      <c r="L28" s="50">
        <f t="shared" si="20"/>
        <v>2994.63</v>
      </c>
      <c r="M28" s="50">
        <f t="shared" si="20"/>
        <v>5217.17</v>
      </c>
      <c r="N28" s="50">
        <f>N12+N26</f>
        <v>1063.32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56465.12000000001</v>
      </c>
      <c r="T28" s="50">
        <f t="shared" si="20"/>
        <v>11509.449999999999</v>
      </c>
      <c r="U28" s="53">
        <f t="shared" si="20"/>
        <v>5845.670000000001</v>
      </c>
      <c r="V28" s="53">
        <f t="shared" si="20"/>
        <v>7906.53</v>
      </c>
      <c r="W28" s="53">
        <f t="shared" si="20"/>
        <v>19013.530000000002</v>
      </c>
      <c r="X28" s="53">
        <f t="shared" si="20"/>
        <v>13167.759999999998</v>
      </c>
      <c r="Y28" s="53">
        <f t="shared" si="20"/>
        <v>4676.570000000001</v>
      </c>
      <c r="Z28" s="53">
        <f t="shared" si="20"/>
        <v>0</v>
      </c>
      <c r="AA28" s="53">
        <f t="shared" si="20"/>
        <v>0</v>
      </c>
      <c r="AB28" s="53">
        <f t="shared" si="20"/>
        <v>50610.060000000005</v>
      </c>
      <c r="AC28" s="53">
        <f t="shared" si="20"/>
        <v>72394.57403475003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5312.9400000000005</v>
      </c>
      <c r="AH28" s="23">
        <f t="shared" si="20"/>
        <v>1787.8864979999998</v>
      </c>
      <c r="AI28" s="23">
        <f t="shared" si="20"/>
        <v>7449.086985749999</v>
      </c>
      <c r="AJ28" s="23">
        <f t="shared" si="20"/>
        <v>1340.8356574349996</v>
      </c>
      <c r="AK28" s="23">
        <f t="shared" si="20"/>
        <v>7538.076600750001</v>
      </c>
      <c r="AL28" s="23">
        <f t="shared" si="20"/>
        <v>1356.8537881349998</v>
      </c>
      <c r="AM28" s="23">
        <f t="shared" si="20"/>
        <v>16507.12873200678</v>
      </c>
      <c r="AN28" s="23">
        <f t="shared" si="20"/>
        <v>2971.2831717612207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18486.78</v>
      </c>
      <c r="AT28" s="23">
        <f t="shared" si="20"/>
        <v>0</v>
      </c>
      <c r="AU28" s="23">
        <f t="shared" si="20"/>
        <v>3327.6204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69276.763833838</v>
      </c>
      <c r="BC28" s="23">
        <f t="shared" si="20"/>
        <v>0</v>
      </c>
      <c r="BD28" s="23">
        <f>BD12+BD26</f>
        <v>3117.810200912012</v>
      </c>
      <c r="BE28" s="24">
        <f>BE12+BE26</f>
        <v>-5855.060000000002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7">
        <v>606.5</v>
      </c>
      <c r="C30" s="122">
        <f aca="true" t="shared" si="21" ref="C30:C41">B30*8.65</f>
        <v>5246.225</v>
      </c>
      <c r="D30" s="121">
        <f aca="true" t="shared" si="22" ref="D30:D41">C30-E30-F30-G30-H30-I30-J30-K30-L30-M30-N30</f>
        <v>469.8450000000013</v>
      </c>
      <c r="E30" s="100">
        <v>460.11</v>
      </c>
      <c r="F30" s="100">
        <v>91.11</v>
      </c>
      <c r="G30" s="100">
        <v>623.41</v>
      </c>
      <c r="H30" s="100">
        <v>123.5</v>
      </c>
      <c r="I30" s="100">
        <v>1497.65</v>
      </c>
      <c r="J30" s="100">
        <v>296.6</v>
      </c>
      <c r="K30" s="100">
        <v>1037.54</v>
      </c>
      <c r="L30" s="100">
        <v>205.49</v>
      </c>
      <c r="M30" s="100">
        <v>368.09</v>
      </c>
      <c r="N30" s="100">
        <v>72.88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3986.8</v>
      </c>
      <c r="T30" s="101">
        <f aca="true" t="shared" si="24" ref="T30:T41">P30+N30+L30+J30+H30+F30+R30</f>
        <v>789.58</v>
      </c>
      <c r="U30" s="85">
        <v>375.76</v>
      </c>
      <c r="V30" s="85">
        <v>509.22</v>
      </c>
      <c r="W30" s="85">
        <v>1223.2</v>
      </c>
      <c r="X30" s="85">
        <v>847.5</v>
      </c>
      <c r="Y30" s="85">
        <v>300.6</v>
      </c>
      <c r="Z30" s="102">
        <v>0</v>
      </c>
      <c r="AA30" s="102">
        <v>0</v>
      </c>
      <c r="AB30" s="107">
        <f>SUM(U30:AA30)</f>
        <v>3256.28</v>
      </c>
      <c r="AC30" s="106">
        <f aca="true" t="shared" si="25" ref="AC30:AC40">D30+T30+AB30</f>
        <v>4515.705000000002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363.9</v>
      </c>
      <c r="AH30" s="16">
        <f aca="true" t="shared" si="29" ref="AH30:AH41">B30*0.2</f>
        <v>121.30000000000001</v>
      </c>
      <c r="AI30" s="16">
        <f aca="true" t="shared" si="30" ref="AI30:AI41">1*B30</f>
        <v>606.5</v>
      </c>
      <c r="AJ30" s="16">
        <v>0</v>
      </c>
      <c r="AK30" s="16">
        <f aca="true" t="shared" si="31" ref="AK30:AK41">0.98*B30</f>
        <v>594.37</v>
      </c>
      <c r="AL30" s="16">
        <v>0</v>
      </c>
      <c r="AM30" s="16">
        <f aca="true" t="shared" si="32" ref="AM30:AM41">2.25*B30</f>
        <v>1364.625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0">AT30*0.18</f>
        <v>0</v>
      </c>
      <c r="AV30" s="110">
        <v>508</v>
      </c>
      <c r="AW30" s="125">
        <v>0.55</v>
      </c>
      <c r="AX30" s="134">
        <f aca="true" t="shared" si="34" ref="AX30:AX41">AV30*AW30*1.4</f>
        <v>391.16</v>
      </c>
      <c r="AY30" s="112"/>
      <c r="AZ30" s="113"/>
      <c r="BA30" s="113">
        <f aca="true" t="shared" si="35" ref="BA30:BA40">AZ30*0.18</f>
        <v>0</v>
      </c>
      <c r="BB30" s="113">
        <f aca="true" t="shared" si="36" ref="BB30:BB41">SUM(AG30:BA30)-AV30-AW30</f>
        <v>3441.855</v>
      </c>
      <c r="BC30" s="123"/>
      <c r="BD30" s="14">
        <f>AC30+AF30-BB30-BC30</f>
        <v>1073.8500000000017</v>
      </c>
      <c r="BE30" s="30">
        <f>AB30-S30</f>
        <v>-730.52</v>
      </c>
    </row>
    <row r="31" spans="1:57" ht="12.75" hidden="1">
      <c r="A31" s="11" t="s">
        <v>46</v>
      </c>
      <c r="B31" s="133">
        <v>607.3</v>
      </c>
      <c r="C31" s="122">
        <f t="shared" si="21"/>
        <v>5253.1449999999995</v>
      </c>
      <c r="D31" s="121">
        <f t="shared" si="22"/>
        <v>469.84500000000037</v>
      </c>
      <c r="E31" s="135">
        <v>460.91</v>
      </c>
      <c r="F31" s="100">
        <v>91.11</v>
      </c>
      <c r="G31" s="100">
        <v>624.49</v>
      </c>
      <c r="H31" s="100">
        <v>123.5</v>
      </c>
      <c r="I31" s="100">
        <v>1500.25</v>
      </c>
      <c r="J31" s="100">
        <v>296.6</v>
      </c>
      <c r="K31" s="100">
        <v>1039.34</v>
      </c>
      <c r="L31" s="100">
        <v>205.49</v>
      </c>
      <c r="M31" s="100">
        <v>368.73</v>
      </c>
      <c r="N31" s="100">
        <v>72.88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3993.72</v>
      </c>
      <c r="T31" s="101">
        <f t="shared" si="24"/>
        <v>789.58</v>
      </c>
      <c r="U31" s="85">
        <v>425.53</v>
      </c>
      <c r="V31" s="85">
        <v>576.47</v>
      </c>
      <c r="W31" s="85">
        <v>1384.97</v>
      </c>
      <c r="X31" s="85">
        <v>959.37</v>
      </c>
      <c r="Y31" s="85">
        <v>340.42</v>
      </c>
      <c r="Z31" s="102">
        <v>0</v>
      </c>
      <c r="AA31" s="102">
        <v>0</v>
      </c>
      <c r="AB31" s="107">
        <f>SUM(U31:AA31)</f>
        <v>3686.76</v>
      </c>
      <c r="AC31" s="106">
        <f t="shared" si="25"/>
        <v>4946.185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364.37999999999994</v>
      </c>
      <c r="AH31" s="16">
        <f t="shared" si="29"/>
        <v>121.46</v>
      </c>
      <c r="AI31" s="16">
        <f t="shared" si="30"/>
        <v>607.3</v>
      </c>
      <c r="AJ31" s="16">
        <v>0</v>
      </c>
      <c r="AK31" s="16">
        <f t="shared" si="31"/>
        <v>595.154</v>
      </c>
      <c r="AL31" s="16">
        <v>0</v>
      </c>
      <c r="AM31" s="16">
        <f t="shared" si="32"/>
        <v>1366.425</v>
      </c>
      <c r="AN31" s="16">
        <v>0</v>
      </c>
      <c r="AO31" s="16"/>
      <c r="AP31" s="16"/>
      <c r="AQ31" s="109"/>
      <c r="AR31" s="109"/>
      <c r="AS31" s="90">
        <v>7325</v>
      </c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10693.109</v>
      </c>
      <c r="BC31" s="123"/>
      <c r="BD31" s="14">
        <f aca="true" t="shared" si="37" ref="BD31:BD41">AC31+AF31-BB31-BC31</f>
        <v>-5746.924</v>
      </c>
      <c r="BE31" s="30">
        <f aca="true" t="shared" si="38" ref="BE31:BE41">AB31-S31</f>
        <v>-306.9599999999996</v>
      </c>
    </row>
    <row r="32" spans="1:57" ht="12.75" hidden="1">
      <c r="A32" s="11" t="s">
        <v>47</v>
      </c>
      <c r="B32" s="97">
        <v>607.3</v>
      </c>
      <c r="C32" s="122">
        <f t="shared" si="21"/>
        <v>5253.1449999999995</v>
      </c>
      <c r="D32" s="121">
        <f t="shared" si="22"/>
        <v>469.84500000000037</v>
      </c>
      <c r="E32" s="100">
        <v>460.91</v>
      </c>
      <c r="F32" s="100">
        <v>91.11</v>
      </c>
      <c r="G32" s="100">
        <v>624.49</v>
      </c>
      <c r="H32" s="100">
        <v>123.5</v>
      </c>
      <c r="I32" s="100">
        <v>1500.25</v>
      </c>
      <c r="J32" s="100">
        <v>296.6</v>
      </c>
      <c r="K32" s="100">
        <v>1039.34</v>
      </c>
      <c r="L32" s="100">
        <v>205.49</v>
      </c>
      <c r="M32" s="100">
        <v>368.73</v>
      </c>
      <c r="N32" s="100">
        <v>72.88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3993.72</v>
      </c>
      <c r="T32" s="101">
        <f t="shared" si="24"/>
        <v>789.58</v>
      </c>
      <c r="U32" s="85">
        <v>539.09</v>
      </c>
      <c r="V32" s="85">
        <v>730.23</v>
      </c>
      <c r="W32" s="85">
        <v>1754.52</v>
      </c>
      <c r="X32" s="85">
        <v>1215.48</v>
      </c>
      <c r="Y32" s="85">
        <v>431.26</v>
      </c>
      <c r="Z32" s="102">
        <v>0</v>
      </c>
      <c r="AA32" s="102">
        <v>0</v>
      </c>
      <c r="AB32" s="107">
        <f>SUM(U32:AA32)</f>
        <v>4670.58</v>
      </c>
      <c r="AC32" s="106">
        <f t="shared" si="25"/>
        <v>5930.005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364.37999999999994</v>
      </c>
      <c r="AH32" s="16">
        <f t="shared" si="29"/>
        <v>121.46</v>
      </c>
      <c r="AI32" s="16">
        <f t="shared" si="30"/>
        <v>607.3</v>
      </c>
      <c r="AJ32" s="16">
        <v>0</v>
      </c>
      <c r="AK32" s="16">
        <f t="shared" si="31"/>
        <v>595.154</v>
      </c>
      <c r="AL32" s="16">
        <v>0</v>
      </c>
      <c r="AM32" s="16">
        <f t="shared" si="32"/>
        <v>1366.425</v>
      </c>
      <c r="AN32" s="16">
        <v>0</v>
      </c>
      <c r="AO32" s="16"/>
      <c r="AP32" s="16"/>
      <c r="AQ32" s="109"/>
      <c r="AR32" s="109"/>
      <c r="AS32" s="90">
        <v>3556</v>
      </c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6905.629</v>
      </c>
      <c r="BC32" s="123"/>
      <c r="BD32" s="14">
        <f t="shared" si="37"/>
        <v>-975.6239999999998</v>
      </c>
      <c r="BE32" s="30">
        <f t="shared" si="38"/>
        <v>676.8600000000001</v>
      </c>
    </row>
    <row r="33" spans="1:57" ht="12.75" hidden="1">
      <c r="A33" s="11" t="s">
        <v>48</v>
      </c>
      <c r="B33" s="97">
        <v>607.3</v>
      </c>
      <c r="C33" s="122">
        <f t="shared" si="21"/>
        <v>5253.1449999999995</v>
      </c>
      <c r="D33" s="121">
        <f t="shared" si="22"/>
        <v>469.84500000000037</v>
      </c>
      <c r="E33" s="100">
        <v>460.91</v>
      </c>
      <c r="F33" s="100">
        <v>91.11</v>
      </c>
      <c r="G33" s="100">
        <v>624.49</v>
      </c>
      <c r="H33" s="100">
        <v>123.5</v>
      </c>
      <c r="I33" s="100">
        <v>1500.25</v>
      </c>
      <c r="J33" s="100">
        <v>296.6</v>
      </c>
      <c r="K33" s="100">
        <v>1039.34</v>
      </c>
      <c r="L33" s="100">
        <v>205.49</v>
      </c>
      <c r="M33" s="100">
        <v>368.73</v>
      </c>
      <c r="N33" s="100">
        <v>72.88</v>
      </c>
      <c r="O33" s="100">
        <v>0</v>
      </c>
      <c r="P33" s="107">
        <v>0</v>
      </c>
      <c r="Q33" s="107"/>
      <c r="R33" s="107"/>
      <c r="S33" s="85">
        <f t="shared" si="23"/>
        <v>3993.72</v>
      </c>
      <c r="T33" s="101">
        <f t="shared" si="24"/>
        <v>789.58</v>
      </c>
      <c r="U33" s="85">
        <v>406.78</v>
      </c>
      <c r="V33" s="85">
        <v>549.17</v>
      </c>
      <c r="W33" s="85">
        <v>1300.47</v>
      </c>
      <c r="X33" s="85">
        <v>915.26</v>
      </c>
      <c r="Y33" s="85">
        <v>325.42</v>
      </c>
      <c r="Z33" s="102">
        <v>0</v>
      </c>
      <c r="AA33" s="102">
        <v>0</v>
      </c>
      <c r="AB33" s="107">
        <f>SUM(U33:AA33)</f>
        <v>3497.1000000000004</v>
      </c>
      <c r="AC33" s="106">
        <f t="shared" si="25"/>
        <v>4756.525000000001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364.37999999999994</v>
      </c>
      <c r="AH33" s="16">
        <f t="shared" si="29"/>
        <v>121.46</v>
      </c>
      <c r="AI33" s="16">
        <f t="shared" si="30"/>
        <v>607.3</v>
      </c>
      <c r="AJ33" s="16">
        <v>0</v>
      </c>
      <c r="AK33" s="16">
        <f t="shared" si="31"/>
        <v>595.154</v>
      </c>
      <c r="AL33" s="16">
        <v>0</v>
      </c>
      <c r="AM33" s="16">
        <f t="shared" si="32"/>
        <v>1366.425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3389.109</v>
      </c>
      <c r="BC33" s="123"/>
      <c r="BD33" s="14">
        <f t="shared" si="37"/>
        <v>1367.4160000000006</v>
      </c>
      <c r="BE33" s="30">
        <f t="shared" si="38"/>
        <v>-496.61999999999944</v>
      </c>
    </row>
    <row r="34" spans="1:57" ht="12.75" hidden="1">
      <c r="A34" s="11" t="s">
        <v>49</v>
      </c>
      <c r="B34" s="97">
        <v>607.3</v>
      </c>
      <c r="C34" s="122">
        <f t="shared" si="21"/>
        <v>5253.1449999999995</v>
      </c>
      <c r="D34" s="121">
        <f t="shared" si="22"/>
        <v>469.87500000000034</v>
      </c>
      <c r="E34" s="100">
        <v>460.91</v>
      </c>
      <c r="F34" s="100">
        <v>91.11</v>
      </c>
      <c r="G34" s="100">
        <v>624.49</v>
      </c>
      <c r="H34" s="100">
        <v>123.49</v>
      </c>
      <c r="I34" s="100">
        <v>1500.25</v>
      </c>
      <c r="J34" s="100">
        <v>296.59</v>
      </c>
      <c r="K34" s="100">
        <v>1039.34</v>
      </c>
      <c r="L34" s="100">
        <v>205.48</v>
      </c>
      <c r="M34" s="100">
        <v>368.73</v>
      </c>
      <c r="N34" s="100">
        <v>72.88</v>
      </c>
      <c r="O34" s="100">
        <v>0</v>
      </c>
      <c r="P34" s="107">
        <v>0</v>
      </c>
      <c r="Q34" s="107"/>
      <c r="R34" s="107"/>
      <c r="S34" s="85">
        <f t="shared" si="23"/>
        <v>3993.72</v>
      </c>
      <c r="T34" s="101">
        <f t="shared" si="24"/>
        <v>789.5500000000001</v>
      </c>
      <c r="U34" s="136">
        <v>366.17</v>
      </c>
      <c r="V34" s="136">
        <v>500.17</v>
      </c>
      <c r="W34" s="136">
        <v>1201.94</v>
      </c>
      <c r="X34" s="136">
        <v>832.74</v>
      </c>
      <c r="Y34" s="136">
        <v>292.98</v>
      </c>
      <c r="Z34" s="137">
        <v>0</v>
      </c>
      <c r="AA34" s="137">
        <v>0</v>
      </c>
      <c r="AB34" s="107">
        <f aca="true" t="shared" si="39" ref="AB34:AB40">SUM(U34:AA34)</f>
        <v>3194.0000000000005</v>
      </c>
      <c r="AC34" s="106">
        <f t="shared" si="25"/>
        <v>4453.425000000001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364.37999999999994</v>
      </c>
      <c r="AH34" s="16">
        <f t="shared" si="29"/>
        <v>121.46</v>
      </c>
      <c r="AI34" s="16">
        <f t="shared" si="30"/>
        <v>607.3</v>
      </c>
      <c r="AJ34" s="16">
        <v>0</v>
      </c>
      <c r="AK34" s="16">
        <f t="shared" si="31"/>
        <v>595.154</v>
      </c>
      <c r="AL34" s="16">
        <v>0</v>
      </c>
      <c r="AM34" s="16">
        <f t="shared" si="32"/>
        <v>1366.425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3257.2290000000003</v>
      </c>
      <c r="BC34" s="123"/>
      <c r="BD34" s="14">
        <f t="shared" si="37"/>
        <v>1196.1960000000008</v>
      </c>
      <c r="BE34" s="30">
        <f t="shared" si="38"/>
        <v>-799.7199999999993</v>
      </c>
    </row>
    <row r="35" spans="1:57" ht="12.75" hidden="1">
      <c r="A35" s="11" t="s">
        <v>50</v>
      </c>
      <c r="B35" s="97">
        <v>607.3</v>
      </c>
      <c r="C35" s="122">
        <f t="shared" si="21"/>
        <v>5253.1449999999995</v>
      </c>
      <c r="D35" s="121">
        <f t="shared" si="22"/>
        <v>469.87500000000034</v>
      </c>
      <c r="E35" s="100">
        <v>460.91</v>
      </c>
      <c r="F35" s="100">
        <v>91.11</v>
      </c>
      <c r="G35" s="100">
        <v>624.49</v>
      </c>
      <c r="H35" s="100">
        <v>123.49</v>
      </c>
      <c r="I35" s="100">
        <v>1500.25</v>
      </c>
      <c r="J35" s="100">
        <v>296.59</v>
      </c>
      <c r="K35" s="100">
        <v>1039.34</v>
      </c>
      <c r="L35" s="100">
        <v>205.48</v>
      </c>
      <c r="M35" s="100">
        <v>368.73</v>
      </c>
      <c r="N35" s="100">
        <v>72.88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3993.72</v>
      </c>
      <c r="T35" s="101">
        <f t="shared" si="24"/>
        <v>789.5500000000001</v>
      </c>
      <c r="U35" s="85">
        <v>372.93</v>
      </c>
      <c r="V35" s="85">
        <v>505.34</v>
      </c>
      <c r="W35" s="85">
        <v>1213.9</v>
      </c>
      <c r="X35" s="85">
        <v>840.98</v>
      </c>
      <c r="Y35" s="85">
        <v>298.31</v>
      </c>
      <c r="Z35" s="102">
        <v>0</v>
      </c>
      <c r="AA35" s="102">
        <v>0</v>
      </c>
      <c r="AB35" s="107">
        <f t="shared" si="39"/>
        <v>3231.46</v>
      </c>
      <c r="AC35" s="106">
        <f t="shared" si="25"/>
        <v>4490.885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364.37999999999994</v>
      </c>
      <c r="AH35" s="16">
        <f t="shared" si="29"/>
        <v>121.46</v>
      </c>
      <c r="AI35" s="16">
        <f t="shared" si="30"/>
        <v>607.3</v>
      </c>
      <c r="AJ35" s="16">
        <v>0</v>
      </c>
      <c r="AK35" s="16">
        <f t="shared" si="31"/>
        <v>595.154</v>
      </c>
      <c r="AL35" s="16">
        <v>0</v>
      </c>
      <c r="AM35" s="16">
        <f t="shared" si="32"/>
        <v>1366.425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3234.129</v>
      </c>
      <c r="BC35" s="123"/>
      <c r="BD35" s="14">
        <f t="shared" si="37"/>
        <v>1256.7560000000003</v>
      </c>
      <c r="BE35" s="30">
        <f t="shared" si="38"/>
        <v>-762.2599999999998</v>
      </c>
    </row>
    <row r="36" spans="1:57" ht="12.75" hidden="1">
      <c r="A36" s="11" t="s">
        <v>51</v>
      </c>
      <c r="B36" s="231">
        <v>607.3</v>
      </c>
      <c r="C36" s="122">
        <f t="shared" si="21"/>
        <v>5253.1449999999995</v>
      </c>
      <c r="D36" s="121">
        <f t="shared" si="22"/>
        <v>469.87500000000034</v>
      </c>
      <c r="E36" s="232">
        <v>552.02</v>
      </c>
      <c r="F36" s="233">
        <v>0</v>
      </c>
      <c r="G36" s="233">
        <v>747.98</v>
      </c>
      <c r="H36" s="233">
        <v>0</v>
      </c>
      <c r="I36" s="233">
        <v>1796.84</v>
      </c>
      <c r="J36" s="233">
        <v>0</v>
      </c>
      <c r="K36" s="233">
        <v>1244.82</v>
      </c>
      <c r="L36" s="233">
        <v>0</v>
      </c>
      <c r="M36" s="233">
        <v>441.61</v>
      </c>
      <c r="N36" s="233">
        <v>0</v>
      </c>
      <c r="O36" s="233">
        <v>0</v>
      </c>
      <c r="P36" s="234">
        <v>0</v>
      </c>
      <c r="Q36" s="234"/>
      <c r="R36" s="234"/>
      <c r="S36" s="235">
        <f t="shared" si="23"/>
        <v>4783.2699999999995</v>
      </c>
      <c r="T36" s="236">
        <f t="shared" si="24"/>
        <v>0</v>
      </c>
      <c r="U36" s="237">
        <v>606.7</v>
      </c>
      <c r="V36" s="235">
        <v>818.1</v>
      </c>
      <c r="W36" s="235">
        <v>1964.88</v>
      </c>
      <c r="X36" s="235">
        <v>1361.14</v>
      </c>
      <c r="Y36" s="235">
        <v>485.36</v>
      </c>
      <c r="Z36" s="238">
        <v>0</v>
      </c>
      <c r="AA36" s="238">
        <v>0</v>
      </c>
      <c r="AB36" s="234">
        <f t="shared" si="39"/>
        <v>5236.18</v>
      </c>
      <c r="AC36" s="239">
        <f t="shared" si="25"/>
        <v>5706.055</v>
      </c>
      <c r="AD36" s="240">
        <f t="shared" si="26"/>
        <v>0</v>
      </c>
      <c r="AE36" s="240">
        <f t="shared" si="27"/>
        <v>0</v>
      </c>
      <c r="AF36" s="240"/>
      <c r="AG36" s="241">
        <f t="shared" si="28"/>
        <v>364.37999999999994</v>
      </c>
      <c r="AH36" s="241">
        <f t="shared" si="29"/>
        <v>121.46</v>
      </c>
      <c r="AI36" s="241">
        <f t="shared" si="30"/>
        <v>607.3</v>
      </c>
      <c r="AJ36" s="241">
        <v>0</v>
      </c>
      <c r="AK36" s="241">
        <f t="shared" si="31"/>
        <v>595.154</v>
      </c>
      <c r="AL36" s="241">
        <v>0</v>
      </c>
      <c r="AM36" s="241">
        <f t="shared" si="32"/>
        <v>1366.425</v>
      </c>
      <c r="AN36" s="241">
        <v>0</v>
      </c>
      <c r="AO36" s="241"/>
      <c r="AP36" s="241"/>
      <c r="AQ36" s="242"/>
      <c r="AR36" s="242"/>
      <c r="AS36" s="243"/>
      <c r="AT36" s="243">
        <f>14.77+474.32+927.12</f>
        <v>1416.21</v>
      </c>
      <c r="AU36" s="243">
        <f>(927.12)*0.18</f>
        <v>166.8816</v>
      </c>
      <c r="AV36" s="244">
        <v>248</v>
      </c>
      <c r="AW36" s="245">
        <v>0.55</v>
      </c>
      <c r="AX36" s="241">
        <f t="shared" si="34"/>
        <v>190.96</v>
      </c>
      <c r="AY36" s="112"/>
      <c r="AZ36" s="246"/>
      <c r="BA36" s="246">
        <f t="shared" si="35"/>
        <v>0</v>
      </c>
      <c r="BB36" s="246">
        <f t="shared" si="36"/>
        <v>4828.7706</v>
      </c>
      <c r="BC36" s="247"/>
      <c r="BD36" s="14">
        <f t="shared" si="37"/>
        <v>877.2844000000005</v>
      </c>
      <c r="BE36" s="30">
        <f t="shared" si="38"/>
        <v>452.91000000000076</v>
      </c>
    </row>
    <row r="37" spans="1:57" ht="12.75" hidden="1">
      <c r="A37" s="11" t="s">
        <v>52</v>
      </c>
      <c r="B37" s="97">
        <v>607.3</v>
      </c>
      <c r="C37" s="122">
        <f t="shared" si="21"/>
        <v>5253.1449999999995</v>
      </c>
      <c r="D37" s="121">
        <f t="shared" si="22"/>
        <v>459.6049999999988</v>
      </c>
      <c r="E37" s="135">
        <v>553.23</v>
      </c>
      <c r="F37" s="100">
        <v>0</v>
      </c>
      <c r="G37" s="100">
        <v>749.55</v>
      </c>
      <c r="H37" s="100">
        <v>0</v>
      </c>
      <c r="I37" s="100">
        <v>1800.71</v>
      </c>
      <c r="J37" s="100">
        <v>0</v>
      </c>
      <c r="K37" s="100">
        <v>1247.47</v>
      </c>
      <c r="L37" s="100">
        <v>0</v>
      </c>
      <c r="M37" s="100">
        <v>442.58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4793.54</v>
      </c>
      <c r="T37" s="101">
        <f t="shared" si="24"/>
        <v>0</v>
      </c>
      <c r="U37" s="136">
        <v>355.25</v>
      </c>
      <c r="V37" s="136">
        <v>481.33</v>
      </c>
      <c r="W37" s="136">
        <v>1156.32</v>
      </c>
      <c r="X37" s="136">
        <v>801.07</v>
      </c>
      <c r="Y37" s="136">
        <v>284.19</v>
      </c>
      <c r="Z37" s="137">
        <v>0</v>
      </c>
      <c r="AA37" s="137">
        <v>0</v>
      </c>
      <c r="AB37" s="107">
        <f t="shared" si="39"/>
        <v>3078.16</v>
      </c>
      <c r="AC37" s="106">
        <f t="shared" si="25"/>
        <v>3537.7649999999985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364.37999999999994</v>
      </c>
      <c r="AH37" s="16">
        <f t="shared" si="29"/>
        <v>121.46</v>
      </c>
      <c r="AI37" s="16">
        <f t="shared" si="30"/>
        <v>607.3</v>
      </c>
      <c r="AJ37" s="16">
        <v>0</v>
      </c>
      <c r="AK37" s="16">
        <f t="shared" si="31"/>
        <v>595.154</v>
      </c>
      <c r="AL37" s="16">
        <v>0</v>
      </c>
      <c r="AM37" s="16">
        <f t="shared" si="32"/>
        <v>1366.425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/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 t="shared" si="36"/>
        <v>3328.1290000000004</v>
      </c>
      <c r="BC37" s="123"/>
      <c r="BD37" s="14">
        <f t="shared" si="37"/>
        <v>209.63599999999815</v>
      </c>
      <c r="BE37" s="30">
        <f t="shared" si="38"/>
        <v>-1715.38</v>
      </c>
    </row>
    <row r="38" spans="1:57" ht="12.75" hidden="1">
      <c r="A38" s="11" t="s">
        <v>53</v>
      </c>
      <c r="B38" s="97">
        <v>607.3</v>
      </c>
      <c r="C38" s="122">
        <f t="shared" si="21"/>
        <v>5253.1449999999995</v>
      </c>
      <c r="D38" s="121">
        <f t="shared" si="22"/>
        <v>459.59499999999883</v>
      </c>
      <c r="E38" s="100">
        <v>553.23</v>
      </c>
      <c r="F38" s="100">
        <v>0</v>
      </c>
      <c r="G38" s="100">
        <v>749.55</v>
      </c>
      <c r="H38" s="100">
        <v>0</v>
      </c>
      <c r="I38" s="100">
        <v>1800.71</v>
      </c>
      <c r="J38" s="100">
        <v>0</v>
      </c>
      <c r="K38" s="100">
        <v>1247.48</v>
      </c>
      <c r="L38" s="100">
        <v>0</v>
      </c>
      <c r="M38" s="100">
        <v>442.58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4793.549999999999</v>
      </c>
      <c r="T38" s="101">
        <f t="shared" si="24"/>
        <v>0</v>
      </c>
      <c r="U38" s="85">
        <v>306.59</v>
      </c>
      <c r="V38" s="85">
        <v>415.37</v>
      </c>
      <c r="W38" s="85">
        <v>997.93</v>
      </c>
      <c r="X38" s="85">
        <v>691.33</v>
      </c>
      <c r="Y38" s="85">
        <v>245.28</v>
      </c>
      <c r="Z38" s="102">
        <v>0</v>
      </c>
      <c r="AA38" s="102">
        <v>0</v>
      </c>
      <c r="AB38" s="107">
        <f t="shared" si="39"/>
        <v>2656.5</v>
      </c>
      <c r="AC38" s="106">
        <f t="shared" si="25"/>
        <v>3116.094999999999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364.37999999999994</v>
      </c>
      <c r="AH38" s="16">
        <f t="shared" si="29"/>
        <v>121.46</v>
      </c>
      <c r="AI38" s="16">
        <f t="shared" si="30"/>
        <v>607.3</v>
      </c>
      <c r="AJ38" s="16">
        <v>0</v>
      </c>
      <c r="AK38" s="16">
        <f t="shared" si="31"/>
        <v>595.154</v>
      </c>
      <c r="AL38" s="16">
        <v>0</v>
      </c>
      <c r="AM38" s="16">
        <f t="shared" si="32"/>
        <v>1366.425</v>
      </c>
      <c r="AN38" s="16">
        <v>0</v>
      </c>
      <c r="AO38" s="16"/>
      <c r="AP38" s="16"/>
      <c r="AQ38" s="109"/>
      <c r="AR38" s="109"/>
      <c r="AS38" s="90"/>
      <c r="AT38" s="90"/>
      <c r="AU38" s="138">
        <f t="shared" si="33"/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3323.449</v>
      </c>
      <c r="BC38" s="123"/>
      <c r="BD38" s="14">
        <f t="shared" si="37"/>
        <v>-207.35400000000118</v>
      </c>
      <c r="BE38" s="30">
        <f t="shared" si="38"/>
        <v>-2137.0499999999993</v>
      </c>
    </row>
    <row r="39" spans="1:57" ht="12.75" hidden="1">
      <c r="A39" s="11" t="s">
        <v>41</v>
      </c>
      <c r="B39" s="97">
        <v>607.3</v>
      </c>
      <c r="C39" s="122">
        <f t="shared" si="21"/>
        <v>5253.1449999999995</v>
      </c>
      <c r="D39" s="121">
        <f t="shared" si="22"/>
        <v>459.6149999999988</v>
      </c>
      <c r="E39" s="117">
        <v>553.23</v>
      </c>
      <c r="F39" s="117">
        <v>0</v>
      </c>
      <c r="G39" s="117">
        <v>749.56</v>
      </c>
      <c r="H39" s="117">
        <v>0</v>
      </c>
      <c r="I39" s="117">
        <v>1800.7</v>
      </c>
      <c r="J39" s="117">
        <v>0</v>
      </c>
      <c r="K39" s="117">
        <v>1247.46</v>
      </c>
      <c r="L39" s="117">
        <v>0</v>
      </c>
      <c r="M39" s="117">
        <v>442.58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4793.53</v>
      </c>
      <c r="T39" s="101">
        <f t="shared" si="24"/>
        <v>0</v>
      </c>
      <c r="U39" s="85">
        <v>432.94</v>
      </c>
      <c r="V39" s="85">
        <v>586.58</v>
      </c>
      <c r="W39" s="85">
        <v>1409.22</v>
      </c>
      <c r="X39" s="85">
        <v>976.27</v>
      </c>
      <c r="Y39" s="85">
        <v>346.35</v>
      </c>
      <c r="Z39" s="102">
        <v>0</v>
      </c>
      <c r="AA39" s="102">
        <v>0</v>
      </c>
      <c r="AB39" s="107">
        <f t="shared" si="39"/>
        <v>3751.3599999999997</v>
      </c>
      <c r="AC39" s="106">
        <f t="shared" si="25"/>
        <v>4210.9749999999985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364.37999999999994</v>
      </c>
      <c r="AH39" s="16">
        <f t="shared" si="29"/>
        <v>121.46</v>
      </c>
      <c r="AI39" s="16">
        <f t="shared" si="30"/>
        <v>607.3</v>
      </c>
      <c r="AJ39" s="16">
        <v>0</v>
      </c>
      <c r="AK39" s="16">
        <f t="shared" si="31"/>
        <v>595.154</v>
      </c>
      <c r="AL39" s="16">
        <v>0</v>
      </c>
      <c r="AM39" s="16">
        <f t="shared" si="32"/>
        <v>1366.425</v>
      </c>
      <c r="AN39" s="16">
        <v>0</v>
      </c>
      <c r="AO39" s="16"/>
      <c r="AP39" s="16"/>
      <c r="AQ39" s="109"/>
      <c r="AR39" s="109"/>
      <c r="AS39" s="90">
        <v>1792</v>
      </c>
      <c r="AT39" s="90"/>
      <c r="AU39" s="90">
        <f t="shared" si="33"/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5173.969</v>
      </c>
      <c r="BC39" s="123"/>
      <c r="BD39" s="14">
        <f t="shared" si="37"/>
        <v>-962.9940000000015</v>
      </c>
      <c r="BE39" s="30">
        <f t="shared" si="38"/>
        <v>-1042.17</v>
      </c>
    </row>
    <row r="40" spans="1:57" ht="12.75" hidden="1">
      <c r="A40" s="11" t="s">
        <v>42</v>
      </c>
      <c r="B40" s="97">
        <v>607.3</v>
      </c>
      <c r="C40" s="122">
        <f t="shared" si="21"/>
        <v>5253.1449999999995</v>
      </c>
      <c r="D40" s="121">
        <f t="shared" si="22"/>
        <v>459.6049999999988</v>
      </c>
      <c r="E40" s="100">
        <v>553.23</v>
      </c>
      <c r="F40" s="100">
        <v>0</v>
      </c>
      <c r="G40" s="100">
        <v>749.55</v>
      </c>
      <c r="H40" s="100">
        <v>0</v>
      </c>
      <c r="I40" s="100">
        <v>1800.71</v>
      </c>
      <c r="J40" s="100">
        <v>0</v>
      </c>
      <c r="K40" s="100">
        <v>1247.47</v>
      </c>
      <c r="L40" s="100">
        <v>0</v>
      </c>
      <c r="M40" s="100">
        <v>442.58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4793.54</v>
      </c>
      <c r="T40" s="101">
        <f t="shared" si="24"/>
        <v>0</v>
      </c>
      <c r="U40" s="87">
        <v>566.11</v>
      </c>
      <c r="V40" s="85">
        <v>767.11</v>
      </c>
      <c r="W40" s="85">
        <v>1842.75</v>
      </c>
      <c r="X40" s="85">
        <v>1276.62</v>
      </c>
      <c r="Y40" s="85">
        <v>452.9</v>
      </c>
      <c r="Z40" s="102">
        <v>0</v>
      </c>
      <c r="AA40" s="102">
        <v>0</v>
      </c>
      <c r="AB40" s="107">
        <f t="shared" si="39"/>
        <v>4905.49</v>
      </c>
      <c r="AC40" s="106">
        <f t="shared" si="25"/>
        <v>5365.094999999998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364.37999999999994</v>
      </c>
      <c r="AH40" s="16">
        <f t="shared" si="29"/>
        <v>121.46</v>
      </c>
      <c r="AI40" s="16">
        <f t="shared" si="30"/>
        <v>607.3</v>
      </c>
      <c r="AJ40" s="16">
        <v>0</v>
      </c>
      <c r="AK40" s="16">
        <f t="shared" si="31"/>
        <v>595.154</v>
      </c>
      <c r="AL40" s="16">
        <v>0</v>
      </c>
      <c r="AM40" s="16">
        <f t="shared" si="32"/>
        <v>1366.425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3416.619</v>
      </c>
      <c r="BC40" s="123"/>
      <c r="BD40" s="14">
        <f t="shared" si="37"/>
        <v>1948.4759999999983</v>
      </c>
      <c r="BE40" s="30">
        <f t="shared" si="38"/>
        <v>111.94999999999982</v>
      </c>
    </row>
    <row r="41" spans="1:57" ht="12.75" hidden="1">
      <c r="A41" s="11" t="s">
        <v>43</v>
      </c>
      <c r="B41" s="97">
        <v>607.3</v>
      </c>
      <c r="C41" s="122">
        <f t="shared" si="21"/>
        <v>5253.1449999999995</v>
      </c>
      <c r="D41" s="121">
        <f t="shared" si="22"/>
        <v>459.6049999999988</v>
      </c>
      <c r="E41" s="100">
        <v>553.23</v>
      </c>
      <c r="F41" s="100">
        <v>0</v>
      </c>
      <c r="G41" s="100">
        <v>749.55</v>
      </c>
      <c r="H41" s="100">
        <v>0</v>
      </c>
      <c r="I41" s="100">
        <v>1800.71</v>
      </c>
      <c r="J41" s="100">
        <v>0</v>
      </c>
      <c r="K41" s="100">
        <v>1247.47</v>
      </c>
      <c r="L41" s="100">
        <v>0</v>
      </c>
      <c r="M41" s="100">
        <v>442.58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4793.54</v>
      </c>
      <c r="T41" s="101">
        <f t="shared" si="24"/>
        <v>0</v>
      </c>
      <c r="U41" s="85">
        <v>776.08</v>
      </c>
      <c r="V41" s="85">
        <v>1051.29</v>
      </c>
      <c r="W41" s="85">
        <v>2525.85</v>
      </c>
      <c r="X41" s="85">
        <v>1749.78</v>
      </c>
      <c r="Y41" s="85">
        <v>620.85</v>
      </c>
      <c r="Z41" s="102">
        <v>0</v>
      </c>
      <c r="AA41" s="102">
        <v>0</v>
      </c>
      <c r="AB41" s="107">
        <f>SUM(U41:AA41)</f>
        <v>6723.849999999999</v>
      </c>
      <c r="AC41" s="106">
        <f>D41+T41+AB41</f>
        <v>7183.454999999998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364.37999999999994</v>
      </c>
      <c r="AH41" s="16">
        <f t="shared" si="29"/>
        <v>121.46</v>
      </c>
      <c r="AI41" s="16">
        <f t="shared" si="30"/>
        <v>607.3</v>
      </c>
      <c r="AJ41" s="16">
        <v>0</v>
      </c>
      <c r="AK41" s="16">
        <f t="shared" si="31"/>
        <v>595.154</v>
      </c>
      <c r="AL41" s="16">
        <v>0</v>
      </c>
      <c r="AM41" s="16">
        <f t="shared" si="32"/>
        <v>1366.425</v>
      </c>
      <c r="AN41" s="16">
        <v>0</v>
      </c>
      <c r="AO41" s="16"/>
      <c r="AP41" s="16"/>
      <c r="AQ41" s="109"/>
      <c r="AR41" s="109"/>
      <c r="AS41" s="90"/>
      <c r="AT41" s="90">
        <v>98.31</v>
      </c>
      <c r="AU41" s="90">
        <f>AT41*0.18-0.01</f>
        <v>17.685799999999997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>AZ41*0.18</f>
        <v>0</v>
      </c>
      <c r="BB41" s="113">
        <f t="shared" si="36"/>
        <v>3566.4948000000004</v>
      </c>
      <c r="BC41" s="123"/>
      <c r="BD41" s="14">
        <f t="shared" si="37"/>
        <v>3616.9601999999977</v>
      </c>
      <c r="BE41" s="30">
        <f t="shared" si="38"/>
        <v>1930.3099999999995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63030.819999999985</v>
      </c>
      <c r="D42" s="60">
        <f t="shared" si="40"/>
        <v>5587.029999999997</v>
      </c>
      <c r="E42" s="57">
        <f t="shared" si="40"/>
        <v>6082.829999999998</v>
      </c>
      <c r="F42" s="57">
        <f t="shared" si="40"/>
        <v>546.66</v>
      </c>
      <c r="G42" s="57">
        <f t="shared" si="40"/>
        <v>8241.6</v>
      </c>
      <c r="H42" s="57">
        <f t="shared" si="40"/>
        <v>740.98</v>
      </c>
      <c r="I42" s="57">
        <f t="shared" si="40"/>
        <v>19799.28</v>
      </c>
      <c r="J42" s="57">
        <f t="shared" si="40"/>
        <v>1779.58</v>
      </c>
      <c r="K42" s="57">
        <f t="shared" si="40"/>
        <v>13716.41</v>
      </c>
      <c r="L42" s="57">
        <f t="shared" si="40"/>
        <v>1232.92</v>
      </c>
      <c r="M42" s="57">
        <f t="shared" si="40"/>
        <v>4866.25</v>
      </c>
      <c r="N42" s="57">
        <f t="shared" si="40"/>
        <v>437.28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52706.369999999995</v>
      </c>
      <c r="T42" s="57">
        <f t="shared" si="40"/>
        <v>4737.42</v>
      </c>
      <c r="U42" s="61">
        <f t="shared" si="40"/>
        <v>5529.929999999999</v>
      </c>
      <c r="V42" s="61">
        <f t="shared" si="40"/>
        <v>7490.38</v>
      </c>
      <c r="W42" s="61">
        <f t="shared" si="40"/>
        <v>17975.95</v>
      </c>
      <c r="X42" s="61">
        <f t="shared" si="40"/>
        <v>12467.540000000003</v>
      </c>
      <c r="Y42" s="61">
        <f t="shared" si="40"/>
        <v>4423.92</v>
      </c>
      <c r="Z42" s="61">
        <f t="shared" si="40"/>
        <v>0</v>
      </c>
      <c r="AA42" s="61">
        <f t="shared" si="40"/>
        <v>0</v>
      </c>
      <c r="AB42" s="61">
        <f t="shared" si="40"/>
        <v>47887.719999999994</v>
      </c>
      <c r="AC42" s="61">
        <f t="shared" si="40"/>
        <v>58212.17000000001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4372.08</v>
      </c>
      <c r="AH42" s="18">
        <f t="shared" si="40"/>
        <v>1457.3600000000001</v>
      </c>
      <c r="AI42" s="18">
        <f t="shared" si="40"/>
        <v>7286.800000000001</v>
      </c>
      <c r="AJ42" s="18">
        <f t="shared" si="40"/>
        <v>0</v>
      </c>
      <c r="AK42" s="18">
        <f t="shared" si="40"/>
        <v>7141.064000000002</v>
      </c>
      <c r="AL42" s="18">
        <f t="shared" si="40"/>
        <v>0</v>
      </c>
      <c r="AM42" s="18">
        <f t="shared" si="40"/>
        <v>16395.299999999996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12771</v>
      </c>
      <c r="AT42" s="18">
        <f t="shared" si="40"/>
        <v>1562.32</v>
      </c>
      <c r="AU42" s="18">
        <f t="shared" si="40"/>
        <v>184.5674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54558.4914</v>
      </c>
      <c r="BC42" s="18">
        <f t="shared" si="41"/>
        <v>0</v>
      </c>
      <c r="BD42" s="18">
        <f t="shared" si="41"/>
        <v>3653.6785999999956</v>
      </c>
      <c r="BE42" s="19">
        <f t="shared" si="41"/>
        <v>-4818.649999999997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141724.19499999998</v>
      </c>
      <c r="D44" s="23">
        <f t="shared" si="42"/>
        <v>15862.094034750005</v>
      </c>
      <c r="E44" s="50">
        <f t="shared" si="42"/>
        <v>12604.279999999999</v>
      </c>
      <c r="F44" s="50">
        <f t="shared" si="42"/>
        <v>1875.8600000000001</v>
      </c>
      <c r="G44" s="50">
        <f t="shared" si="42"/>
        <v>17063.6</v>
      </c>
      <c r="H44" s="50">
        <f t="shared" si="42"/>
        <v>2539.44</v>
      </c>
      <c r="I44" s="50">
        <f t="shared" si="42"/>
        <v>41012.27</v>
      </c>
      <c r="J44" s="50">
        <f t="shared" si="42"/>
        <v>6103.419999999999</v>
      </c>
      <c r="K44" s="50">
        <f t="shared" si="42"/>
        <v>28407.920000000002</v>
      </c>
      <c r="L44" s="50">
        <f t="shared" si="42"/>
        <v>4227.55</v>
      </c>
      <c r="M44" s="50">
        <f t="shared" si="42"/>
        <v>10083.42</v>
      </c>
      <c r="N44" s="50">
        <f t="shared" si="42"/>
        <v>1500.6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109171.49</v>
      </c>
      <c r="T44" s="50">
        <f t="shared" si="42"/>
        <v>16246.869999999999</v>
      </c>
      <c r="U44" s="53">
        <f t="shared" si="42"/>
        <v>11375.6</v>
      </c>
      <c r="V44" s="53">
        <f t="shared" si="42"/>
        <v>15396.91</v>
      </c>
      <c r="W44" s="53">
        <f t="shared" si="42"/>
        <v>36989.48</v>
      </c>
      <c r="X44" s="53">
        <f t="shared" si="42"/>
        <v>25635.300000000003</v>
      </c>
      <c r="Y44" s="53">
        <f t="shared" si="42"/>
        <v>9100.490000000002</v>
      </c>
      <c r="Z44" s="53">
        <f t="shared" si="42"/>
        <v>0</v>
      </c>
      <c r="AA44" s="53">
        <f t="shared" si="42"/>
        <v>0</v>
      </c>
      <c r="AB44" s="53">
        <f t="shared" si="42"/>
        <v>98497.78</v>
      </c>
      <c r="AC44" s="53">
        <f t="shared" si="42"/>
        <v>130606.74403475004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9685.02</v>
      </c>
      <c r="AH44" s="23">
        <f t="shared" si="42"/>
        <v>3245.246498</v>
      </c>
      <c r="AI44" s="23">
        <f t="shared" si="42"/>
        <v>14735.88698575</v>
      </c>
      <c r="AJ44" s="23">
        <f t="shared" si="42"/>
        <v>1340.8356574349996</v>
      </c>
      <c r="AK44" s="23">
        <f t="shared" si="42"/>
        <v>14679.140600750003</v>
      </c>
      <c r="AL44" s="23">
        <f t="shared" si="42"/>
        <v>1356.8537881349998</v>
      </c>
      <c r="AM44" s="23">
        <f t="shared" si="42"/>
        <v>32902.428732006774</v>
      </c>
      <c r="AN44" s="23">
        <f t="shared" si="42"/>
        <v>2971.2831717612207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31257.78</v>
      </c>
      <c r="AT44" s="23">
        <f t="shared" si="42"/>
        <v>1562.32</v>
      </c>
      <c r="AU44" s="23">
        <f t="shared" si="42"/>
        <v>3512.1877999999997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123835.255233838</v>
      </c>
      <c r="BC44" s="23">
        <f t="shared" si="43"/>
        <v>0</v>
      </c>
      <c r="BD44" s="23">
        <f t="shared" si="43"/>
        <v>6771.488800912008</v>
      </c>
      <c r="BE44" s="24">
        <f t="shared" si="43"/>
        <v>-10673.71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7">
      <selection activeCell="F45" sqref="F4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91" t="s">
        <v>55</v>
      </c>
      <c r="C1" s="191"/>
      <c r="D1" s="191"/>
      <c r="E1" s="191"/>
      <c r="F1" s="191"/>
      <c r="G1" s="191"/>
      <c r="H1" s="191"/>
    </row>
    <row r="2" spans="2:8" ht="21" customHeight="1">
      <c r="B2" s="191" t="s">
        <v>56</v>
      </c>
      <c r="C2" s="191"/>
      <c r="D2" s="191"/>
      <c r="E2" s="191"/>
      <c r="F2" s="191"/>
      <c r="G2" s="191"/>
      <c r="H2" s="191"/>
    </row>
    <row r="5" spans="1:15" ht="12.75">
      <c r="A5" s="193" t="s">
        <v>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2.75">
      <c r="A6" s="194" t="s">
        <v>93</v>
      </c>
      <c r="B6" s="194"/>
      <c r="C6" s="194"/>
      <c r="D6" s="194"/>
      <c r="E6" s="194"/>
      <c r="F6" s="194"/>
      <c r="G6" s="194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92" t="s">
        <v>57</v>
      </c>
      <c r="B8" s="192"/>
      <c r="C8" s="192"/>
      <c r="D8" s="192"/>
      <c r="E8" s="192">
        <v>8.65</v>
      </c>
      <c r="F8" s="192"/>
    </row>
    <row r="9" spans="1:16" ht="12.75" customHeight="1">
      <c r="A9" s="142" t="s">
        <v>58</v>
      </c>
      <c r="B9" s="218" t="s">
        <v>1</v>
      </c>
      <c r="C9" s="221" t="s">
        <v>59</v>
      </c>
      <c r="D9" s="224" t="s">
        <v>3</v>
      </c>
      <c r="E9" s="206" t="s">
        <v>60</v>
      </c>
      <c r="F9" s="207"/>
      <c r="G9" s="210" t="s">
        <v>61</v>
      </c>
      <c r="H9" s="211"/>
      <c r="I9" s="227" t="s">
        <v>10</v>
      </c>
      <c r="J9" s="181"/>
      <c r="K9" s="181"/>
      <c r="L9" s="181"/>
      <c r="M9" s="181"/>
      <c r="N9" s="228"/>
      <c r="O9" s="195" t="s">
        <v>62</v>
      </c>
      <c r="P9" s="195" t="s">
        <v>12</v>
      </c>
    </row>
    <row r="10" spans="1:16" ht="12.75">
      <c r="A10" s="143"/>
      <c r="B10" s="219"/>
      <c r="C10" s="222"/>
      <c r="D10" s="225"/>
      <c r="E10" s="208"/>
      <c r="F10" s="209"/>
      <c r="G10" s="212"/>
      <c r="H10" s="213"/>
      <c r="I10" s="229"/>
      <c r="J10" s="153"/>
      <c r="K10" s="153"/>
      <c r="L10" s="153"/>
      <c r="M10" s="153"/>
      <c r="N10" s="230"/>
      <c r="O10" s="196"/>
      <c r="P10" s="196"/>
    </row>
    <row r="11" spans="1:16" ht="26.25" customHeight="1">
      <c r="A11" s="143"/>
      <c r="B11" s="219"/>
      <c r="C11" s="222"/>
      <c r="D11" s="225"/>
      <c r="E11" s="198" t="s">
        <v>63</v>
      </c>
      <c r="F11" s="199"/>
      <c r="G11" s="84" t="s">
        <v>64</v>
      </c>
      <c r="H11" s="200" t="s">
        <v>7</v>
      </c>
      <c r="I11" s="202" t="s">
        <v>65</v>
      </c>
      <c r="J11" s="204" t="s">
        <v>32</v>
      </c>
      <c r="K11" s="204" t="s">
        <v>66</v>
      </c>
      <c r="L11" s="204" t="s">
        <v>37</v>
      </c>
      <c r="M11" s="204" t="s">
        <v>67</v>
      </c>
      <c r="N11" s="200" t="s">
        <v>39</v>
      </c>
      <c r="O11" s="196"/>
      <c r="P11" s="196"/>
    </row>
    <row r="12" spans="1:16" ht="66.75" customHeight="1" thickBot="1">
      <c r="A12" s="217"/>
      <c r="B12" s="220"/>
      <c r="C12" s="223"/>
      <c r="D12" s="226"/>
      <c r="E12" s="63" t="s">
        <v>68</v>
      </c>
      <c r="F12" s="66" t="s">
        <v>21</v>
      </c>
      <c r="G12" s="81" t="s">
        <v>69</v>
      </c>
      <c r="H12" s="201"/>
      <c r="I12" s="203"/>
      <c r="J12" s="205"/>
      <c r="K12" s="205"/>
      <c r="L12" s="205"/>
      <c r="M12" s="205"/>
      <c r="N12" s="201"/>
      <c r="O12" s="197"/>
      <c r="P12" s="197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606.5</v>
      </c>
      <c r="C15" s="27">
        <f>B15*8.65</f>
        <v>5246.225</v>
      </c>
      <c r="D15" s="28">
        <f>Лист1!D9</f>
        <v>1263.7106780000001</v>
      </c>
      <c r="E15" s="14">
        <f>Лист1!S9</f>
        <v>3525.4000000000005</v>
      </c>
      <c r="F15" s="30">
        <f>Лист1!T9</f>
        <v>741.8299999999999</v>
      </c>
      <c r="G15" s="29">
        <f>Лист1!AB9</f>
        <v>0</v>
      </c>
      <c r="H15" s="30">
        <f>Лист1!AC9</f>
        <v>2005.540678</v>
      </c>
      <c r="I15" s="29">
        <f>Лист1!AG9</f>
        <v>363.9</v>
      </c>
      <c r="J15" s="14">
        <f>Лист1!AI9+Лист1!AJ9</f>
        <v>609.607706</v>
      </c>
      <c r="K15" s="14">
        <f>Лист1!AH9+Лист1!AK9+Лист1!AL9+Лист1!AM9+Лист1!AN9+Лист1!AO9+Лист1!AP9</f>
        <v>2140.57691515</v>
      </c>
      <c r="L15" s="31">
        <f>Лист1!AS9+Лист1!AU9</f>
        <v>0</v>
      </c>
      <c r="M15" s="31">
        <f>Лист1!AX9</f>
        <v>0</v>
      </c>
      <c r="N15" s="30">
        <f>Лист1!BB9</f>
        <v>3114.0846211499997</v>
      </c>
      <c r="O15" s="74">
        <f>Лист1!BD9</f>
        <v>-1108.5439431499997</v>
      </c>
      <c r="P15" s="74">
        <f>Лист1!BE9</f>
        <v>-3525.4000000000005</v>
      </c>
    </row>
    <row r="16" spans="1:16" ht="12.75" hidden="1">
      <c r="A16" s="11" t="s">
        <v>42</v>
      </c>
      <c r="B16" s="82">
        <f>Лист1!B10</f>
        <v>606.5</v>
      </c>
      <c r="C16" s="27">
        <f aca="true" t="shared" si="0" ref="C16:C31">B16*8.65</f>
        <v>5246.225</v>
      </c>
      <c r="D16" s="28">
        <f>Лист1!D10</f>
        <v>1263.7106780000001</v>
      </c>
      <c r="E16" s="14">
        <f>Лист1!S10</f>
        <v>3525.4000000000005</v>
      </c>
      <c r="F16" s="30">
        <f>Лист1!T10</f>
        <v>741.8299999999999</v>
      </c>
      <c r="G16" s="29">
        <f>Лист1!AB10</f>
        <v>2630.78</v>
      </c>
      <c r="H16" s="30">
        <f>Лист1!AC10</f>
        <v>4636.320678</v>
      </c>
      <c r="I16" s="29">
        <f>Лист1!AG10</f>
        <v>363.9</v>
      </c>
      <c r="J16" s="14">
        <f>Лист1!AI10+Лист1!AJ10</f>
        <v>609.607706</v>
      </c>
      <c r="K16" s="14">
        <f>Лист1!AH10+Лист1!AK10+Лист1!AL10+Лист1!AM10+Лист1!AN10+Лист1!AO10+Лист1!AP10</f>
        <v>2134.11647715</v>
      </c>
      <c r="L16" s="31">
        <f>Лист1!AS10+Лист1!AU10</f>
        <v>1132.8</v>
      </c>
      <c r="M16" s="31">
        <f>Лист1!AX10</f>
        <v>0</v>
      </c>
      <c r="N16" s="30">
        <f>Лист1!BB10</f>
        <v>4240.424183149999</v>
      </c>
      <c r="O16" s="74">
        <f>Лист1!BD10</f>
        <v>395.89649485000064</v>
      </c>
      <c r="P16" s="74">
        <f>Лист1!BE10</f>
        <v>-894.6200000000003</v>
      </c>
    </row>
    <row r="17" spans="1:18" ht="13.5" hidden="1" thickBot="1">
      <c r="A17" s="32" t="s">
        <v>43</v>
      </c>
      <c r="B17" s="82">
        <f>Лист1!B11</f>
        <v>606.5</v>
      </c>
      <c r="C17" s="33">
        <f t="shared" si="0"/>
        <v>5246.225</v>
      </c>
      <c r="D17" s="28">
        <f>Лист1!D11</f>
        <v>1260.93017875</v>
      </c>
      <c r="E17" s="14">
        <f>Лист1!S11</f>
        <v>3525.4000000000005</v>
      </c>
      <c r="F17" s="30">
        <f>Лист1!T11</f>
        <v>741.8299999999999</v>
      </c>
      <c r="G17" s="29">
        <f>Лист1!AB11</f>
        <v>2966.7599999999998</v>
      </c>
      <c r="H17" s="30">
        <f>Лист1!AC11</f>
        <v>4969.52017875</v>
      </c>
      <c r="I17" s="29">
        <f>Лист1!AG11</f>
        <v>363.9</v>
      </c>
      <c r="J17" s="14">
        <f>Лист1!AI11+Лист1!AJ11</f>
        <v>607.8328444</v>
      </c>
      <c r="K17" s="14">
        <f>Лист1!AH11+Лист1!AK11+Лист1!AL11+Лист1!AM11+Лист1!AN11+Лист1!AO11+Лист1!AP11</f>
        <v>2130.723491745</v>
      </c>
      <c r="L17" s="31">
        <f>Лист1!AS11+Лист1!AU11</f>
        <v>0</v>
      </c>
      <c r="M17" s="31">
        <f>Лист1!AX11</f>
        <v>0</v>
      </c>
      <c r="N17" s="30">
        <f>Лист1!BB11</f>
        <v>3102.456336145</v>
      </c>
      <c r="O17" s="74">
        <f>Лист1!BD11</f>
        <v>1867.063842605</v>
      </c>
      <c r="P17" s="74">
        <f>Лист1!BE11</f>
        <v>-558.6400000000008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15738.675000000001</v>
      </c>
      <c r="D18" s="67">
        <f aca="true" t="shared" si="1" ref="D18:I18">SUM(D15:D17)</f>
        <v>3788.3515347500006</v>
      </c>
      <c r="E18" s="36">
        <f t="shared" si="1"/>
        <v>10576.2</v>
      </c>
      <c r="F18" s="68">
        <f t="shared" si="1"/>
        <v>2225.49</v>
      </c>
      <c r="G18" s="67">
        <f t="shared" si="1"/>
        <v>5597.54</v>
      </c>
      <c r="H18" s="68">
        <f t="shared" si="1"/>
        <v>11611.38153475</v>
      </c>
      <c r="I18" s="67">
        <f t="shared" si="1"/>
        <v>1091.6999999999998</v>
      </c>
      <c r="J18" s="36">
        <f aca="true" t="shared" si="2" ref="J18:P18">SUM(J15:J17)</f>
        <v>1827.0482564</v>
      </c>
      <c r="K18" s="36">
        <f t="shared" si="2"/>
        <v>6405.416884045</v>
      </c>
      <c r="L18" s="36">
        <f t="shared" si="2"/>
        <v>1132.8</v>
      </c>
      <c r="M18" s="36">
        <f t="shared" si="2"/>
        <v>0</v>
      </c>
      <c r="N18" s="68">
        <f t="shared" si="2"/>
        <v>10456.965140445</v>
      </c>
      <c r="O18" s="75">
        <f t="shared" si="2"/>
        <v>1154.416394305001</v>
      </c>
      <c r="P18" s="75">
        <f t="shared" si="2"/>
        <v>-4978.660000000002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606.5</v>
      </c>
      <c r="C20" s="27">
        <f t="shared" si="0"/>
        <v>5246.225</v>
      </c>
      <c r="D20" s="28">
        <f>Лист1!D14</f>
        <v>655.778125</v>
      </c>
      <c r="E20" s="14">
        <f>Лист1!S14</f>
        <v>3525.4000000000005</v>
      </c>
      <c r="F20" s="30">
        <f>Лист1!T14</f>
        <v>741.8299999999999</v>
      </c>
      <c r="G20" s="29">
        <f>Лист1!AB14</f>
        <v>2716.99</v>
      </c>
      <c r="H20" s="30">
        <f>Лист1!AC14</f>
        <v>4114.5981249999995</v>
      </c>
      <c r="I20" s="29">
        <f>Лист1!AG14</f>
        <v>327.51</v>
      </c>
      <c r="J20" s="14">
        <f>Лист1!AI14+Лист1!AJ14</f>
        <v>527.3894065</v>
      </c>
      <c r="K20" s="14">
        <f>Лист1!AH14+Лист1!AK14+Лист1!AL14+Лист1!AM14+Лист1!AN14+Лист1!AO14+Лист1!AP14+Лист1!AQ14+Лист1!AR14</f>
        <v>1811.34713588</v>
      </c>
      <c r="L20" s="31">
        <f>Лист1!AS14+Лист1!AT14+Лист1!AU14+Лист1!AZ14+Лист1!BA14</f>
        <v>0</v>
      </c>
      <c r="M20" s="31">
        <f>Лист1!AX14</f>
        <v>369.25504000000006</v>
      </c>
      <c r="N20" s="30">
        <f>Лист1!BB14</f>
        <v>2666.24654238</v>
      </c>
      <c r="O20" s="74">
        <f>Лист1!BD14</f>
        <v>1448.3515826199996</v>
      </c>
      <c r="P20" s="74">
        <f>Лист1!BE14</f>
        <v>-808.4100000000008</v>
      </c>
      <c r="Q20" s="1"/>
      <c r="R20" s="1"/>
    </row>
    <row r="21" spans="1:18" ht="12.75" hidden="1">
      <c r="A21" s="11" t="s">
        <v>46</v>
      </c>
      <c r="B21" s="82">
        <f>Лист1!B15</f>
        <v>606.5</v>
      </c>
      <c r="C21" s="27">
        <f t="shared" si="0"/>
        <v>5246.225</v>
      </c>
      <c r="D21" s="28">
        <f>Лист1!D15</f>
        <v>655.778125</v>
      </c>
      <c r="E21" s="14">
        <f>Лист1!S15</f>
        <v>3525.4000000000005</v>
      </c>
      <c r="F21" s="30">
        <f>Лист1!T15</f>
        <v>741.8299999999999</v>
      </c>
      <c r="G21" s="29">
        <f>Лист1!AB15</f>
        <v>2622.8700000000003</v>
      </c>
      <c r="H21" s="30">
        <f>Лист1!AC15</f>
        <v>4020.4781250000005</v>
      </c>
      <c r="I21" s="29">
        <f>Лист1!AG15</f>
        <v>327.51</v>
      </c>
      <c r="J21" s="14">
        <f>Лист1!AI15+Лист1!AJ15</f>
        <v>526.804687</v>
      </c>
      <c r="K21" s="14">
        <f>Лист1!AH15+Лист1!AK15+Лист1!AL15+Лист1!AM15+Лист1!AN15+Лист1!AO15+Лист1!AP15+Лист1!AQ15+Лист1!AR15</f>
        <v>1813.96193933</v>
      </c>
      <c r="L21" s="31">
        <f>Лист1!AS15+Лист1!AT15+Лист1!AU15+Лист1!AZ15+Лист1!BA15</f>
        <v>13308.04</v>
      </c>
      <c r="M21" s="31">
        <f>Лист1!AX15</f>
        <v>295.84016</v>
      </c>
      <c r="N21" s="30">
        <f>Лист1!BB15</f>
        <v>15976.31662633</v>
      </c>
      <c r="O21" s="74">
        <f>Лист1!BD15</f>
        <v>-11955.83850133</v>
      </c>
      <c r="P21" s="74">
        <f>Лист1!BE15</f>
        <v>-902.5300000000002</v>
      </c>
      <c r="Q21" s="1"/>
      <c r="R21" s="1"/>
    </row>
    <row r="22" spans="1:18" ht="12.75" hidden="1">
      <c r="A22" s="11" t="s">
        <v>47</v>
      </c>
      <c r="B22" s="82">
        <f>Лист1!B16</f>
        <v>606.5</v>
      </c>
      <c r="C22" s="27">
        <f t="shared" si="0"/>
        <v>5246.225</v>
      </c>
      <c r="D22" s="28">
        <f>Лист1!D16</f>
        <v>655.778125</v>
      </c>
      <c r="E22" s="14">
        <f>Лист1!S16</f>
        <v>3505.5699999999997</v>
      </c>
      <c r="F22" s="30">
        <f>Лист1!T16</f>
        <v>741.8299999999999</v>
      </c>
      <c r="G22" s="29">
        <f>Лист1!AB16</f>
        <v>4591.280000000001</v>
      </c>
      <c r="H22" s="30">
        <f>Лист1!AC16</f>
        <v>5988.888125</v>
      </c>
      <c r="I22" s="29">
        <f>Лист1!AG16</f>
        <v>327.51</v>
      </c>
      <c r="J22" s="14">
        <f>Лист1!AI16+Лист1!AJ16</f>
        <v>527.72896625</v>
      </c>
      <c r="K22" s="14">
        <f>Лист1!AH16+Лист1!AK16+Лист1!AL16+Лист1!AM16+Лист1!AN16+Лист1!AO16+Лист1!AP16+Лист1!AQ16+Лист1!AR16</f>
        <v>1753.4188603999999</v>
      </c>
      <c r="L22" s="31">
        <f>Лист1!AS16+Лист1!AT16+Лист1!AU16+Лист1!AZ16+Лист1!BA16</f>
        <v>5924.78</v>
      </c>
      <c r="M22" s="31">
        <f>Лист1!AX16</f>
        <v>278.39504</v>
      </c>
      <c r="N22" s="30">
        <f>Лист1!BB16</f>
        <v>8533.43782665</v>
      </c>
      <c r="O22" s="74">
        <f>Лист1!BD16</f>
        <v>-2544.5497016500003</v>
      </c>
      <c r="P22" s="74">
        <f>Лист1!BE16</f>
        <v>1085.710000000001</v>
      </c>
      <c r="Q22" s="1"/>
      <c r="R22" s="1"/>
    </row>
    <row r="23" spans="1:18" ht="12.75" hidden="1">
      <c r="A23" s="11" t="s">
        <v>48</v>
      </c>
      <c r="B23" s="82">
        <f>Лист1!B17</f>
        <v>606.5</v>
      </c>
      <c r="C23" s="27">
        <f t="shared" si="0"/>
        <v>5246.225</v>
      </c>
      <c r="D23" s="28">
        <f>Лист1!D17</f>
        <v>655.778125</v>
      </c>
      <c r="E23" s="14">
        <f>Лист1!S17</f>
        <v>3542.99</v>
      </c>
      <c r="F23" s="30">
        <f>Лист1!T17</f>
        <v>741.8299999999999</v>
      </c>
      <c r="G23" s="29">
        <f>Лист1!AB17</f>
        <v>3497.1000000000004</v>
      </c>
      <c r="H23" s="30">
        <f>Лист1!AC17</f>
        <v>4894.708125</v>
      </c>
      <c r="I23" s="29">
        <f>Лист1!AG17</f>
        <v>327.51</v>
      </c>
      <c r="J23" s="14">
        <f>Лист1!AI17+Лист1!AJ17</f>
        <v>543.2293135</v>
      </c>
      <c r="K23" s="14">
        <f>Лист1!AH17+Лист1!AK17+Лист1!AL17+Лист1!AM17+Лист1!AN17+Лист1!AO17+Лист1!AP17+Лист1!AQ17+Лист1!AR17</f>
        <v>1778.41166284</v>
      </c>
      <c r="L23" s="31">
        <f>Лист1!AS17+Лист1!AT17+Лист1!AU17+Лист1!AY17+Лист1!AZ17</f>
        <v>1448.7803999999999</v>
      </c>
      <c r="M23" s="31">
        <f>Лист1!AX17</f>
        <v>223.15216000000004</v>
      </c>
      <c r="N23" s="30">
        <f>Лист1!BB17</f>
        <v>5264.573776339999</v>
      </c>
      <c r="O23" s="74">
        <f>Лист1!BD17</f>
        <v>-369.8656513399992</v>
      </c>
      <c r="P23" s="74">
        <f>Лист1!BE17</f>
        <v>-45.88999999999942</v>
      </c>
      <c r="Q23" s="1"/>
      <c r="R23" s="1"/>
    </row>
    <row r="24" spans="1:18" ht="12.75" hidden="1">
      <c r="A24" s="11" t="s">
        <v>49</v>
      </c>
      <c r="B24" s="82">
        <f>Лист1!B18</f>
        <v>606.5</v>
      </c>
      <c r="C24" s="27">
        <f t="shared" si="0"/>
        <v>5246.225</v>
      </c>
      <c r="D24" s="28">
        <f>Лист1!D18</f>
        <v>469.8450000000013</v>
      </c>
      <c r="E24" s="14">
        <f>Лист1!S18</f>
        <v>3986.8</v>
      </c>
      <c r="F24" s="30">
        <f>Лист1!T18</f>
        <v>789.58</v>
      </c>
      <c r="G24" s="29">
        <f>Лист1!AB18</f>
        <v>2588.77</v>
      </c>
      <c r="H24" s="30">
        <f>Лист1!AC18</f>
        <v>3848.1950000000015</v>
      </c>
      <c r="I24" s="29">
        <f>Лист1!AG18</f>
        <v>363.9</v>
      </c>
      <c r="J24" s="14">
        <f>Лист1!AI18+Лист1!AJ18</f>
        <v>608.3195</v>
      </c>
      <c r="K24" s="14">
        <f>Лист1!AH18+Лист1!AK18+Лист1!AL18+Лист1!AM18+Лист1!AN18+Лист1!AO18+Лист1!AP18+Лист1!AQ18+Лист1!AR18</f>
        <v>2083.4488</v>
      </c>
      <c r="L24" s="31">
        <f>Лист1!AS18+Лист1!AT18+Лист1!AU18+Лист1!AZ18+Лист1!BA18</f>
        <v>0</v>
      </c>
      <c r="M24" s="31">
        <f>Лист1!AX18</f>
        <v>191.16944</v>
      </c>
      <c r="N24" s="30">
        <f>Лист1!BB18</f>
        <v>3246.8377400000004</v>
      </c>
      <c r="O24" s="74">
        <f>Лист1!BD18</f>
        <v>601.3572600000011</v>
      </c>
      <c r="P24" s="74">
        <f>Лист1!BE18</f>
        <v>-1398.0300000000002</v>
      </c>
      <c r="Q24" s="1"/>
      <c r="R24" s="1"/>
    </row>
    <row r="25" spans="1:18" ht="12.75" hidden="1">
      <c r="A25" s="11" t="s">
        <v>50</v>
      </c>
      <c r="B25" s="82">
        <f>Лист1!B19</f>
        <v>606.5</v>
      </c>
      <c r="C25" s="27">
        <f t="shared" si="0"/>
        <v>5246.225</v>
      </c>
      <c r="D25" s="28">
        <f>Лист1!D19</f>
        <v>469.8450000000013</v>
      </c>
      <c r="E25" s="14">
        <f>Лист1!S19</f>
        <v>3986.8</v>
      </c>
      <c r="F25" s="30">
        <f>Лист1!T19</f>
        <v>789.58</v>
      </c>
      <c r="G25" s="29">
        <f>Лист1!AB19</f>
        <v>3183.3099999999995</v>
      </c>
      <c r="H25" s="30">
        <f>Лист1!AC19</f>
        <v>4442.735000000001</v>
      </c>
      <c r="I25" s="29">
        <f>Лист1!AG19</f>
        <v>363.9</v>
      </c>
      <c r="J25" s="14">
        <f>Лист1!AI19+Лист1!AJ19</f>
        <v>608.3195</v>
      </c>
      <c r="K25" s="14">
        <f>Лист1!AH19+Лист1!AK19+Лист1!AL19+Лист1!AM19+Лист1!AN19+Лист1!AO19+Лист1!AP19+Лист1!AQ19+Лист1!AR19</f>
        <v>2083.503385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3225.0859250000003</v>
      </c>
      <c r="O25" s="74">
        <f>Лист1!BD19</f>
        <v>1217.6490750000003</v>
      </c>
      <c r="P25" s="74">
        <f>Лист1!BE19</f>
        <v>-803.4900000000007</v>
      </c>
      <c r="Q25" s="1"/>
      <c r="R25" s="1"/>
    </row>
    <row r="26" spans="1:18" ht="12.75" hidden="1">
      <c r="A26" s="11" t="s">
        <v>51</v>
      </c>
      <c r="B26" s="82">
        <f>Лист1!B20</f>
        <v>606.5</v>
      </c>
      <c r="C26" s="27">
        <f t="shared" si="0"/>
        <v>5246.225</v>
      </c>
      <c r="D26" s="28">
        <f>Лист1!D20</f>
        <v>469.8450000000013</v>
      </c>
      <c r="E26" s="14">
        <f>Лист1!S20</f>
        <v>3986.8</v>
      </c>
      <c r="F26" s="30">
        <f>Лист1!T20</f>
        <v>789.58</v>
      </c>
      <c r="G26" s="29">
        <f>Лист1!AB20</f>
        <v>3823.5099999999998</v>
      </c>
      <c r="H26" s="30">
        <f>Лист1!AC20</f>
        <v>5082.935000000001</v>
      </c>
      <c r="I26" s="29">
        <f>Лист1!AG20</f>
        <v>363.9</v>
      </c>
      <c r="J26" s="14">
        <f>Лист1!AI20+Лист1!AJ20</f>
        <v>599.6813631</v>
      </c>
      <c r="K26" s="14">
        <f>Лист1!AH20+Лист1!AK20+Лист1!AL20+Лист1!AM20+Лист1!AN20+Лист1!AO20+Лист1!AP20+Лист1!AQ20+Лист1!AR20</f>
        <v>2062.77274193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3206.62034503</v>
      </c>
      <c r="O26" s="74">
        <f>Лист1!BD20</f>
        <v>1876.3146549700014</v>
      </c>
      <c r="P26" s="74">
        <f>Лист1!BE20</f>
        <v>-163.29000000000042</v>
      </c>
      <c r="Q26" s="1"/>
      <c r="R26" s="1"/>
    </row>
    <row r="27" spans="1:18" ht="12.75" hidden="1">
      <c r="A27" s="11" t="s">
        <v>52</v>
      </c>
      <c r="B27" s="82">
        <f>Лист1!B21</f>
        <v>606.5</v>
      </c>
      <c r="C27" s="27">
        <f t="shared" si="0"/>
        <v>5246.225</v>
      </c>
      <c r="D27" s="28">
        <f>Лист1!D21</f>
        <v>574.6750000000003</v>
      </c>
      <c r="E27" s="14">
        <f>Лист1!S21</f>
        <v>3881.97</v>
      </c>
      <c r="F27" s="30">
        <f>Лист1!T21</f>
        <v>789.58</v>
      </c>
      <c r="G27" s="29">
        <f>Лист1!AB21</f>
        <v>3897.44</v>
      </c>
      <c r="H27" s="30">
        <f>Лист1!AC21</f>
        <v>5261.695000000001</v>
      </c>
      <c r="I27" s="29">
        <f>Лист1!AG21</f>
        <v>363.9</v>
      </c>
      <c r="J27" s="14">
        <f>Лист1!AI21+Лист1!AJ21</f>
        <v>599.346787375</v>
      </c>
      <c r="K27" s="14">
        <f>Лист1!AH21+Лист1!AK21+Лист1!AL21+Лист1!AM21+Лист1!AN21+Лист1!AO21+Лист1!AP21+Лист1!AQ21+Лист1!AR21</f>
        <v>2062.33933703</v>
      </c>
      <c r="L27" s="31">
        <f>Лист1!AS21+Лист1!AT21+Лист1!AU21+Лист1!AZ21+Лист1!BA21</f>
        <v>0</v>
      </c>
      <c r="M27" s="31">
        <f>Лист1!AX21</f>
        <v>212.97584000000003</v>
      </c>
      <c r="N27" s="30">
        <f>Лист1!BB21</f>
        <v>3238.5619644050003</v>
      </c>
      <c r="O27" s="74">
        <f>Лист1!BD21</f>
        <v>2023.1330355950004</v>
      </c>
      <c r="P27" s="74">
        <f>Лист1!BE21</f>
        <v>15.470000000000255</v>
      </c>
      <c r="Q27" s="1"/>
      <c r="R27" s="1"/>
    </row>
    <row r="28" spans="1:18" ht="12.75" hidden="1">
      <c r="A28" s="11" t="s">
        <v>53</v>
      </c>
      <c r="B28" s="82">
        <f>Лист1!B22</f>
        <v>606.5</v>
      </c>
      <c r="C28" s="27">
        <f t="shared" si="0"/>
        <v>5246.225</v>
      </c>
      <c r="D28" s="28">
        <f>Лист1!D22</f>
        <v>469.8450000000013</v>
      </c>
      <c r="E28" s="14">
        <f>Лист1!S22</f>
        <v>3986.8</v>
      </c>
      <c r="F28" s="30">
        <f>Лист1!T22</f>
        <v>789.58</v>
      </c>
      <c r="G28" s="29">
        <f>Лист1!AB22</f>
        <v>6137.51</v>
      </c>
      <c r="H28" s="30">
        <f>Лист1!AC22</f>
        <v>7396.935000000001</v>
      </c>
      <c r="I28" s="29">
        <f>Лист1!AG22</f>
        <v>363.9</v>
      </c>
      <c r="J28" s="14">
        <f>Лист1!AI22+Лист1!AJ22</f>
        <v>599.24337306</v>
      </c>
      <c r="K28" s="14">
        <f>Лист1!AH22+Лист1!AK22+Лист1!AL22+Лист1!AM22+Лист1!AN22+Лист1!AO22+Лист1!AP22+Лист1!AQ22+Лист1!AR22</f>
        <v>2062.2053441979997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3279.0298372579996</v>
      </c>
      <c r="O28" s="74">
        <f>Лист1!BD22</f>
        <v>4117.905162742001</v>
      </c>
      <c r="P28" s="74">
        <f>Лист1!BE22</f>
        <v>2150.71</v>
      </c>
      <c r="Q28" s="1"/>
      <c r="R28" s="1"/>
    </row>
    <row r="29" spans="1:18" ht="12.75" hidden="1">
      <c r="A29" s="11" t="s">
        <v>41</v>
      </c>
      <c r="B29" s="82">
        <f>Лист1!B23</f>
        <v>606.5</v>
      </c>
      <c r="C29" s="27">
        <f>B29*8.65</f>
        <v>5246.225</v>
      </c>
      <c r="D29" s="28">
        <f>Лист1!D23</f>
        <v>469.85500000000127</v>
      </c>
      <c r="E29" s="14">
        <f>Лист1!S23</f>
        <v>3986.79</v>
      </c>
      <c r="F29" s="30">
        <f>Лист1!T23</f>
        <v>789.58</v>
      </c>
      <c r="G29" s="29">
        <f>Лист1!AB23</f>
        <v>3347.0699999999997</v>
      </c>
      <c r="H29" s="30">
        <f>Лист1!AC23</f>
        <v>4606.505000000001</v>
      </c>
      <c r="I29" s="29">
        <f>Лист1!AG23</f>
        <v>363.9</v>
      </c>
      <c r="J29" s="14">
        <f>Лист1!AI23+Лист1!AJ23</f>
        <v>606.17249</v>
      </c>
      <c r="K29" s="14">
        <f>Лист1!AH23+Лист1!AK23+Лист1!AL23+Лист1!AM23+Лист1!AN23+Лист1!AO23+Лист1!AP23+Лист1!AQ23+Лист1!AR23</f>
        <v>2079.9311</v>
      </c>
      <c r="L29" s="31">
        <f>Лист1!AS23+Лист1!AT23+Лист1!AU23+Лист1!AZ23+Лист1!BA23</f>
        <v>0</v>
      </c>
      <c r="M29" s="31">
        <f>Лист1!AX23</f>
        <v>308.9240000000001</v>
      </c>
      <c r="N29" s="30">
        <f>Лист1!BB23</f>
        <v>3358.9275900000002</v>
      </c>
      <c r="O29" s="74">
        <f>Лист1!BD23</f>
        <v>1247.5774100000008</v>
      </c>
      <c r="P29" s="74">
        <f>Лист1!BE23</f>
        <v>-639.7200000000003</v>
      </c>
      <c r="Q29" s="1"/>
      <c r="R29" s="1"/>
    </row>
    <row r="30" spans="1:18" ht="12.75" hidden="1">
      <c r="A30" s="11" t="s">
        <v>42</v>
      </c>
      <c r="B30" s="82">
        <f>Лист1!B24</f>
        <v>606.5</v>
      </c>
      <c r="C30" s="27">
        <f t="shared" si="0"/>
        <v>5246.225</v>
      </c>
      <c r="D30" s="28">
        <f>Лист1!D24</f>
        <v>469.8450000000013</v>
      </c>
      <c r="E30" s="14">
        <f>Лист1!S24</f>
        <v>3986.8</v>
      </c>
      <c r="F30" s="30">
        <f>Лист1!T24</f>
        <v>789.58</v>
      </c>
      <c r="G30" s="29">
        <f>Лист1!AB24</f>
        <v>3166.15</v>
      </c>
      <c r="H30" s="30">
        <f>Лист1!AC24</f>
        <v>4425.575000000002</v>
      </c>
      <c r="I30" s="29">
        <f>Лист1!AG24</f>
        <v>363.9</v>
      </c>
      <c r="J30" s="14">
        <f>Лист1!AI24+Лист1!AJ24</f>
        <v>608.3195</v>
      </c>
      <c r="K30" s="14">
        <f>Лист1!AH24+Лист1!AK24+Лист1!AL24+Лист1!AM24+Лист1!AN24+Лист1!AO24+Лист1!AP24+Лист1!AQ24+Лист1!AR24</f>
        <v>2082.2358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3396.0889</v>
      </c>
      <c r="O30" s="74">
        <f>Лист1!BD24</f>
        <v>1029.4861000000014</v>
      </c>
      <c r="P30" s="74">
        <f>Лист1!BE24</f>
        <v>-820.6500000000001</v>
      </c>
      <c r="Q30" s="1"/>
      <c r="R30" s="1"/>
    </row>
    <row r="31" spans="1:18" ht="13.5" hidden="1" thickBot="1">
      <c r="A31" s="32" t="s">
        <v>43</v>
      </c>
      <c r="B31" s="82">
        <f>Лист1!B25</f>
        <v>606.5</v>
      </c>
      <c r="C31" s="33">
        <f t="shared" si="0"/>
        <v>5246.225</v>
      </c>
      <c r="D31" s="28">
        <f>Лист1!D25</f>
        <v>469.8450000000013</v>
      </c>
      <c r="E31" s="14">
        <f>Лист1!S25</f>
        <v>3986.8</v>
      </c>
      <c r="F31" s="30">
        <f>Лист1!T25</f>
        <v>789.58</v>
      </c>
      <c r="G31" s="29">
        <f>Лист1!AB25</f>
        <v>5440.52</v>
      </c>
      <c r="H31" s="30">
        <f>Лист1!AC25</f>
        <v>6699.9450000000015</v>
      </c>
      <c r="I31" s="29">
        <f>Лист1!AG25</f>
        <v>363.9</v>
      </c>
      <c r="J31" s="14">
        <f>Лист1!AI25+Лист1!AJ25</f>
        <v>608.3195</v>
      </c>
      <c r="K31" s="14">
        <f>Лист1!AH25+Лист1!AK25+Лист1!AL25+Лист1!AM25+Лист1!AN25+Лист1!AO25+Лист1!AP25+Лист1!AQ25+Лист1!AR25</f>
        <v>2082.2358</v>
      </c>
      <c r="L31" s="31">
        <f>Лист1!AS25+Лист1!AT25+Лист1!AU25+Лист1!AZ25+Лист1!BA25</f>
        <v>0</v>
      </c>
      <c r="M31" s="31">
        <f>Лист1!AX25</f>
        <v>373.6163200000001</v>
      </c>
      <c r="N31" s="30">
        <f>Лист1!BB25</f>
        <v>3428.07162</v>
      </c>
      <c r="O31" s="74">
        <f>Лист1!BD25</f>
        <v>3271.8733800000014</v>
      </c>
      <c r="P31" s="74">
        <f>Лист1!BE25</f>
        <v>1453.7200000000003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62954.69999999999</v>
      </c>
      <c r="D32" s="67">
        <f t="shared" si="3"/>
        <v>6486.712500000009</v>
      </c>
      <c r="E32" s="36">
        <f t="shared" si="3"/>
        <v>45888.920000000006</v>
      </c>
      <c r="F32" s="68">
        <f t="shared" si="3"/>
        <v>9283.96</v>
      </c>
      <c r="G32" s="67">
        <f t="shared" si="3"/>
        <v>45012.520000000004</v>
      </c>
      <c r="H32" s="68">
        <f t="shared" si="3"/>
        <v>60783.19250000002</v>
      </c>
      <c r="I32" s="67">
        <f t="shared" si="3"/>
        <v>4221.240000000001</v>
      </c>
      <c r="J32" s="36">
        <f t="shared" si="3"/>
        <v>6962.874386784999</v>
      </c>
      <c r="K32" s="36">
        <f t="shared" si="3"/>
        <v>23755.811906607996</v>
      </c>
      <c r="L32" s="36">
        <f>SUM(L20:L31)</f>
        <v>20681.6004</v>
      </c>
      <c r="M32" s="36">
        <f t="shared" si="3"/>
        <v>3198.272000000001</v>
      </c>
      <c r="N32" s="68">
        <f t="shared" si="3"/>
        <v>58819.79869339301</v>
      </c>
      <c r="O32" s="75">
        <f t="shared" si="3"/>
        <v>1963.3938066070114</v>
      </c>
      <c r="P32" s="75">
        <f t="shared" si="3"/>
        <v>-876.4000000000005</v>
      </c>
      <c r="Q32" s="71"/>
      <c r="R32" s="71"/>
    </row>
    <row r="33" spans="1:18" ht="13.5" thickBot="1">
      <c r="A33" s="189" t="s">
        <v>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78693.37499999999</v>
      </c>
      <c r="D34" s="37">
        <f aca="true" t="shared" si="4" ref="D34:P34">D18+D32</f>
        <v>10275.064034750008</v>
      </c>
      <c r="E34" s="38">
        <f t="shared" si="4"/>
        <v>56465.12000000001</v>
      </c>
      <c r="F34" s="39">
        <f t="shared" si="4"/>
        <v>11509.449999999999</v>
      </c>
      <c r="G34" s="37">
        <f t="shared" si="4"/>
        <v>50610.060000000005</v>
      </c>
      <c r="H34" s="39">
        <f t="shared" si="4"/>
        <v>72394.57403475003</v>
      </c>
      <c r="I34" s="37">
        <f t="shared" si="4"/>
        <v>5312.9400000000005</v>
      </c>
      <c r="J34" s="38">
        <f t="shared" si="4"/>
        <v>8789.922643184998</v>
      </c>
      <c r="K34" s="38">
        <f t="shared" si="4"/>
        <v>30161.228790652996</v>
      </c>
      <c r="L34" s="38">
        <f t="shared" si="4"/>
        <v>21814.4004</v>
      </c>
      <c r="M34" s="38">
        <f t="shared" si="4"/>
        <v>3198.272000000001</v>
      </c>
      <c r="N34" s="78">
        <f t="shared" si="4"/>
        <v>69276.763833838</v>
      </c>
      <c r="O34" s="77">
        <f>O18+O32</f>
        <v>3117.810200912012</v>
      </c>
      <c r="P34" s="77">
        <f t="shared" si="4"/>
        <v>-5855.060000000002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606.5</v>
      </c>
      <c r="C36" s="27">
        <f aca="true" t="shared" si="5" ref="C36:C47">B36*8.65</f>
        <v>5246.225</v>
      </c>
      <c r="D36" s="28">
        <f>Лист1!D30</f>
        <v>469.8450000000013</v>
      </c>
      <c r="E36" s="14">
        <f>Лист1!S30</f>
        <v>3986.8</v>
      </c>
      <c r="F36" s="30">
        <f>Лист1!T30</f>
        <v>789.58</v>
      </c>
      <c r="G36" s="29">
        <f>Лист1!AB30</f>
        <v>3256.28</v>
      </c>
      <c r="H36" s="30">
        <f>Лист1!AC30</f>
        <v>4515.705000000002</v>
      </c>
      <c r="I36" s="29">
        <f>Лист1!AG30</f>
        <v>363.9</v>
      </c>
      <c r="J36" s="14">
        <f>Лист1!AI30+Лист1!AJ30</f>
        <v>606.5</v>
      </c>
      <c r="K36" s="14">
        <f>Лист1!AH30+Лист1!AK30+Лист1!AL30+Лист1!AM30+Лист1!AN30+Лист1!AO30+Лист1!AP30+Лист1!AQ30+Лист1!AR30</f>
        <v>2080.295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3441.855</v>
      </c>
      <c r="O36" s="74">
        <f>Лист1!BD30</f>
        <v>1073.8500000000017</v>
      </c>
      <c r="P36" s="74">
        <f>Лист1!BE30</f>
        <v>-730.52</v>
      </c>
      <c r="Q36" s="1"/>
      <c r="R36" s="1"/>
    </row>
    <row r="37" spans="1:18" ht="12.75">
      <c r="A37" s="11" t="s">
        <v>46</v>
      </c>
      <c r="B37" s="82">
        <f>Лист1!B31</f>
        <v>607.3</v>
      </c>
      <c r="C37" s="27">
        <f t="shared" si="5"/>
        <v>5253.1449999999995</v>
      </c>
      <c r="D37" s="28">
        <f>Лист1!D31</f>
        <v>469.84500000000037</v>
      </c>
      <c r="E37" s="14">
        <f>Лист1!S31</f>
        <v>3993.72</v>
      </c>
      <c r="F37" s="30">
        <f>Лист1!T31</f>
        <v>789.58</v>
      </c>
      <c r="G37" s="29">
        <f>Лист1!AB31</f>
        <v>3686.76</v>
      </c>
      <c r="H37" s="30">
        <f>Лист1!AC31</f>
        <v>4946.185</v>
      </c>
      <c r="I37" s="29">
        <f>Лист1!AG31</f>
        <v>364.37999999999994</v>
      </c>
      <c r="J37" s="14">
        <f>Лист1!AI31+Лист1!AJ31</f>
        <v>607.3</v>
      </c>
      <c r="K37" s="14">
        <f>Лист1!AH31+Лист1!AK31+Лист1!AL31+Лист1!AM31+Лист1!AN31+Лист1!AO31+Лист1!AP31+Лист1!AQ31+Лист1!AR31</f>
        <v>2083.0389999999998</v>
      </c>
      <c r="L37" s="31">
        <f>Лист1!AS31+Лист1!AT31+Лист1!AU31+Лист1!AZ31+Лист1!BA31</f>
        <v>7325</v>
      </c>
      <c r="M37" s="31">
        <f>Лист1!AX31</f>
        <v>313.39</v>
      </c>
      <c r="N37" s="30">
        <f>Лист1!BB31</f>
        <v>10693.109</v>
      </c>
      <c r="O37" s="74">
        <f>Лист1!BD31</f>
        <v>-5746.924</v>
      </c>
      <c r="P37" s="74">
        <f>Лист1!BE31</f>
        <v>-306.9599999999996</v>
      </c>
      <c r="Q37" s="1"/>
      <c r="R37" s="1"/>
    </row>
    <row r="38" spans="1:18" ht="12.75">
      <c r="A38" s="11" t="s">
        <v>47</v>
      </c>
      <c r="B38" s="82">
        <f>Лист1!B32</f>
        <v>607.3</v>
      </c>
      <c r="C38" s="27">
        <f t="shared" si="5"/>
        <v>5253.1449999999995</v>
      </c>
      <c r="D38" s="28">
        <f>Лист1!D32</f>
        <v>469.84500000000037</v>
      </c>
      <c r="E38" s="14">
        <f>Лист1!S32</f>
        <v>3993.72</v>
      </c>
      <c r="F38" s="30">
        <f>Лист1!T32</f>
        <v>789.58</v>
      </c>
      <c r="G38" s="29">
        <f>Лист1!AB32</f>
        <v>4670.58</v>
      </c>
      <c r="H38" s="30">
        <f>Лист1!AC32</f>
        <v>5930.005</v>
      </c>
      <c r="I38" s="29">
        <f>Лист1!AG32</f>
        <v>364.37999999999994</v>
      </c>
      <c r="J38" s="14">
        <f>Лист1!AI32+Лист1!AJ32</f>
        <v>607.3</v>
      </c>
      <c r="K38" s="14">
        <f>Лист1!AH32+Лист1!AK32+Лист1!AL32+Лист1!AM32+Лист1!AN32+Лист1!AO32+Лист1!AP32+Лист1!AQ32+Лист1!AR32</f>
        <v>2083.0389999999998</v>
      </c>
      <c r="L38" s="31">
        <f>Лист1!AS32+Лист1!AT32+Лист1!AU32+Лист1!AZ32+Лист1!BA32</f>
        <v>3556</v>
      </c>
      <c r="M38" s="31">
        <f>Лист1!AX32</f>
        <v>294.90999999999997</v>
      </c>
      <c r="N38" s="30">
        <f>Лист1!BB32</f>
        <v>6905.629</v>
      </c>
      <c r="O38" s="74">
        <f>Лист1!BD32</f>
        <v>-975.6239999999998</v>
      </c>
      <c r="P38" s="74">
        <f>Лист1!BE32</f>
        <v>676.8600000000001</v>
      </c>
      <c r="Q38" s="1"/>
      <c r="R38" s="1"/>
    </row>
    <row r="39" spans="1:18" ht="12.75">
      <c r="A39" s="11" t="s">
        <v>48</v>
      </c>
      <c r="B39" s="82">
        <f>Лист1!B33</f>
        <v>607.3</v>
      </c>
      <c r="C39" s="27">
        <f t="shared" si="5"/>
        <v>5253.1449999999995</v>
      </c>
      <c r="D39" s="28">
        <f>Лист1!D33</f>
        <v>469.84500000000037</v>
      </c>
      <c r="E39" s="14">
        <f>Лист1!S33</f>
        <v>3993.72</v>
      </c>
      <c r="F39" s="30">
        <f>Лист1!T33</f>
        <v>789.58</v>
      </c>
      <c r="G39" s="29">
        <f>Лист1!AB33</f>
        <v>3497.1000000000004</v>
      </c>
      <c r="H39" s="30">
        <f>Лист1!AC33</f>
        <v>4756.525000000001</v>
      </c>
      <c r="I39" s="29">
        <f>Лист1!AG33</f>
        <v>364.37999999999994</v>
      </c>
      <c r="J39" s="14">
        <f>Лист1!AI33+Лист1!AJ33</f>
        <v>607.3</v>
      </c>
      <c r="K39" s="14">
        <f>Лист1!AH33+Лист1!AK33+Лист1!AL33+Лист1!AM33+Лист1!AN33+Лист1!AO33+Лист1!AP33+Лист1!AQ33+Лист1!AR33</f>
        <v>2083.0389999999998</v>
      </c>
      <c r="L39" s="31">
        <f>Лист1!AS33+Лист1!AT33+Лист1!AU33+Лист1!AY33+Лист1!AZ33</f>
        <v>98</v>
      </c>
      <c r="M39" s="31">
        <f>Лист1!AX33</f>
        <v>236.39000000000001</v>
      </c>
      <c r="N39" s="30">
        <f>Лист1!BB33</f>
        <v>3389.109</v>
      </c>
      <c r="O39" s="74">
        <f>Лист1!BD33</f>
        <v>1367.4160000000006</v>
      </c>
      <c r="P39" s="74">
        <f>Лист1!BE33</f>
        <v>-496.61999999999944</v>
      </c>
      <c r="Q39" s="1"/>
      <c r="R39" s="1"/>
    </row>
    <row r="40" spans="1:18" ht="12.75">
      <c r="A40" s="11" t="s">
        <v>49</v>
      </c>
      <c r="B40" s="82">
        <f>Лист1!B34</f>
        <v>607.3</v>
      </c>
      <c r="C40" s="27">
        <f t="shared" si="5"/>
        <v>5253.1449999999995</v>
      </c>
      <c r="D40" s="28">
        <f>Лист1!D34</f>
        <v>469.87500000000034</v>
      </c>
      <c r="E40" s="14">
        <f>Лист1!S34</f>
        <v>3993.72</v>
      </c>
      <c r="F40" s="30">
        <f>Лист1!T34</f>
        <v>789.5500000000001</v>
      </c>
      <c r="G40" s="29">
        <f>Лист1!AB34</f>
        <v>3194.0000000000005</v>
      </c>
      <c r="H40" s="30">
        <f>Лист1!AC34</f>
        <v>4453.425000000001</v>
      </c>
      <c r="I40" s="29">
        <f>Лист1!AG34</f>
        <v>364.37999999999994</v>
      </c>
      <c r="J40" s="14">
        <f>Лист1!AI34+Лист1!AJ34</f>
        <v>607.3</v>
      </c>
      <c r="K40" s="14">
        <f>Лист1!AH34+Лист1!AK34+Лист1!AL34+Лист1!AM34+Лист1!AN34+Лист1!AO34+Лист1!AP34+Лист1!AQ34+Лист1!AR34</f>
        <v>2083.0389999999998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3257.2290000000003</v>
      </c>
      <c r="O40" s="74">
        <f>Лист1!BD34</f>
        <v>1196.1960000000008</v>
      </c>
      <c r="P40" s="74">
        <f>Лист1!BE34</f>
        <v>-799.7199999999993</v>
      </c>
      <c r="Q40" s="1"/>
      <c r="R40" s="1"/>
    </row>
    <row r="41" spans="1:18" ht="12.75">
      <c r="A41" s="11" t="s">
        <v>50</v>
      </c>
      <c r="B41" s="82">
        <f>Лист1!B35</f>
        <v>607.3</v>
      </c>
      <c r="C41" s="27">
        <f t="shared" si="5"/>
        <v>5253.1449999999995</v>
      </c>
      <c r="D41" s="28">
        <f>Лист1!D35</f>
        <v>469.87500000000034</v>
      </c>
      <c r="E41" s="14">
        <f>Лист1!S35</f>
        <v>3993.72</v>
      </c>
      <c r="F41" s="30">
        <f>Лист1!T35</f>
        <v>789.5500000000001</v>
      </c>
      <c r="G41" s="29">
        <f>Лист1!AB35</f>
        <v>3231.46</v>
      </c>
      <c r="H41" s="30">
        <f>Лист1!AC35</f>
        <v>4490.885</v>
      </c>
      <c r="I41" s="29">
        <f>Лист1!AG35</f>
        <v>364.37999999999994</v>
      </c>
      <c r="J41" s="14">
        <f>Лист1!AI35+Лист1!AJ35</f>
        <v>607.3</v>
      </c>
      <c r="K41" s="14">
        <f>Лист1!AH35+Лист1!AK35+Лист1!AL35+Лист1!AM35+Лист1!AN35+Лист1!AO35+Лист1!AP35+Лист1!AQ35+Лист1!AR35</f>
        <v>2083.0389999999998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3234.129</v>
      </c>
      <c r="O41" s="74">
        <f>Лист1!BD35</f>
        <v>1256.7560000000003</v>
      </c>
      <c r="P41" s="74">
        <f>Лист1!BE35</f>
        <v>-762.2599999999998</v>
      </c>
      <c r="Q41" s="1"/>
      <c r="R41" s="1"/>
    </row>
    <row r="42" spans="1:18" ht="12.75">
      <c r="A42" s="11" t="s">
        <v>51</v>
      </c>
      <c r="B42" s="82">
        <f>Лист1!B36</f>
        <v>607.3</v>
      </c>
      <c r="C42" s="27">
        <f t="shared" si="5"/>
        <v>5253.1449999999995</v>
      </c>
      <c r="D42" s="28">
        <f>Лист1!D36</f>
        <v>469.87500000000034</v>
      </c>
      <c r="E42" s="14">
        <f>Лист1!S36</f>
        <v>4783.2699999999995</v>
      </c>
      <c r="F42" s="30">
        <f>Лист1!T36</f>
        <v>0</v>
      </c>
      <c r="G42" s="29">
        <f>Лист1!AB36</f>
        <v>5236.18</v>
      </c>
      <c r="H42" s="30">
        <f>Лист1!AC36</f>
        <v>5706.055</v>
      </c>
      <c r="I42" s="29">
        <f>Лист1!AG36</f>
        <v>364.37999999999994</v>
      </c>
      <c r="J42" s="14">
        <f>Лист1!AI36+Лист1!AJ36</f>
        <v>607.3</v>
      </c>
      <c r="K42" s="14">
        <f>Лист1!AH36+Лист1!AK36+Лист1!AL36+Лист1!AM36+Лист1!AN36+Лист1!AO36+Лист1!AP36+Лист1!AQ36+Лист1!AR36</f>
        <v>2083.0389999999998</v>
      </c>
      <c r="L42" s="31">
        <f>Лист1!AS36+Лист1!AT36+Лист1!AU36+Лист1!AZ36+Лист1!BA36</f>
        <v>1583.0916</v>
      </c>
      <c r="M42" s="31">
        <f>Лист1!AX36</f>
        <v>190.96</v>
      </c>
      <c r="N42" s="30">
        <f>Лист1!BB36</f>
        <v>4828.7706</v>
      </c>
      <c r="O42" s="74">
        <f>Лист1!BD36</f>
        <v>877.2844000000005</v>
      </c>
      <c r="P42" s="74">
        <f>Лист1!BE36</f>
        <v>452.91000000000076</v>
      </c>
      <c r="Q42" s="1"/>
      <c r="R42" s="1"/>
    </row>
    <row r="43" spans="1:18" ht="12.75">
      <c r="A43" s="11" t="s">
        <v>52</v>
      </c>
      <c r="B43" s="82">
        <f>Лист1!B37</f>
        <v>607.3</v>
      </c>
      <c r="C43" s="27">
        <f t="shared" si="5"/>
        <v>5253.1449999999995</v>
      </c>
      <c r="D43" s="28">
        <f>Лист1!D37</f>
        <v>459.6049999999988</v>
      </c>
      <c r="E43" s="14">
        <f>Лист1!S37</f>
        <v>4793.54</v>
      </c>
      <c r="F43" s="30">
        <f>Лист1!T37</f>
        <v>0</v>
      </c>
      <c r="G43" s="29">
        <f>Лист1!AB37</f>
        <v>3078.16</v>
      </c>
      <c r="H43" s="30">
        <f>Лист1!AC37</f>
        <v>3537.7649999999985</v>
      </c>
      <c r="I43" s="29">
        <f>Лист1!AG37</f>
        <v>364.37999999999994</v>
      </c>
      <c r="J43" s="14">
        <f>Лист1!AI37+Лист1!AJ37</f>
        <v>607.3</v>
      </c>
      <c r="K43" s="14">
        <f>Лист1!AH37+Лист1!AK37+Лист1!AL37+Лист1!AM37+Лист1!AN37+Лист1!AO37+Лист1!AP37+Лист1!AQ37+Лист1!AR37</f>
        <v>2083.0389999999998</v>
      </c>
      <c r="L43" s="31">
        <f>Лист1!AS37+Лист1!AT37+Лист1!AU37+Лист1!AZ37+Лист1!BA37</f>
        <v>47.8</v>
      </c>
      <c r="M43" s="31">
        <f>Лист1!AX37</f>
        <v>225.60999999999999</v>
      </c>
      <c r="N43" s="30">
        <f>Лист1!BB37</f>
        <v>3328.1290000000004</v>
      </c>
      <c r="O43" s="74">
        <f>Лист1!BD37</f>
        <v>209.63599999999815</v>
      </c>
      <c r="P43" s="74">
        <f>Лист1!BE37</f>
        <v>-1715.38</v>
      </c>
      <c r="Q43" s="1"/>
      <c r="R43" s="1"/>
    </row>
    <row r="44" spans="1:18" ht="12.75">
      <c r="A44" s="11" t="s">
        <v>53</v>
      </c>
      <c r="B44" s="82">
        <f>Лист1!B38</f>
        <v>607.3</v>
      </c>
      <c r="C44" s="27">
        <f t="shared" si="5"/>
        <v>5253.1449999999995</v>
      </c>
      <c r="D44" s="28">
        <f>Лист1!D38</f>
        <v>459.59499999999883</v>
      </c>
      <c r="E44" s="14">
        <f>Лист1!S38</f>
        <v>4793.549999999999</v>
      </c>
      <c r="F44" s="30">
        <f>Лист1!T38</f>
        <v>0</v>
      </c>
      <c r="G44" s="29">
        <f>Лист1!AB38</f>
        <v>2656.5</v>
      </c>
      <c r="H44" s="30">
        <f>Лист1!AC38</f>
        <v>3116.094999999999</v>
      </c>
      <c r="I44" s="29">
        <f>Лист1!AG38</f>
        <v>364.37999999999994</v>
      </c>
      <c r="J44" s="14">
        <f>Лист1!AI38+Лист1!AJ38</f>
        <v>607.3</v>
      </c>
      <c r="K44" s="14">
        <f>Лист1!AH38+Лист1!AK38+Лист1!AL38+Лист1!AM38+Лист1!AN38+Лист1!AO38+Лист1!AP38+Лист1!AQ38+Лист1!AR38</f>
        <v>2083.0389999999998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3323.449</v>
      </c>
      <c r="O44" s="74">
        <f>Лист1!BD38</f>
        <v>-207.35400000000118</v>
      </c>
      <c r="P44" s="74">
        <f>Лист1!BE38</f>
        <v>-2137.0499999999993</v>
      </c>
      <c r="Q44" s="1"/>
      <c r="R44" s="1"/>
    </row>
    <row r="45" spans="1:18" ht="12.75">
      <c r="A45" s="11" t="s">
        <v>41</v>
      </c>
      <c r="B45" s="82">
        <f>Лист1!B39</f>
        <v>607.3</v>
      </c>
      <c r="C45" s="27">
        <f>B45*8.65</f>
        <v>5253.1449999999995</v>
      </c>
      <c r="D45" s="28">
        <f>Лист1!D39</f>
        <v>459.6149999999988</v>
      </c>
      <c r="E45" s="14">
        <f>Лист1!S39</f>
        <v>4793.53</v>
      </c>
      <c r="F45" s="30">
        <f>Лист1!T39</f>
        <v>0</v>
      </c>
      <c r="G45" s="29">
        <f>Лист1!AB39</f>
        <v>3751.3599999999997</v>
      </c>
      <c r="H45" s="30">
        <f>Лист1!AC39</f>
        <v>4210.9749999999985</v>
      </c>
      <c r="I45" s="29">
        <f>Лист1!AG39</f>
        <v>364.37999999999994</v>
      </c>
      <c r="J45" s="14">
        <f>Лист1!AI39+Лист1!AJ39</f>
        <v>607.3</v>
      </c>
      <c r="K45" s="14">
        <f>Лист1!AH39+Лист1!AK39+Лист1!AL39+Лист1!AM39+Лист1!AN39+Лист1!AO39+Лист1!AP39+Лист1!AQ39+Лист1!AR39</f>
        <v>2083.0389999999998</v>
      </c>
      <c r="L45" s="31">
        <f>Лист1!AS39+Лист1!AT39+Лист1!AU39+Лист1!AZ39+Лист1!BA39</f>
        <v>1792</v>
      </c>
      <c r="M45" s="31">
        <f>Лист1!AX39</f>
        <v>327.25</v>
      </c>
      <c r="N45" s="30">
        <f>Лист1!BB39</f>
        <v>5173.969</v>
      </c>
      <c r="O45" s="74">
        <f>Лист1!BD39</f>
        <v>-962.9940000000015</v>
      </c>
      <c r="P45" s="74">
        <f>Лист1!BE39</f>
        <v>-1042.17</v>
      </c>
      <c r="Q45" s="1"/>
      <c r="R45" s="1"/>
    </row>
    <row r="46" spans="1:18" ht="12.75">
      <c r="A46" s="11" t="s">
        <v>42</v>
      </c>
      <c r="B46" s="82">
        <f>Лист1!B40</f>
        <v>607.3</v>
      </c>
      <c r="C46" s="27">
        <f t="shared" si="5"/>
        <v>5253.1449999999995</v>
      </c>
      <c r="D46" s="28">
        <f>Лист1!D40</f>
        <v>459.6049999999988</v>
      </c>
      <c r="E46" s="14">
        <f>Лист1!S40</f>
        <v>4793.54</v>
      </c>
      <c r="F46" s="30">
        <f>Лист1!T40</f>
        <v>0</v>
      </c>
      <c r="G46" s="29">
        <f>Лист1!AB40</f>
        <v>4905.49</v>
      </c>
      <c r="H46" s="30">
        <f>Лист1!AC40</f>
        <v>5365.094999999998</v>
      </c>
      <c r="I46" s="29">
        <f>Лист1!AG40</f>
        <v>364.37999999999994</v>
      </c>
      <c r="J46" s="14">
        <f>Лист1!AI40+Лист1!AJ40</f>
        <v>607.3</v>
      </c>
      <c r="K46" s="14">
        <f>Лист1!AH40+Лист1!AK40+Лист1!AL40+Лист1!AM40+Лист1!AN40+Лист1!AO40+Лист1!AP40+Лист1!AQ40+Лист1!AR40</f>
        <v>2083.0389999999998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3416.619</v>
      </c>
      <c r="O46" s="74">
        <f>Лист1!BD40</f>
        <v>1948.4759999999983</v>
      </c>
      <c r="P46" s="74">
        <f>Лист1!BE40</f>
        <v>111.94999999999982</v>
      </c>
      <c r="Q46" s="1"/>
      <c r="R46" s="1"/>
    </row>
    <row r="47" spans="1:18" ht="13.5" thickBot="1">
      <c r="A47" s="32" t="s">
        <v>43</v>
      </c>
      <c r="B47" s="82">
        <f>Лист1!B41</f>
        <v>607.3</v>
      </c>
      <c r="C47" s="33">
        <f t="shared" si="5"/>
        <v>5253.1449999999995</v>
      </c>
      <c r="D47" s="28">
        <f>Лист1!D41</f>
        <v>459.6049999999988</v>
      </c>
      <c r="E47" s="14">
        <f>Лист1!S41</f>
        <v>4793.54</v>
      </c>
      <c r="F47" s="30">
        <f>Лист1!T41</f>
        <v>0</v>
      </c>
      <c r="G47" s="29">
        <f>Лист1!AB41</f>
        <v>6723.849999999999</v>
      </c>
      <c r="H47" s="30">
        <f>Лист1!AC41</f>
        <v>7183.454999999998</v>
      </c>
      <c r="I47" s="29">
        <f>Лист1!AG41</f>
        <v>364.37999999999994</v>
      </c>
      <c r="J47" s="14">
        <f>Лист1!AI41+Лист1!AJ41</f>
        <v>607.3</v>
      </c>
      <c r="K47" s="14">
        <f>Лист1!AH41+Лист1!AK41+Лист1!AL41+Лист1!AM41+Лист1!AN41+Лист1!AO41+Лист1!AP41+Лист1!AQ41+Лист1!AR41</f>
        <v>2083.0389999999998</v>
      </c>
      <c r="L47" s="31">
        <f>Лист1!AS41+Лист1!AT41+Лист1!AU41+Лист1!AZ41+Лист1!BA41</f>
        <v>115.9958</v>
      </c>
      <c r="M47" s="31">
        <f>Лист1!AX41</f>
        <v>395.78000000000003</v>
      </c>
      <c r="N47" s="30">
        <f>Лист1!BB41</f>
        <v>3566.4948000000004</v>
      </c>
      <c r="O47" s="74">
        <f>Лист1!BD41</f>
        <v>3616.9601999999977</v>
      </c>
      <c r="P47" s="74">
        <f>Лист1!BE41</f>
        <v>1930.3099999999995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63030.819999999985</v>
      </c>
      <c r="D48" s="67">
        <f t="shared" si="6"/>
        <v>5587.029999999997</v>
      </c>
      <c r="E48" s="36">
        <f t="shared" si="6"/>
        <v>52706.369999999995</v>
      </c>
      <c r="F48" s="68">
        <f t="shared" si="6"/>
        <v>4737.42</v>
      </c>
      <c r="G48" s="67">
        <f t="shared" si="6"/>
        <v>47887.719999999994</v>
      </c>
      <c r="H48" s="68">
        <f t="shared" si="6"/>
        <v>58212.17000000001</v>
      </c>
      <c r="I48" s="67">
        <f t="shared" si="6"/>
        <v>4372.08</v>
      </c>
      <c r="J48" s="36">
        <f t="shared" si="6"/>
        <v>7286.800000000001</v>
      </c>
      <c r="K48" s="36">
        <f t="shared" si="6"/>
        <v>24993.724000000006</v>
      </c>
      <c r="L48" s="36">
        <f t="shared" si="6"/>
        <v>14517.8874</v>
      </c>
      <c r="M48" s="36">
        <f t="shared" si="6"/>
        <v>3388</v>
      </c>
      <c r="N48" s="68">
        <f t="shared" si="6"/>
        <v>54558.4914</v>
      </c>
      <c r="O48" s="75">
        <f t="shared" si="6"/>
        <v>3653.6785999999956</v>
      </c>
      <c r="P48" s="75">
        <f t="shared" si="6"/>
        <v>-4818.649999999997</v>
      </c>
      <c r="Q48" s="71"/>
      <c r="R48" s="71"/>
    </row>
    <row r="49" spans="1:18" ht="13.5" thickBot="1">
      <c r="A49" s="189" t="s">
        <v>70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141724.19499999998</v>
      </c>
      <c r="D50" s="37">
        <f aca="true" t="shared" si="7" ref="D50:N50">D34+D48</f>
        <v>15862.094034750005</v>
      </c>
      <c r="E50" s="38">
        <f t="shared" si="7"/>
        <v>109171.49</v>
      </c>
      <c r="F50" s="39">
        <f t="shared" si="7"/>
        <v>16246.869999999999</v>
      </c>
      <c r="G50" s="37">
        <f t="shared" si="7"/>
        <v>98497.78</v>
      </c>
      <c r="H50" s="39">
        <f t="shared" si="7"/>
        <v>130606.74403475004</v>
      </c>
      <c r="I50" s="37">
        <f t="shared" si="7"/>
        <v>9685.02</v>
      </c>
      <c r="J50" s="38">
        <f t="shared" si="7"/>
        <v>16076.722643185</v>
      </c>
      <c r="K50" s="38">
        <f t="shared" si="7"/>
        <v>55154.952790653</v>
      </c>
      <c r="L50" s="38">
        <f t="shared" si="7"/>
        <v>36332.2878</v>
      </c>
      <c r="M50" s="38">
        <f t="shared" si="7"/>
        <v>6586.272000000001</v>
      </c>
      <c r="N50" s="78">
        <f t="shared" si="7"/>
        <v>123835.255233838</v>
      </c>
      <c r="O50" s="77">
        <f>O34+O48</f>
        <v>6771.488800912008</v>
      </c>
      <c r="P50" s="77">
        <f>P34+P48</f>
        <v>-10673.71</v>
      </c>
      <c r="Q50" s="72"/>
      <c r="R50" s="71"/>
    </row>
    <row r="53" spans="1:18" ht="12.75">
      <c r="A53" s="20" t="s">
        <v>88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216" t="s">
        <v>73</v>
      </c>
      <c r="D54" s="216"/>
      <c r="Q54" s="1"/>
      <c r="R54" s="1"/>
    </row>
    <row r="55" spans="1:18" ht="12.75">
      <c r="A55" s="124">
        <v>21031.97</v>
      </c>
      <c r="B55" s="124">
        <v>25911.9</v>
      </c>
      <c r="C55" s="214">
        <f>A55-B55</f>
        <v>-4879.93</v>
      </c>
      <c r="D55" s="215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9:O49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0" sqref="C20"/>
    </sheetView>
  </sheetViews>
  <sheetFormatPr defaultColWidth="9.00390625" defaultRowHeight="12.75"/>
  <cols>
    <col min="1" max="1" width="8.75390625" style="249" bestFit="1" customWidth="1"/>
    <col min="2" max="2" width="9.125" style="249" customWidth="1"/>
    <col min="3" max="3" width="11.375" style="249" customWidth="1"/>
    <col min="4" max="4" width="10.375" style="249" customWidth="1"/>
    <col min="5" max="5" width="10.125" style="249" bestFit="1" customWidth="1"/>
    <col min="6" max="6" width="9.125" style="249" customWidth="1"/>
    <col min="7" max="7" width="10.25390625" style="249" customWidth="1"/>
    <col min="8" max="8" width="9.125" style="249" customWidth="1"/>
    <col min="9" max="9" width="9.875" style="249" customWidth="1"/>
    <col min="10" max="10" width="9.125" style="249" customWidth="1"/>
    <col min="11" max="11" width="10.375" style="249" customWidth="1"/>
    <col min="12" max="12" width="9.125" style="249" customWidth="1"/>
    <col min="13" max="13" width="10.125" style="249" bestFit="1" customWidth="1"/>
    <col min="14" max="14" width="9.125" style="249" customWidth="1"/>
    <col min="15" max="15" width="10.125" style="249" bestFit="1" customWidth="1"/>
    <col min="16" max="18" width="9.125" style="249" customWidth="1"/>
    <col min="19" max="19" width="10.125" style="249" bestFit="1" customWidth="1"/>
    <col min="20" max="20" width="10.125" style="249" customWidth="1"/>
    <col min="21" max="21" width="10.125" style="249" bestFit="1" customWidth="1"/>
    <col min="22" max="22" width="10.25390625" style="249" customWidth="1"/>
    <col min="23" max="23" width="10.625" style="249" customWidth="1"/>
    <col min="24" max="24" width="10.125" style="249" customWidth="1"/>
    <col min="25" max="28" width="10.125" style="249" bestFit="1" customWidth="1"/>
    <col min="29" max="30" width="11.375" style="249" customWidth="1"/>
    <col min="31" max="31" width="9.25390625" style="249" bestFit="1" customWidth="1"/>
    <col min="32" max="32" width="10.125" style="249" bestFit="1" customWidth="1"/>
    <col min="33" max="33" width="12.00390625" style="249" customWidth="1"/>
    <col min="34" max="34" width="14.25390625" style="249" customWidth="1"/>
    <col min="35" max="35" width="9.25390625" style="249" bestFit="1" customWidth="1"/>
    <col min="36" max="36" width="12.625" style="249" customWidth="1"/>
    <col min="37" max="38" width="9.25390625" style="249" bestFit="1" customWidth="1"/>
    <col min="39" max="39" width="10.125" style="249" bestFit="1" customWidth="1"/>
    <col min="40" max="40" width="9.25390625" style="249" bestFit="1" customWidth="1"/>
    <col min="41" max="42" width="10.125" style="249" bestFit="1" customWidth="1"/>
    <col min="43" max="44" width="9.25390625" style="249" customWidth="1"/>
    <col min="45" max="45" width="10.125" style="249" bestFit="1" customWidth="1"/>
    <col min="46" max="46" width="11.625" style="249" customWidth="1"/>
    <col min="47" max="47" width="10.875" style="249" customWidth="1"/>
    <col min="48" max="48" width="10.625" style="249" customWidth="1"/>
    <col min="49" max="49" width="10.25390625" style="249" customWidth="1"/>
    <col min="50" max="50" width="10.625" style="249" customWidth="1"/>
    <col min="51" max="53" width="10.125" style="249" bestFit="1" customWidth="1"/>
    <col min="54" max="54" width="11.625" style="249" customWidth="1"/>
    <col min="55" max="55" width="11.75390625" style="249" customWidth="1"/>
    <col min="56" max="56" width="12.125" style="249" customWidth="1"/>
    <col min="57" max="57" width="13.625" style="249" customWidth="1"/>
    <col min="58" max="58" width="11.00390625" style="249" customWidth="1"/>
    <col min="59" max="59" width="11.375" style="249" customWidth="1"/>
    <col min="60" max="16384" width="9.125" style="249" customWidth="1"/>
  </cols>
  <sheetData>
    <row r="1" spans="1:18" ht="21" customHeight="1">
      <c r="A1" s="141" t="s">
        <v>120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248"/>
      <c r="P1" s="248"/>
      <c r="Q1" s="248"/>
      <c r="R1" s="248"/>
    </row>
    <row r="2" spans="1:18" ht="13.5" thickBot="1">
      <c r="A2" s="248"/>
      <c r="B2" s="250"/>
      <c r="C2" s="251"/>
      <c r="D2" s="251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59" ht="29.25" customHeight="1" thickBot="1">
      <c r="A3" s="252" t="s">
        <v>0</v>
      </c>
      <c r="B3" s="253" t="s">
        <v>1</v>
      </c>
      <c r="C3" s="254" t="s">
        <v>2</v>
      </c>
      <c r="D3" s="255" t="s">
        <v>3</v>
      </c>
      <c r="E3" s="252" t="s">
        <v>94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07"/>
      <c r="S3" s="252"/>
      <c r="T3" s="256"/>
      <c r="U3" s="252" t="s">
        <v>5</v>
      </c>
      <c r="V3" s="256"/>
      <c r="W3" s="257" t="s">
        <v>6</v>
      </c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9"/>
      <c r="AJ3" s="260" t="s">
        <v>74</v>
      </c>
      <c r="AK3" s="261" t="s">
        <v>10</v>
      </c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3"/>
      <c r="BF3" s="264" t="s">
        <v>11</v>
      </c>
      <c r="BG3" s="265" t="s">
        <v>12</v>
      </c>
    </row>
    <row r="4" spans="1:59" ht="51.75" customHeight="1" hidden="1" thickBot="1">
      <c r="A4" s="266"/>
      <c r="B4" s="267"/>
      <c r="C4" s="268"/>
      <c r="D4" s="269"/>
      <c r="E4" s="266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199"/>
      <c r="S4" s="271"/>
      <c r="T4" s="272"/>
      <c r="U4" s="271"/>
      <c r="V4" s="272"/>
      <c r="W4" s="273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5"/>
      <c r="AJ4" s="276"/>
      <c r="AK4" s="277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9"/>
      <c r="BF4" s="280"/>
      <c r="BG4" s="281"/>
    </row>
    <row r="5" spans="1:61" ht="19.5" customHeight="1">
      <c r="A5" s="266"/>
      <c r="B5" s="267"/>
      <c r="C5" s="268"/>
      <c r="D5" s="269"/>
      <c r="E5" s="282" t="s">
        <v>13</v>
      </c>
      <c r="F5" s="283"/>
      <c r="G5" s="282" t="s">
        <v>95</v>
      </c>
      <c r="H5" s="283"/>
      <c r="I5" s="282" t="s">
        <v>14</v>
      </c>
      <c r="J5" s="283"/>
      <c r="K5" s="282" t="s">
        <v>16</v>
      </c>
      <c r="L5" s="283"/>
      <c r="M5" s="282" t="s">
        <v>15</v>
      </c>
      <c r="N5" s="283"/>
      <c r="O5" s="284" t="s">
        <v>17</v>
      </c>
      <c r="P5" s="284"/>
      <c r="Q5" s="282" t="s">
        <v>96</v>
      </c>
      <c r="R5" s="283"/>
      <c r="S5" s="284" t="s">
        <v>18</v>
      </c>
      <c r="T5" s="283"/>
      <c r="U5" s="285" t="s">
        <v>20</v>
      </c>
      <c r="V5" s="286" t="s">
        <v>21</v>
      </c>
      <c r="W5" s="287" t="s">
        <v>22</v>
      </c>
      <c r="X5" s="287" t="s">
        <v>97</v>
      </c>
      <c r="Y5" s="287" t="s">
        <v>23</v>
      </c>
      <c r="Z5" s="287" t="s">
        <v>25</v>
      </c>
      <c r="AA5" s="287" t="s">
        <v>24</v>
      </c>
      <c r="AB5" s="287" t="s">
        <v>26</v>
      </c>
      <c r="AC5" s="287" t="s">
        <v>27</v>
      </c>
      <c r="AD5" s="288" t="s">
        <v>28</v>
      </c>
      <c r="AE5" s="288" t="s">
        <v>98</v>
      </c>
      <c r="AF5" s="289" t="s">
        <v>29</v>
      </c>
      <c r="AG5" s="290" t="s">
        <v>86</v>
      </c>
      <c r="AH5" s="291" t="s">
        <v>8</v>
      </c>
      <c r="AI5" s="292" t="s">
        <v>9</v>
      </c>
      <c r="AJ5" s="276"/>
      <c r="AK5" s="293" t="s">
        <v>99</v>
      </c>
      <c r="AL5" s="294" t="s">
        <v>100</v>
      </c>
      <c r="AM5" s="294" t="s">
        <v>101</v>
      </c>
      <c r="AN5" s="295" t="s">
        <v>102</v>
      </c>
      <c r="AO5" s="294" t="s">
        <v>103</v>
      </c>
      <c r="AP5" s="295" t="s">
        <v>104</v>
      </c>
      <c r="AQ5" s="295" t="s">
        <v>105</v>
      </c>
      <c r="AR5" s="295" t="s">
        <v>106</v>
      </c>
      <c r="AS5" s="295" t="s">
        <v>107</v>
      </c>
      <c r="AT5" s="295" t="s">
        <v>36</v>
      </c>
      <c r="AU5" s="155" t="s">
        <v>108</v>
      </c>
      <c r="AV5" s="187" t="s">
        <v>109</v>
      </c>
      <c r="AW5" s="155" t="s">
        <v>110</v>
      </c>
      <c r="AX5" s="176" t="s">
        <v>111</v>
      </c>
      <c r="AY5" s="139"/>
      <c r="AZ5" s="296" t="s">
        <v>19</v>
      </c>
      <c r="BA5" s="295" t="s">
        <v>38</v>
      </c>
      <c r="BB5" s="295" t="s">
        <v>33</v>
      </c>
      <c r="BC5" s="297" t="s">
        <v>39</v>
      </c>
      <c r="BD5" s="298" t="s">
        <v>75</v>
      </c>
      <c r="BE5" s="295" t="s">
        <v>112</v>
      </c>
      <c r="BF5" s="280"/>
      <c r="BG5" s="281"/>
      <c r="BH5" s="299"/>
      <c r="BI5" s="300"/>
    </row>
    <row r="6" spans="1:61" ht="56.25" customHeight="1" thickBot="1">
      <c r="A6" s="266"/>
      <c r="B6" s="267"/>
      <c r="C6" s="268"/>
      <c r="D6" s="269"/>
      <c r="E6" s="301"/>
      <c r="F6" s="302"/>
      <c r="G6" s="301"/>
      <c r="H6" s="302"/>
      <c r="I6" s="301"/>
      <c r="J6" s="302"/>
      <c r="K6" s="301"/>
      <c r="L6" s="302"/>
      <c r="M6" s="301"/>
      <c r="N6" s="302"/>
      <c r="O6" s="303"/>
      <c r="P6" s="303"/>
      <c r="Q6" s="301"/>
      <c r="R6" s="302"/>
      <c r="S6" s="304"/>
      <c r="T6" s="302"/>
      <c r="U6" s="305"/>
      <c r="V6" s="306"/>
      <c r="W6" s="307"/>
      <c r="X6" s="307"/>
      <c r="Y6" s="307"/>
      <c r="Z6" s="307"/>
      <c r="AA6" s="307"/>
      <c r="AB6" s="307"/>
      <c r="AC6" s="307"/>
      <c r="AD6" s="308"/>
      <c r="AE6" s="308"/>
      <c r="AF6" s="309"/>
      <c r="AG6" s="310"/>
      <c r="AH6" s="311"/>
      <c r="AI6" s="312"/>
      <c r="AJ6" s="313"/>
      <c r="AK6" s="314"/>
      <c r="AL6" s="315"/>
      <c r="AM6" s="315"/>
      <c r="AN6" s="316"/>
      <c r="AO6" s="315"/>
      <c r="AP6" s="316"/>
      <c r="AQ6" s="316"/>
      <c r="AR6" s="316"/>
      <c r="AS6" s="316"/>
      <c r="AT6" s="316"/>
      <c r="AU6" s="156"/>
      <c r="AV6" s="188"/>
      <c r="AW6" s="156"/>
      <c r="AX6" s="177"/>
      <c r="AY6" s="140" t="s">
        <v>113</v>
      </c>
      <c r="AZ6" s="317"/>
      <c r="BA6" s="316"/>
      <c r="BB6" s="316"/>
      <c r="BC6" s="318"/>
      <c r="BD6" s="319"/>
      <c r="BE6" s="316"/>
      <c r="BF6" s="320"/>
      <c r="BG6" s="321"/>
      <c r="BH6" s="299"/>
      <c r="BI6" s="300"/>
    </row>
    <row r="7" spans="1:61" ht="19.5" customHeight="1" thickBot="1">
      <c r="A7" s="322">
        <v>1</v>
      </c>
      <c r="B7" s="323">
        <v>2</v>
      </c>
      <c r="C7" s="323">
        <v>3</v>
      </c>
      <c r="D7" s="322">
        <v>4</v>
      </c>
      <c r="E7" s="323">
        <v>5</v>
      </c>
      <c r="F7" s="323">
        <v>6</v>
      </c>
      <c r="G7" s="322">
        <v>7</v>
      </c>
      <c r="H7" s="323">
        <v>8</v>
      </c>
      <c r="I7" s="323">
        <v>9</v>
      </c>
      <c r="J7" s="322">
        <v>10</v>
      </c>
      <c r="K7" s="323">
        <v>11</v>
      </c>
      <c r="L7" s="323">
        <v>12</v>
      </c>
      <c r="M7" s="322">
        <v>13</v>
      </c>
      <c r="N7" s="323">
        <v>14</v>
      </c>
      <c r="O7" s="323">
        <v>15</v>
      </c>
      <c r="P7" s="322">
        <v>16</v>
      </c>
      <c r="Q7" s="323">
        <v>17</v>
      </c>
      <c r="R7" s="323">
        <v>18</v>
      </c>
      <c r="S7" s="322">
        <v>19</v>
      </c>
      <c r="T7" s="323">
        <v>20</v>
      </c>
      <c r="U7" s="323">
        <v>21</v>
      </c>
      <c r="V7" s="322">
        <v>22</v>
      </c>
      <c r="W7" s="323">
        <v>23</v>
      </c>
      <c r="X7" s="322">
        <v>24</v>
      </c>
      <c r="Y7" s="323">
        <v>25</v>
      </c>
      <c r="Z7" s="322">
        <v>26</v>
      </c>
      <c r="AA7" s="323">
        <v>27</v>
      </c>
      <c r="AB7" s="322">
        <v>28</v>
      </c>
      <c r="AC7" s="323">
        <v>29</v>
      </c>
      <c r="AD7" s="322">
        <v>30</v>
      </c>
      <c r="AE7" s="322">
        <v>31</v>
      </c>
      <c r="AF7" s="323">
        <v>32</v>
      </c>
      <c r="AG7" s="322">
        <v>33</v>
      </c>
      <c r="AH7" s="323">
        <v>34</v>
      </c>
      <c r="AI7" s="322">
        <v>35</v>
      </c>
      <c r="AJ7" s="323">
        <v>36</v>
      </c>
      <c r="AK7" s="322">
        <v>37</v>
      </c>
      <c r="AL7" s="323">
        <v>38</v>
      </c>
      <c r="AM7" s="322">
        <v>39</v>
      </c>
      <c r="AN7" s="322">
        <v>40</v>
      </c>
      <c r="AO7" s="323">
        <v>41</v>
      </c>
      <c r="AP7" s="322">
        <v>42</v>
      </c>
      <c r="AQ7" s="323">
        <v>43</v>
      </c>
      <c r="AR7" s="322"/>
      <c r="AS7" s="322">
        <v>44</v>
      </c>
      <c r="AT7" s="323">
        <v>45</v>
      </c>
      <c r="AU7" s="322">
        <v>46</v>
      </c>
      <c r="AV7" s="323">
        <v>47</v>
      </c>
      <c r="AW7" s="322">
        <v>48</v>
      </c>
      <c r="AX7" s="322">
        <v>49</v>
      </c>
      <c r="AY7" s="323"/>
      <c r="AZ7" s="323">
        <v>50</v>
      </c>
      <c r="BA7" s="323">
        <v>51</v>
      </c>
      <c r="BB7" s="323">
        <v>52</v>
      </c>
      <c r="BC7" s="323">
        <v>53</v>
      </c>
      <c r="BD7" s="323">
        <v>54</v>
      </c>
      <c r="BE7" s="323"/>
      <c r="BF7" s="323">
        <v>55</v>
      </c>
      <c r="BG7" s="323">
        <v>56</v>
      </c>
      <c r="BH7" s="300"/>
      <c r="BI7" s="300"/>
    </row>
    <row r="8" spans="1:59" s="20" customFormat="1" ht="13.5" thickBot="1">
      <c r="A8" s="22" t="s">
        <v>54</v>
      </c>
      <c r="B8" s="324">
        <f>'[1]ЛИЦ.СЧЕТ'!B42</f>
        <v>0</v>
      </c>
      <c r="C8" s="324">
        <f>Лист1!C44</f>
        <v>141724.19499999998</v>
      </c>
      <c r="D8" s="324">
        <f>Лист1!D44</f>
        <v>15862.094034750005</v>
      </c>
      <c r="E8" s="324">
        <f>Лист1!E44</f>
        <v>12604.279999999999</v>
      </c>
      <c r="F8" s="324">
        <f>Лист1!F44</f>
        <v>1875.8600000000001</v>
      </c>
      <c r="G8" s="324"/>
      <c r="H8" s="324"/>
      <c r="I8" s="324">
        <f>Лист1!G44</f>
        <v>17063.6</v>
      </c>
      <c r="J8" s="324">
        <f>Лист1!H44</f>
        <v>2539.44</v>
      </c>
      <c r="K8" s="324">
        <f>Лист1!K44</f>
        <v>28407.920000000002</v>
      </c>
      <c r="L8" s="324">
        <f>Лист1!L44</f>
        <v>4227.55</v>
      </c>
      <c r="M8" s="324">
        <f>Лист1!I44</f>
        <v>41012.27</v>
      </c>
      <c r="N8" s="324">
        <f>Лист1!J44</f>
        <v>6103.419999999999</v>
      </c>
      <c r="O8" s="324">
        <f>Лист1!M44</f>
        <v>10083.42</v>
      </c>
      <c r="P8" s="324">
        <f>Лист1!N44</f>
        <v>1500.6</v>
      </c>
      <c r="Q8" s="324">
        <f>'[3]Лист1'!O44</f>
        <v>0</v>
      </c>
      <c r="R8" s="324"/>
      <c r="S8" s="324">
        <f>'[3]Лист1'!O44</f>
        <v>0</v>
      </c>
      <c r="T8" s="324">
        <f>'[3]Лист1'!P44</f>
        <v>0</v>
      </c>
      <c r="U8" s="324">
        <f>Лист1!S44</f>
        <v>109171.49</v>
      </c>
      <c r="V8" s="324">
        <f>Лист1!T44</f>
        <v>16246.869999999999</v>
      </c>
      <c r="W8" s="324">
        <f>Лист1!U44</f>
        <v>11375.6</v>
      </c>
      <c r="X8" s="324"/>
      <c r="Y8" s="324">
        <f>Лист1!V44</f>
        <v>15396.91</v>
      </c>
      <c r="Z8" s="324">
        <f>Лист1!X44</f>
        <v>25635.300000000003</v>
      </c>
      <c r="AA8" s="324">
        <f>Лист1!W44</f>
        <v>36989.48</v>
      </c>
      <c r="AB8" s="324">
        <f>Лист1!Y44</f>
        <v>9100.490000000002</v>
      </c>
      <c r="AC8" s="324">
        <f>'[4]Лист1'!Z44</f>
        <v>0</v>
      </c>
      <c r="AD8" s="324"/>
      <c r="AE8" s="324"/>
      <c r="AF8" s="324">
        <f>Лист1!AB44</f>
        <v>98497.78</v>
      </c>
      <c r="AG8" s="324">
        <f>Лист1!AC44</f>
        <v>130606.74403475004</v>
      </c>
      <c r="AH8" s="324"/>
      <c r="AI8" s="324"/>
      <c r="AJ8" s="324">
        <f>'[2]Лист1'!AF44</f>
        <v>0</v>
      </c>
      <c r="AK8" s="324">
        <f>Лист1!AG44</f>
        <v>9685.02</v>
      </c>
      <c r="AL8" s="324">
        <f>Лист1!AH44</f>
        <v>3245.246498</v>
      </c>
      <c r="AM8" s="324">
        <f>Лист1!AI44+Лист1!AJ44</f>
        <v>16076.722643185</v>
      </c>
      <c r="AN8" s="324">
        <f>0</f>
        <v>0</v>
      </c>
      <c r="AO8" s="324">
        <f>Лист1!AK44+Лист1!AL44</f>
        <v>16035.994388885003</v>
      </c>
      <c r="AP8" s="324">
        <f>Лист1!AM44+Лист1!AN44</f>
        <v>35873.711903767995</v>
      </c>
      <c r="AQ8" s="324">
        <f>0</f>
        <v>0</v>
      </c>
      <c r="AR8" s="324">
        <f>0</f>
        <v>0</v>
      </c>
      <c r="AS8" s="324">
        <f>0</f>
        <v>0</v>
      </c>
      <c r="AT8" s="324">
        <f>'[5]Лист1'!AO44</f>
        <v>0</v>
      </c>
      <c r="AU8" s="324">
        <f>Лист1!AS44+Лист1!AU44</f>
        <v>34769.9678</v>
      </c>
      <c r="AV8" s="324">
        <f>0</f>
        <v>0</v>
      </c>
      <c r="AW8" s="324">
        <f>Лист1!AT44</f>
        <v>1562.32</v>
      </c>
      <c r="AX8" s="324">
        <f>'[5]Лист1'!AQ44</f>
        <v>0</v>
      </c>
      <c r="AY8" s="325">
        <f>Лист1!AX44</f>
        <v>6586.272000000001</v>
      </c>
      <c r="AZ8" s="325"/>
      <c r="BA8" s="325"/>
      <c r="BB8" s="325"/>
      <c r="BC8" s="325">
        <f>Лист1!BB44</f>
        <v>123835.255233838</v>
      </c>
      <c r="BD8" s="324">
        <f>0</f>
        <v>0</v>
      </c>
      <c r="BE8" s="324">
        <f>BC8</f>
        <v>123835.255233838</v>
      </c>
      <c r="BF8" s="326">
        <f>Лист1!BD44</f>
        <v>6771.488800912008</v>
      </c>
      <c r="BG8" s="326">
        <f>Лист1!BE44</f>
        <v>-10673.71</v>
      </c>
    </row>
    <row r="9" spans="1:59" ht="12.75">
      <c r="A9" s="5" t="s">
        <v>114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241"/>
      <c r="BD9" s="327"/>
      <c r="BE9" s="328"/>
      <c r="BF9" s="326"/>
      <c r="BG9" s="329"/>
    </row>
    <row r="10" spans="1:135" ht="12.75">
      <c r="A10" s="330" t="s">
        <v>45</v>
      </c>
      <c r="B10" s="231">
        <v>607.3</v>
      </c>
      <c r="C10" s="122">
        <f aca="true" t="shared" si="0" ref="C10:C15">B10*8.55</f>
        <v>5192.415</v>
      </c>
      <c r="D10" s="99">
        <v>242.7832</v>
      </c>
      <c r="E10" s="233">
        <v>0</v>
      </c>
      <c r="F10" s="234">
        <v>0</v>
      </c>
      <c r="G10" s="233">
        <v>3177.7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v>1542.97</v>
      </c>
      <c r="N10" s="233">
        <v>0</v>
      </c>
      <c r="O10" s="233">
        <v>535</v>
      </c>
      <c r="P10" s="234">
        <v>0</v>
      </c>
      <c r="Q10" s="331">
        <v>0</v>
      </c>
      <c r="R10" s="332">
        <v>0</v>
      </c>
      <c r="S10" s="333">
        <v>0</v>
      </c>
      <c r="T10" s="332">
        <v>0</v>
      </c>
      <c r="U10" s="334">
        <f aca="true" t="shared" si="1" ref="U10:V21">E10+G10+I10+K10+M10+O10+Q10+S10</f>
        <v>5255.67</v>
      </c>
      <c r="V10" s="335">
        <f t="shared" si="1"/>
        <v>0</v>
      </c>
      <c r="W10" s="235">
        <v>378.51</v>
      </c>
      <c r="X10" s="235"/>
      <c r="Y10" s="235">
        <v>512.79</v>
      </c>
      <c r="Z10" s="235">
        <v>853.43</v>
      </c>
      <c r="AA10" s="235">
        <v>1231.94</v>
      </c>
      <c r="AB10" s="235">
        <v>302.82</v>
      </c>
      <c r="AC10" s="238">
        <v>0</v>
      </c>
      <c r="AD10" s="238">
        <v>0</v>
      </c>
      <c r="AE10" s="336">
        <v>0</v>
      </c>
      <c r="AF10" s="336">
        <f>SUM(W10:AE10)</f>
        <v>3279.4900000000002</v>
      </c>
      <c r="AG10" s="337">
        <f>AF10+V10+D10</f>
        <v>3522.2732</v>
      </c>
      <c r="AH10" s="338">
        <f aca="true" t="shared" si="2" ref="AH10:AI21">AC10</f>
        <v>0</v>
      </c>
      <c r="AI10" s="338">
        <f t="shared" si="2"/>
        <v>0</v>
      </c>
      <c r="AJ10" s="240"/>
      <c r="AK10" s="241">
        <f aca="true" t="shared" si="3" ref="AK10:AK21">0.67*B10</f>
        <v>406.891</v>
      </c>
      <c r="AL10" s="241">
        <f aca="true" t="shared" si="4" ref="AL10:AL21">B10*0.2</f>
        <v>121.46</v>
      </c>
      <c r="AM10" s="241">
        <f aca="true" t="shared" si="5" ref="AM10:AM21">B10*1</f>
        <v>607.3</v>
      </c>
      <c r="AN10" s="241">
        <f aca="true" t="shared" si="6" ref="AN10:AN21">B10*0.21</f>
        <v>127.53299999999999</v>
      </c>
      <c r="AO10" s="241">
        <f aca="true" t="shared" si="7" ref="AO10:AO21">2.02*B10</f>
        <v>1226.7459999999999</v>
      </c>
      <c r="AP10" s="241">
        <f aca="true" t="shared" si="8" ref="AP10:AP21">B10*1.03</f>
        <v>625.519</v>
      </c>
      <c r="AQ10" s="241">
        <f aca="true" t="shared" si="9" ref="AQ10:AQ21">B10*0.75</f>
        <v>455.47499999999997</v>
      </c>
      <c r="AR10" s="241">
        <f aca="true" t="shared" si="10" ref="AR10:AR21">B10*0.75</f>
        <v>455.47499999999997</v>
      </c>
      <c r="AS10" s="241">
        <f>B10*1.15</f>
        <v>698.3949999999999</v>
      </c>
      <c r="AT10" s="241"/>
      <c r="AU10" s="243"/>
      <c r="AV10" s="242"/>
      <c r="AW10" s="243"/>
      <c r="AX10" s="243">
        <f>6.04+5+310.5+20.8</f>
        <v>342.34000000000003</v>
      </c>
      <c r="AY10" s="243"/>
      <c r="AZ10" s="112"/>
      <c r="BA10" s="246"/>
      <c r="BB10" s="246">
        <f>BA10*0.18</f>
        <v>0</v>
      </c>
      <c r="BC10" s="246">
        <f>SUM(AK10:BB10)</f>
        <v>5067.133999999999</v>
      </c>
      <c r="BD10" s="247"/>
      <c r="BE10" s="247">
        <f>BC10</f>
        <v>5067.133999999999</v>
      </c>
      <c r="BF10" s="247">
        <f>AG10-BE10</f>
        <v>-1544.860799999999</v>
      </c>
      <c r="BG10" s="247">
        <f aca="true" t="shared" si="11" ref="BG10:BG21">AF10-U10</f>
        <v>-1976.1799999999998</v>
      </c>
      <c r="BH10" s="339"/>
      <c r="BI10" s="340"/>
      <c r="BJ10" s="340"/>
      <c r="BK10" s="340"/>
      <c r="BL10" s="340"/>
      <c r="BM10" s="340"/>
      <c r="BN10" s="340"/>
      <c r="BO10" s="341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2"/>
      <c r="CD10" s="342"/>
      <c r="CE10" s="343"/>
      <c r="CF10" s="247"/>
      <c r="CG10" s="344"/>
      <c r="CH10" s="247"/>
      <c r="CI10" s="247"/>
      <c r="CJ10" s="247"/>
      <c r="CK10" s="247"/>
      <c r="CL10" s="247"/>
      <c r="CM10" s="247"/>
      <c r="CN10" s="247"/>
      <c r="CO10" s="344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344"/>
      <c r="DL10" s="344"/>
      <c r="DM10" s="344"/>
      <c r="DN10" s="344"/>
      <c r="DO10" s="344"/>
      <c r="DP10" s="344"/>
      <c r="DQ10" s="247"/>
      <c r="DR10" s="247"/>
      <c r="DS10" s="247"/>
      <c r="DT10" s="247"/>
      <c r="DU10" s="247"/>
      <c r="DV10" s="339"/>
      <c r="DW10" s="339"/>
      <c r="DX10" s="246"/>
      <c r="DY10" s="326"/>
      <c r="DZ10" s="326"/>
      <c r="EA10" s="329"/>
      <c r="EB10" s="345"/>
      <c r="EC10" s="346"/>
      <c r="ED10" s="347"/>
      <c r="EE10" s="348"/>
    </row>
    <row r="11" spans="1:133" ht="14.25">
      <c r="A11" s="330" t="s">
        <v>46</v>
      </c>
      <c r="B11" s="231">
        <v>607.3</v>
      </c>
      <c r="C11" s="122">
        <f t="shared" si="0"/>
        <v>5192.415</v>
      </c>
      <c r="D11" s="99">
        <v>242.7832</v>
      </c>
      <c r="E11" s="233">
        <v>0</v>
      </c>
      <c r="F11" s="234">
        <v>0</v>
      </c>
      <c r="G11" s="233">
        <v>3177.7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1542.97</v>
      </c>
      <c r="N11" s="233">
        <v>0</v>
      </c>
      <c r="O11" s="233">
        <v>535</v>
      </c>
      <c r="P11" s="233">
        <v>0</v>
      </c>
      <c r="Q11" s="234">
        <v>0</v>
      </c>
      <c r="R11" s="234">
        <v>0</v>
      </c>
      <c r="S11" s="238">
        <v>0</v>
      </c>
      <c r="T11" s="235">
        <v>0</v>
      </c>
      <c r="U11" s="349">
        <f t="shared" si="1"/>
        <v>5255.67</v>
      </c>
      <c r="V11" s="335">
        <f t="shared" si="1"/>
        <v>0</v>
      </c>
      <c r="W11" s="350">
        <v>214.33</v>
      </c>
      <c r="X11" s="351">
        <v>2734.51</v>
      </c>
      <c r="Y11" s="350">
        <v>290.48</v>
      </c>
      <c r="Z11" s="350">
        <v>483.42</v>
      </c>
      <c r="AA11" s="350">
        <v>1955.47</v>
      </c>
      <c r="AB11" s="350">
        <v>614.65</v>
      </c>
      <c r="AC11" s="351">
        <v>0</v>
      </c>
      <c r="AD11" s="351">
        <v>0</v>
      </c>
      <c r="AE11" s="351">
        <v>0</v>
      </c>
      <c r="AF11" s="336">
        <f>SUM(W11:AE11)</f>
        <v>6292.86</v>
      </c>
      <c r="AG11" s="337">
        <f>AF11+V11+D11</f>
        <v>6535.6431999999995</v>
      </c>
      <c r="AH11" s="338">
        <f t="shared" si="2"/>
        <v>0</v>
      </c>
      <c r="AI11" s="338">
        <f t="shared" si="2"/>
        <v>0</v>
      </c>
      <c r="AJ11" s="240"/>
      <c r="AK11" s="241">
        <f t="shared" si="3"/>
        <v>406.891</v>
      </c>
      <c r="AL11" s="241">
        <f t="shared" si="4"/>
        <v>121.46</v>
      </c>
      <c r="AM11" s="241">
        <f t="shared" si="5"/>
        <v>607.3</v>
      </c>
      <c r="AN11" s="241">
        <f t="shared" si="6"/>
        <v>127.53299999999999</v>
      </c>
      <c r="AO11" s="241">
        <f t="shared" si="7"/>
        <v>1226.7459999999999</v>
      </c>
      <c r="AP11" s="241">
        <f t="shared" si="8"/>
        <v>625.519</v>
      </c>
      <c r="AQ11" s="241">
        <f t="shared" si="9"/>
        <v>455.47499999999997</v>
      </c>
      <c r="AR11" s="241">
        <f t="shared" si="10"/>
        <v>455.47499999999997</v>
      </c>
      <c r="AS11" s="241">
        <f>B11*1.15</f>
        <v>698.3949999999999</v>
      </c>
      <c r="AT11" s="241"/>
      <c r="AU11" s="243"/>
      <c r="AV11" s="242"/>
      <c r="AW11" s="243"/>
      <c r="AX11" s="243">
        <f>80</f>
        <v>80</v>
      </c>
      <c r="AY11" s="243"/>
      <c r="AZ11" s="112"/>
      <c r="BA11" s="246"/>
      <c r="BB11" s="246">
        <f>BA11*0.18</f>
        <v>0</v>
      </c>
      <c r="BC11" s="246">
        <f>SUM(AK11:BB11)</f>
        <v>4804.793999999999</v>
      </c>
      <c r="BD11" s="247"/>
      <c r="BE11" s="247">
        <f aca="true" t="shared" si="12" ref="BE11:BE20">BC11</f>
        <v>4804.793999999999</v>
      </c>
      <c r="BF11" s="247">
        <f>AG11-BE11</f>
        <v>1730.8492000000006</v>
      </c>
      <c r="BG11" s="247">
        <f t="shared" si="11"/>
        <v>1037.1899999999996</v>
      </c>
      <c r="BH11" s="339"/>
      <c r="BI11" s="340"/>
      <c r="BJ11" s="340"/>
      <c r="BK11" s="340"/>
      <c r="BL11" s="340"/>
      <c r="BM11" s="340"/>
      <c r="BN11" s="340"/>
      <c r="BO11" s="341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2"/>
      <c r="CD11" s="342"/>
      <c r="CE11" s="343"/>
      <c r="CF11" s="247"/>
      <c r="CG11" s="344"/>
      <c r="CH11" s="247"/>
      <c r="CI11" s="247"/>
      <c r="CJ11" s="247"/>
      <c r="CK11" s="247"/>
      <c r="CL11" s="247"/>
      <c r="CM11" s="247"/>
      <c r="CN11" s="247"/>
      <c r="CO11" s="344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344"/>
      <c r="DL11" s="344"/>
      <c r="DM11" s="344"/>
      <c r="DN11" s="344"/>
      <c r="DO11" s="344"/>
      <c r="DP11" s="344"/>
      <c r="DQ11" s="247"/>
      <c r="DR11" s="247"/>
      <c r="DS11" s="247"/>
      <c r="DT11" s="247"/>
      <c r="DU11" s="247"/>
      <c r="DV11" s="339"/>
      <c r="DW11" s="339"/>
      <c r="DX11" s="246"/>
      <c r="DY11" s="326"/>
      <c r="DZ11" s="326"/>
      <c r="EA11" s="329"/>
      <c r="EB11" s="346"/>
      <c r="EC11" s="352"/>
    </row>
    <row r="12" spans="1:134" ht="12.75">
      <c r="A12" s="330" t="s">
        <v>47</v>
      </c>
      <c r="B12" s="231">
        <v>607.3</v>
      </c>
      <c r="C12" s="122">
        <f t="shared" si="0"/>
        <v>5192.415</v>
      </c>
      <c r="D12" s="99">
        <v>242.7832</v>
      </c>
      <c r="E12" s="233">
        <v>0</v>
      </c>
      <c r="F12" s="234">
        <v>0</v>
      </c>
      <c r="G12" s="233">
        <v>3177.7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1542.97</v>
      </c>
      <c r="N12" s="233">
        <v>0</v>
      </c>
      <c r="O12" s="233">
        <v>535</v>
      </c>
      <c r="P12" s="233">
        <v>0</v>
      </c>
      <c r="Q12" s="233">
        <v>0</v>
      </c>
      <c r="R12" s="233">
        <v>0</v>
      </c>
      <c r="S12" s="233">
        <v>0</v>
      </c>
      <c r="T12" s="235">
        <v>0</v>
      </c>
      <c r="U12" s="235">
        <f t="shared" si="1"/>
        <v>5255.67</v>
      </c>
      <c r="V12" s="236">
        <f t="shared" si="1"/>
        <v>0</v>
      </c>
      <c r="W12" s="237">
        <v>67.37</v>
      </c>
      <c r="X12" s="238">
        <v>2703.24</v>
      </c>
      <c r="Y12" s="235">
        <v>91.27</v>
      </c>
      <c r="Z12" s="235">
        <v>151.91</v>
      </c>
      <c r="AA12" s="235">
        <v>1492.43</v>
      </c>
      <c r="AB12" s="235">
        <v>497.65</v>
      </c>
      <c r="AC12" s="238">
        <v>0</v>
      </c>
      <c r="AD12" s="238">
        <v>0</v>
      </c>
      <c r="AE12" s="235">
        <v>0</v>
      </c>
      <c r="AF12" s="353">
        <f>SUM(W12:AE12)</f>
        <v>5003.869999999999</v>
      </c>
      <c r="AG12" s="337">
        <f>AF12+V12+D12</f>
        <v>5246.653199999999</v>
      </c>
      <c r="AH12" s="338">
        <f t="shared" si="2"/>
        <v>0</v>
      </c>
      <c r="AI12" s="338">
        <f t="shared" si="2"/>
        <v>0</v>
      </c>
      <c r="AJ12" s="240"/>
      <c r="AK12" s="241">
        <f t="shared" si="3"/>
        <v>406.891</v>
      </c>
      <c r="AL12" s="241">
        <f t="shared" si="4"/>
        <v>121.46</v>
      </c>
      <c r="AM12" s="241">
        <f t="shared" si="5"/>
        <v>607.3</v>
      </c>
      <c r="AN12" s="241">
        <f t="shared" si="6"/>
        <v>127.53299999999999</v>
      </c>
      <c r="AO12" s="241">
        <f t="shared" si="7"/>
        <v>1226.7459999999999</v>
      </c>
      <c r="AP12" s="241">
        <f t="shared" si="8"/>
        <v>625.519</v>
      </c>
      <c r="AQ12" s="241">
        <f t="shared" si="9"/>
        <v>455.47499999999997</v>
      </c>
      <c r="AR12" s="241">
        <f t="shared" si="10"/>
        <v>455.47499999999997</v>
      </c>
      <c r="AS12" s="241">
        <f>B12*1.15</f>
        <v>698.3949999999999</v>
      </c>
      <c r="AT12" s="241"/>
      <c r="AU12" s="243"/>
      <c r="AV12" s="242">
        <v>111</v>
      </c>
      <c r="AW12" s="243"/>
      <c r="AX12" s="243"/>
      <c r="AY12" s="243"/>
      <c r="AZ12" s="112"/>
      <c r="BA12" s="246"/>
      <c r="BB12" s="246">
        <f>BA12*0.18</f>
        <v>0</v>
      </c>
      <c r="BC12" s="246">
        <f>SUM(AK12:BB12)</f>
        <v>4835.793999999999</v>
      </c>
      <c r="BD12" s="247"/>
      <c r="BE12" s="247">
        <f t="shared" si="12"/>
        <v>4835.793999999999</v>
      </c>
      <c r="BF12" s="247">
        <f>AG12-BE12</f>
        <v>410.8591999999999</v>
      </c>
      <c r="BG12" s="247">
        <f t="shared" si="11"/>
        <v>-251.8000000000011</v>
      </c>
      <c r="BH12" s="339"/>
      <c r="BI12" s="340"/>
      <c r="BJ12" s="340"/>
      <c r="BK12" s="340"/>
      <c r="BL12" s="340"/>
      <c r="BM12" s="340"/>
      <c r="BN12" s="340"/>
      <c r="BO12" s="340"/>
      <c r="BP12" s="340"/>
      <c r="BQ12" s="341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2"/>
      <c r="CD12" s="342"/>
      <c r="CE12" s="343"/>
      <c r="CF12" s="247"/>
      <c r="CG12" s="247"/>
      <c r="CH12" s="247"/>
      <c r="CI12" s="344"/>
      <c r="CJ12" s="247"/>
      <c r="CK12" s="247"/>
      <c r="CL12" s="247"/>
      <c r="CM12" s="247"/>
      <c r="CN12" s="247"/>
      <c r="CO12" s="247"/>
      <c r="CP12" s="247"/>
      <c r="CQ12" s="344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344"/>
      <c r="DN12" s="344"/>
      <c r="DO12" s="344"/>
      <c r="DP12" s="344"/>
      <c r="DQ12" s="344"/>
      <c r="DR12" s="344"/>
      <c r="DS12" s="247"/>
      <c r="DT12" s="247"/>
      <c r="DU12" s="247"/>
      <c r="DV12" s="247"/>
      <c r="DW12" s="247"/>
      <c r="DX12" s="339"/>
      <c r="DY12" s="339"/>
      <c r="DZ12" s="246"/>
      <c r="EA12" s="326"/>
      <c r="EB12" s="326"/>
      <c r="EC12" s="346"/>
      <c r="ED12" s="352"/>
    </row>
    <row r="13" spans="1:134" ht="12.75">
      <c r="A13" s="330" t="s">
        <v>48</v>
      </c>
      <c r="B13" s="231">
        <v>607.3</v>
      </c>
      <c r="C13" s="122">
        <f t="shared" si="0"/>
        <v>5192.415</v>
      </c>
      <c r="D13" s="364">
        <v>242.7832</v>
      </c>
      <c r="E13" s="331">
        <v>0</v>
      </c>
      <c r="F13" s="234">
        <v>0</v>
      </c>
      <c r="G13" s="233">
        <v>5981.9</v>
      </c>
      <c r="H13" s="233">
        <v>0</v>
      </c>
      <c r="I13" s="233">
        <v>0</v>
      </c>
      <c r="J13" s="233">
        <v>0</v>
      </c>
      <c r="K13" s="233">
        <v>0</v>
      </c>
      <c r="L13" s="233">
        <v>0</v>
      </c>
      <c r="M13" s="233">
        <v>1821.9</v>
      </c>
      <c r="N13" s="233">
        <v>0</v>
      </c>
      <c r="O13" s="233">
        <v>728.76</v>
      </c>
      <c r="P13" s="233">
        <v>0</v>
      </c>
      <c r="Q13" s="234">
        <v>0</v>
      </c>
      <c r="R13" s="234">
        <v>0</v>
      </c>
      <c r="S13" s="355">
        <v>0</v>
      </c>
      <c r="T13" s="356">
        <v>0</v>
      </c>
      <c r="U13" s="349">
        <f t="shared" si="1"/>
        <v>8532.56</v>
      </c>
      <c r="V13" s="236">
        <f t="shared" si="1"/>
        <v>0</v>
      </c>
      <c r="W13" s="235">
        <v>28.41</v>
      </c>
      <c r="X13" s="238">
        <v>2555.69</v>
      </c>
      <c r="Y13" s="235">
        <v>38.55</v>
      </c>
      <c r="Z13" s="235">
        <v>64.13</v>
      </c>
      <c r="AA13" s="235">
        <v>1481.35</v>
      </c>
      <c r="AB13" s="238">
        <v>484.68</v>
      </c>
      <c r="AC13" s="235">
        <v>0</v>
      </c>
      <c r="AD13" s="238">
        <v>0</v>
      </c>
      <c r="AE13" s="238">
        <v>0</v>
      </c>
      <c r="AF13" s="336">
        <f>SUM(W13:AD13)</f>
        <v>4652.81</v>
      </c>
      <c r="AG13" s="357">
        <f>AF13+V13+D13</f>
        <v>4895.5932</v>
      </c>
      <c r="AH13" s="394">
        <f t="shared" si="2"/>
        <v>0</v>
      </c>
      <c r="AI13" s="394">
        <f t="shared" si="2"/>
        <v>0</v>
      </c>
      <c r="AJ13" s="368"/>
      <c r="AK13" s="241">
        <f t="shared" si="3"/>
        <v>406.891</v>
      </c>
      <c r="AL13" s="241">
        <f t="shared" si="4"/>
        <v>121.46</v>
      </c>
      <c r="AM13" s="241">
        <f t="shared" si="5"/>
        <v>607.3</v>
      </c>
      <c r="AN13" s="241">
        <f t="shared" si="6"/>
        <v>127.53299999999999</v>
      </c>
      <c r="AO13" s="241">
        <f t="shared" si="7"/>
        <v>1226.7459999999999</v>
      </c>
      <c r="AP13" s="241">
        <f t="shared" si="8"/>
        <v>625.519</v>
      </c>
      <c r="AQ13" s="241">
        <f t="shared" si="9"/>
        <v>455.47499999999997</v>
      </c>
      <c r="AR13" s="241">
        <f t="shared" si="10"/>
        <v>455.47499999999997</v>
      </c>
      <c r="AS13" s="369"/>
      <c r="AT13" s="370"/>
      <c r="AU13" s="371"/>
      <c r="AV13" s="371"/>
      <c r="AW13" s="371"/>
      <c r="AX13" s="371"/>
      <c r="AY13" s="371"/>
      <c r="AZ13" s="369"/>
      <c r="BA13" s="370"/>
      <c r="BB13" s="370"/>
      <c r="BC13" s="372">
        <f>SUM(AK13:BB13)</f>
        <v>4026.3989999999994</v>
      </c>
      <c r="BD13" s="395"/>
      <c r="BE13" s="247">
        <f t="shared" si="12"/>
        <v>4026.3989999999994</v>
      </c>
      <c r="BF13" s="247">
        <f>AG13-BE13</f>
        <v>869.1942000000008</v>
      </c>
      <c r="BG13" s="247">
        <f t="shared" si="11"/>
        <v>-3879.749999999999</v>
      </c>
      <c r="BH13" s="339"/>
      <c r="BI13" s="340"/>
      <c r="BJ13" s="340"/>
      <c r="BK13" s="340"/>
      <c r="BL13" s="340"/>
      <c r="BM13" s="340"/>
      <c r="BN13" s="340"/>
      <c r="BO13" s="341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2"/>
      <c r="CD13" s="342"/>
      <c r="CE13" s="343"/>
      <c r="CF13" s="247"/>
      <c r="CG13" s="344"/>
      <c r="CH13" s="247"/>
      <c r="CI13" s="247"/>
      <c r="CJ13" s="247"/>
      <c r="CK13" s="247"/>
      <c r="CL13" s="247"/>
      <c r="CM13" s="247"/>
      <c r="CN13" s="247"/>
      <c r="CO13" s="344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344"/>
      <c r="DL13" s="344"/>
      <c r="DM13" s="344"/>
      <c r="DN13" s="344"/>
      <c r="DO13" s="344"/>
      <c r="DP13" s="344"/>
      <c r="DQ13" s="247"/>
      <c r="DR13" s="247"/>
      <c r="DS13" s="247"/>
      <c r="DT13" s="247"/>
      <c r="DU13" s="247"/>
      <c r="DV13" s="339"/>
      <c r="DW13" s="339"/>
      <c r="DX13" s="246"/>
      <c r="DY13" s="326"/>
      <c r="DZ13" s="326"/>
      <c r="EA13" s="326"/>
      <c r="EB13" s="329"/>
      <c r="EC13" s="346"/>
      <c r="ED13" s="352"/>
    </row>
    <row r="14" spans="1:133" ht="12.75">
      <c r="A14" s="330" t="s">
        <v>49</v>
      </c>
      <c r="B14" s="363">
        <v>607.3</v>
      </c>
      <c r="C14" s="122">
        <f t="shared" si="0"/>
        <v>5192.415</v>
      </c>
      <c r="D14" s="364">
        <v>242.7832</v>
      </c>
      <c r="E14" s="232">
        <v>0</v>
      </c>
      <c r="F14" s="234">
        <v>0</v>
      </c>
      <c r="G14" s="233">
        <v>5981.9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1821.9</v>
      </c>
      <c r="N14" s="233">
        <v>0</v>
      </c>
      <c r="O14" s="233">
        <v>728.76</v>
      </c>
      <c r="P14" s="233">
        <v>0</v>
      </c>
      <c r="Q14" s="234">
        <v>0</v>
      </c>
      <c r="R14" s="234">
        <v>0</v>
      </c>
      <c r="S14" s="233">
        <v>0</v>
      </c>
      <c r="T14" s="238">
        <v>0</v>
      </c>
      <c r="U14" s="365">
        <f t="shared" si="1"/>
        <v>8532.56</v>
      </c>
      <c r="V14" s="366">
        <f>F14+H14+J14+L14+N14++R14+T14</f>
        <v>0</v>
      </c>
      <c r="W14" s="235">
        <v>62.19</v>
      </c>
      <c r="X14" s="238">
        <v>5542.42</v>
      </c>
      <c r="Y14" s="235">
        <v>84.26</v>
      </c>
      <c r="Z14" s="235">
        <v>140.24</v>
      </c>
      <c r="AA14" s="235">
        <v>2121.52</v>
      </c>
      <c r="AB14" s="235">
        <v>777.16</v>
      </c>
      <c r="AC14" s="238">
        <v>0</v>
      </c>
      <c r="AD14" s="238">
        <v>0</v>
      </c>
      <c r="AE14" s="336">
        <v>0</v>
      </c>
      <c r="AF14" s="367">
        <f>SUM(W14:AE14)</f>
        <v>8727.789999999999</v>
      </c>
      <c r="AG14" s="357">
        <f aca="true" t="shared" si="13" ref="AG14:AG21">D14+V14+AF14</f>
        <v>8970.573199999999</v>
      </c>
      <c r="AH14" s="358">
        <f t="shared" si="2"/>
        <v>0</v>
      </c>
      <c r="AI14" s="358">
        <f t="shared" si="2"/>
        <v>0</v>
      </c>
      <c r="AJ14" s="368"/>
      <c r="AK14" s="369">
        <f t="shared" si="3"/>
        <v>406.891</v>
      </c>
      <c r="AL14" s="369">
        <f t="shared" si="4"/>
        <v>121.46</v>
      </c>
      <c r="AM14" s="369">
        <f t="shared" si="5"/>
        <v>607.3</v>
      </c>
      <c r="AN14" s="369">
        <f t="shared" si="6"/>
        <v>127.53299999999999</v>
      </c>
      <c r="AO14" s="369">
        <f t="shared" si="7"/>
        <v>1226.7459999999999</v>
      </c>
      <c r="AP14" s="369">
        <f t="shared" si="8"/>
        <v>625.519</v>
      </c>
      <c r="AQ14" s="369">
        <f t="shared" si="9"/>
        <v>455.47499999999997</v>
      </c>
      <c r="AR14" s="241">
        <f t="shared" si="10"/>
        <v>455.47499999999997</v>
      </c>
      <c r="AS14" s="369"/>
      <c r="AT14" s="370"/>
      <c r="AU14" s="371"/>
      <c r="AV14" s="371"/>
      <c r="AW14" s="371"/>
      <c r="AX14" s="371"/>
      <c r="AY14" s="371"/>
      <c r="AZ14" s="369"/>
      <c r="BA14" s="370"/>
      <c r="BB14" s="370"/>
      <c r="BC14" s="372">
        <f>SUM(AK14:BB14)</f>
        <v>4026.3989999999994</v>
      </c>
      <c r="BD14" s="362"/>
      <c r="BE14" s="247">
        <f t="shared" si="12"/>
        <v>4026.3989999999994</v>
      </c>
      <c r="BF14" s="247">
        <f>AG14-BE14</f>
        <v>4944.1741999999995</v>
      </c>
      <c r="BG14" s="247">
        <f t="shared" si="11"/>
        <v>195.22999999999956</v>
      </c>
      <c r="BH14" s="339"/>
      <c r="BI14" s="340"/>
      <c r="BJ14" s="340"/>
      <c r="BK14" s="340"/>
      <c r="BL14" s="340"/>
      <c r="BM14" s="340"/>
      <c r="BN14" s="340"/>
      <c r="BO14" s="341"/>
      <c r="BP14" s="340"/>
      <c r="BQ14" s="340"/>
      <c r="BR14" s="340"/>
      <c r="BS14" s="340"/>
      <c r="BT14" s="340"/>
      <c r="BU14" s="340"/>
      <c r="BV14" s="340"/>
      <c r="BW14" s="340"/>
      <c r="BX14" s="340"/>
      <c r="BY14" s="340"/>
      <c r="BZ14" s="340"/>
      <c r="CA14" s="340"/>
      <c r="CB14" s="340"/>
      <c r="CC14" s="342"/>
      <c r="CD14" s="342"/>
      <c r="CE14" s="343"/>
      <c r="CF14" s="247"/>
      <c r="CG14" s="344"/>
      <c r="CH14" s="247"/>
      <c r="CI14" s="247"/>
      <c r="CJ14" s="247"/>
      <c r="CK14" s="247"/>
      <c r="CL14" s="247"/>
      <c r="CM14" s="247"/>
      <c r="CN14" s="247"/>
      <c r="CO14" s="344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344"/>
      <c r="DL14" s="344"/>
      <c r="DM14" s="344"/>
      <c r="DN14" s="344"/>
      <c r="DO14" s="344"/>
      <c r="DP14" s="344"/>
      <c r="DQ14" s="247"/>
      <c r="DR14" s="247"/>
      <c r="DS14" s="247"/>
      <c r="DT14" s="247"/>
      <c r="DU14" s="247"/>
      <c r="DV14" s="339"/>
      <c r="DW14" s="339"/>
      <c r="DX14" s="246"/>
      <c r="DY14" s="326"/>
      <c r="DZ14" s="326"/>
      <c r="EA14" s="329"/>
      <c r="EB14" s="346"/>
      <c r="EC14" s="352"/>
    </row>
    <row r="15" spans="1:133" ht="13.5" thickBot="1">
      <c r="A15" s="330" t="s">
        <v>50</v>
      </c>
      <c r="B15" s="231">
        <v>607.3</v>
      </c>
      <c r="C15" s="122">
        <f t="shared" si="0"/>
        <v>5192.415</v>
      </c>
      <c r="D15" s="354">
        <v>242.7832</v>
      </c>
      <c r="E15" s="373">
        <v>0</v>
      </c>
      <c r="F15" s="373"/>
      <c r="G15" s="373">
        <v>5981.9</v>
      </c>
      <c r="H15" s="373"/>
      <c r="I15" s="374">
        <v>0</v>
      </c>
      <c r="J15" s="374"/>
      <c r="K15" s="374">
        <v>0</v>
      </c>
      <c r="L15" s="374"/>
      <c r="M15" s="374">
        <v>1821.9</v>
      </c>
      <c r="N15" s="374"/>
      <c r="O15" s="374">
        <v>728.76</v>
      </c>
      <c r="P15" s="374"/>
      <c r="Q15" s="374">
        <v>0</v>
      </c>
      <c r="R15" s="375"/>
      <c r="S15" s="375">
        <v>0</v>
      </c>
      <c r="T15" s="374"/>
      <c r="U15" s="376">
        <f t="shared" si="1"/>
        <v>8532.56</v>
      </c>
      <c r="V15" s="377">
        <f t="shared" si="1"/>
        <v>0</v>
      </c>
      <c r="W15" s="378">
        <v>8.34</v>
      </c>
      <c r="X15" s="373">
        <v>5536.07</v>
      </c>
      <c r="Y15" s="373">
        <v>11.31</v>
      </c>
      <c r="Z15" s="373">
        <v>18.81</v>
      </c>
      <c r="AA15" s="373">
        <v>1615.29</v>
      </c>
      <c r="AB15" s="373">
        <v>656.05</v>
      </c>
      <c r="AC15" s="373">
        <v>0</v>
      </c>
      <c r="AD15" s="373">
        <v>0</v>
      </c>
      <c r="AE15" s="379">
        <v>0</v>
      </c>
      <c r="AF15" s="380">
        <f aca="true" t="shared" si="14" ref="AF15:AF21">SUM(W15:AE15)</f>
        <v>7845.870000000001</v>
      </c>
      <c r="AG15" s="357">
        <f t="shared" si="13"/>
        <v>8088.653200000001</v>
      </c>
      <c r="AH15" s="358">
        <f t="shared" si="2"/>
        <v>0</v>
      </c>
      <c r="AI15" s="358">
        <f t="shared" si="2"/>
        <v>0</v>
      </c>
      <c r="AJ15" s="359"/>
      <c r="AK15" s="241">
        <f t="shared" si="3"/>
        <v>406.891</v>
      </c>
      <c r="AL15" s="241">
        <f t="shared" si="4"/>
        <v>121.46</v>
      </c>
      <c r="AM15" s="241">
        <f t="shared" si="5"/>
        <v>607.3</v>
      </c>
      <c r="AN15" s="241">
        <f t="shared" si="6"/>
        <v>127.53299999999999</v>
      </c>
      <c r="AO15" s="241">
        <f t="shared" si="7"/>
        <v>1226.7459999999999</v>
      </c>
      <c r="AP15" s="241">
        <f t="shared" si="8"/>
        <v>625.519</v>
      </c>
      <c r="AQ15" s="241">
        <f t="shared" si="9"/>
        <v>455.47499999999997</v>
      </c>
      <c r="AR15" s="241">
        <f t="shared" si="10"/>
        <v>455.47499999999997</v>
      </c>
      <c r="AS15" s="241"/>
      <c r="AT15" s="360"/>
      <c r="AU15" s="361"/>
      <c r="AV15" s="361"/>
      <c r="AW15" s="361"/>
      <c r="AX15" s="361"/>
      <c r="AY15" s="361"/>
      <c r="AZ15" s="241"/>
      <c r="BA15" s="360"/>
      <c r="BB15" s="360"/>
      <c r="BC15" s="381">
        <f>SUM(AK15:BB15)</f>
        <v>4026.3989999999994</v>
      </c>
      <c r="BD15" s="362"/>
      <c r="BE15" s="247">
        <f t="shared" si="12"/>
        <v>4026.3989999999994</v>
      </c>
      <c r="BF15" s="247">
        <f>AG15-BE15</f>
        <v>4062.254200000001</v>
      </c>
      <c r="BG15" s="247">
        <f t="shared" si="11"/>
        <v>-686.6899999999987</v>
      </c>
      <c r="BH15" s="339"/>
      <c r="BI15" s="340"/>
      <c r="BJ15" s="340"/>
      <c r="BK15" s="340"/>
      <c r="BL15" s="340"/>
      <c r="BM15" s="340"/>
      <c r="BN15" s="340"/>
      <c r="BO15" s="341"/>
      <c r="BP15" s="340"/>
      <c r="BQ15" s="340"/>
      <c r="BR15" s="340"/>
      <c r="BS15" s="340"/>
      <c r="BT15" s="340"/>
      <c r="BU15" s="340"/>
      <c r="BV15" s="340"/>
      <c r="BW15" s="340"/>
      <c r="BX15" s="340"/>
      <c r="BY15" s="340"/>
      <c r="BZ15" s="340"/>
      <c r="CA15" s="340"/>
      <c r="CB15" s="340"/>
      <c r="CC15" s="342"/>
      <c r="CD15" s="342"/>
      <c r="CE15" s="343"/>
      <c r="CF15" s="247"/>
      <c r="CG15" s="344"/>
      <c r="CH15" s="247"/>
      <c r="CI15" s="247"/>
      <c r="CJ15" s="247"/>
      <c r="CK15" s="247"/>
      <c r="CL15" s="247"/>
      <c r="CM15" s="247"/>
      <c r="CN15" s="247"/>
      <c r="CO15" s="344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344"/>
      <c r="DL15" s="344"/>
      <c r="DM15" s="344"/>
      <c r="DN15" s="344"/>
      <c r="DO15" s="344"/>
      <c r="DP15" s="344"/>
      <c r="DQ15" s="247"/>
      <c r="DR15" s="247"/>
      <c r="DS15" s="247"/>
      <c r="DT15" s="247"/>
      <c r="DU15" s="247"/>
      <c r="DV15" s="339"/>
      <c r="DW15" s="339"/>
      <c r="DX15" s="246"/>
      <c r="DY15" s="326"/>
      <c r="DZ15" s="326"/>
      <c r="EA15" s="329"/>
      <c r="EB15" s="382"/>
      <c r="EC15" s="352"/>
    </row>
    <row r="16" spans="1:130" ht="12.75">
      <c r="A16" s="330" t="s">
        <v>51</v>
      </c>
      <c r="B16" s="383">
        <v>607.3</v>
      </c>
      <c r="C16" s="384">
        <f>B16*14.05</f>
        <v>8532.565</v>
      </c>
      <c r="D16" s="364">
        <v>242.7832</v>
      </c>
      <c r="E16" s="385"/>
      <c r="F16" s="385"/>
      <c r="G16" s="385">
        <v>5981.9</v>
      </c>
      <c r="H16" s="385"/>
      <c r="I16" s="385"/>
      <c r="J16" s="385"/>
      <c r="K16" s="385"/>
      <c r="L16" s="385"/>
      <c r="M16" s="385">
        <v>1821.9</v>
      </c>
      <c r="N16" s="385"/>
      <c r="O16" s="385">
        <v>728.76</v>
      </c>
      <c r="P16" s="385"/>
      <c r="Q16" s="385"/>
      <c r="R16" s="385"/>
      <c r="S16" s="386"/>
      <c r="T16" s="387"/>
      <c r="U16" s="388">
        <f t="shared" si="1"/>
        <v>8532.56</v>
      </c>
      <c r="V16" s="389">
        <f t="shared" si="1"/>
        <v>0</v>
      </c>
      <c r="W16" s="390">
        <v>186.59</v>
      </c>
      <c r="X16" s="385">
        <v>4030.3</v>
      </c>
      <c r="Y16" s="385">
        <v>252.78</v>
      </c>
      <c r="Z16" s="385">
        <v>420.72</v>
      </c>
      <c r="AA16" s="385">
        <v>2086.54</v>
      </c>
      <c r="AB16" s="385">
        <v>698.53</v>
      </c>
      <c r="AC16" s="391"/>
      <c r="AD16" s="385"/>
      <c r="AE16" s="386"/>
      <c r="AF16" s="392">
        <f t="shared" si="14"/>
        <v>7675.46</v>
      </c>
      <c r="AG16" s="393">
        <f t="shared" si="13"/>
        <v>7918.2432</v>
      </c>
      <c r="AH16" s="394">
        <f t="shared" si="2"/>
        <v>0</v>
      </c>
      <c r="AI16" s="394">
        <f t="shared" si="2"/>
        <v>0</v>
      </c>
      <c r="AJ16" s="368"/>
      <c r="AK16" s="241">
        <f t="shared" si="3"/>
        <v>406.891</v>
      </c>
      <c r="AL16" s="241">
        <f t="shared" si="4"/>
        <v>121.46</v>
      </c>
      <c r="AM16" s="241">
        <f t="shared" si="5"/>
        <v>607.3</v>
      </c>
      <c r="AN16" s="241">
        <f t="shared" si="6"/>
        <v>127.53299999999999</v>
      </c>
      <c r="AO16" s="241">
        <f t="shared" si="7"/>
        <v>1226.7459999999999</v>
      </c>
      <c r="AP16" s="241">
        <f t="shared" si="8"/>
        <v>625.519</v>
      </c>
      <c r="AQ16" s="241">
        <f t="shared" si="9"/>
        <v>455.47499999999997</v>
      </c>
      <c r="AR16" s="241">
        <f t="shared" si="10"/>
        <v>455.47499999999997</v>
      </c>
      <c r="AS16" s="369"/>
      <c r="AT16" s="360"/>
      <c r="AU16" s="371"/>
      <c r="AV16" s="371"/>
      <c r="AW16" s="371"/>
      <c r="AX16" s="361">
        <f>74.43+18.86</f>
        <v>93.29</v>
      </c>
      <c r="AY16" s="361"/>
      <c r="AZ16" s="369"/>
      <c r="BA16" s="370">
        <v>4216.02</v>
      </c>
      <c r="BB16" s="370"/>
      <c r="BC16" s="372">
        <f>SUM(AK16:BB16)</f>
        <v>8335.708999999999</v>
      </c>
      <c r="BD16" s="395"/>
      <c r="BE16" s="247">
        <f t="shared" si="12"/>
        <v>8335.708999999999</v>
      </c>
      <c r="BF16" s="247">
        <f>AG16-BE16</f>
        <v>-417.46579999999904</v>
      </c>
      <c r="BG16" s="247">
        <f t="shared" si="11"/>
        <v>-857.0999999999995</v>
      </c>
      <c r="BH16" s="339"/>
      <c r="BI16" s="340"/>
      <c r="BJ16" s="340"/>
      <c r="BK16" s="340"/>
      <c r="BL16" s="340"/>
      <c r="BM16" s="340"/>
      <c r="BN16" s="340"/>
      <c r="BO16" s="341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2"/>
      <c r="CD16" s="342"/>
      <c r="CE16" s="343"/>
      <c r="CF16" s="247"/>
      <c r="CG16" s="344"/>
      <c r="CH16" s="247"/>
      <c r="CI16" s="247"/>
      <c r="CJ16" s="247"/>
      <c r="CK16" s="247"/>
      <c r="CL16" s="247"/>
      <c r="CM16" s="247"/>
      <c r="CN16" s="247"/>
      <c r="CO16" s="344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344"/>
      <c r="DL16" s="344"/>
      <c r="DM16" s="344"/>
      <c r="DN16" s="344"/>
      <c r="DO16" s="344"/>
      <c r="DP16" s="344"/>
      <c r="DQ16" s="247"/>
      <c r="DR16" s="247"/>
      <c r="DS16" s="247"/>
      <c r="DT16" s="247"/>
      <c r="DU16" s="247"/>
      <c r="DV16" s="339"/>
      <c r="DW16" s="339"/>
      <c r="DX16" s="246"/>
      <c r="DY16" s="326"/>
      <c r="DZ16" s="326"/>
    </row>
    <row r="17" spans="1:130" ht="12.75">
      <c r="A17" s="330" t="s">
        <v>52</v>
      </c>
      <c r="B17" s="383">
        <v>607.3</v>
      </c>
      <c r="C17" s="384">
        <f>B17*14.05</f>
        <v>8532.565</v>
      </c>
      <c r="D17" s="364">
        <v>242.7832</v>
      </c>
      <c r="E17" s="396"/>
      <c r="F17" s="396"/>
      <c r="G17" s="396">
        <v>5981.91</v>
      </c>
      <c r="H17" s="396"/>
      <c r="I17" s="396"/>
      <c r="J17" s="396"/>
      <c r="K17" s="396"/>
      <c r="L17" s="396"/>
      <c r="M17" s="396">
        <v>1821.9</v>
      </c>
      <c r="N17" s="396"/>
      <c r="O17" s="396">
        <v>728.76</v>
      </c>
      <c r="P17" s="396"/>
      <c r="Q17" s="396"/>
      <c r="R17" s="396"/>
      <c r="S17" s="397"/>
      <c r="T17" s="398"/>
      <c r="U17" s="399">
        <f t="shared" si="1"/>
        <v>8532.57</v>
      </c>
      <c r="V17" s="400">
        <f t="shared" si="1"/>
        <v>0</v>
      </c>
      <c r="W17" s="385">
        <v>0</v>
      </c>
      <c r="X17" s="385">
        <v>3736.5</v>
      </c>
      <c r="Y17" s="385">
        <v>0</v>
      </c>
      <c r="Z17" s="385">
        <v>0</v>
      </c>
      <c r="AA17" s="385">
        <v>1075.51</v>
      </c>
      <c r="AB17" s="385">
        <v>439.07</v>
      </c>
      <c r="AC17" s="385"/>
      <c r="AD17" s="385"/>
      <c r="AE17" s="386"/>
      <c r="AF17" s="392">
        <f t="shared" si="14"/>
        <v>5251.08</v>
      </c>
      <c r="AG17" s="393">
        <f t="shared" si="13"/>
        <v>5493.8632</v>
      </c>
      <c r="AH17" s="394">
        <f t="shared" si="2"/>
        <v>0</v>
      </c>
      <c r="AI17" s="394">
        <f t="shared" si="2"/>
        <v>0</v>
      </c>
      <c r="AJ17" s="368"/>
      <c r="AK17" s="241">
        <f t="shared" si="3"/>
        <v>406.891</v>
      </c>
      <c r="AL17" s="241">
        <f t="shared" si="4"/>
        <v>121.46</v>
      </c>
      <c r="AM17" s="241">
        <f t="shared" si="5"/>
        <v>607.3</v>
      </c>
      <c r="AN17" s="241">
        <f t="shared" si="6"/>
        <v>127.53299999999999</v>
      </c>
      <c r="AO17" s="241">
        <f t="shared" si="7"/>
        <v>1226.7459999999999</v>
      </c>
      <c r="AP17" s="241">
        <f t="shared" si="8"/>
        <v>625.519</v>
      </c>
      <c r="AQ17" s="241">
        <f t="shared" si="9"/>
        <v>455.47499999999997</v>
      </c>
      <c r="AR17" s="241">
        <f t="shared" si="10"/>
        <v>455.47499999999997</v>
      </c>
      <c r="AS17" s="369"/>
      <c r="AT17" s="360"/>
      <c r="AU17" s="371"/>
      <c r="AV17" s="371"/>
      <c r="AW17" s="371"/>
      <c r="AX17" s="371"/>
      <c r="AY17" s="371"/>
      <c r="AZ17" s="369"/>
      <c r="BA17" s="370"/>
      <c r="BB17" s="370"/>
      <c r="BC17" s="372">
        <f>SUM(AK17:BB17)</f>
        <v>4026.3989999999994</v>
      </c>
      <c r="BD17" s="395"/>
      <c r="BE17" s="247">
        <f t="shared" si="12"/>
        <v>4026.3989999999994</v>
      </c>
      <c r="BF17" s="247">
        <f>AG17-BE17</f>
        <v>1467.4642000000003</v>
      </c>
      <c r="BG17" s="247">
        <f t="shared" si="11"/>
        <v>-3281.49</v>
      </c>
      <c r="BH17" s="339"/>
      <c r="BI17" s="340"/>
      <c r="BJ17" s="340"/>
      <c r="BK17" s="340"/>
      <c r="BL17" s="340"/>
      <c r="BM17" s="340"/>
      <c r="BN17" s="340"/>
      <c r="BO17" s="341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2"/>
      <c r="CD17" s="342"/>
      <c r="CE17" s="343"/>
      <c r="CF17" s="247"/>
      <c r="CG17" s="344"/>
      <c r="CH17" s="247"/>
      <c r="CI17" s="247"/>
      <c r="CJ17" s="247"/>
      <c r="CK17" s="247"/>
      <c r="CL17" s="247"/>
      <c r="CM17" s="247"/>
      <c r="CN17" s="247"/>
      <c r="CO17" s="344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344"/>
      <c r="DL17" s="344"/>
      <c r="DM17" s="344"/>
      <c r="DN17" s="344"/>
      <c r="DO17" s="344"/>
      <c r="DP17" s="344"/>
      <c r="DQ17" s="247"/>
      <c r="DR17" s="247"/>
      <c r="DS17" s="247"/>
      <c r="DT17" s="247"/>
      <c r="DU17" s="247"/>
      <c r="DV17" s="339"/>
      <c r="DW17" s="339"/>
      <c r="DX17" s="246"/>
      <c r="DY17" s="326"/>
      <c r="DZ17" s="326"/>
    </row>
    <row r="18" spans="1:130" ht="12.75">
      <c r="A18" s="330" t="s">
        <v>53</v>
      </c>
      <c r="B18" s="231">
        <v>607.3</v>
      </c>
      <c r="C18" s="384">
        <f>B18*14.05</f>
        <v>8532.565</v>
      </c>
      <c r="D18" s="364">
        <v>193.2546</v>
      </c>
      <c r="E18" s="385"/>
      <c r="F18" s="385"/>
      <c r="G18" s="385">
        <v>5981.93</v>
      </c>
      <c r="H18" s="385"/>
      <c r="I18" s="385"/>
      <c r="J18" s="385"/>
      <c r="K18" s="385"/>
      <c r="L18" s="385"/>
      <c r="M18" s="385">
        <v>1821.9</v>
      </c>
      <c r="N18" s="385"/>
      <c r="O18" s="385">
        <v>728.76</v>
      </c>
      <c r="P18" s="385"/>
      <c r="Q18" s="385"/>
      <c r="R18" s="385"/>
      <c r="S18" s="386"/>
      <c r="T18" s="401"/>
      <c r="U18" s="401">
        <f t="shared" si="1"/>
        <v>8532.59</v>
      </c>
      <c r="V18" s="402">
        <f t="shared" si="1"/>
        <v>0</v>
      </c>
      <c r="W18" s="385">
        <v>0</v>
      </c>
      <c r="X18" s="385">
        <v>8102.37</v>
      </c>
      <c r="Y18" s="385">
        <v>0</v>
      </c>
      <c r="Z18" s="385">
        <v>0</v>
      </c>
      <c r="AA18" s="385">
        <v>2719.29</v>
      </c>
      <c r="AB18" s="385">
        <v>1041.19</v>
      </c>
      <c r="AC18" s="385"/>
      <c r="AD18" s="385"/>
      <c r="AE18" s="386"/>
      <c r="AF18" s="392">
        <f t="shared" si="14"/>
        <v>11862.85</v>
      </c>
      <c r="AG18" s="393">
        <f t="shared" si="13"/>
        <v>12056.1046</v>
      </c>
      <c r="AH18" s="394">
        <f t="shared" si="2"/>
        <v>0</v>
      </c>
      <c r="AI18" s="394">
        <f t="shared" si="2"/>
        <v>0</v>
      </c>
      <c r="AJ18" s="368"/>
      <c r="AK18" s="241">
        <f t="shared" si="3"/>
        <v>406.891</v>
      </c>
      <c r="AL18" s="241">
        <f t="shared" si="4"/>
        <v>121.46</v>
      </c>
      <c r="AM18" s="241">
        <f t="shared" si="5"/>
        <v>607.3</v>
      </c>
      <c r="AN18" s="241">
        <f t="shared" si="6"/>
        <v>127.53299999999999</v>
      </c>
      <c r="AO18" s="241">
        <f t="shared" si="7"/>
        <v>1226.7459999999999</v>
      </c>
      <c r="AP18" s="241">
        <f t="shared" si="8"/>
        <v>625.519</v>
      </c>
      <c r="AQ18" s="241">
        <f t="shared" si="9"/>
        <v>455.47499999999997</v>
      </c>
      <c r="AR18" s="241">
        <f t="shared" si="10"/>
        <v>455.47499999999997</v>
      </c>
      <c r="AS18" s="369"/>
      <c r="AT18" s="360"/>
      <c r="AU18" s="371"/>
      <c r="AV18" s="371"/>
      <c r="AW18" s="361">
        <v>16836</v>
      </c>
      <c r="AX18" s="371"/>
      <c r="AY18" s="371"/>
      <c r="AZ18" s="369"/>
      <c r="BA18" s="370"/>
      <c r="BB18" s="370"/>
      <c r="BC18" s="372">
        <f>SUM(AK18:BB18)</f>
        <v>20862.398999999998</v>
      </c>
      <c r="BD18" s="395"/>
      <c r="BE18" s="247">
        <f t="shared" si="12"/>
        <v>20862.398999999998</v>
      </c>
      <c r="BF18" s="247">
        <f>AG18-BE18</f>
        <v>-8806.294399999997</v>
      </c>
      <c r="BG18" s="247">
        <f t="shared" si="11"/>
        <v>3330.26</v>
      </c>
      <c r="BH18" s="339"/>
      <c r="BI18" s="340"/>
      <c r="BJ18" s="340"/>
      <c r="BK18" s="340"/>
      <c r="BL18" s="340"/>
      <c r="BM18" s="340"/>
      <c r="BN18" s="340"/>
      <c r="BO18" s="341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2"/>
      <c r="CD18" s="342"/>
      <c r="CE18" s="343"/>
      <c r="CF18" s="247"/>
      <c r="CG18" s="344"/>
      <c r="CH18" s="247"/>
      <c r="CI18" s="247"/>
      <c r="CJ18" s="247"/>
      <c r="CK18" s="247"/>
      <c r="CL18" s="247"/>
      <c r="CM18" s="247"/>
      <c r="CN18" s="247"/>
      <c r="CO18" s="344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344"/>
      <c r="DL18" s="344"/>
      <c r="DM18" s="344"/>
      <c r="DN18" s="344"/>
      <c r="DO18" s="344"/>
      <c r="DP18" s="344"/>
      <c r="DQ18" s="247"/>
      <c r="DR18" s="247"/>
      <c r="DS18" s="247"/>
      <c r="DT18" s="247"/>
      <c r="DU18" s="247"/>
      <c r="DV18" s="339"/>
      <c r="DW18" s="339"/>
      <c r="DX18" s="246"/>
      <c r="DY18" s="403"/>
      <c r="DZ18" s="72"/>
    </row>
    <row r="19" spans="1:128" ht="12.75">
      <c r="A19" s="330" t="s">
        <v>41</v>
      </c>
      <c r="B19" s="231">
        <v>607.3</v>
      </c>
      <c r="C19" s="384">
        <f>B19*14.05</f>
        <v>8532.565</v>
      </c>
      <c r="D19" s="404">
        <v>193.2546</v>
      </c>
      <c r="E19" s="373"/>
      <c r="F19" s="373"/>
      <c r="G19" s="373">
        <v>5981.94</v>
      </c>
      <c r="H19" s="373"/>
      <c r="I19" s="373"/>
      <c r="J19" s="373"/>
      <c r="K19" s="373"/>
      <c r="L19" s="373"/>
      <c r="M19" s="373">
        <v>1821.89</v>
      </c>
      <c r="N19" s="373"/>
      <c r="O19" s="373">
        <v>728.76</v>
      </c>
      <c r="P19" s="373"/>
      <c r="Q19" s="373"/>
      <c r="R19" s="373"/>
      <c r="S19" s="379"/>
      <c r="T19" s="405"/>
      <c r="U19" s="406">
        <f t="shared" si="1"/>
        <v>8532.59</v>
      </c>
      <c r="V19" s="407">
        <f t="shared" si="1"/>
        <v>0</v>
      </c>
      <c r="W19" s="373">
        <v>0</v>
      </c>
      <c r="X19" s="373">
        <v>7139.05</v>
      </c>
      <c r="Y19" s="373">
        <v>0</v>
      </c>
      <c r="Z19" s="373">
        <v>0</v>
      </c>
      <c r="AA19" s="373">
        <v>2174.26</v>
      </c>
      <c r="AB19" s="373">
        <v>869.74</v>
      </c>
      <c r="AC19" s="373"/>
      <c r="AD19" s="373"/>
      <c r="AE19" s="379"/>
      <c r="AF19" s="392">
        <f t="shared" si="14"/>
        <v>10183.050000000001</v>
      </c>
      <c r="AG19" s="393">
        <f t="shared" si="13"/>
        <v>10376.304600000001</v>
      </c>
      <c r="AH19" s="394">
        <f t="shared" si="2"/>
        <v>0</v>
      </c>
      <c r="AI19" s="394">
        <f t="shared" si="2"/>
        <v>0</v>
      </c>
      <c r="AJ19" s="368"/>
      <c r="AK19" s="241">
        <f t="shared" si="3"/>
        <v>406.891</v>
      </c>
      <c r="AL19" s="241">
        <f t="shared" si="4"/>
        <v>121.46</v>
      </c>
      <c r="AM19" s="241">
        <f t="shared" si="5"/>
        <v>607.3</v>
      </c>
      <c r="AN19" s="241">
        <f t="shared" si="6"/>
        <v>127.53299999999999</v>
      </c>
      <c r="AO19" s="241">
        <f t="shared" si="7"/>
        <v>1226.7459999999999</v>
      </c>
      <c r="AP19" s="241">
        <f t="shared" si="8"/>
        <v>625.519</v>
      </c>
      <c r="AQ19" s="241">
        <f t="shared" si="9"/>
        <v>455.47499999999997</v>
      </c>
      <c r="AR19" s="241">
        <f t="shared" si="10"/>
        <v>455.47499999999997</v>
      </c>
      <c r="AS19" s="469">
        <f>B19*1.15</f>
        <v>698.3949999999999</v>
      </c>
      <c r="AT19" s="360"/>
      <c r="AU19" s="371"/>
      <c r="AV19" s="371"/>
      <c r="AW19" s="371"/>
      <c r="AX19" s="371"/>
      <c r="AY19" s="371"/>
      <c r="AZ19" s="369"/>
      <c r="BA19" s="370"/>
      <c r="BB19" s="370"/>
      <c r="BC19" s="381">
        <f>SUM(AK19:BB19)</f>
        <v>4724.793999999999</v>
      </c>
      <c r="BD19" s="395"/>
      <c r="BE19" s="247">
        <f t="shared" si="12"/>
        <v>4724.793999999999</v>
      </c>
      <c r="BF19" s="247">
        <f>AG19-BE19</f>
        <v>5651.510600000002</v>
      </c>
      <c r="BG19" s="247">
        <f>AF19-U19</f>
        <v>1650.460000000001</v>
      </c>
      <c r="BH19" s="339"/>
      <c r="BI19" s="340"/>
      <c r="BJ19" s="340"/>
      <c r="BK19" s="340"/>
      <c r="BL19" s="340"/>
      <c r="BM19" s="340"/>
      <c r="BN19" s="340"/>
      <c r="BO19" s="341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2"/>
      <c r="CD19" s="342"/>
      <c r="CE19" s="343"/>
      <c r="CF19" s="247"/>
      <c r="CG19" s="344"/>
      <c r="CH19" s="247"/>
      <c r="CI19" s="247"/>
      <c r="CJ19" s="247"/>
      <c r="CK19" s="247"/>
      <c r="CL19" s="247"/>
      <c r="CM19" s="247"/>
      <c r="CN19" s="247"/>
      <c r="CO19" s="344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344"/>
      <c r="DM19" s="344"/>
      <c r="DN19" s="344"/>
      <c r="DO19" s="344"/>
      <c r="DP19" s="344"/>
      <c r="DQ19" s="344"/>
      <c r="DR19" s="247"/>
      <c r="DS19" s="247"/>
      <c r="DT19" s="247"/>
      <c r="DU19" s="247"/>
      <c r="DV19" s="247"/>
      <c r="DW19" s="339"/>
      <c r="DX19" s="408"/>
    </row>
    <row r="20" spans="1:127" ht="12.75">
      <c r="A20" s="330" t="s">
        <v>42</v>
      </c>
      <c r="B20" s="231">
        <v>607.3</v>
      </c>
      <c r="C20" s="122">
        <f>B20*14.05</f>
        <v>8532.565</v>
      </c>
      <c r="D20" s="409">
        <v>193.2546</v>
      </c>
      <c r="E20" s="373"/>
      <c r="F20" s="373"/>
      <c r="G20" s="373">
        <v>5981.93</v>
      </c>
      <c r="H20" s="373"/>
      <c r="I20" s="373"/>
      <c r="J20" s="373"/>
      <c r="K20" s="373"/>
      <c r="L20" s="373"/>
      <c r="M20" s="373">
        <v>1821.9</v>
      </c>
      <c r="N20" s="373"/>
      <c r="O20" s="373">
        <v>728.76</v>
      </c>
      <c r="P20" s="373"/>
      <c r="Q20" s="373"/>
      <c r="R20" s="373"/>
      <c r="S20" s="379"/>
      <c r="T20" s="405"/>
      <c r="U20" s="406">
        <f t="shared" si="1"/>
        <v>8532.59</v>
      </c>
      <c r="V20" s="407">
        <f t="shared" si="1"/>
        <v>0</v>
      </c>
      <c r="W20" s="373">
        <v>0</v>
      </c>
      <c r="X20" s="373">
        <v>5115.8</v>
      </c>
      <c r="Y20" s="373">
        <v>0</v>
      </c>
      <c r="Z20" s="373">
        <v>0</v>
      </c>
      <c r="AA20" s="373">
        <v>1558.09</v>
      </c>
      <c r="AB20" s="373">
        <v>623.24</v>
      </c>
      <c r="AC20" s="373"/>
      <c r="AD20" s="373"/>
      <c r="AE20" s="379"/>
      <c r="AF20" s="392">
        <f t="shared" si="14"/>
        <v>7297.13</v>
      </c>
      <c r="AG20" s="393">
        <f t="shared" si="13"/>
        <v>7490.3846</v>
      </c>
      <c r="AH20" s="394">
        <f t="shared" si="2"/>
        <v>0</v>
      </c>
      <c r="AI20" s="394">
        <f t="shared" si="2"/>
        <v>0</v>
      </c>
      <c r="AJ20" s="368"/>
      <c r="AK20" s="241">
        <f t="shared" si="3"/>
        <v>406.891</v>
      </c>
      <c r="AL20" s="241">
        <f t="shared" si="4"/>
        <v>121.46</v>
      </c>
      <c r="AM20" s="241">
        <f t="shared" si="5"/>
        <v>607.3</v>
      </c>
      <c r="AN20" s="241">
        <f t="shared" si="6"/>
        <v>127.53299999999999</v>
      </c>
      <c r="AO20" s="241">
        <f t="shared" si="7"/>
        <v>1226.7459999999999</v>
      </c>
      <c r="AP20" s="241">
        <f t="shared" si="8"/>
        <v>625.519</v>
      </c>
      <c r="AQ20" s="241">
        <f t="shared" si="9"/>
        <v>455.47499999999997</v>
      </c>
      <c r="AR20" s="241">
        <f t="shared" si="10"/>
        <v>455.47499999999997</v>
      </c>
      <c r="AS20" s="469">
        <f>B20*1.15</f>
        <v>698.3949999999999</v>
      </c>
      <c r="AT20" s="360"/>
      <c r="AU20" s="371"/>
      <c r="AV20" s="371"/>
      <c r="AW20" s="371"/>
      <c r="AX20" s="371"/>
      <c r="AY20" s="371"/>
      <c r="AZ20" s="369"/>
      <c r="BA20" s="370"/>
      <c r="BB20" s="370"/>
      <c r="BC20" s="372">
        <f>SUM(AK20:BB20)</f>
        <v>4724.793999999999</v>
      </c>
      <c r="BD20" s="395"/>
      <c r="BE20" s="247">
        <f t="shared" si="12"/>
        <v>4724.793999999999</v>
      </c>
      <c r="BF20" s="247">
        <f>AG20-BE20</f>
        <v>2765.5906000000014</v>
      </c>
      <c r="BG20" s="247">
        <f t="shared" si="11"/>
        <v>-1235.46</v>
      </c>
      <c r="BH20" s="339"/>
      <c r="BI20" s="340"/>
      <c r="BJ20" s="340"/>
      <c r="BK20" s="340"/>
      <c r="BL20" s="340"/>
      <c r="BM20" s="340"/>
      <c r="BN20" s="340"/>
      <c r="BO20" s="341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2"/>
      <c r="CD20" s="342"/>
      <c r="CE20" s="343"/>
      <c r="CF20" s="247"/>
      <c r="CG20" s="344"/>
      <c r="CH20" s="247"/>
      <c r="CI20" s="247"/>
      <c r="CJ20" s="247"/>
      <c r="CK20" s="247"/>
      <c r="CL20" s="247"/>
      <c r="CM20" s="247"/>
      <c r="CN20" s="247"/>
      <c r="CO20" s="344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344"/>
      <c r="DL20" s="344"/>
      <c r="DM20" s="344"/>
      <c r="DN20" s="344"/>
      <c r="DO20" s="344"/>
      <c r="DP20" s="344"/>
      <c r="DQ20" s="247"/>
      <c r="DR20" s="247"/>
      <c r="DS20" s="247"/>
      <c r="DT20" s="247"/>
      <c r="DU20" s="247"/>
      <c r="DV20" s="410"/>
      <c r="DW20" s="408"/>
    </row>
    <row r="21" spans="1:127" ht="13.5" thickBot="1">
      <c r="A21" s="330" t="s">
        <v>43</v>
      </c>
      <c r="B21" s="231">
        <v>607.3</v>
      </c>
      <c r="C21" s="122">
        <f>B21*14.05</f>
        <v>8532.565</v>
      </c>
      <c r="D21" s="409">
        <v>193.2546</v>
      </c>
      <c r="E21" s="411"/>
      <c r="F21" s="411"/>
      <c r="G21" s="411">
        <v>4892</v>
      </c>
      <c r="H21" s="411"/>
      <c r="I21" s="411"/>
      <c r="J21" s="411"/>
      <c r="K21" s="411"/>
      <c r="L21" s="411"/>
      <c r="M21" s="411">
        <v>1711.26</v>
      </c>
      <c r="N21" s="411"/>
      <c r="O21" s="411">
        <v>652.83</v>
      </c>
      <c r="P21" s="411"/>
      <c r="Q21" s="411"/>
      <c r="R21" s="411"/>
      <c r="S21" s="412"/>
      <c r="T21" s="413"/>
      <c r="U21" s="406">
        <f t="shared" si="1"/>
        <v>7256.09</v>
      </c>
      <c r="V21" s="407">
        <f t="shared" si="1"/>
        <v>0</v>
      </c>
      <c r="W21" s="373">
        <v>0</v>
      </c>
      <c r="X21" s="373">
        <v>8170.09</v>
      </c>
      <c r="Y21" s="373">
        <v>0</v>
      </c>
      <c r="Z21" s="373">
        <v>0</v>
      </c>
      <c r="AA21" s="373">
        <v>2563.94</v>
      </c>
      <c r="AB21" s="373">
        <v>1014.8</v>
      </c>
      <c r="AC21" s="373"/>
      <c r="AD21" s="373"/>
      <c r="AE21" s="379"/>
      <c r="AF21" s="392">
        <f t="shared" si="14"/>
        <v>11748.83</v>
      </c>
      <c r="AG21" s="393">
        <f t="shared" si="13"/>
        <v>11942.0846</v>
      </c>
      <c r="AH21" s="394">
        <f t="shared" si="2"/>
        <v>0</v>
      </c>
      <c r="AI21" s="394">
        <f t="shared" si="2"/>
        <v>0</v>
      </c>
      <c r="AJ21" s="368"/>
      <c r="AK21" s="241">
        <f t="shared" si="3"/>
        <v>406.891</v>
      </c>
      <c r="AL21" s="241">
        <f t="shared" si="4"/>
        <v>121.46</v>
      </c>
      <c r="AM21" s="241">
        <f t="shared" si="5"/>
        <v>607.3</v>
      </c>
      <c r="AN21" s="241">
        <f t="shared" si="6"/>
        <v>127.53299999999999</v>
      </c>
      <c r="AO21" s="241">
        <f t="shared" si="7"/>
        <v>1226.7459999999999</v>
      </c>
      <c r="AP21" s="241">
        <f t="shared" si="8"/>
        <v>625.519</v>
      </c>
      <c r="AQ21" s="241">
        <f t="shared" si="9"/>
        <v>455.47499999999997</v>
      </c>
      <c r="AR21" s="241">
        <f t="shared" si="10"/>
        <v>455.47499999999997</v>
      </c>
      <c r="AS21" s="469">
        <f>B21*1.15</f>
        <v>698.3949999999999</v>
      </c>
      <c r="AT21" s="360"/>
      <c r="AU21" s="371"/>
      <c r="AV21" s="371"/>
      <c r="AW21" s="371"/>
      <c r="AX21" s="371"/>
      <c r="AY21" s="371"/>
      <c r="AZ21" s="369"/>
      <c r="BA21" s="370"/>
      <c r="BB21" s="370"/>
      <c r="BC21" s="372">
        <f>SUM(AK21:BB21)</f>
        <v>4724.793999999999</v>
      </c>
      <c r="BD21" s="395"/>
      <c r="BE21" s="247">
        <f>BC21</f>
        <v>4724.793999999999</v>
      </c>
      <c r="BF21" s="247">
        <f>AG21-BE21</f>
        <v>7217.290600000001</v>
      </c>
      <c r="BG21" s="247">
        <f t="shared" si="11"/>
        <v>4492.74</v>
      </c>
      <c r="BH21" s="339"/>
      <c r="BI21" s="340"/>
      <c r="BJ21" s="340"/>
      <c r="BK21" s="340"/>
      <c r="BL21" s="340"/>
      <c r="BM21" s="340"/>
      <c r="BN21" s="340"/>
      <c r="BO21" s="341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2"/>
      <c r="CD21" s="342"/>
      <c r="CE21" s="343"/>
      <c r="CF21" s="247"/>
      <c r="CG21" s="344"/>
      <c r="CH21" s="247"/>
      <c r="CI21" s="247"/>
      <c r="CJ21" s="247"/>
      <c r="CK21" s="247"/>
      <c r="CL21" s="247"/>
      <c r="CM21" s="247"/>
      <c r="CN21" s="247"/>
      <c r="CO21" s="344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344"/>
      <c r="DL21" s="344"/>
      <c r="DM21" s="344"/>
      <c r="DN21" s="344"/>
      <c r="DO21" s="344"/>
      <c r="DP21" s="344"/>
      <c r="DQ21" s="247"/>
      <c r="DR21" s="247"/>
      <c r="DS21" s="247"/>
      <c r="DT21" s="247"/>
      <c r="DU21" s="247"/>
      <c r="DV21" s="410"/>
      <c r="DW21" s="408"/>
    </row>
    <row r="22" spans="1:82" s="20" customFormat="1" ht="13.5" thickBot="1">
      <c r="A22" s="414" t="s">
        <v>5</v>
      </c>
      <c r="B22" s="415"/>
      <c r="C22" s="415">
        <f aca="true" t="shared" si="15" ref="C22:BE22">SUM(C10:C21)</f>
        <v>82349.88</v>
      </c>
      <c r="D22" s="415">
        <f t="shared" si="15"/>
        <v>2715.284000000001</v>
      </c>
      <c r="E22" s="415">
        <f t="shared" si="15"/>
        <v>0</v>
      </c>
      <c r="F22" s="415">
        <f t="shared" si="15"/>
        <v>0</v>
      </c>
      <c r="G22" s="415">
        <f t="shared" si="15"/>
        <v>62280.41</v>
      </c>
      <c r="H22" s="415">
        <f t="shared" si="15"/>
        <v>0</v>
      </c>
      <c r="I22" s="415">
        <f t="shared" si="15"/>
        <v>0</v>
      </c>
      <c r="J22" s="415">
        <f t="shared" si="15"/>
        <v>0</v>
      </c>
      <c r="K22" s="415">
        <f t="shared" si="15"/>
        <v>0</v>
      </c>
      <c r="L22" s="415">
        <f t="shared" si="15"/>
        <v>0</v>
      </c>
      <c r="M22" s="415">
        <f t="shared" si="15"/>
        <v>20915.359999999997</v>
      </c>
      <c r="N22" s="415">
        <f t="shared" si="15"/>
        <v>0</v>
      </c>
      <c r="O22" s="415">
        <f t="shared" si="15"/>
        <v>8087.910000000002</v>
      </c>
      <c r="P22" s="415">
        <f t="shared" si="15"/>
        <v>0</v>
      </c>
      <c r="Q22" s="415">
        <f t="shared" si="15"/>
        <v>0</v>
      </c>
      <c r="R22" s="415">
        <f t="shared" si="15"/>
        <v>0</v>
      </c>
      <c r="S22" s="415">
        <f t="shared" si="15"/>
        <v>0</v>
      </c>
      <c r="T22" s="415">
        <f t="shared" si="15"/>
        <v>0</v>
      </c>
      <c r="U22" s="415">
        <f t="shared" si="15"/>
        <v>91283.67999999998</v>
      </c>
      <c r="V22" s="415">
        <f t="shared" si="15"/>
        <v>0</v>
      </c>
      <c r="W22" s="415">
        <f t="shared" si="15"/>
        <v>945.74</v>
      </c>
      <c r="X22" s="415">
        <f t="shared" si="15"/>
        <v>55366.04000000001</v>
      </c>
      <c r="Y22" s="415">
        <f t="shared" si="15"/>
        <v>1281.4399999999998</v>
      </c>
      <c r="Z22" s="415">
        <f t="shared" si="15"/>
        <v>2132.66</v>
      </c>
      <c r="AA22" s="415">
        <f t="shared" si="15"/>
        <v>22075.629999999997</v>
      </c>
      <c r="AB22" s="415">
        <f t="shared" si="15"/>
        <v>8019.579999999999</v>
      </c>
      <c r="AC22" s="415">
        <f t="shared" si="15"/>
        <v>0</v>
      </c>
      <c r="AD22" s="415">
        <f t="shared" si="15"/>
        <v>0</v>
      </c>
      <c r="AE22" s="415">
        <f t="shared" si="15"/>
        <v>0</v>
      </c>
      <c r="AF22" s="415">
        <f t="shared" si="15"/>
        <v>89821.09000000001</v>
      </c>
      <c r="AG22" s="415">
        <f t="shared" si="15"/>
        <v>92536.374</v>
      </c>
      <c r="AH22" s="415">
        <f t="shared" si="15"/>
        <v>0</v>
      </c>
      <c r="AI22" s="415">
        <f t="shared" si="15"/>
        <v>0</v>
      </c>
      <c r="AJ22" s="415">
        <f t="shared" si="15"/>
        <v>0</v>
      </c>
      <c r="AK22" s="415">
        <f t="shared" si="15"/>
        <v>4882.692</v>
      </c>
      <c r="AL22" s="415">
        <f t="shared" si="15"/>
        <v>1457.5200000000002</v>
      </c>
      <c r="AM22" s="415">
        <f t="shared" si="15"/>
        <v>7287.600000000001</v>
      </c>
      <c r="AN22" s="415">
        <f t="shared" si="15"/>
        <v>1530.3959999999997</v>
      </c>
      <c r="AO22" s="415">
        <f t="shared" si="15"/>
        <v>14720.951999999996</v>
      </c>
      <c r="AP22" s="415">
        <f t="shared" si="15"/>
        <v>7506.228000000002</v>
      </c>
      <c r="AQ22" s="415">
        <f t="shared" si="15"/>
        <v>5465.700000000001</v>
      </c>
      <c r="AR22" s="415">
        <f t="shared" si="15"/>
        <v>5465.700000000001</v>
      </c>
      <c r="AS22" s="415">
        <f t="shared" si="15"/>
        <v>4190.369999999999</v>
      </c>
      <c r="AT22" s="415">
        <f t="shared" si="15"/>
        <v>0</v>
      </c>
      <c r="AU22" s="415">
        <f t="shared" si="15"/>
        <v>0</v>
      </c>
      <c r="AV22" s="415">
        <f t="shared" si="15"/>
        <v>111</v>
      </c>
      <c r="AW22" s="415">
        <f t="shared" si="15"/>
        <v>16836</v>
      </c>
      <c r="AX22" s="415">
        <f t="shared" si="15"/>
        <v>515.63</v>
      </c>
      <c r="AY22" s="415">
        <f t="shared" si="15"/>
        <v>0</v>
      </c>
      <c r="AZ22" s="415">
        <f t="shared" si="15"/>
        <v>0</v>
      </c>
      <c r="BA22" s="415">
        <f t="shared" si="15"/>
        <v>4216.02</v>
      </c>
      <c r="BB22" s="415">
        <f t="shared" si="15"/>
        <v>0</v>
      </c>
      <c r="BC22" s="415">
        <f t="shared" si="15"/>
        <v>74185.80799999999</v>
      </c>
      <c r="BD22" s="415">
        <f t="shared" si="15"/>
        <v>0</v>
      </c>
      <c r="BE22" s="415">
        <f t="shared" si="15"/>
        <v>74185.80799999999</v>
      </c>
      <c r="BF22" s="415">
        <f>SUM(BF10:BF21)</f>
        <v>18350.566000000013</v>
      </c>
      <c r="BG22" s="415">
        <f>SUM(BG10:BG21)</f>
        <v>-1462.5899999999992</v>
      </c>
      <c r="BH22" s="416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7"/>
      <c r="CA22" s="417"/>
      <c r="CB22" s="417"/>
      <c r="CC22" s="71"/>
      <c r="CD22" s="71"/>
    </row>
    <row r="23" spans="1:61" s="20" customFormat="1" ht="13.5" thickBot="1">
      <c r="A23" s="418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19"/>
      <c r="AP23" s="419"/>
      <c r="AQ23" s="419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20"/>
      <c r="BF23" s="419"/>
      <c r="BG23" s="421"/>
      <c r="BI23" s="71"/>
    </row>
    <row r="24" spans="1:59" s="20" customFormat="1" ht="13.5" thickBot="1">
      <c r="A24" s="22" t="s">
        <v>54</v>
      </c>
      <c r="B24" s="419"/>
      <c r="C24" s="422">
        <f aca="true" t="shared" si="16" ref="C24:L24">C22+C8</f>
        <v>224074.07499999998</v>
      </c>
      <c r="D24" s="422">
        <f t="shared" si="16"/>
        <v>18577.378034750007</v>
      </c>
      <c r="E24" s="422">
        <f t="shared" si="16"/>
        <v>12604.279999999999</v>
      </c>
      <c r="F24" s="422">
        <f t="shared" si="16"/>
        <v>1875.8600000000001</v>
      </c>
      <c r="G24" s="422">
        <f t="shared" si="16"/>
        <v>62280.41</v>
      </c>
      <c r="H24" s="422">
        <f t="shared" si="16"/>
        <v>0</v>
      </c>
      <c r="I24" s="422">
        <f t="shared" si="16"/>
        <v>17063.6</v>
      </c>
      <c r="J24" s="422">
        <f t="shared" si="16"/>
        <v>2539.44</v>
      </c>
      <c r="K24" s="422">
        <f t="shared" si="16"/>
        <v>28407.920000000002</v>
      </c>
      <c r="L24" s="422">
        <f t="shared" si="16"/>
        <v>4227.55</v>
      </c>
      <c r="M24" s="422" t="e">
        <f>#REF!</f>
        <v>#REF!</v>
      </c>
      <c r="N24" s="422">
        <f aca="true" t="shared" si="17" ref="N24:BG24">N22+N8</f>
        <v>6103.419999999999</v>
      </c>
      <c r="O24" s="422">
        <f t="shared" si="17"/>
        <v>18171.33</v>
      </c>
      <c r="P24" s="422">
        <f t="shared" si="17"/>
        <v>1500.6</v>
      </c>
      <c r="Q24" s="422">
        <f t="shared" si="17"/>
        <v>0</v>
      </c>
      <c r="R24" s="422">
        <f t="shared" si="17"/>
        <v>0</v>
      </c>
      <c r="S24" s="422">
        <f t="shared" si="17"/>
        <v>0</v>
      </c>
      <c r="T24" s="422">
        <f t="shared" si="17"/>
        <v>0</v>
      </c>
      <c r="U24" s="422">
        <f t="shared" si="17"/>
        <v>200455.16999999998</v>
      </c>
      <c r="V24" s="422">
        <f t="shared" si="17"/>
        <v>16246.869999999999</v>
      </c>
      <c r="W24" s="422">
        <f t="shared" si="17"/>
        <v>12321.34</v>
      </c>
      <c r="X24" s="422">
        <f t="shared" si="17"/>
        <v>55366.04000000001</v>
      </c>
      <c r="Y24" s="422">
        <f t="shared" si="17"/>
        <v>16678.35</v>
      </c>
      <c r="Z24" s="422">
        <f t="shared" si="17"/>
        <v>27767.960000000003</v>
      </c>
      <c r="AA24" s="422">
        <f t="shared" si="17"/>
        <v>59065.11</v>
      </c>
      <c r="AB24" s="422">
        <f t="shared" si="17"/>
        <v>17120.07</v>
      </c>
      <c r="AC24" s="422">
        <f t="shared" si="17"/>
        <v>0</v>
      </c>
      <c r="AD24" s="422">
        <f t="shared" si="17"/>
        <v>0</v>
      </c>
      <c r="AE24" s="422">
        <f t="shared" si="17"/>
        <v>0</v>
      </c>
      <c r="AF24" s="422">
        <f t="shared" si="17"/>
        <v>188318.87</v>
      </c>
      <c r="AG24" s="422">
        <f t="shared" si="17"/>
        <v>223143.11803475005</v>
      </c>
      <c r="AH24" s="422">
        <f t="shared" si="17"/>
        <v>0</v>
      </c>
      <c r="AI24" s="422">
        <f t="shared" si="17"/>
        <v>0</v>
      </c>
      <c r="AJ24" s="422">
        <f t="shared" si="17"/>
        <v>0</v>
      </c>
      <c r="AK24" s="422">
        <f t="shared" si="17"/>
        <v>14567.712</v>
      </c>
      <c r="AL24" s="422">
        <f t="shared" si="17"/>
        <v>4702.766498</v>
      </c>
      <c r="AM24" s="422">
        <f t="shared" si="17"/>
        <v>23364.322643185</v>
      </c>
      <c r="AN24" s="422">
        <f t="shared" si="17"/>
        <v>1530.3959999999997</v>
      </c>
      <c r="AO24" s="422">
        <f t="shared" si="17"/>
        <v>30756.946388885</v>
      </c>
      <c r="AP24" s="422">
        <f t="shared" si="17"/>
        <v>43379.939903768</v>
      </c>
      <c r="AQ24" s="422">
        <f t="shared" si="17"/>
        <v>5465.700000000001</v>
      </c>
      <c r="AR24" s="422">
        <f t="shared" si="17"/>
        <v>5465.700000000001</v>
      </c>
      <c r="AS24" s="422">
        <f t="shared" si="17"/>
        <v>4190.369999999999</v>
      </c>
      <c r="AT24" s="422">
        <f t="shared" si="17"/>
        <v>0</v>
      </c>
      <c r="AU24" s="422">
        <f t="shared" si="17"/>
        <v>34769.9678</v>
      </c>
      <c r="AV24" s="422">
        <f t="shared" si="17"/>
        <v>111</v>
      </c>
      <c r="AW24" s="423">
        <f t="shared" si="17"/>
        <v>18398.32</v>
      </c>
      <c r="AX24" s="423">
        <f t="shared" si="17"/>
        <v>515.63</v>
      </c>
      <c r="AY24" s="423">
        <f t="shared" si="17"/>
        <v>6586.272000000001</v>
      </c>
      <c r="AZ24" s="423">
        <f t="shared" si="17"/>
        <v>0</v>
      </c>
      <c r="BA24" s="423">
        <f t="shared" si="17"/>
        <v>4216.02</v>
      </c>
      <c r="BB24" s="423">
        <f t="shared" si="17"/>
        <v>0</v>
      </c>
      <c r="BC24" s="423">
        <f t="shared" si="17"/>
        <v>198021.063233838</v>
      </c>
      <c r="BD24" s="423">
        <f t="shared" si="17"/>
        <v>0</v>
      </c>
      <c r="BE24" s="423">
        <f t="shared" si="17"/>
        <v>198021.063233838</v>
      </c>
      <c r="BF24" s="423">
        <f>BF22+BF8</f>
        <v>25122.05480091202</v>
      </c>
      <c r="BG24" s="423">
        <f t="shared" si="17"/>
        <v>-12136.3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10.00390625" style="249" customWidth="1"/>
    <col min="2" max="2" width="10.625" style="249" customWidth="1"/>
    <col min="3" max="3" width="11.875" style="249" customWidth="1"/>
    <col min="4" max="4" width="9.25390625" style="249" customWidth="1"/>
    <col min="5" max="5" width="10.875" style="249" customWidth="1"/>
    <col min="6" max="6" width="11.75390625" style="249" customWidth="1"/>
    <col min="7" max="7" width="11.00390625" style="249" customWidth="1"/>
    <col min="8" max="8" width="11.25390625" style="249" customWidth="1"/>
    <col min="9" max="9" width="10.625" style="249" customWidth="1"/>
    <col min="10" max="10" width="9.25390625" style="249" customWidth="1"/>
    <col min="11" max="11" width="11.25390625" style="249" customWidth="1"/>
    <col min="12" max="12" width="9.625" style="249" customWidth="1"/>
    <col min="13" max="13" width="11.25390625" style="249" customWidth="1"/>
    <col min="14" max="14" width="11.625" style="249" customWidth="1"/>
    <col min="15" max="15" width="13.625" style="249" customWidth="1"/>
    <col min="16" max="16384" width="9.125" style="249" customWidth="1"/>
  </cols>
  <sheetData>
    <row r="1" spans="2:8" ht="20.25" customHeight="1">
      <c r="B1" s="191" t="s">
        <v>55</v>
      </c>
      <c r="C1" s="191"/>
      <c r="D1" s="191"/>
      <c r="E1" s="191"/>
      <c r="F1" s="191"/>
      <c r="G1" s="191"/>
      <c r="H1" s="191"/>
    </row>
    <row r="2" spans="2:11" ht="21" customHeight="1">
      <c r="B2" s="191" t="s">
        <v>56</v>
      </c>
      <c r="C2" s="191"/>
      <c r="D2" s="191"/>
      <c r="E2" s="191"/>
      <c r="F2" s="191"/>
      <c r="G2" s="191"/>
      <c r="H2" s="191"/>
      <c r="J2" s="248"/>
      <c r="K2" s="248"/>
    </row>
    <row r="5" spans="1:12" ht="12.75">
      <c r="A5" s="193" t="s">
        <v>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2.75">
      <c r="A6" s="194" t="s">
        <v>115</v>
      </c>
      <c r="B6" s="194"/>
      <c r="C6" s="194"/>
      <c r="D6" s="194"/>
      <c r="E6" s="194"/>
      <c r="F6" s="194"/>
      <c r="G6" s="194"/>
      <c r="H6" s="96"/>
      <c r="I6" s="96"/>
      <c r="J6" s="96"/>
      <c r="K6" s="96"/>
      <c r="L6" s="96"/>
    </row>
    <row r="7" spans="1:13" ht="13.5" thickBot="1">
      <c r="A7" s="424" t="s">
        <v>57</v>
      </c>
      <c r="B7" s="424"/>
      <c r="C7" s="424"/>
      <c r="D7" s="424"/>
      <c r="E7" s="425">
        <v>14.05</v>
      </c>
      <c r="F7" s="424"/>
      <c r="I7" s="426"/>
      <c r="J7" s="426"/>
      <c r="K7" s="426"/>
      <c r="L7" s="426"/>
      <c r="M7" s="426"/>
    </row>
    <row r="8" spans="1:15" ht="12.75" customHeight="1">
      <c r="A8" s="142" t="s">
        <v>58</v>
      </c>
      <c r="B8" s="218" t="s">
        <v>1</v>
      </c>
      <c r="C8" s="221" t="s">
        <v>116</v>
      </c>
      <c r="D8" s="224" t="s">
        <v>3</v>
      </c>
      <c r="E8" s="206" t="s">
        <v>60</v>
      </c>
      <c r="F8" s="207"/>
      <c r="G8" s="210" t="s">
        <v>61</v>
      </c>
      <c r="H8" s="211"/>
      <c r="I8" s="427" t="s">
        <v>10</v>
      </c>
      <c r="J8" s="428"/>
      <c r="K8" s="428"/>
      <c r="L8" s="428"/>
      <c r="M8" s="429"/>
      <c r="N8" s="430" t="s">
        <v>62</v>
      </c>
      <c r="O8" s="430" t="s">
        <v>12</v>
      </c>
    </row>
    <row r="9" spans="1:15" ht="12.75">
      <c r="A9" s="143"/>
      <c r="B9" s="219"/>
      <c r="C9" s="222"/>
      <c r="D9" s="225"/>
      <c r="E9" s="208"/>
      <c r="F9" s="209"/>
      <c r="G9" s="212"/>
      <c r="H9" s="213"/>
      <c r="I9" s="431"/>
      <c r="J9" s="432"/>
      <c r="K9" s="432"/>
      <c r="L9" s="432"/>
      <c r="M9" s="433"/>
      <c r="N9" s="434"/>
      <c r="O9" s="434"/>
    </row>
    <row r="10" spans="1:15" ht="26.25" customHeight="1">
      <c r="A10" s="143"/>
      <c r="B10" s="219"/>
      <c r="C10" s="222"/>
      <c r="D10" s="225"/>
      <c r="E10" s="198" t="s">
        <v>63</v>
      </c>
      <c r="F10" s="199"/>
      <c r="G10" s="84" t="s">
        <v>64</v>
      </c>
      <c r="H10" s="200" t="s">
        <v>7</v>
      </c>
      <c r="I10" s="202" t="s">
        <v>65</v>
      </c>
      <c r="J10" s="204" t="s">
        <v>117</v>
      </c>
      <c r="K10" s="204" t="s">
        <v>66</v>
      </c>
      <c r="L10" s="204" t="s">
        <v>37</v>
      </c>
      <c r="M10" s="201" t="s">
        <v>39</v>
      </c>
      <c r="N10" s="434"/>
      <c r="O10" s="434"/>
    </row>
    <row r="11" spans="1:15" ht="66.75" customHeight="1" thickBot="1">
      <c r="A11" s="217"/>
      <c r="B11" s="220"/>
      <c r="C11" s="223"/>
      <c r="D11" s="226"/>
      <c r="E11" s="63" t="s">
        <v>68</v>
      </c>
      <c r="F11" s="66" t="s">
        <v>21</v>
      </c>
      <c r="G11" s="81" t="s">
        <v>69</v>
      </c>
      <c r="H11" s="201"/>
      <c r="I11" s="203"/>
      <c r="J11" s="205"/>
      <c r="K11" s="205"/>
      <c r="L11" s="205"/>
      <c r="M11" s="435"/>
      <c r="N11" s="436"/>
      <c r="O11" s="436"/>
    </row>
    <row r="12" spans="1:15" ht="13.5" thickBot="1">
      <c r="A12" s="437">
        <v>1</v>
      </c>
      <c r="B12" s="438">
        <v>2</v>
      </c>
      <c r="C12" s="437">
        <v>3</v>
      </c>
      <c r="D12" s="438">
        <v>4</v>
      </c>
      <c r="E12" s="437">
        <v>5</v>
      </c>
      <c r="F12" s="438">
        <v>6</v>
      </c>
      <c r="G12" s="438">
        <v>7</v>
      </c>
      <c r="H12" s="437">
        <v>8</v>
      </c>
      <c r="I12" s="438">
        <v>9</v>
      </c>
      <c r="J12" s="438">
        <v>10</v>
      </c>
      <c r="K12" s="437">
        <v>11</v>
      </c>
      <c r="L12" s="438">
        <v>12</v>
      </c>
      <c r="M12" s="438">
        <v>13</v>
      </c>
      <c r="N12" s="437">
        <v>14</v>
      </c>
      <c r="O12" s="438">
        <v>15</v>
      </c>
    </row>
    <row r="13" spans="1:15" ht="13.5" thickBot="1">
      <c r="A13" s="64" t="s">
        <v>5</v>
      </c>
      <c r="B13" s="439"/>
      <c r="C13" s="439">
        <f>'2011 полн'!C8</f>
        <v>141724.19499999998</v>
      </c>
      <c r="D13" s="439">
        <f>'2011 полн'!D8</f>
        <v>15862.094034750005</v>
      </c>
      <c r="E13" s="439">
        <f>'2011 полн'!U8</f>
        <v>109171.49</v>
      </c>
      <c r="F13" s="439">
        <f>'2011 полн'!V8</f>
        <v>16246.869999999999</v>
      </c>
      <c r="G13" s="439">
        <f>'2011 полн'!AF8</f>
        <v>98497.78</v>
      </c>
      <c r="H13" s="439">
        <f>'2011 полн'!AG8</f>
        <v>130606.74403475004</v>
      </c>
      <c r="I13" s="439">
        <f>'2011 полн'!AK8</f>
        <v>9685.02</v>
      </c>
      <c r="J13" s="439">
        <f>'2011 полн'!AL8</f>
        <v>3245.246498</v>
      </c>
      <c r="K13" s="439">
        <f>'2011 полн'!AM8+'2011 полн'!AN8+'2011 полн'!AO8+'2011 полн'!AP8+'2011 полн'!AX8+'2011 полн'!AY8+'2011 полн'!BA16</f>
        <v>78788.72093583799</v>
      </c>
      <c r="L13" s="439">
        <f>'2011 полн'!AU8+'2011 полн'!AV8+'2011 полн'!AW8</f>
        <v>36332.2878</v>
      </c>
      <c r="M13" s="439">
        <f>I13+J13+K13+L13</f>
        <v>128051.27523383798</v>
      </c>
      <c r="N13" s="439">
        <f>H13-M13</f>
        <v>2555.468800912058</v>
      </c>
      <c r="O13" s="439">
        <f>'2011 полн'!BG8</f>
        <v>-10673.71</v>
      </c>
    </row>
    <row r="14" spans="1:15" ht="13.5" thickBot="1">
      <c r="A14" s="440"/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</row>
    <row r="15" spans="1:17" ht="13.5" thickBot="1">
      <c r="A15" s="64" t="s">
        <v>114</v>
      </c>
      <c r="B15" s="441"/>
      <c r="C15" s="442"/>
      <c r="D15" s="442"/>
      <c r="E15" s="443"/>
      <c r="F15" s="443"/>
      <c r="G15" s="443"/>
      <c r="H15" s="443"/>
      <c r="I15" s="443"/>
      <c r="J15" s="443"/>
      <c r="K15" s="443"/>
      <c r="L15" s="444"/>
      <c r="M15" s="443"/>
      <c r="N15" s="443"/>
      <c r="O15" s="445"/>
      <c r="P15" s="248"/>
      <c r="Q15" s="248"/>
    </row>
    <row r="16" spans="1:17" ht="12.75">
      <c r="A16" s="446" t="s">
        <v>45</v>
      </c>
      <c r="B16" s="447">
        <f>'2011 полн'!B10</f>
        <v>607.3</v>
      </c>
      <c r="C16" s="447">
        <f>'2011 полн'!C10</f>
        <v>5192.415</v>
      </c>
      <c r="D16" s="447">
        <f>'2011 полн'!D10</f>
        <v>242.7832</v>
      </c>
      <c r="E16" s="448">
        <f>'2011 полн'!U10</f>
        <v>5255.67</v>
      </c>
      <c r="F16" s="448">
        <f>'2011 полн'!V10</f>
        <v>0</v>
      </c>
      <c r="G16" s="449">
        <f>'2011 полн'!AF10</f>
        <v>3279.4900000000002</v>
      </c>
      <c r="H16" s="449">
        <f>'2011 полн'!AG10</f>
        <v>3522.2732</v>
      </c>
      <c r="I16" s="449">
        <f>'2011 полн'!AK10</f>
        <v>406.891</v>
      </c>
      <c r="J16" s="449">
        <f>'2011 полн'!AL10</f>
        <v>121.46</v>
      </c>
      <c r="K16" s="448">
        <f>'2011 полн'!AM10+'2011 полн'!AN10+'2011 полн'!AO10+'2011 полн'!AP10+'2011 полн'!AQ10+'2011 полн'!AR10+'2011 полн'!AS10+'2011 полн'!AX10</f>
        <v>4538.782999999999</v>
      </c>
      <c r="L16" s="450">
        <f>'2011 полн'!AU10+'2011 полн'!AV10+'2011 полн'!AW10</f>
        <v>0</v>
      </c>
      <c r="M16" s="451">
        <f>I16+J16+K16+L16</f>
        <v>5067.133999999999</v>
      </c>
      <c r="N16" s="451">
        <f>H16-M16</f>
        <v>-1544.860799999999</v>
      </c>
      <c r="O16" s="451">
        <f>'2011 полн'!BG10</f>
        <v>-1976.1799999999998</v>
      </c>
      <c r="P16" s="248"/>
      <c r="Q16" s="248"/>
    </row>
    <row r="17" spans="1:17" ht="12.75">
      <c r="A17" s="330" t="s">
        <v>46</v>
      </c>
      <c r="B17" s="447">
        <f>'2011 полн'!B11</f>
        <v>607.3</v>
      </c>
      <c r="C17" s="447">
        <f>'2011 полн'!C11</f>
        <v>5192.415</v>
      </c>
      <c r="D17" s="447">
        <f>'2011 полн'!D11</f>
        <v>242.7832</v>
      </c>
      <c r="E17" s="448">
        <f>'2011 полн'!U11</f>
        <v>5255.67</v>
      </c>
      <c r="F17" s="448">
        <f>'2011 полн'!V11</f>
        <v>0</v>
      </c>
      <c r="G17" s="449">
        <f>'2011 полн'!AF11</f>
        <v>6292.86</v>
      </c>
      <c r="H17" s="449">
        <f>'2011 полн'!AG11</f>
        <v>6535.6431999999995</v>
      </c>
      <c r="I17" s="449">
        <f>'2011 полн'!AK11</f>
        <v>406.891</v>
      </c>
      <c r="J17" s="449">
        <f>'2011 полн'!AL11</f>
        <v>121.46</v>
      </c>
      <c r="K17" s="448">
        <f>'2011 полн'!AM11+'2011 полн'!AN11+'2011 полн'!AO11+'2011 полн'!AP11+'2011 полн'!AQ11+'2011 полн'!AR11+'2011 полн'!AS11+'2011 полн'!AX11</f>
        <v>4276.442999999999</v>
      </c>
      <c r="L17" s="450">
        <f>'2011 полн'!AU11+'2011 полн'!AV11+'2011 полн'!AW11</f>
        <v>0</v>
      </c>
      <c r="M17" s="451">
        <f aca="true" t="shared" si="0" ref="M17:M27">I17+J17+K17+L17</f>
        <v>4804.793999999999</v>
      </c>
      <c r="N17" s="451">
        <f aca="true" t="shared" si="1" ref="N17:N27">H17-M17</f>
        <v>1730.8492000000006</v>
      </c>
      <c r="O17" s="451">
        <f>'2011 полн'!BG11</f>
        <v>1037.1899999999996</v>
      </c>
      <c r="P17" s="248"/>
      <c r="Q17" s="248"/>
    </row>
    <row r="18" spans="1:17" ht="12.75">
      <c r="A18" s="330" t="s">
        <v>47</v>
      </c>
      <c r="B18" s="447">
        <f>'2011 полн'!B12</f>
        <v>607.3</v>
      </c>
      <c r="C18" s="447">
        <f>'2011 полн'!C12</f>
        <v>5192.415</v>
      </c>
      <c r="D18" s="447">
        <f>'2011 полн'!D12</f>
        <v>242.7832</v>
      </c>
      <c r="E18" s="448">
        <f>'2011 полн'!U12</f>
        <v>5255.67</v>
      </c>
      <c r="F18" s="448">
        <f>'2011 полн'!V12</f>
        <v>0</v>
      </c>
      <c r="G18" s="449">
        <f>'2011 полн'!AF12</f>
        <v>5003.869999999999</v>
      </c>
      <c r="H18" s="449">
        <f>'2011 полн'!AG12</f>
        <v>5246.653199999999</v>
      </c>
      <c r="I18" s="449">
        <f>'2011 полн'!AK12</f>
        <v>406.891</v>
      </c>
      <c r="J18" s="449">
        <f>'2011 полн'!AL12</f>
        <v>121.46</v>
      </c>
      <c r="K18" s="448">
        <f>'2011 полн'!AM12+'2011 полн'!AN12+'2011 полн'!AO12+'2011 полн'!AP12+'2011 полн'!AQ12+'2011 полн'!AR12+'2011 полн'!AS12+'2011 полн'!AX12</f>
        <v>4196.442999999999</v>
      </c>
      <c r="L18" s="450">
        <f>'2011 полн'!AU12+'2011 полн'!AV12+'2011 полн'!AW12</f>
        <v>111</v>
      </c>
      <c r="M18" s="451">
        <f t="shared" si="0"/>
        <v>4835.793999999999</v>
      </c>
      <c r="N18" s="451">
        <f t="shared" si="1"/>
        <v>410.8591999999999</v>
      </c>
      <c r="O18" s="451">
        <f>'2011 полн'!BG12</f>
        <v>-251.8000000000011</v>
      </c>
      <c r="P18" s="248"/>
      <c r="Q18" s="248"/>
    </row>
    <row r="19" spans="1:17" ht="12.75">
      <c r="A19" s="330" t="s">
        <v>48</v>
      </c>
      <c r="B19" s="447">
        <f>'2011 полн'!B13</f>
        <v>607.3</v>
      </c>
      <c r="C19" s="447">
        <f>'2011 полн'!C13</f>
        <v>5192.415</v>
      </c>
      <c r="D19" s="447">
        <f>'2011 полн'!D13</f>
        <v>242.7832</v>
      </c>
      <c r="E19" s="448">
        <f>'2011 полн'!U13</f>
        <v>8532.56</v>
      </c>
      <c r="F19" s="448">
        <f>'2011 полн'!V13</f>
        <v>0</v>
      </c>
      <c r="G19" s="449">
        <f>'2011 полн'!AF13</f>
        <v>4652.81</v>
      </c>
      <c r="H19" s="449">
        <f>'2011 полн'!AG13</f>
        <v>4895.5932</v>
      </c>
      <c r="I19" s="449">
        <f>'2011 полн'!AK13</f>
        <v>406.891</v>
      </c>
      <c r="J19" s="449">
        <f>'2011 полн'!AL13</f>
        <v>121.46</v>
      </c>
      <c r="K19" s="448">
        <f>'2011 полн'!AM13+'2011 полн'!AN13+'2011 полн'!AO13+'2011 полн'!AP13+'2011 полн'!AQ13+'2011 полн'!AR13+'2011 полн'!AS13+'2011 полн'!AX13</f>
        <v>3498.048</v>
      </c>
      <c r="L19" s="450">
        <f>'2011 полн'!AU13+'2011 полн'!AV13+'2011 полн'!AW13</f>
        <v>0</v>
      </c>
      <c r="M19" s="451">
        <f t="shared" si="0"/>
        <v>4026.399</v>
      </c>
      <c r="N19" s="451">
        <f t="shared" si="1"/>
        <v>869.1942000000004</v>
      </c>
      <c r="O19" s="451">
        <f>'2011 полн'!BG13</f>
        <v>-3879.749999999999</v>
      </c>
      <c r="P19" s="248"/>
      <c r="Q19" s="248"/>
    </row>
    <row r="20" spans="1:17" ht="12.75">
      <c r="A20" s="330" t="s">
        <v>49</v>
      </c>
      <c r="B20" s="447">
        <f>'2011 полн'!B14</f>
        <v>607.3</v>
      </c>
      <c r="C20" s="447">
        <f>'2011 полн'!C14</f>
        <v>5192.415</v>
      </c>
      <c r="D20" s="447">
        <f>'2011 полн'!D14</f>
        <v>242.7832</v>
      </c>
      <c r="E20" s="448">
        <f>'2011 полн'!U14</f>
        <v>8532.56</v>
      </c>
      <c r="F20" s="448">
        <f>'2011 полн'!V14</f>
        <v>0</v>
      </c>
      <c r="G20" s="449">
        <f>'2011 полн'!AF14</f>
        <v>8727.789999999999</v>
      </c>
      <c r="H20" s="449">
        <f>'2011 полн'!AG14</f>
        <v>8970.573199999999</v>
      </c>
      <c r="I20" s="449">
        <f>'2011 полн'!AK14</f>
        <v>406.891</v>
      </c>
      <c r="J20" s="449">
        <f>'2011 полн'!AL14</f>
        <v>121.46</v>
      </c>
      <c r="K20" s="448">
        <f>'2011 полн'!AM14+'2011 полн'!AN14+'2011 полн'!AO14+'2011 полн'!AP14+'2011 полн'!AQ14+'2011 полн'!AR14+'2011 полн'!AS14+'2011 полн'!AX14</f>
        <v>3498.048</v>
      </c>
      <c r="L20" s="450">
        <f>'2011 полн'!AU14+'2011 полн'!AV14+'2011 полн'!AW14</f>
        <v>0</v>
      </c>
      <c r="M20" s="451">
        <f t="shared" si="0"/>
        <v>4026.399</v>
      </c>
      <c r="N20" s="451">
        <f t="shared" si="1"/>
        <v>4944.1741999999995</v>
      </c>
      <c r="O20" s="451">
        <f>'2011 полн'!BG14</f>
        <v>195.22999999999956</v>
      </c>
      <c r="P20" s="248"/>
      <c r="Q20" s="248"/>
    </row>
    <row r="21" spans="1:17" ht="12.75">
      <c r="A21" s="330" t="s">
        <v>50</v>
      </c>
      <c r="B21" s="447">
        <f>'2011 полн'!B15</f>
        <v>607.3</v>
      </c>
      <c r="C21" s="447">
        <f>'2011 полн'!C15</f>
        <v>5192.415</v>
      </c>
      <c r="D21" s="447">
        <f>'2011 полн'!D15</f>
        <v>242.7832</v>
      </c>
      <c r="E21" s="448">
        <f>'2011 полн'!U15</f>
        <v>8532.56</v>
      </c>
      <c r="F21" s="448">
        <f>'2011 полн'!V15</f>
        <v>0</v>
      </c>
      <c r="G21" s="449">
        <f>'2011 полн'!AF15</f>
        <v>7845.870000000001</v>
      </c>
      <c r="H21" s="449">
        <f>'2011 полн'!AG15</f>
        <v>8088.653200000001</v>
      </c>
      <c r="I21" s="449">
        <f>'2011 полн'!AK15</f>
        <v>406.891</v>
      </c>
      <c r="J21" s="449">
        <f>'2011 полн'!AL15</f>
        <v>121.46</v>
      </c>
      <c r="K21" s="448">
        <f>'2011 полн'!AM15+'2011 полн'!AN15+'2011 полн'!AO15+'2011 полн'!AP15+'2011 полн'!AQ15+'2011 полн'!AR15+'2011 полн'!AS15+'2011 полн'!AX15</f>
        <v>3498.048</v>
      </c>
      <c r="L21" s="450">
        <f>'2011 полн'!AU15+'2011 полн'!AV15+'2011 полн'!AW15</f>
        <v>0</v>
      </c>
      <c r="M21" s="451">
        <f t="shared" si="0"/>
        <v>4026.399</v>
      </c>
      <c r="N21" s="451">
        <f t="shared" si="1"/>
        <v>4062.2542000000008</v>
      </c>
      <c r="O21" s="451">
        <f>'2011 полн'!BG15</f>
        <v>-686.6899999999987</v>
      </c>
      <c r="P21" s="248"/>
      <c r="Q21" s="248"/>
    </row>
    <row r="22" spans="1:15" ht="12.75">
      <c r="A22" s="330" t="s">
        <v>51</v>
      </c>
      <c r="B22" s="447">
        <f>'2011 полн'!B16</f>
        <v>607.3</v>
      </c>
      <c r="C22" s="447">
        <f>'2011 полн'!C16</f>
        <v>8532.565</v>
      </c>
      <c r="D22" s="447">
        <f>'2011 полн'!D16</f>
        <v>242.7832</v>
      </c>
      <c r="E22" s="448">
        <f>'2011 полн'!U16</f>
        <v>8532.56</v>
      </c>
      <c r="F22" s="448">
        <f>'2011 полн'!V16</f>
        <v>0</v>
      </c>
      <c r="G22" s="449">
        <f>'2011 полн'!AF16</f>
        <v>7675.46</v>
      </c>
      <c r="H22" s="449">
        <f>'2011 полн'!AG16</f>
        <v>7918.2432</v>
      </c>
      <c r="I22" s="449">
        <f>'2011 полн'!AK16</f>
        <v>406.891</v>
      </c>
      <c r="J22" s="449">
        <f>'2011 полн'!AL16</f>
        <v>121.46</v>
      </c>
      <c r="K22" s="448">
        <f>'2011 полн'!AM16+'2011 полн'!AN16+'2011 полн'!AO16+'2011 полн'!AP16+'2011 полн'!AQ16+'2011 полн'!AR16+'2011 полн'!AS16+'2011 полн'!AX16</f>
        <v>3591.3379999999997</v>
      </c>
      <c r="L22" s="450">
        <f>'2011 полн'!AU16+'2011 полн'!AV16+'2011 полн'!AW16</f>
        <v>0</v>
      </c>
      <c r="M22" s="451">
        <f t="shared" si="0"/>
        <v>4119.688999999999</v>
      </c>
      <c r="N22" s="451">
        <f t="shared" si="1"/>
        <v>3798.5542000000005</v>
      </c>
      <c r="O22" s="451">
        <f>'2011 полн'!BG16</f>
        <v>-857.0999999999995</v>
      </c>
    </row>
    <row r="23" spans="1:15" ht="12.75">
      <c r="A23" s="330" t="s">
        <v>52</v>
      </c>
      <c r="B23" s="447">
        <f>'2011 полн'!B17</f>
        <v>607.3</v>
      </c>
      <c r="C23" s="447">
        <f>'2011 полн'!C17</f>
        <v>8532.565</v>
      </c>
      <c r="D23" s="447">
        <f>'2011 полн'!D17</f>
        <v>242.7832</v>
      </c>
      <c r="E23" s="448">
        <f>'2011 полн'!U17</f>
        <v>8532.57</v>
      </c>
      <c r="F23" s="448">
        <f>'2011 полн'!V17</f>
        <v>0</v>
      </c>
      <c r="G23" s="449">
        <f>'2011 полн'!AF17</f>
        <v>5251.08</v>
      </c>
      <c r="H23" s="449">
        <f>'2011 полн'!AG17</f>
        <v>5493.8632</v>
      </c>
      <c r="I23" s="449">
        <f>'2011 полн'!AK17</f>
        <v>406.891</v>
      </c>
      <c r="J23" s="449">
        <f>'2011 полн'!AL17</f>
        <v>121.46</v>
      </c>
      <c r="K23" s="448">
        <f>'2011 полн'!AM17+'2011 полн'!AN17+'2011 полн'!AO17+'2011 полн'!AP17+'2011 полн'!AQ17+'2011 полн'!AR17+'2011 полн'!AS17+'2011 полн'!AX17</f>
        <v>3498.048</v>
      </c>
      <c r="L23" s="450">
        <f>'2011 полн'!AU17+'2011 полн'!AV17+'2011 полн'!AW17</f>
        <v>0</v>
      </c>
      <c r="M23" s="451">
        <f t="shared" si="0"/>
        <v>4026.399</v>
      </c>
      <c r="N23" s="451">
        <f t="shared" si="1"/>
        <v>1467.4642</v>
      </c>
      <c r="O23" s="451">
        <f>'2011 полн'!BG17</f>
        <v>-3281.49</v>
      </c>
    </row>
    <row r="24" spans="1:15" ht="12.75">
      <c r="A24" s="330" t="s">
        <v>53</v>
      </c>
      <c r="B24" s="447">
        <f>'2011 полн'!B18</f>
        <v>607.3</v>
      </c>
      <c r="C24" s="447">
        <f>'2011 полн'!C18</f>
        <v>8532.565</v>
      </c>
      <c r="D24" s="447">
        <f>'2011 полн'!D18</f>
        <v>193.2546</v>
      </c>
      <c r="E24" s="448">
        <f>'2011 полн'!U18</f>
        <v>8532.59</v>
      </c>
      <c r="F24" s="448">
        <f>'2011 полн'!V18</f>
        <v>0</v>
      </c>
      <c r="G24" s="449">
        <f>'2011 полн'!AF18</f>
        <v>11862.85</v>
      </c>
      <c r="H24" s="449">
        <f>'2011 полн'!AG18</f>
        <v>12056.1046</v>
      </c>
      <c r="I24" s="449">
        <f>'2011 полн'!AK18</f>
        <v>406.891</v>
      </c>
      <c r="J24" s="449">
        <f>'2011 полн'!AL18</f>
        <v>121.46</v>
      </c>
      <c r="K24" s="448">
        <f>'2011 полн'!AM18+'2011 полн'!AN18+'2011 полн'!AO18+'2011 полн'!AP18+'2011 полн'!AQ18+'2011 полн'!AR18+'2011 полн'!AS18+'2011 полн'!AX18</f>
        <v>3498.048</v>
      </c>
      <c r="L24" s="450">
        <f>'2011 полн'!AU18+'2011 полн'!AV18+'2011 полн'!AW18</f>
        <v>16836</v>
      </c>
      <c r="M24" s="451">
        <f t="shared" si="0"/>
        <v>20862.399</v>
      </c>
      <c r="N24" s="451">
        <f t="shared" si="1"/>
        <v>-8806.2944</v>
      </c>
      <c r="O24" s="451">
        <f>'2011 полн'!BG18</f>
        <v>3330.26</v>
      </c>
    </row>
    <row r="25" spans="1:15" ht="12.75">
      <c r="A25" s="330" t="s">
        <v>41</v>
      </c>
      <c r="B25" s="447">
        <f>'2011 полн'!B19</f>
        <v>607.3</v>
      </c>
      <c r="C25" s="447">
        <f>'2011 полн'!C19</f>
        <v>8532.565</v>
      </c>
      <c r="D25" s="447">
        <f>'2011 полн'!D19</f>
        <v>193.2546</v>
      </c>
      <c r="E25" s="448">
        <f>'2011 полн'!U19</f>
        <v>8532.59</v>
      </c>
      <c r="F25" s="448">
        <f>'2011 полн'!V19</f>
        <v>0</v>
      </c>
      <c r="G25" s="449">
        <f>'2011 полн'!AF19</f>
        <v>10183.050000000001</v>
      </c>
      <c r="H25" s="449">
        <f>'2011 полн'!AG19</f>
        <v>10376.304600000001</v>
      </c>
      <c r="I25" s="449">
        <f>'2011 полн'!AK19</f>
        <v>406.891</v>
      </c>
      <c r="J25" s="449">
        <f>'2011 полн'!AL19</f>
        <v>121.46</v>
      </c>
      <c r="K25" s="448">
        <f>'2011 полн'!AM19+'2011 полн'!AN19+'2011 полн'!AO19+'2011 полн'!AP19+'2011 полн'!AQ19+'2011 полн'!AR19+'2011 полн'!AS19+'2011 полн'!AX19</f>
        <v>4196.442999999999</v>
      </c>
      <c r="L25" s="450">
        <f>'2011 полн'!AU19+'2011 полн'!AV19+'2011 полн'!AW19</f>
        <v>0</v>
      </c>
      <c r="M25" s="451">
        <f t="shared" si="0"/>
        <v>4724.793999999999</v>
      </c>
      <c r="N25" s="451">
        <f t="shared" si="1"/>
        <v>5651.510600000002</v>
      </c>
      <c r="O25" s="451">
        <f>'2011 полн'!BG19</f>
        <v>1650.460000000001</v>
      </c>
    </row>
    <row r="26" spans="1:15" ht="12.75">
      <c r="A26" s="330" t="s">
        <v>42</v>
      </c>
      <c r="B26" s="447">
        <f>'2011 полн'!B20</f>
        <v>607.3</v>
      </c>
      <c r="C26" s="447">
        <f>'2011 полн'!C20</f>
        <v>8532.565</v>
      </c>
      <c r="D26" s="447">
        <f>'2011 полн'!D20</f>
        <v>193.2546</v>
      </c>
      <c r="E26" s="448">
        <f>'2011 полн'!U20</f>
        <v>8532.59</v>
      </c>
      <c r="F26" s="448">
        <f>'2011 полн'!V20</f>
        <v>0</v>
      </c>
      <c r="G26" s="449">
        <f>'2011 полн'!AF20</f>
        <v>7297.13</v>
      </c>
      <c r="H26" s="449">
        <f>'2011 полн'!AG20</f>
        <v>7490.3846</v>
      </c>
      <c r="I26" s="449">
        <f>'2011 полн'!AK20</f>
        <v>406.891</v>
      </c>
      <c r="J26" s="449">
        <f>'2011 полн'!AL20</f>
        <v>121.46</v>
      </c>
      <c r="K26" s="448">
        <f>'2011 полн'!AM20+'2011 полн'!AN20+'2011 полн'!AO20+'2011 полн'!AP20+'2011 полн'!AQ20+'2011 полн'!AR20+'2011 полн'!AS20+'2011 полн'!AX20</f>
        <v>4196.442999999999</v>
      </c>
      <c r="L26" s="450">
        <f>'2011 полн'!AU20+'2011 полн'!AV20+'2011 полн'!AW20</f>
        <v>0</v>
      </c>
      <c r="M26" s="451">
        <f t="shared" si="0"/>
        <v>4724.793999999999</v>
      </c>
      <c r="N26" s="451">
        <f t="shared" si="1"/>
        <v>2765.5906000000014</v>
      </c>
      <c r="O26" s="451">
        <f>'2011 полн'!BG20</f>
        <v>-1235.46</v>
      </c>
    </row>
    <row r="27" spans="1:15" ht="13.5" thickBot="1">
      <c r="A27" s="452" t="s">
        <v>43</v>
      </c>
      <c r="B27" s="447">
        <f>'2011 полн'!B21</f>
        <v>607.3</v>
      </c>
      <c r="C27" s="447">
        <f>'2011 полн'!C21</f>
        <v>8532.565</v>
      </c>
      <c r="D27" s="447">
        <f>'2011 полн'!D21</f>
        <v>193.2546</v>
      </c>
      <c r="E27" s="448">
        <f>'2011 полн'!U21</f>
        <v>7256.09</v>
      </c>
      <c r="F27" s="448">
        <f>'2011 полн'!V21</f>
        <v>0</v>
      </c>
      <c r="G27" s="449">
        <f>'2011 полн'!AF21</f>
        <v>11748.83</v>
      </c>
      <c r="H27" s="449">
        <f>'2011 полн'!AG21</f>
        <v>11942.0846</v>
      </c>
      <c r="I27" s="449">
        <f>'2011 полн'!AK21</f>
        <v>406.891</v>
      </c>
      <c r="J27" s="449">
        <f>'2011 полн'!AL21</f>
        <v>121.46</v>
      </c>
      <c r="K27" s="448">
        <f>'2011 полн'!AM21+'2011 полн'!AN21+'2011 полн'!AO21+'2011 полн'!AP21+'2011 полн'!AQ21+'2011 полн'!AR21+'2011 полн'!AS21+'2011 полн'!AX21</f>
        <v>4196.442999999999</v>
      </c>
      <c r="L27" s="450">
        <f>'2011 полн'!AU21+'2011 полн'!AV21+'2011 полн'!AW21</f>
        <v>0</v>
      </c>
      <c r="M27" s="451">
        <f t="shared" si="0"/>
        <v>4724.793999999999</v>
      </c>
      <c r="N27" s="451">
        <f t="shared" si="1"/>
        <v>7217.290600000001</v>
      </c>
      <c r="O27" s="451">
        <f>'2011 полн'!BG21</f>
        <v>4492.74</v>
      </c>
    </row>
    <row r="28" spans="1:15" ht="13.5" thickBot="1">
      <c r="A28" s="453" t="s">
        <v>5</v>
      </c>
      <c r="B28" s="454"/>
      <c r="C28" s="455">
        <f>SUM(C16:C27)</f>
        <v>82349.88</v>
      </c>
      <c r="D28" s="455">
        <f aca="true" t="shared" si="2" ref="D28:O28">SUM(D16:D27)</f>
        <v>2715.284000000001</v>
      </c>
      <c r="E28" s="455">
        <f t="shared" si="2"/>
        <v>91283.67999999998</v>
      </c>
      <c r="F28" s="455">
        <f t="shared" si="2"/>
        <v>0</v>
      </c>
      <c r="G28" s="455">
        <f t="shared" si="2"/>
        <v>89821.09000000001</v>
      </c>
      <c r="H28" s="455">
        <f t="shared" si="2"/>
        <v>92536.374</v>
      </c>
      <c r="I28" s="455">
        <f t="shared" si="2"/>
        <v>4882.692</v>
      </c>
      <c r="J28" s="455">
        <f t="shared" si="2"/>
        <v>1457.5200000000002</v>
      </c>
      <c r="K28" s="455">
        <f t="shared" si="2"/>
        <v>46682.575999999994</v>
      </c>
      <c r="L28" s="455">
        <f t="shared" si="2"/>
        <v>16947</v>
      </c>
      <c r="M28" s="455">
        <f t="shared" si="2"/>
        <v>69969.788</v>
      </c>
      <c r="N28" s="455">
        <f t="shared" si="2"/>
        <v>22566.586000000007</v>
      </c>
      <c r="O28" s="455">
        <f t="shared" si="2"/>
        <v>-1462.5899999999992</v>
      </c>
    </row>
    <row r="29" spans="1:15" ht="13.5" thickBot="1">
      <c r="A29" s="456" t="s">
        <v>70</v>
      </c>
      <c r="B29" s="457"/>
      <c r="C29" s="457"/>
      <c r="D29" s="457"/>
      <c r="E29" s="458"/>
      <c r="F29" s="458"/>
      <c r="G29" s="459"/>
      <c r="H29" s="458"/>
      <c r="I29" s="459"/>
      <c r="J29" s="458"/>
      <c r="K29" s="458"/>
      <c r="L29" s="458"/>
      <c r="M29" s="460"/>
      <c r="N29" s="461"/>
      <c r="O29" s="462"/>
    </row>
    <row r="30" spans="1:17" s="20" customFormat="1" ht="13.5" thickBot="1">
      <c r="A30" s="463" t="s">
        <v>54</v>
      </c>
      <c r="B30" s="464"/>
      <c r="C30" s="465">
        <f aca="true" t="shared" si="3" ref="C30:N30">C28+C13</f>
        <v>224074.07499999998</v>
      </c>
      <c r="D30" s="465">
        <f t="shared" si="3"/>
        <v>18577.378034750007</v>
      </c>
      <c r="E30" s="465">
        <f t="shared" si="3"/>
        <v>200455.16999999998</v>
      </c>
      <c r="F30" s="465">
        <f t="shared" si="3"/>
        <v>16246.869999999999</v>
      </c>
      <c r="G30" s="465">
        <f t="shared" si="3"/>
        <v>188318.87</v>
      </c>
      <c r="H30" s="465">
        <f t="shared" si="3"/>
        <v>223143.11803475005</v>
      </c>
      <c r="I30" s="465">
        <f t="shared" si="3"/>
        <v>14567.712</v>
      </c>
      <c r="J30" s="465">
        <f t="shared" si="3"/>
        <v>4702.766498</v>
      </c>
      <c r="K30" s="465">
        <f t="shared" si="3"/>
        <v>125471.29693583798</v>
      </c>
      <c r="L30" s="465">
        <f t="shared" si="3"/>
        <v>53279.2878</v>
      </c>
      <c r="M30" s="465">
        <f t="shared" si="3"/>
        <v>198021.06323383798</v>
      </c>
      <c r="N30" s="465">
        <f t="shared" si="3"/>
        <v>25122.054800912065</v>
      </c>
      <c r="O30" s="465">
        <f>O28+O13</f>
        <v>-12136.3</v>
      </c>
      <c r="P30" s="72"/>
      <c r="Q30" s="71"/>
    </row>
    <row r="32" spans="1:16" ht="12.75">
      <c r="A32" s="20" t="s">
        <v>88</v>
      </c>
      <c r="D32" s="83" t="s">
        <v>118</v>
      </c>
      <c r="O32" s="248"/>
      <c r="P32" s="248"/>
    </row>
    <row r="33" spans="1:16" ht="12.75">
      <c r="A33" s="327" t="s">
        <v>71</v>
      </c>
      <c r="B33" s="327" t="s">
        <v>72</v>
      </c>
      <c r="C33" s="466" t="s">
        <v>73</v>
      </c>
      <c r="D33" s="466"/>
      <c r="O33" s="248"/>
      <c r="P33" s="248"/>
    </row>
    <row r="34" spans="1:16" ht="12.75">
      <c r="A34" s="124">
        <v>29744.86</v>
      </c>
      <c r="B34" s="124">
        <v>25911.9</v>
      </c>
      <c r="C34" s="467">
        <f>A34-B34</f>
        <v>3832.959999999999</v>
      </c>
      <c r="D34" s="468"/>
      <c r="O34" s="248"/>
      <c r="P34" s="248"/>
    </row>
    <row r="35" spans="1:16" ht="12.75">
      <c r="A35" s="46"/>
      <c r="O35" s="248"/>
      <c r="P35" s="248"/>
    </row>
    <row r="36" spans="1:16" ht="12.75">
      <c r="A36" s="249" t="s">
        <v>76</v>
      </c>
      <c r="G36" s="249" t="s">
        <v>77</v>
      </c>
      <c r="O36" s="248"/>
      <c r="P36" s="248"/>
    </row>
    <row r="37" ht="12.75">
      <c r="A37" s="248"/>
    </row>
    <row r="38" ht="12.75">
      <c r="A38" s="83" t="s">
        <v>119</v>
      </c>
    </row>
    <row r="39" ht="12.75">
      <c r="A39" s="249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2010-08-17T07:53:17Z</cp:lastPrinted>
  <dcterms:created xsi:type="dcterms:W3CDTF">2010-04-02T05:03:24Z</dcterms:created>
  <dcterms:modified xsi:type="dcterms:W3CDTF">2012-05-29T05:48:08Z</dcterms:modified>
  <cp:category/>
  <cp:version/>
  <cp:contentType/>
  <cp:contentStatus/>
</cp:coreProperties>
</file>