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1"/>
  </bookViews>
  <sheets>
    <sheet name="Лист1" sheetId="1" r:id="rId1"/>
    <sheet name="для печати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<sst xmlns="http://schemas.openxmlformats.org/spreadsheetml/2006/main" count="178" uniqueCount="94">
  <si>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</si>
  <si>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</si>
  <si>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</si>
  <si>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</si>
  <si>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</si>
  <si>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</si>
  <si>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</si>
  <si>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</si>
  <si>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</si>
  <si>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</si>
  <si>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</si>
  <si>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</si>
  <si>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</si>
  <si>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</si>
  <si>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</si>
  <si>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</si>
  <si>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</si>
  <si>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</si>
  <si>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</si>
  <si>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</si>
  <si>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</si>
  <si>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</si>
  <si>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</si>
  <si>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</si>
  <si>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</si>
  <si>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</si>
  <si>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</si>
  <si>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</si>
  <si>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</si>
  <si>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</si>
  <si>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</si>
  <si>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</si>
  <si>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</si>
  <si>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</si>
  <si>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</si>
  <si>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</si>
  <si>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</si>
  <si>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</si>
  <si>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</si>
  <si>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</si>
  <si>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</si>
  <si>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</si>
  <si>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</si>
  <si>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</si>
  <si>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</si>
  <si>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</si>
  <si>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</si>
  <si>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</si>
  <si>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</si>
  <si>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</si>
  <si>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</si>
  <si>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</si>
  <si>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</si>
  <si>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</si>
  <si>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</si>
  <si>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</si>
  <si>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</si>
  <si>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</si>
  <si>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</si>
  <si>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</si>
  <si>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</si>
  <si>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</si>
  <si>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</si>
  <si>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</si>
  <si>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</si>
  <si>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</si>
  <si>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</si>
  <si>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</si>
  <si>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</si>
  <si>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</si>
  <si>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</si>
  <si>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</si>
  <si>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</si>
  <si>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</si>
  <si>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</si>
  <si>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</si>
  <si>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</si>
  <si>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</si>
  <si>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</si>
  <si>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</si>
  <si>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</si>
  <si>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</si>
  <si>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</si>
  <si>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</si>
  <si>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</si>
  <si>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</si>
  <si>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</si>
  <si>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</si>
  <si>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Выписка по лицевому счету по адресу г. Таштагол ул. Юбилейная, д. 12</t>
  </si>
  <si>
    <t>Лицевой счет по адресу г. Таштагол, ул. Юбилейная, д. 12</t>
  </si>
  <si>
    <t>Социальный найм</t>
  </si>
  <si>
    <t>2010 год</t>
  </si>
  <si>
    <t>*по состоянию на 01.01.2011 г.</t>
  </si>
  <si>
    <t>на 01.01.2011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</si>
</sst>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3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4" fontId="2" fillId="0" borderId="12" xfId="33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5" xfId="33" applyNumberFormat="1" applyFont="1" applyFill="1" applyBorder="1" applyAlignment="1">
      <alignment horizontal="center" vertical="center" wrapText="1"/>
      <protection/>
    </xf>
    <xf numFmtId="4" fontId="2" fillId="34" borderId="13" xfId="33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2" fillId="34" borderId="11" xfId="33" applyNumberFormat="1" applyFont="1" applyFill="1" applyBorder="1" applyAlignment="1">
      <alignment horizontal="center" vertical="center" wrapText="1"/>
      <protection/>
    </xf>
    <xf numFmtId="4" fontId="2" fillId="0" borderId="34" xfId="33" applyNumberFormat="1" applyFont="1" applyFill="1" applyBorder="1" applyAlignment="1">
      <alignment horizontal="center" vertical="center" wrapText="1"/>
      <protection/>
    </xf>
    <xf numFmtId="4" fontId="0" fillId="37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10" fillId="0" borderId="20" xfId="0" applyNumberFormat="1" applyFont="1" applyFill="1" applyBorder="1" applyAlignment="1">
      <alignment/>
    </xf>
    <xf numFmtId="4" fontId="0" fillId="35" borderId="15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1" fillId="0" borderId="37" xfId="0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wrapText="1"/>
    </xf>
    <xf numFmtId="4" fontId="0" fillId="0" borderId="38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0" fillId="0" borderId="39" xfId="0" applyNumberFormat="1" applyFont="1" applyFill="1" applyBorder="1" applyAlignment="1">
      <alignment horizontal="right"/>
    </xf>
    <xf numFmtId="0" fontId="1" fillId="0" borderId="40" xfId="0" applyFont="1" applyFill="1" applyBorder="1" applyAlignment="1">
      <alignment horizontal="center" vertical="center" wrapText="1"/>
    </xf>
    <xf numFmtId="4" fontId="0" fillId="0" borderId="41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/>
    </xf>
    <xf numFmtId="4" fontId="0" fillId="0" borderId="34" xfId="0" applyNumberFormat="1" applyFont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33" borderId="27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43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3" borderId="45" xfId="0" applyNumberFormat="1" applyFont="1" applyFill="1" applyBorder="1" applyAlignment="1">
      <alignment horizontal="center" vertical="center" wrapText="1"/>
    </xf>
    <xf numFmtId="2" fontId="1" fillId="33" borderId="46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0" fontId="1" fillId="0" borderId="4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49" xfId="0" applyNumberFormat="1" applyFont="1" applyFill="1" applyBorder="1" applyAlignment="1">
      <alignment horizontal="center" vertical="center" wrapText="1"/>
    </xf>
    <xf numFmtId="2" fontId="1" fillId="34" borderId="50" xfId="0" applyNumberFormat="1" applyFont="1" applyFill="1" applyBorder="1" applyAlignment="1">
      <alignment horizontal="center" vertical="center" wrapText="1"/>
    </xf>
    <xf numFmtId="2" fontId="1" fillId="34" borderId="36" xfId="0" applyNumberFormat="1" applyFont="1" applyFill="1" applyBorder="1" applyAlignment="1">
      <alignment horizontal="center" vertical="center" wrapText="1"/>
    </xf>
    <xf numFmtId="2" fontId="1" fillId="34" borderId="51" xfId="0" applyNumberFormat="1" applyFont="1" applyFill="1" applyBorder="1" applyAlignment="1">
      <alignment horizontal="center" vertical="center" wrapText="1"/>
    </xf>
    <xf numFmtId="2" fontId="1" fillId="34" borderId="52" xfId="0" applyNumberFormat="1" applyFont="1" applyFill="1" applyBorder="1" applyAlignment="1">
      <alignment horizontal="center" vertical="center" wrapText="1"/>
    </xf>
    <xf numFmtId="2" fontId="1" fillId="34" borderId="53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33" borderId="49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7" fillId="34" borderId="49" xfId="0" applyNumberFormat="1" applyFont="1" applyFill="1" applyBorder="1" applyAlignment="1">
      <alignment horizontal="center" vertical="center" wrapText="1"/>
    </xf>
    <xf numFmtId="2" fontId="7" fillId="34" borderId="50" xfId="0" applyNumberFormat="1" applyFont="1" applyFill="1" applyBorder="1" applyAlignment="1">
      <alignment horizontal="center" vertical="center" wrapText="1"/>
    </xf>
    <xf numFmtId="2" fontId="7" fillId="34" borderId="36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8" xfId="0" applyNumberFormat="1" applyFont="1" applyFill="1" applyBorder="1" applyAlignment="1">
      <alignment horizontal="center" vertical="center" wrapText="1"/>
    </xf>
    <xf numFmtId="2" fontId="1" fillId="36" borderId="49" xfId="0" applyNumberFormat="1" applyFont="1" applyFill="1" applyBorder="1" applyAlignment="1">
      <alignment horizontal="center" vertical="center" wrapText="1"/>
    </xf>
    <xf numFmtId="2" fontId="1" fillId="36" borderId="36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wrapText="1"/>
    </xf>
    <xf numFmtId="0" fontId="1" fillId="0" borderId="51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2" fontId="1" fillId="0" borderId="51" xfId="0" applyNumberFormat="1" applyFont="1" applyFill="1" applyBorder="1" applyAlignment="1">
      <alignment horizontal="center" textRotation="90" wrapText="1"/>
    </xf>
    <xf numFmtId="0" fontId="1" fillId="0" borderId="52" xfId="0" applyFont="1" applyFill="1" applyBorder="1" applyAlignment="1">
      <alignment horizontal="center" textRotation="90" wrapText="1"/>
    </xf>
    <xf numFmtId="0" fontId="1" fillId="0" borderId="53" xfId="0" applyFont="1" applyFill="1" applyBorder="1" applyAlignment="1">
      <alignment horizontal="center" textRotation="90" wrapText="1"/>
    </xf>
    <xf numFmtId="0" fontId="4" fillId="0" borderId="0" xfId="0" applyFont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6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left"/>
    </xf>
    <xf numFmtId="0" fontId="1" fillId="0" borderId="63" xfId="0" applyFont="1" applyFill="1" applyBorder="1" applyAlignment="1">
      <alignment horizontal="left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4" fontId="1" fillId="0" borderId="43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4" fontId="1" fillId="0" borderId="64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42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101;&#1082;&#1089;&#1077;&#1083;&#1100;\&#1083;&#1089;&#1095;&#1077;&#1090;%20&#1085;&#1077;&#1078;&#1080;&#1083;%20&#1087;&#1086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74;&#1099;&#1087;&#1080;&#1089;&#1082;&#1080;%202009%20&#1075;&#1086;&#1076;\&#1058;&#1072;&#1096;&#1090;&#1072;&#1075;&#1086;&#1083;\&#1051;&#1080;&#1094;&#1077;&#1074;&#1086;&#1081;%20&#1089;&#1095;&#1077;&#1090;%20&#1051;&#1077;&#1085;&#1080;&#1085;&#1072;,%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4&#1082;&#1074;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104">
          <cell r="I104">
            <v>761.31948</v>
          </cell>
        </row>
        <row r="118">
          <cell r="I118">
            <v>753.5343999999999</v>
          </cell>
        </row>
      </sheetData>
      <sheetData sheetId="1">
        <row r="104">
          <cell r="I104">
            <v>761.31948</v>
          </cell>
          <cell r="O104">
            <v>306.84132</v>
          </cell>
        </row>
        <row r="118">
          <cell r="I118">
            <v>753.5343999999999</v>
          </cell>
          <cell r="O118">
            <v>303.6996</v>
          </cell>
        </row>
      </sheetData>
      <sheetData sheetId="2">
        <row r="105">
          <cell r="I105">
            <v>761.31948</v>
          </cell>
          <cell r="O105">
            <v>306.84132</v>
          </cell>
        </row>
        <row r="120">
          <cell r="I120">
            <v>753.5343999999999</v>
          </cell>
          <cell r="O120">
            <v>303.6996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AD3" t="str">
            <v>Доходы по нежил.помещениям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104">
          <cell r="O104">
            <v>306.410956</v>
          </cell>
        </row>
        <row r="118">
          <cell r="O118">
            <v>303.27328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0">
        <row r="102">
          <cell r="I102">
            <v>761.31948</v>
          </cell>
        </row>
        <row r="117">
          <cell r="I117">
            <v>753.5343999999999</v>
          </cell>
        </row>
      </sheetData>
      <sheetData sheetId="2">
        <row r="103">
          <cell r="M103">
            <v>306.478</v>
          </cell>
        </row>
        <row r="118">
          <cell r="M118">
            <v>303.34000000000003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3">
        <row r="103">
          <cell r="I103">
            <v>761.31948</v>
          </cell>
          <cell r="M103">
            <v>306.478</v>
          </cell>
        </row>
        <row r="118">
          <cell r="I118">
            <v>753.5343999999999</v>
          </cell>
          <cell r="M118">
            <v>303.34000000000003</v>
          </cell>
        </row>
      </sheetData>
      <sheetData sheetId="5">
        <row r="100">
          <cell r="M100">
            <v>306.478</v>
          </cell>
        </row>
        <row r="115">
          <cell r="M115">
            <v>303.34000000000003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6">
        <row r="99">
          <cell r="I99">
            <v>643.76788</v>
          </cell>
        </row>
        <row r="114">
          <cell r="I114">
            <v>753.5343999999999</v>
          </cell>
        </row>
      </sheetData>
      <sheetData sheetId="9">
        <row r="99">
          <cell r="I99">
            <v>643.76788</v>
          </cell>
          <cell r="M99">
            <v>306.478</v>
          </cell>
        </row>
        <row r="115">
          <cell r="I115">
            <v>753.5343999999999</v>
          </cell>
          <cell r="M115">
            <v>303.34000000000003</v>
          </cell>
        </row>
      </sheetData>
      <sheetData sheetId="10">
        <row r="99">
          <cell r="I99">
            <v>643.76788</v>
          </cell>
          <cell r="M99">
            <v>306.478</v>
          </cell>
        </row>
        <row r="114">
          <cell r="I114">
            <v>753.5343999999999</v>
          </cell>
          <cell r="M114">
            <v>303.34000000000003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P2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E43" sqref="BE43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2" width="9.25390625" style="2" bestFit="1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147" t="s">
        <v>89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148" t="s">
        <v>0</v>
      </c>
      <c r="B3" s="151" t="s">
        <v>1</v>
      </c>
      <c r="C3" s="151" t="s">
        <v>2</v>
      </c>
      <c r="D3" s="151" t="s">
        <v>3</v>
      </c>
      <c r="E3" s="154" t="s">
        <v>4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71" t="s">
        <v>5</v>
      </c>
      <c r="T3" s="171"/>
      <c r="U3" s="172" t="s">
        <v>6</v>
      </c>
      <c r="V3" s="172"/>
      <c r="W3" s="172"/>
      <c r="X3" s="172"/>
      <c r="Y3" s="172"/>
      <c r="Z3" s="172"/>
      <c r="AA3" s="172"/>
      <c r="AB3" s="172"/>
      <c r="AC3" s="174" t="s">
        <v>86</v>
      </c>
      <c r="AD3" s="174" t="s">
        <v>8</v>
      </c>
      <c r="AE3" s="177" t="s">
        <v>9</v>
      </c>
      <c r="AF3" s="184" t="s">
        <v>74</v>
      </c>
      <c r="AG3" s="187" t="s">
        <v>10</v>
      </c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63" t="s">
        <v>75</v>
      </c>
      <c r="BD3" s="168" t="s">
        <v>11</v>
      </c>
      <c r="BE3" s="156" t="s">
        <v>12</v>
      </c>
    </row>
    <row r="4" spans="1:57" ht="36" customHeight="1" thickBot="1">
      <c r="A4" s="149"/>
      <c r="B4" s="152"/>
      <c r="C4" s="152"/>
      <c r="D4" s="152"/>
      <c r="E4" s="155" t="s">
        <v>13</v>
      </c>
      <c r="F4" s="155"/>
      <c r="G4" s="155" t="s">
        <v>14</v>
      </c>
      <c r="H4" s="155"/>
      <c r="I4" s="155" t="s">
        <v>15</v>
      </c>
      <c r="J4" s="155"/>
      <c r="K4" s="155" t="s">
        <v>16</v>
      </c>
      <c r="L4" s="155"/>
      <c r="M4" s="155" t="s">
        <v>17</v>
      </c>
      <c r="N4" s="155"/>
      <c r="O4" s="155" t="s">
        <v>18</v>
      </c>
      <c r="P4" s="155"/>
      <c r="Q4" s="155" t="s">
        <v>19</v>
      </c>
      <c r="R4" s="155"/>
      <c r="S4" s="155"/>
      <c r="T4" s="155"/>
      <c r="U4" s="173"/>
      <c r="V4" s="173"/>
      <c r="W4" s="173"/>
      <c r="X4" s="173"/>
      <c r="Y4" s="173"/>
      <c r="Z4" s="173"/>
      <c r="AA4" s="173"/>
      <c r="AB4" s="173"/>
      <c r="AC4" s="175"/>
      <c r="AD4" s="175"/>
      <c r="AE4" s="178"/>
      <c r="AF4" s="185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64"/>
      <c r="BD4" s="169"/>
      <c r="BE4" s="157"/>
    </row>
    <row r="5" spans="1:57" ht="29.25" customHeight="1" thickBot="1">
      <c r="A5" s="149"/>
      <c r="B5" s="152"/>
      <c r="C5" s="152"/>
      <c r="D5" s="152"/>
      <c r="E5" s="166" t="s">
        <v>20</v>
      </c>
      <c r="F5" s="166" t="s">
        <v>21</v>
      </c>
      <c r="G5" s="166" t="s">
        <v>20</v>
      </c>
      <c r="H5" s="166" t="s">
        <v>21</v>
      </c>
      <c r="I5" s="166" t="s">
        <v>20</v>
      </c>
      <c r="J5" s="166" t="s">
        <v>21</v>
      </c>
      <c r="K5" s="166" t="s">
        <v>20</v>
      </c>
      <c r="L5" s="166" t="s">
        <v>21</v>
      </c>
      <c r="M5" s="166" t="s">
        <v>20</v>
      </c>
      <c r="N5" s="166" t="s">
        <v>21</v>
      </c>
      <c r="O5" s="166" t="s">
        <v>20</v>
      </c>
      <c r="P5" s="166" t="s">
        <v>21</v>
      </c>
      <c r="Q5" s="166" t="s">
        <v>20</v>
      </c>
      <c r="R5" s="166" t="s">
        <v>21</v>
      </c>
      <c r="S5" s="166" t="s">
        <v>20</v>
      </c>
      <c r="T5" s="166" t="s">
        <v>21</v>
      </c>
      <c r="U5" s="180" t="s">
        <v>22</v>
      </c>
      <c r="V5" s="180" t="s">
        <v>23</v>
      </c>
      <c r="W5" s="180" t="s">
        <v>24</v>
      </c>
      <c r="X5" s="180" t="s">
        <v>25</v>
      </c>
      <c r="Y5" s="180" t="s">
        <v>26</v>
      </c>
      <c r="Z5" s="180" t="s">
        <v>27</v>
      </c>
      <c r="AA5" s="180" t="s">
        <v>28</v>
      </c>
      <c r="AB5" s="180" t="s">
        <v>29</v>
      </c>
      <c r="AC5" s="175"/>
      <c r="AD5" s="175"/>
      <c r="AE5" s="178"/>
      <c r="AF5" s="185"/>
      <c r="AG5" s="159" t="s">
        <v>30</v>
      </c>
      <c r="AH5" s="159" t="s">
        <v>31</v>
      </c>
      <c r="AI5" s="159" t="s">
        <v>32</v>
      </c>
      <c r="AJ5" s="159" t="s">
        <v>33</v>
      </c>
      <c r="AK5" s="159" t="s">
        <v>34</v>
      </c>
      <c r="AL5" s="159" t="s">
        <v>33</v>
      </c>
      <c r="AM5" s="159" t="s">
        <v>35</v>
      </c>
      <c r="AN5" s="159" t="s">
        <v>33</v>
      </c>
      <c r="AO5" s="159" t="s">
        <v>36</v>
      </c>
      <c r="AP5" s="159" t="s">
        <v>33</v>
      </c>
      <c r="AQ5" s="191" t="s">
        <v>79</v>
      </c>
      <c r="AR5" s="193" t="s">
        <v>33</v>
      </c>
      <c r="AS5" s="161" t="s">
        <v>80</v>
      </c>
      <c r="AT5" s="182" t="s">
        <v>81</v>
      </c>
      <c r="AU5" s="182" t="s">
        <v>33</v>
      </c>
      <c r="AV5" s="188" t="s">
        <v>82</v>
      </c>
      <c r="AW5" s="189"/>
      <c r="AX5" s="190"/>
      <c r="AY5" s="159" t="s">
        <v>19</v>
      </c>
      <c r="AZ5" s="159" t="s">
        <v>38</v>
      </c>
      <c r="BA5" s="159" t="s">
        <v>33</v>
      </c>
      <c r="BB5" s="159" t="s">
        <v>39</v>
      </c>
      <c r="BC5" s="164"/>
      <c r="BD5" s="169"/>
      <c r="BE5" s="157"/>
    </row>
    <row r="6" spans="1:57" ht="54" customHeight="1" thickBot="1">
      <c r="A6" s="150"/>
      <c r="B6" s="153"/>
      <c r="C6" s="153"/>
      <c r="D6" s="153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81"/>
      <c r="V6" s="181"/>
      <c r="W6" s="181"/>
      <c r="X6" s="181"/>
      <c r="Y6" s="181"/>
      <c r="Z6" s="181"/>
      <c r="AA6" s="181"/>
      <c r="AB6" s="181"/>
      <c r="AC6" s="176"/>
      <c r="AD6" s="176"/>
      <c r="AE6" s="179"/>
      <c r="AF6" s="186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92"/>
      <c r="AR6" s="194"/>
      <c r="AS6" s="162"/>
      <c r="AT6" s="183"/>
      <c r="AU6" s="183"/>
      <c r="AV6" s="111" t="s">
        <v>83</v>
      </c>
      <c r="AW6" s="111" t="s">
        <v>84</v>
      </c>
      <c r="AX6" s="111" t="s">
        <v>85</v>
      </c>
      <c r="AY6" s="160"/>
      <c r="AZ6" s="160"/>
      <c r="BA6" s="160"/>
      <c r="BB6" s="160"/>
      <c r="BC6" s="165"/>
      <c r="BD6" s="170"/>
      <c r="BE6" s="158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10"/>
    </row>
    <row r="9" spans="1:57" ht="12.75">
      <c r="A9" s="11" t="s">
        <v>41</v>
      </c>
      <c r="B9" s="97">
        <v>853.55</v>
      </c>
      <c r="C9" s="98">
        <f>B9*8.65</f>
        <v>7383.2074999999995</v>
      </c>
      <c r="D9" s="99">
        <f>C9*0.24088</f>
        <v>1778.4670226</v>
      </c>
      <c r="E9" s="100">
        <v>127.42</v>
      </c>
      <c r="F9" s="100">
        <v>10.18</v>
      </c>
      <c r="G9" s="100">
        <v>127.06</v>
      </c>
      <c r="H9" s="100">
        <v>13.73</v>
      </c>
      <c r="I9" s="100">
        <v>414.2</v>
      </c>
      <c r="J9" s="100">
        <v>33.06</v>
      </c>
      <c r="K9" s="100">
        <v>286.72</v>
      </c>
      <c r="L9" s="100">
        <v>22.9</v>
      </c>
      <c r="M9" s="100">
        <v>101.94</v>
      </c>
      <c r="N9" s="100">
        <v>8.13</v>
      </c>
      <c r="O9" s="100">
        <v>0</v>
      </c>
      <c r="P9" s="100">
        <v>0</v>
      </c>
      <c r="Q9" s="100">
        <v>0</v>
      </c>
      <c r="R9" s="100">
        <v>0</v>
      </c>
      <c r="S9" s="85">
        <f>E9+G9+I9+K9+M9+O9+Q9</f>
        <v>1057.3400000000001</v>
      </c>
      <c r="T9" s="101">
        <f>P9+N9+L9+J9+H9+F9+R9</f>
        <v>88</v>
      </c>
      <c r="U9" s="85">
        <v>0</v>
      </c>
      <c r="V9" s="85">
        <v>0</v>
      </c>
      <c r="W9" s="85">
        <v>0</v>
      </c>
      <c r="X9" s="85">
        <v>0</v>
      </c>
      <c r="Y9" s="135">
        <v>0</v>
      </c>
      <c r="Z9" s="102">
        <v>0</v>
      </c>
      <c r="AA9" s="102">
        <v>0</v>
      </c>
      <c r="AB9" s="102">
        <f>SUM(U9:AA9)</f>
        <v>0</v>
      </c>
      <c r="AC9" s="103">
        <f>D9+T9+AB9</f>
        <v>1866.4670226</v>
      </c>
      <c r="AD9" s="104">
        <f>P9+Z9</f>
        <v>0</v>
      </c>
      <c r="AE9" s="95">
        <f>R9+AA9</f>
        <v>0</v>
      </c>
      <c r="AF9" s="95"/>
      <c r="AG9" s="16">
        <f>0.6*B9</f>
        <v>512.13</v>
      </c>
      <c r="AH9" s="16">
        <f>B9*0.2*1.05826</f>
        <v>180.6555646</v>
      </c>
      <c r="AI9" s="16">
        <f>0.8518*B9</f>
        <v>727.0538899999999</v>
      </c>
      <c r="AJ9" s="16">
        <f>AI9*0.18</f>
        <v>130.86970019999998</v>
      </c>
      <c r="AK9" s="16">
        <f>1.04*B9*0.9531</f>
        <v>846.0592452</v>
      </c>
      <c r="AL9" s="16">
        <f>AK9*0.18</f>
        <v>152.29066413599998</v>
      </c>
      <c r="AM9" s="16">
        <f>(1.91)*B9*0.9531</f>
        <v>1553.8203445499998</v>
      </c>
      <c r="AN9" s="16">
        <f>AM9*0.18</f>
        <v>279.68766201899996</v>
      </c>
      <c r="AO9" s="16"/>
      <c r="AP9" s="16">
        <f>AO9*0.18</f>
        <v>0</v>
      </c>
      <c r="AQ9" s="109"/>
      <c r="AR9" s="109"/>
      <c r="AS9" s="90"/>
      <c r="AT9" s="90"/>
      <c r="AU9" s="90">
        <f>(AS9+AT9)*0.18</f>
        <v>0</v>
      </c>
      <c r="AV9" s="110"/>
      <c r="AW9" s="125"/>
      <c r="AX9" s="16">
        <f>AV9*AW9*1.12*1.18</f>
        <v>0</v>
      </c>
      <c r="AY9" s="112"/>
      <c r="AZ9" s="113"/>
      <c r="BA9" s="113">
        <f>AZ9*0.18</f>
        <v>0</v>
      </c>
      <c r="BB9" s="113">
        <f>SUM(AG9:BA9)-AV9-AW9</f>
        <v>4382.567070704999</v>
      </c>
      <c r="BC9" s="123"/>
      <c r="BD9" s="14">
        <f>AC9-BB9</f>
        <v>-2516.1000481049996</v>
      </c>
      <c r="BE9" s="30">
        <f>AB9-S9</f>
        <v>-1057.3400000000001</v>
      </c>
    </row>
    <row r="10" spans="1:57" ht="12.75">
      <c r="A10" s="11" t="s">
        <v>42</v>
      </c>
      <c r="B10" s="97">
        <v>853.55</v>
      </c>
      <c r="C10" s="98">
        <f>B10*8.65</f>
        <v>7383.2074999999995</v>
      </c>
      <c r="D10" s="99">
        <f>C10*0.24088</f>
        <v>1778.4670226</v>
      </c>
      <c r="E10" s="100">
        <v>127.42</v>
      </c>
      <c r="F10" s="100">
        <v>10.18</v>
      </c>
      <c r="G10" s="100">
        <v>127.06</v>
      </c>
      <c r="H10" s="100">
        <v>13.73</v>
      </c>
      <c r="I10" s="100">
        <v>414.2</v>
      </c>
      <c r="J10" s="100">
        <v>33.06</v>
      </c>
      <c r="K10" s="100">
        <v>286.72</v>
      </c>
      <c r="L10" s="100">
        <v>22.9</v>
      </c>
      <c r="M10" s="100">
        <v>101.94</v>
      </c>
      <c r="N10" s="100">
        <v>8.13</v>
      </c>
      <c r="O10" s="100">
        <v>0</v>
      </c>
      <c r="P10" s="100">
        <v>0</v>
      </c>
      <c r="Q10" s="100">
        <v>0</v>
      </c>
      <c r="R10" s="100">
        <v>0</v>
      </c>
      <c r="S10" s="85">
        <f>E10+G10+I10+K10+M10+O10+Q10</f>
        <v>1057.3400000000001</v>
      </c>
      <c r="T10" s="101">
        <f>P10+N10+L10+J10+H10+F10+R10</f>
        <v>88</v>
      </c>
      <c r="U10" s="85">
        <v>101.85</v>
      </c>
      <c r="V10" s="85">
        <v>137.49</v>
      </c>
      <c r="W10" s="85">
        <v>403.93</v>
      </c>
      <c r="X10" s="85">
        <v>229.17</v>
      </c>
      <c r="Y10" s="135">
        <v>81.49</v>
      </c>
      <c r="Z10" s="102">
        <v>0</v>
      </c>
      <c r="AA10" s="102">
        <v>0</v>
      </c>
      <c r="AB10" s="105">
        <f>SUM(U10:AA10)</f>
        <v>953.93</v>
      </c>
      <c r="AC10" s="106">
        <f>D10+T10+AB10</f>
        <v>2820.3970226</v>
      </c>
      <c r="AD10" s="95">
        <f>P10+Z10</f>
        <v>0</v>
      </c>
      <c r="AE10" s="95">
        <f>R10+AA10</f>
        <v>0</v>
      </c>
      <c r="AF10" s="95"/>
      <c r="AG10" s="16">
        <f>0.6*B10</f>
        <v>512.13</v>
      </c>
      <c r="AH10" s="16">
        <f>B10*0.201</f>
        <v>171.56355</v>
      </c>
      <c r="AI10" s="16">
        <f>0.8518*B10</f>
        <v>727.0538899999999</v>
      </c>
      <c r="AJ10" s="16">
        <f>AI10*0.18</f>
        <v>130.86970019999998</v>
      </c>
      <c r="AK10" s="16">
        <f>1.04*B10*0.9531</f>
        <v>846.0592452</v>
      </c>
      <c r="AL10" s="16">
        <f>AK10*0.18</f>
        <v>152.29066413599998</v>
      </c>
      <c r="AM10" s="16">
        <f>(1.91)*B10*0.9531</f>
        <v>1553.8203445499998</v>
      </c>
      <c r="AN10" s="16">
        <f>AM10*0.18</f>
        <v>279.68766201899996</v>
      </c>
      <c r="AO10" s="16"/>
      <c r="AP10" s="16">
        <f>AO10*0.18</f>
        <v>0</v>
      </c>
      <c r="AQ10" s="109"/>
      <c r="AR10" s="109"/>
      <c r="AS10" s="90">
        <v>451</v>
      </c>
      <c r="AT10" s="90"/>
      <c r="AU10" s="90">
        <f>(AS10+AT10)*0.18</f>
        <v>81.17999999999999</v>
      </c>
      <c r="AV10" s="110"/>
      <c r="AW10" s="125"/>
      <c r="AX10" s="16">
        <f>AV10*AW10*1.12*1.18</f>
        <v>0</v>
      </c>
      <c r="AY10" s="112"/>
      <c r="AZ10" s="113"/>
      <c r="BA10" s="113">
        <f>AZ10*0.18</f>
        <v>0</v>
      </c>
      <c r="BB10" s="113">
        <f>SUM(AG10:BA10)-AV10-AW10</f>
        <v>4905.655056105</v>
      </c>
      <c r="BC10" s="123"/>
      <c r="BD10" s="14">
        <f>AC10-BB10</f>
        <v>-2085.2580335049997</v>
      </c>
      <c r="BE10" s="30">
        <f>AB10-S10</f>
        <v>-103.4100000000002</v>
      </c>
    </row>
    <row r="11" spans="1:57" ht="12.75">
      <c r="A11" s="11" t="s">
        <v>43</v>
      </c>
      <c r="B11" s="97">
        <v>853.55</v>
      </c>
      <c r="C11" s="98">
        <f>B11*8.65</f>
        <v>7383.2074999999995</v>
      </c>
      <c r="D11" s="99">
        <f>C11*0.24035</f>
        <v>1774.553922625</v>
      </c>
      <c r="E11" s="100">
        <v>382.33</v>
      </c>
      <c r="F11" s="100">
        <v>30.53</v>
      </c>
      <c r="G11" s="100">
        <v>516.16</v>
      </c>
      <c r="H11" s="100">
        <v>41.21</v>
      </c>
      <c r="I11" s="100">
        <v>1242.62</v>
      </c>
      <c r="J11" s="100">
        <v>99.21</v>
      </c>
      <c r="K11" s="100">
        <v>860.26</v>
      </c>
      <c r="L11" s="100">
        <v>68.69</v>
      </c>
      <c r="M11" s="100">
        <v>305.87</v>
      </c>
      <c r="N11" s="100">
        <v>24.42</v>
      </c>
      <c r="O11" s="100">
        <v>0</v>
      </c>
      <c r="P11" s="107">
        <v>0</v>
      </c>
      <c r="Q11" s="100">
        <v>0</v>
      </c>
      <c r="R11" s="107">
        <v>0</v>
      </c>
      <c r="S11" s="85">
        <f>E11+G11+I11+K11+M11+O11+Q11</f>
        <v>3307.24</v>
      </c>
      <c r="T11" s="101">
        <f>P11+N11+L11+J11+H11+F11+R11</f>
        <v>264.06</v>
      </c>
      <c r="U11" s="85">
        <v>163.61</v>
      </c>
      <c r="V11" s="85">
        <v>220.87</v>
      </c>
      <c r="W11" s="85">
        <v>730.44</v>
      </c>
      <c r="X11" s="85">
        <v>368.16</v>
      </c>
      <c r="Y11" s="135">
        <v>130.91</v>
      </c>
      <c r="Z11" s="102">
        <v>0</v>
      </c>
      <c r="AA11" s="102">
        <v>0</v>
      </c>
      <c r="AB11" s="105">
        <f>SUM(U11:AA11)</f>
        <v>1613.9900000000002</v>
      </c>
      <c r="AC11" s="106">
        <f>D11+T11+AB11</f>
        <v>3652.6039226250005</v>
      </c>
      <c r="AD11" s="95">
        <f>P11+Z11</f>
        <v>0</v>
      </c>
      <c r="AE11" s="95">
        <f>R11+AA11</f>
        <v>0</v>
      </c>
      <c r="AF11" s="95"/>
      <c r="AG11" s="16">
        <f>0.6*B11</f>
        <v>512.13</v>
      </c>
      <c r="AH11" s="16">
        <f>B11*0.2*1.02524</f>
        <v>175.0187204</v>
      </c>
      <c r="AI11" s="16">
        <f>0.84932*B11</f>
        <v>724.9370859999999</v>
      </c>
      <c r="AJ11" s="16">
        <f>AI11*0.18</f>
        <v>130.48867547999998</v>
      </c>
      <c r="AK11" s="16">
        <f>1.04*B11*0.95033</f>
        <v>843.60033836</v>
      </c>
      <c r="AL11" s="16">
        <f>AK11*0.18</f>
        <v>151.8480609048</v>
      </c>
      <c r="AM11" s="16">
        <f>(1.91)*B11*0.95033</f>
        <v>1549.3044675649999</v>
      </c>
      <c r="AN11" s="16">
        <f>AM11*0.18</f>
        <v>278.87480416169996</v>
      </c>
      <c r="AO11" s="16"/>
      <c r="AP11" s="16">
        <f>AO11*0.18</f>
        <v>0</v>
      </c>
      <c r="AQ11" s="109"/>
      <c r="AR11" s="109"/>
      <c r="AS11" s="90"/>
      <c r="AT11" s="90"/>
      <c r="AU11" s="90">
        <f>(AS11+AT11)*0.18</f>
        <v>0</v>
      </c>
      <c r="AV11" s="110"/>
      <c r="AW11" s="125"/>
      <c r="AX11" s="16">
        <f>AV11*AW11*1.12*1.18</f>
        <v>0</v>
      </c>
      <c r="AY11" s="112"/>
      <c r="AZ11" s="113"/>
      <c r="BA11" s="113">
        <f>AZ11*0.18</f>
        <v>0</v>
      </c>
      <c r="BB11" s="113">
        <f>SUM(AG11:BA11)-AV11-AW11</f>
        <v>4366.2021528714995</v>
      </c>
      <c r="BC11" s="123"/>
      <c r="BD11" s="14">
        <f>AC11-BB11</f>
        <v>-713.598230246499</v>
      </c>
      <c r="BE11" s="30">
        <f>AB11-S11</f>
        <v>-1693.2499999999995</v>
      </c>
    </row>
    <row r="12" spans="1:57" s="20" customFormat="1" ht="15" customHeight="1">
      <c r="A12" s="17" t="s">
        <v>5</v>
      </c>
      <c r="B12" s="60"/>
      <c r="C12" s="60">
        <f aca="true" t="shared" si="0" ref="C12:BE12">SUM(C9:C11)</f>
        <v>22149.622499999998</v>
      </c>
      <c r="D12" s="60">
        <f t="shared" si="0"/>
        <v>5331.487967825</v>
      </c>
      <c r="E12" s="57">
        <f>SUM(E9:E11)</f>
        <v>637.17</v>
      </c>
      <c r="F12" s="57">
        <f t="shared" si="0"/>
        <v>50.89</v>
      </c>
      <c r="G12" s="57">
        <f t="shared" si="0"/>
        <v>770.28</v>
      </c>
      <c r="H12" s="57">
        <f t="shared" si="0"/>
        <v>68.67</v>
      </c>
      <c r="I12" s="57">
        <f t="shared" si="0"/>
        <v>2071.02</v>
      </c>
      <c r="J12" s="57">
        <f t="shared" si="0"/>
        <v>165.32999999999998</v>
      </c>
      <c r="K12" s="57">
        <f t="shared" si="0"/>
        <v>1433.7</v>
      </c>
      <c r="L12" s="57">
        <f t="shared" si="0"/>
        <v>114.49</v>
      </c>
      <c r="M12" s="57">
        <f t="shared" si="0"/>
        <v>509.75</v>
      </c>
      <c r="N12" s="57">
        <f t="shared" si="0"/>
        <v>40.68000000000001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5421.92</v>
      </c>
      <c r="T12" s="57">
        <f t="shared" si="0"/>
        <v>440.06</v>
      </c>
      <c r="U12" s="61">
        <f t="shared" si="0"/>
        <v>265.46000000000004</v>
      </c>
      <c r="V12" s="61">
        <f t="shared" si="0"/>
        <v>358.36</v>
      </c>
      <c r="W12" s="61">
        <f t="shared" si="0"/>
        <v>1134.3700000000001</v>
      </c>
      <c r="X12" s="61">
        <f t="shared" si="0"/>
        <v>597.33</v>
      </c>
      <c r="Y12" s="61">
        <f t="shared" si="0"/>
        <v>212.39999999999998</v>
      </c>
      <c r="Z12" s="61">
        <f t="shared" si="0"/>
        <v>0</v>
      </c>
      <c r="AA12" s="61">
        <f t="shared" si="0"/>
        <v>0</v>
      </c>
      <c r="AB12" s="61">
        <f t="shared" si="0"/>
        <v>2567.92</v>
      </c>
      <c r="AC12" s="61">
        <f t="shared" si="0"/>
        <v>8339.467967825</v>
      </c>
      <c r="AD12" s="61">
        <f>SUM(AD9:AD11)</f>
        <v>0</v>
      </c>
      <c r="AE12" s="93">
        <f t="shared" si="0"/>
        <v>0</v>
      </c>
      <c r="AF12" s="93">
        <f t="shared" si="0"/>
        <v>0</v>
      </c>
      <c r="AG12" s="18">
        <f t="shared" si="0"/>
        <v>1536.3899999999999</v>
      </c>
      <c r="AH12" s="18">
        <f t="shared" si="0"/>
        <v>527.237835</v>
      </c>
      <c r="AI12" s="18">
        <f t="shared" si="0"/>
        <v>2179.0448659999997</v>
      </c>
      <c r="AJ12" s="18">
        <f t="shared" si="0"/>
        <v>392.22807587999995</v>
      </c>
      <c r="AK12" s="18">
        <f t="shared" si="0"/>
        <v>2535.71882876</v>
      </c>
      <c r="AL12" s="18">
        <f t="shared" si="0"/>
        <v>456.4293891768</v>
      </c>
      <c r="AM12" s="18">
        <f>SUM(AM9:AM11)</f>
        <v>4656.945156665</v>
      </c>
      <c r="AN12" s="18">
        <f>SUM(AN9:AN11)</f>
        <v>838.2501281996999</v>
      </c>
      <c r="AO12" s="18">
        <f t="shared" si="0"/>
        <v>0</v>
      </c>
      <c r="AP12" s="18">
        <f t="shared" si="0"/>
        <v>0</v>
      </c>
      <c r="AQ12" s="18">
        <f>SUM(AQ9:AQ11)</f>
        <v>0</v>
      </c>
      <c r="AR12" s="18">
        <f>SUM(AR9:AR11)</f>
        <v>0</v>
      </c>
      <c r="AS12" s="18">
        <f>SUM(AS9:AS11)</f>
        <v>451</v>
      </c>
      <c r="AT12" s="18">
        <f>SUM(AT9:AT11)</f>
        <v>0</v>
      </c>
      <c r="AU12" s="18">
        <f>SUM(AU9:AU11)</f>
        <v>81.17999999999999</v>
      </c>
      <c r="AV12" s="18"/>
      <c r="AW12" s="18"/>
      <c r="AX12" s="18">
        <f t="shared" si="0"/>
        <v>0</v>
      </c>
      <c r="AY12" s="18">
        <f t="shared" si="0"/>
        <v>0</v>
      </c>
      <c r="AZ12" s="18">
        <f t="shared" si="0"/>
        <v>0</v>
      </c>
      <c r="BA12" s="18">
        <f t="shared" si="0"/>
        <v>0</v>
      </c>
      <c r="BB12" s="18">
        <f t="shared" si="0"/>
        <v>13654.4242796815</v>
      </c>
      <c r="BC12" s="18">
        <f t="shared" si="0"/>
        <v>0</v>
      </c>
      <c r="BD12" s="18">
        <f t="shared" si="0"/>
        <v>-5314.956311856498</v>
      </c>
      <c r="BE12" s="19">
        <f t="shared" si="0"/>
        <v>-2854</v>
      </c>
    </row>
    <row r="13" spans="1:57" ht="15" customHeight="1">
      <c r="A13" s="5" t="s">
        <v>44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62"/>
      <c r="V13" s="62"/>
      <c r="W13" s="62"/>
      <c r="X13" s="62"/>
      <c r="Y13" s="62"/>
      <c r="Z13" s="62"/>
      <c r="AA13" s="54"/>
      <c r="AB13" s="54"/>
      <c r="AC13" s="91"/>
      <c r="AD13" s="91"/>
      <c r="AE13" s="92"/>
      <c r="AF13" s="92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14"/>
      <c r="BB13" s="14"/>
      <c r="BC13" s="14"/>
      <c r="BD13" s="14"/>
      <c r="BE13" s="30"/>
    </row>
    <row r="14" spans="1:57" ht="12.75">
      <c r="A14" s="11" t="s">
        <v>45</v>
      </c>
      <c r="B14" s="134">
        <v>853.55</v>
      </c>
      <c r="C14" s="98">
        <f aca="true" t="shared" si="1" ref="C14:C25">B14*8.65</f>
        <v>7383.2074999999995</v>
      </c>
      <c r="D14" s="99">
        <f>C14*0.125</f>
        <v>922.9009374999999</v>
      </c>
      <c r="E14" s="100">
        <v>382.29</v>
      </c>
      <c r="F14" s="100">
        <v>30.53</v>
      </c>
      <c r="G14" s="100">
        <v>516.11</v>
      </c>
      <c r="H14" s="100">
        <v>41.21</v>
      </c>
      <c r="I14" s="100">
        <v>1242.51</v>
      </c>
      <c r="J14" s="100">
        <v>99.21</v>
      </c>
      <c r="K14" s="100">
        <v>860.19</v>
      </c>
      <c r="L14" s="100">
        <v>68.69</v>
      </c>
      <c r="M14" s="100">
        <v>305.85</v>
      </c>
      <c r="N14" s="100">
        <v>24.42</v>
      </c>
      <c r="O14" s="100">
        <v>0</v>
      </c>
      <c r="P14" s="107">
        <v>0</v>
      </c>
      <c r="Q14" s="100">
        <v>0</v>
      </c>
      <c r="R14" s="107">
        <v>0</v>
      </c>
      <c r="S14" s="85">
        <f aca="true" t="shared" si="2" ref="S14:S25">E14+G14+I14+K14+M14+O14+Q14</f>
        <v>3306.95</v>
      </c>
      <c r="T14" s="101">
        <f aca="true" t="shared" si="3" ref="T14:T25">P14+N14+L14+J14+H14+F14+R14</f>
        <v>264.06</v>
      </c>
      <c r="U14" s="85">
        <v>140.26</v>
      </c>
      <c r="V14" s="85">
        <v>189.33</v>
      </c>
      <c r="W14" s="85">
        <v>308.31</v>
      </c>
      <c r="X14" s="85">
        <v>315.56</v>
      </c>
      <c r="Y14" s="135">
        <v>112.21</v>
      </c>
      <c r="Z14" s="102">
        <v>0</v>
      </c>
      <c r="AA14" s="102">
        <v>0</v>
      </c>
      <c r="AB14" s="108">
        <f aca="true" t="shared" si="4" ref="AB14:AB22">SUM(U14:AA14)</f>
        <v>1065.67</v>
      </c>
      <c r="AC14" s="106">
        <f aca="true" t="shared" si="5" ref="AC14:AC22">D14+T14+AB14</f>
        <v>2252.6309375</v>
      </c>
      <c r="AD14" s="95">
        <f aca="true" t="shared" si="6" ref="AD14:AD25">P14+Z14</f>
        <v>0</v>
      </c>
      <c r="AE14" s="95">
        <f aca="true" t="shared" si="7" ref="AE14:AE25">R14+AA14</f>
        <v>0</v>
      </c>
      <c r="AF14" s="95"/>
      <c r="AG14" s="16">
        <f>0.6*B14*0.9</f>
        <v>460.91700000000003</v>
      </c>
      <c r="AH14" s="16">
        <f>B14*0.2*0.891</f>
        <v>152.10261</v>
      </c>
      <c r="AI14" s="16">
        <f>0.85*B14*0.867-0.02</f>
        <v>629.0036725</v>
      </c>
      <c r="AJ14" s="16">
        <f aca="true" t="shared" si="8" ref="AJ14:AJ25">AI14*0.18</f>
        <v>113.22066104999999</v>
      </c>
      <c r="AK14" s="16">
        <f>0.83*B14*0.8686</f>
        <v>615.3566298999999</v>
      </c>
      <c r="AL14" s="16">
        <f aca="true" t="shared" si="9" ref="AL14:AL25">AK14*0.18</f>
        <v>110.76419338199999</v>
      </c>
      <c r="AM14" s="16">
        <f>1.91*B14*0.8686</f>
        <v>1416.0616423</v>
      </c>
      <c r="AN14" s="16">
        <f aca="true" t="shared" si="10" ref="AN14:AN25">AM14*0.18</f>
        <v>254.89109561399997</v>
      </c>
      <c r="AO14" s="16"/>
      <c r="AP14" s="16">
        <f aca="true" t="shared" si="11" ref="AP14:AR25">AO14*0.18</f>
        <v>0</v>
      </c>
      <c r="AQ14" s="109"/>
      <c r="AR14" s="109">
        <f>AQ14*0.18</f>
        <v>0</v>
      </c>
      <c r="AS14" s="90">
        <v>6700</v>
      </c>
      <c r="AT14" s="90"/>
      <c r="AU14" s="90">
        <f>(AS14+AT14)*0.18+0.01</f>
        <v>1206.01</v>
      </c>
      <c r="AV14" s="110">
        <v>508</v>
      </c>
      <c r="AW14" s="131">
        <v>0.3</v>
      </c>
      <c r="AX14" s="115">
        <f aca="true" t="shared" si="12" ref="AX14:AX25">AV14*AW14*1.12*1.18</f>
        <v>201.41184</v>
      </c>
      <c r="AY14" s="115"/>
      <c r="AZ14" s="130"/>
      <c r="BA14" s="130">
        <f>AZ14*0.18</f>
        <v>0</v>
      </c>
      <c r="BB14" s="113">
        <f>SUM(AG14:AU14)</f>
        <v>11658.327504746</v>
      </c>
      <c r="BC14" s="123"/>
      <c r="BD14" s="14">
        <f>AC14+AF14-BB14-BC14</f>
        <v>-9405.696567246</v>
      </c>
      <c r="BE14" s="30">
        <f>AB14-S14</f>
        <v>-2241.2799999999997</v>
      </c>
    </row>
    <row r="15" spans="1:57" ht="12.75">
      <c r="A15" s="11" t="s">
        <v>46</v>
      </c>
      <c r="B15" s="134">
        <v>853.55</v>
      </c>
      <c r="C15" s="98">
        <f t="shared" si="1"/>
        <v>7383.2074999999995</v>
      </c>
      <c r="D15" s="99">
        <f>C15*0.125</f>
        <v>922.9009374999999</v>
      </c>
      <c r="E15" s="100">
        <v>382.11</v>
      </c>
      <c r="F15" s="100">
        <v>30.53</v>
      </c>
      <c r="G15" s="100">
        <v>515.88</v>
      </c>
      <c r="H15" s="100">
        <v>41.21</v>
      </c>
      <c r="I15" s="100">
        <v>1241.93</v>
      </c>
      <c r="J15" s="100">
        <v>99.21</v>
      </c>
      <c r="K15" s="100">
        <v>859.78</v>
      </c>
      <c r="L15" s="100">
        <v>68.69</v>
      </c>
      <c r="M15" s="100">
        <v>305.7</v>
      </c>
      <c r="N15" s="100">
        <v>24.42</v>
      </c>
      <c r="O15" s="100">
        <v>0</v>
      </c>
      <c r="P15" s="107">
        <v>0</v>
      </c>
      <c r="Q15" s="100">
        <v>0</v>
      </c>
      <c r="R15" s="107">
        <v>0</v>
      </c>
      <c r="S15" s="85">
        <f t="shared" si="2"/>
        <v>3305.3999999999996</v>
      </c>
      <c r="T15" s="101">
        <f t="shared" si="3"/>
        <v>264.06</v>
      </c>
      <c r="U15" s="85">
        <v>227.56</v>
      </c>
      <c r="V15" s="85">
        <v>307.21</v>
      </c>
      <c r="W15" s="85">
        <v>650.92</v>
      </c>
      <c r="X15" s="85">
        <v>512.03</v>
      </c>
      <c r="Y15" s="135">
        <v>182.06</v>
      </c>
      <c r="Z15" s="102">
        <v>0</v>
      </c>
      <c r="AA15" s="102">
        <v>0</v>
      </c>
      <c r="AB15" s="105">
        <f t="shared" si="4"/>
        <v>1879.78</v>
      </c>
      <c r="AC15" s="106">
        <f t="shared" si="5"/>
        <v>3066.7409374999997</v>
      </c>
      <c r="AD15" s="95">
        <f t="shared" si="6"/>
        <v>0</v>
      </c>
      <c r="AE15" s="95">
        <f t="shared" si="7"/>
        <v>0</v>
      </c>
      <c r="AF15" s="95"/>
      <c r="AG15" s="16">
        <f>0.6*B15*0.9</f>
        <v>460.91700000000003</v>
      </c>
      <c r="AH15" s="16">
        <f>B15*0.2*0.9153</f>
        <v>156.250863</v>
      </c>
      <c r="AI15" s="16">
        <f>0.85*B15*0.866</f>
        <v>628.298155</v>
      </c>
      <c r="AJ15" s="16">
        <f t="shared" si="8"/>
        <v>113.09366789999999</v>
      </c>
      <c r="AK15" s="16">
        <f>0.83*B15*0.8685</f>
        <v>615.28578525</v>
      </c>
      <c r="AL15" s="16">
        <f t="shared" si="9"/>
        <v>110.751441345</v>
      </c>
      <c r="AM15" s="16">
        <f>(1.91)*B15*0.8684</f>
        <v>1415.7355861999997</v>
      </c>
      <c r="AN15" s="16">
        <f t="shared" si="10"/>
        <v>254.83240551599994</v>
      </c>
      <c r="AO15" s="16"/>
      <c r="AP15" s="16">
        <f t="shared" si="11"/>
        <v>0</v>
      </c>
      <c r="AQ15" s="109"/>
      <c r="AR15" s="109">
        <f>AQ15*0.18</f>
        <v>0</v>
      </c>
      <c r="AS15" s="90"/>
      <c r="AT15" s="90"/>
      <c r="AU15" s="90">
        <f aca="true" t="shared" si="13" ref="AU15:AU25">(AS15+AT15)*0.18</f>
        <v>0</v>
      </c>
      <c r="AV15" s="110">
        <v>407</v>
      </c>
      <c r="AW15" s="125">
        <v>0.3</v>
      </c>
      <c r="AX15" s="16">
        <f t="shared" si="12"/>
        <v>161.36736</v>
      </c>
      <c r="AY15" s="112"/>
      <c r="AZ15" s="113"/>
      <c r="BA15" s="113">
        <f>AZ15*0.18</f>
        <v>0</v>
      </c>
      <c r="BB15" s="113">
        <f>SUM(AG15:AU15)+AY15</f>
        <v>3755.1649042109993</v>
      </c>
      <c r="BC15" s="119"/>
      <c r="BD15" s="14">
        <f aca="true" t="shared" si="14" ref="BD15:BD22">AC15+AF15-BB15-BC15</f>
        <v>-688.4239667109996</v>
      </c>
      <c r="BE15" s="30">
        <f aca="true" t="shared" si="15" ref="BE15:BE20">AB15-S15</f>
        <v>-1425.6199999999997</v>
      </c>
    </row>
    <row r="16" spans="1:57" ht="12.75">
      <c r="A16" s="11" t="s">
        <v>47</v>
      </c>
      <c r="B16" s="120">
        <v>853.55</v>
      </c>
      <c r="C16" s="98">
        <f t="shared" si="1"/>
        <v>7383.2074999999995</v>
      </c>
      <c r="D16" s="99">
        <f>C16*0.125</f>
        <v>922.9009374999999</v>
      </c>
      <c r="E16" s="100">
        <v>382.11</v>
      </c>
      <c r="F16" s="100">
        <v>30.53</v>
      </c>
      <c r="G16" s="100">
        <v>515.87</v>
      </c>
      <c r="H16" s="100">
        <v>41.21</v>
      </c>
      <c r="I16" s="100">
        <v>1241.92</v>
      </c>
      <c r="J16" s="100">
        <v>99.21</v>
      </c>
      <c r="K16" s="100">
        <v>859.77</v>
      </c>
      <c r="L16" s="100">
        <v>68.69</v>
      </c>
      <c r="M16" s="100">
        <v>305.7</v>
      </c>
      <c r="N16" s="100">
        <v>24.42</v>
      </c>
      <c r="O16" s="100">
        <v>0</v>
      </c>
      <c r="P16" s="107">
        <v>0</v>
      </c>
      <c r="Q16" s="100">
        <v>0</v>
      </c>
      <c r="R16" s="107">
        <v>0</v>
      </c>
      <c r="S16" s="86">
        <f t="shared" si="2"/>
        <v>3305.37</v>
      </c>
      <c r="T16" s="127">
        <f t="shared" si="3"/>
        <v>264.06</v>
      </c>
      <c r="U16" s="86">
        <v>159.22</v>
      </c>
      <c r="V16" s="86">
        <v>214.95</v>
      </c>
      <c r="W16" s="86">
        <v>491.97</v>
      </c>
      <c r="X16" s="86">
        <v>358.23</v>
      </c>
      <c r="Y16" s="136">
        <v>127.36</v>
      </c>
      <c r="Z16" s="114">
        <v>0</v>
      </c>
      <c r="AA16" s="114">
        <v>0</v>
      </c>
      <c r="AB16" s="108">
        <f t="shared" si="4"/>
        <v>1351.7299999999998</v>
      </c>
      <c r="AC16" s="106">
        <f t="shared" si="5"/>
        <v>2538.6909374999996</v>
      </c>
      <c r="AD16" s="95">
        <f t="shared" si="6"/>
        <v>0</v>
      </c>
      <c r="AE16" s="95">
        <f t="shared" si="7"/>
        <v>0</v>
      </c>
      <c r="AF16" s="95"/>
      <c r="AG16" s="115">
        <f>0.6*B16*0.9</f>
        <v>460.91700000000003</v>
      </c>
      <c r="AH16" s="115">
        <f>B16*0.2*0.9082-0.01</f>
        <v>155.02882200000002</v>
      </c>
      <c r="AI16" s="16">
        <f>0.85*B16*0.8675+0.01</f>
        <v>629.39643125</v>
      </c>
      <c r="AJ16" s="16">
        <f t="shared" si="8"/>
        <v>113.29135762499999</v>
      </c>
      <c r="AK16" s="115">
        <f>0.83*B16*0.838</f>
        <v>593.6781669999999</v>
      </c>
      <c r="AL16" s="16">
        <f t="shared" si="9"/>
        <v>106.86207005999998</v>
      </c>
      <c r="AM16" s="16">
        <f>1.91*B16*0.838</f>
        <v>1366.175059</v>
      </c>
      <c r="AN16" s="16">
        <f t="shared" si="10"/>
        <v>245.91151061999997</v>
      </c>
      <c r="AO16" s="16"/>
      <c r="AP16" s="16">
        <f t="shared" si="11"/>
        <v>0</v>
      </c>
      <c r="AQ16" s="109"/>
      <c r="AR16" s="109">
        <f>AQ16*0.18</f>
        <v>0</v>
      </c>
      <c r="AS16" s="90"/>
      <c r="AT16" s="90"/>
      <c r="AU16" s="90">
        <f t="shared" si="13"/>
        <v>0</v>
      </c>
      <c r="AV16" s="110">
        <v>383</v>
      </c>
      <c r="AW16" s="125">
        <v>0.3</v>
      </c>
      <c r="AX16" s="115">
        <f t="shared" si="12"/>
        <v>151.85184</v>
      </c>
      <c r="AY16" s="115"/>
      <c r="AZ16" s="130"/>
      <c r="BA16" s="130">
        <f>AZ16*0.18</f>
        <v>0</v>
      </c>
      <c r="BB16" s="113">
        <f>SUM(AG16:AU16)</f>
        <v>3671.260417555</v>
      </c>
      <c r="BC16" s="119"/>
      <c r="BD16" s="14">
        <f t="shared" si="14"/>
        <v>-1132.5694800550004</v>
      </c>
      <c r="BE16" s="30">
        <f t="shared" si="15"/>
        <v>-1953.64</v>
      </c>
    </row>
    <row r="17" spans="1:57" ht="12.75">
      <c r="A17" s="11" t="s">
        <v>48</v>
      </c>
      <c r="B17" s="116">
        <v>853.55</v>
      </c>
      <c r="C17" s="98">
        <f t="shared" si="1"/>
        <v>7383.2074999999995</v>
      </c>
      <c r="D17" s="99">
        <f>C17*0.125</f>
        <v>922.9009374999999</v>
      </c>
      <c r="E17" s="117">
        <v>370.66</v>
      </c>
      <c r="F17" s="117">
        <v>30.53</v>
      </c>
      <c r="G17" s="117">
        <v>500.41</v>
      </c>
      <c r="H17" s="117">
        <v>41.21</v>
      </c>
      <c r="I17" s="117">
        <v>1206.59</v>
      </c>
      <c r="J17" s="117">
        <v>99.21</v>
      </c>
      <c r="K17" s="117">
        <v>834</v>
      </c>
      <c r="L17" s="117">
        <v>68.69</v>
      </c>
      <c r="M17" s="117">
        <v>296.55</v>
      </c>
      <c r="N17" s="117">
        <v>24.42</v>
      </c>
      <c r="O17" s="117">
        <v>0</v>
      </c>
      <c r="P17" s="118">
        <v>0</v>
      </c>
      <c r="Q17" s="117">
        <v>0</v>
      </c>
      <c r="R17" s="118">
        <v>0</v>
      </c>
      <c r="S17" s="85">
        <f t="shared" si="2"/>
        <v>3208.21</v>
      </c>
      <c r="T17" s="101">
        <f t="shared" si="3"/>
        <v>264.06</v>
      </c>
      <c r="U17" s="85">
        <v>178.99</v>
      </c>
      <c r="V17" s="85">
        <v>241.67</v>
      </c>
      <c r="W17" s="85">
        <v>575.39</v>
      </c>
      <c r="X17" s="85">
        <v>402.76</v>
      </c>
      <c r="Y17" s="85">
        <v>143.22</v>
      </c>
      <c r="Z17" s="85">
        <v>0</v>
      </c>
      <c r="AA17" s="85">
        <v>0</v>
      </c>
      <c r="AB17" s="108">
        <f t="shared" si="4"/>
        <v>1542.03</v>
      </c>
      <c r="AC17" s="106">
        <f t="shared" si="5"/>
        <v>2728.9909374999997</v>
      </c>
      <c r="AD17" s="95">
        <f t="shared" si="6"/>
        <v>0</v>
      </c>
      <c r="AE17" s="95">
        <f t="shared" si="7"/>
        <v>0</v>
      </c>
      <c r="AF17" s="95"/>
      <c r="AG17" s="16">
        <f>0.6*B17*0.9</f>
        <v>460.91700000000003</v>
      </c>
      <c r="AH17" s="115">
        <f>B17*0.2*0.9234</f>
        <v>157.633614</v>
      </c>
      <c r="AI17" s="16">
        <f>0.85*B17*0.893</f>
        <v>647.8871274999999</v>
      </c>
      <c r="AJ17" s="16">
        <f t="shared" si="8"/>
        <v>116.61968294999998</v>
      </c>
      <c r="AK17" s="16">
        <f>0.83*B17*0.8498</f>
        <v>602.0378357</v>
      </c>
      <c r="AL17" s="16">
        <f t="shared" si="9"/>
        <v>108.36681042599999</v>
      </c>
      <c r="AM17" s="16">
        <f>(1.91)*B17*0.8498</f>
        <v>1385.4123688999998</v>
      </c>
      <c r="AN17" s="16">
        <f t="shared" si="10"/>
        <v>249.37422640199995</v>
      </c>
      <c r="AO17" s="16"/>
      <c r="AP17" s="16">
        <f t="shared" si="11"/>
        <v>0</v>
      </c>
      <c r="AQ17" s="109"/>
      <c r="AR17" s="109">
        <f t="shared" si="11"/>
        <v>0</v>
      </c>
      <c r="AS17" s="90">
        <v>310</v>
      </c>
      <c r="AT17" s="90"/>
      <c r="AU17" s="90">
        <f t="shared" si="13"/>
        <v>55.8</v>
      </c>
      <c r="AV17" s="110">
        <v>307</v>
      </c>
      <c r="AW17" s="125">
        <v>0.3</v>
      </c>
      <c r="AX17" s="16">
        <f t="shared" si="12"/>
        <v>121.71936</v>
      </c>
      <c r="AY17" s="132"/>
      <c r="AZ17" s="112"/>
      <c r="BA17" s="130">
        <f aca="true" t="shared" si="16" ref="BA17:BA25">AZ17*0.18</f>
        <v>0</v>
      </c>
      <c r="BB17" s="113">
        <f>SUM(AG17:AU17)+AX17+AX14+AX15+AX16</f>
        <v>4730.399065877999</v>
      </c>
      <c r="BC17" s="119"/>
      <c r="BD17" s="14">
        <f>AC17+AF17-BB17-BC17</f>
        <v>-2001.4081283779997</v>
      </c>
      <c r="BE17" s="30">
        <f t="shared" si="15"/>
        <v>-1666.18</v>
      </c>
    </row>
    <row r="18" spans="1:57" ht="12.75">
      <c r="A18" s="11" t="s">
        <v>49</v>
      </c>
      <c r="B18" s="120">
        <v>853.55</v>
      </c>
      <c r="C18" s="98">
        <f t="shared" si="1"/>
        <v>7383.2074999999995</v>
      </c>
      <c r="D18" s="121">
        <f aca="true" t="shared" si="17" ref="D18:D25">C18-E18-F18-G18-H18-I18-J18-K18-L18-M18-N18</f>
        <v>3373.1974999999993</v>
      </c>
      <c r="E18" s="117">
        <v>429.81</v>
      </c>
      <c r="F18" s="117">
        <v>32.92</v>
      </c>
      <c r="G18" s="117">
        <v>582.54</v>
      </c>
      <c r="H18" s="117">
        <v>44.61</v>
      </c>
      <c r="I18" s="117">
        <v>1399.19</v>
      </c>
      <c r="J18" s="117">
        <v>107.15</v>
      </c>
      <c r="K18" s="117">
        <v>969.37</v>
      </c>
      <c r="L18" s="117">
        <v>74.24</v>
      </c>
      <c r="M18" s="117">
        <v>343.86</v>
      </c>
      <c r="N18" s="117">
        <v>26.32</v>
      </c>
      <c r="O18" s="117">
        <v>0</v>
      </c>
      <c r="P18" s="118">
        <v>0</v>
      </c>
      <c r="Q18" s="117">
        <v>0</v>
      </c>
      <c r="R18" s="118">
        <v>0</v>
      </c>
      <c r="S18" s="86">
        <f t="shared" si="2"/>
        <v>3724.77</v>
      </c>
      <c r="T18" s="127">
        <f t="shared" si="3"/>
        <v>285.24</v>
      </c>
      <c r="U18" s="86">
        <v>176.98</v>
      </c>
      <c r="V18" s="86">
        <v>238.96</v>
      </c>
      <c r="W18" s="86">
        <v>575.2</v>
      </c>
      <c r="X18" s="86">
        <v>398.26</v>
      </c>
      <c r="Y18" s="136">
        <v>141.61</v>
      </c>
      <c r="Z18" s="114">
        <v>0</v>
      </c>
      <c r="AA18" s="114">
        <v>0</v>
      </c>
      <c r="AB18" s="108">
        <f t="shared" si="4"/>
        <v>1531.0100000000002</v>
      </c>
      <c r="AC18" s="106">
        <f t="shared" si="5"/>
        <v>5189.447499999999</v>
      </c>
      <c r="AD18" s="95">
        <f t="shared" si="6"/>
        <v>0</v>
      </c>
      <c r="AE18" s="95">
        <f t="shared" si="7"/>
        <v>0</v>
      </c>
      <c r="AF18" s="95"/>
      <c r="AG18" s="16">
        <f aca="true" t="shared" si="18" ref="AG18:AG25">0.6*B18</f>
        <v>512.13</v>
      </c>
      <c r="AH18" s="16">
        <f>B18*0.2*1.01</f>
        <v>172.4171</v>
      </c>
      <c r="AI18" s="16">
        <f>0.85*B18</f>
        <v>725.5174999999999</v>
      </c>
      <c r="AJ18" s="16">
        <f t="shared" si="8"/>
        <v>130.59314999999998</v>
      </c>
      <c r="AK18" s="16">
        <f>0.83*B18</f>
        <v>708.4464999999999</v>
      </c>
      <c r="AL18" s="16">
        <f t="shared" si="9"/>
        <v>127.52036999999997</v>
      </c>
      <c r="AM18" s="16">
        <f>(1.91)*B18</f>
        <v>1630.2804999999998</v>
      </c>
      <c r="AN18" s="16">
        <f t="shared" si="10"/>
        <v>293.45048999999995</v>
      </c>
      <c r="AO18" s="16"/>
      <c r="AP18" s="16">
        <f t="shared" si="11"/>
        <v>0</v>
      </c>
      <c r="AQ18" s="109"/>
      <c r="AR18" s="109">
        <f t="shared" si="11"/>
        <v>0</v>
      </c>
      <c r="AS18" s="90"/>
      <c r="AT18" s="90"/>
      <c r="AU18" s="90">
        <f t="shared" si="13"/>
        <v>0</v>
      </c>
      <c r="AV18" s="110">
        <v>263</v>
      </c>
      <c r="AW18" s="125">
        <v>0.3</v>
      </c>
      <c r="AX18" s="115">
        <f t="shared" si="12"/>
        <v>104.27423999999999</v>
      </c>
      <c r="AY18" s="115"/>
      <c r="AZ18" s="130"/>
      <c r="BA18" s="130">
        <f t="shared" si="16"/>
        <v>0</v>
      </c>
      <c r="BB18" s="130">
        <f>SUM(AG18:BA18)-AV18-AW18</f>
        <v>4404.629849999999</v>
      </c>
      <c r="BC18" s="119"/>
      <c r="BD18" s="14">
        <f t="shared" si="14"/>
        <v>784.81765</v>
      </c>
      <c r="BE18" s="30">
        <f t="shared" si="15"/>
        <v>-2193.7599999999998</v>
      </c>
    </row>
    <row r="19" spans="1:57" ht="12.75">
      <c r="A19" s="11" t="s">
        <v>50</v>
      </c>
      <c r="B19" s="120">
        <v>853.55</v>
      </c>
      <c r="C19" s="98">
        <f t="shared" si="1"/>
        <v>7383.2074999999995</v>
      </c>
      <c r="D19" s="121">
        <f t="shared" si="17"/>
        <v>3363.187500000001</v>
      </c>
      <c r="E19" s="117">
        <v>430.99</v>
      </c>
      <c r="F19" s="117">
        <v>32.92</v>
      </c>
      <c r="G19" s="117">
        <v>584.07</v>
      </c>
      <c r="H19" s="117">
        <v>44.61</v>
      </c>
      <c r="I19" s="117">
        <v>1402.95</v>
      </c>
      <c r="J19" s="117">
        <v>107.15</v>
      </c>
      <c r="K19" s="117">
        <v>971.96</v>
      </c>
      <c r="L19" s="117">
        <v>74.24</v>
      </c>
      <c r="M19" s="117">
        <v>344.81</v>
      </c>
      <c r="N19" s="117">
        <v>26.32</v>
      </c>
      <c r="O19" s="117">
        <v>0</v>
      </c>
      <c r="P19" s="118">
        <v>0</v>
      </c>
      <c r="Q19" s="117">
        <v>0</v>
      </c>
      <c r="R19" s="118">
        <v>0</v>
      </c>
      <c r="S19" s="85">
        <f t="shared" si="2"/>
        <v>3734.78</v>
      </c>
      <c r="T19" s="101">
        <f t="shared" si="3"/>
        <v>285.24</v>
      </c>
      <c r="U19" s="86">
        <v>196.11</v>
      </c>
      <c r="V19" s="86">
        <v>265.29</v>
      </c>
      <c r="W19" s="86">
        <v>637.8</v>
      </c>
      <c r="X19" s="86">
        <v>441.73</v>
      </c>
      <c r="Y19" s="136">
        <v>156.89</v>
      </c>
      <c r="Z19" s="114">
        <v>0</v>
      </c>
      <c r="AA19" s="114">
        <v>0</v>
      </c>
      <c r="AB19" s="108">
        <f t="shared" si="4"/>
        <v>1697.8200000000002</v>
      </c>
      <c r="AC19" s="106">
        <f t="shared" si="5"/>
        <v>5346.247500000001</v>
      </c>
      <c r="AD19" s="95">
        <f t="shared" si="6"/>
        <v>0</v>
      </c>
      <c r="AE19" s="95">
        <f t="shared" si="7"/>
        <v>0</v>
      </c>
      <c r="AF19" s="95"/>
      <c r="AG19" s="16">
        <f t="shared" si="18"/>
        <v>512.13</v>
      </c>
      <c r="AH19" s="16">
        <f>B19*0.2*1.01045</f>
        <v>172.49391950000003</v>
      </c>
      <c r="AI19" s="16">
        <f>0.85*B19</f>
        <v>725.5174999999999</v>
      </c>
      <c r="AJ19" s="16">
        <f t="shared" si="8"/>
        <v>130.59314999999998</v>
      </c>
      <c r="AK19" s="16">
        <f>0.83*B19</f>
        <v>708.4464999999999</v>
      </c>
      <c r="AL19" s="16">
        <f t="shared" si="9"/>
        <v>127.52036999999997</v>
      </c>
      <c r="AM19" s="16">
        <f>(1.91)*B19</f>
        <v>1630.2804999999998</v>
      </c>
      <c r="AN19" s="115">
        <f t="shared" si="10"/>
        <v>293.45048999999995</v>
      </c>
      <c r="AO19" s="115"/>
      <c r="AP19" s="115">
        <f t="shared" si="11"/>
        <v>0</v>
      </c>
      <c r="AQ19" s="109"/>
      <c r="AR19" s="109">
        <f t="shared" si="11"/>
        <v>0</v>
      </c>
      <c r="AS19" s="128">
        <v>59.42</v>
      </c>
      <c r="AT19" s="128"/>
      <c r="AU19" s="90">
        <f t="shared" si="13"/>
        <v>10.6956</v>
      </c>
      <c r="AV19" s="129">
        <v>233</v>
      </c>
      <c r="AW19" s="131">
        <v>0.3</v>
      </c>
      <c r="AX19" s="115">
        <f t="shared" si="12"/>
        <v>92.37983999999999</v>
      </c>
      <c r="AY19" s="112"/>
      <c r="AZ19" s="113"/>
      <c r="BA19" s="113">
        <f t="shared" si="16"/>
        <v>0</v>
      </c>
      <c r="BB19" s="113">
        <f>SUM(AG19:BA19)-AV19-AW19</f>
        <v>4462.927869499999</v>
      </c>
      <c r="BC19" s="119"/>
      <c r="BD19" s="14">
        <f t="shared" si="14"/>
        <v>883.319630500002</v>
      </c>
      <c r="BE19" s="30">
        <f t="shared" si="15"/>
        <v>-2036.96</v>
      </c>
    </row>
    <row r="20" spans="1:57" ht="12.75">
      <c r="A20" s="11" t="s">
        <v>51</v>
      </c>
      <c r="B20" s="134">
        <v>853.55</v>
      </c>
      <c r="C20" s="98">
        <f t="shared" si="1"/>
        <v>7383.2074999999995</v>
      </c>
      <c r="D20" s="121">
        <f t="shared" si="17"/>
        <v>3363.187500000001</v>
      </c>
      <c r="E20" s="117">
        <v>430.99</v>
      </c>
      <c r="F20" s="117">
        <v>32.92</v>
      </c>
      <c r="G20" s="117">
        <v>584.07</v>
      </c>
      <c r="H20" s="117">
        <v>44.61</v>
      </c>
      <c r="I20" s="117">
        <v>1402.95</v>
      </c>
      <c r="J20" s="117">
        <v>107.15</v>
      </c>
      <c r="K20" s="117">
        <v>971.96</v>
      </c>
      <c r="L20" s="117">
        <v>74.24</v>
      </c>
      <c r="M20" s="117">
        <v>344.81</v>
      </c>
      <c r="N20" s="117">
        <v>26.32</v>
      </c>
      <c r="O20" s="117">
        <v>0</v>
      </c>
      <c r="P20" s="118">
        <v>0</v>
      </c>
      <c r="Q20" s="117">
        <v>0</v>
      </c>
      <c r="R20" s="118">
        <v>0</v>
      </c>
      <c r="S20" s="85">
        <f t="shared" si="2"/>
        <v>3734.78</v>
      </c>
      <c r="T20" s="101">
        <f t="shared" si="3"/>
        <v>285.24</v>
      </c>
      <c r="U20" s="86">
        <v>226.91</v>
      </c>
      <c r="V20" s="86">
        <v>307.2</v>
      </c>
      <c r="W20" s="86">
        <v>738.3</v>
      </c>
      <c r="X20" s="86">
        <v>511.37</v>
      </c>
      <c r="Y20" s="136">
        <v>181.54</v>
      </c>
      <c r="Z20" s="114">
        <v>0</v>
      </c>
      <c r="AA20" s="114">
        <v>0</v>
      </c>
      <c r="AB20" s="108">
        <f t="shared" si="4"/>
        <v>1965.3199999999997</v>
      </c>
      <c r="AC20" s="106">
        <f t="shared" si="5"/>
        <v>5613.7475</v>
      </c>
      <c r="AD20" s="95">
        <f t="shared" si="6"/>
        <v>0</v>
      </c>
      <c r="AE20" s="95">
        <f t="shared" si="7"/>
        <v>0</v>
      </c>
      <c r="AF20" s="95"/>
      <c r="AG20" s="16">
        <f t="shared" si="18"/>
        <v>512.13</v>
      </c>
      <c r="AH20" s="16">
        <f>B20*0.2*0.99425</f>
        <v>169.7284175</v>
      </c>
      <c r="AI20" s="115">
        <f>0.85*B20*0.9858</f>
        <v>715.2151514999999</v>
      </c>
      <c r="AJ20" s="16">
        <f t="shared" si="8"/>
        <v>128.73872726999997</v>
      </c>
      <c r="AK20" s="115">
        <f>0.83*B20*0.9905</f>
        <v>701.7162582499999</v>
      </c>
      <c r="AL20" s="16">
        <f t="shared" si="9"/>
        <v>126.30892648499997</v>
      </c>
      <c r="AM20" s="115">
        <f>(1.91)*B20*0.9904</f>
        <v>1614.6298071999997</v>
      </c>
      <c r="AN20" s="115">
        <f t="shared" si="10"/>
        <v>290.63336529599997</v>
      </c>
      <c r="AO20" s="115"/>
      <c r="AP20" s="115">
        <f t="shared" si="11"/>
        <v>0</v>
      </c>
      <c r="AQ20" s="109"/>
      <c r="AR20" s="109">
        <f t="shared" si="11"/>
        <v>0</v>
      </c>
      <c r="AS20" s="128"/>
      <c r="AT20" s="90"/>
      <c r="AU20" s="90">
        <f t="shared" si="13"/>
        <v>0</v>
      </c>
      <c r="AV20" s="129">
        <v>248</v>
      </c>
      <c r="AW20" s="131">
        <v>0.3</v>
      </c>
      <c r="AX20" s="115">
        <f t="shared" si="12"/>
        <v>98.32704</v>
      </c>
      <c r="AY20" s="112"/>
      <c r="AZ20" s="113"/>
      <c r="BA20" s="113">
        <f t="shared" si="16"/>
        <v>0</v>
      </c>
      <c r="BB20" s="113">
        <f>SUM(AG20:BA20)-AV20-AW20</f>
        <v>4357.427693501</v>
      </c>
      <c r="BC20" s="119"/>
      <c r="BD20" s="14">
        <f t="shared" si="14"/>
        <v>1256.3198064990002</v>
      </c>
      <c r="BE20" s="30">
        <f t="shared" si="15"/>
        <v>-1769.4600000000005</v>
      </c>
    </row>
    <row r="21" spans="1:57" ht="12.75">
      <c r="A21" s="11" t="s">
        <v>52</v>
      </c>
      <c r="B21" s="134">
        <v>853.55</v>
      </c>
      <c r="C21" s="98">
        <f t="shared" si="1"/>
        <v>7383.2074999999995</v>
      </c>
      <c r="D21" s="121">
        <f t="shared" si="17"/>
        <v>3363.187500000001</v>
      </c>
      <c r="E21" s="117">
        <v>430.99</v>
      </c>
      <c r="F21" s="117">
        <v>32.92</v>
      </c>
      <c r="G21" s="117">
        <v>584.07</v>
      </c>
      <c r="H21" s="117">
        <v>44.61</v>
      </c>
      <c r="I21" s="117">
        <v>1402.95</v>
      </c>
      <c r="J21" s="117">
        <v>107.15</v>
      </c>
      <c r="K21" s="117">
        <v>971.96</v>
      </c>
      <c r="L21" s="117">
        <v>74.24</v>
      </c>
      <c r="M21" s="117">
        <v>344.81</v>
      </c>
      <c r="N21" s="117">
        <v>26.32</v>
      </c>
      <c r="O21" s="117">
        <v>0</v>
      </c>
      <c r="P21" s="118">
        <v>0</v>
      </c>
      <c r="Q21" s="86">
        <v>0</v>
      </c>
      <c r="R21" s="86">
        <v>0</v>
      </c>
      <c r="S21" s="85">
        <f t="shared" si="2"/>
        <v>3734.78</v>
      </c>
      <c r="T21" s="101">
        <f t="shared" si="3"/>
        <v>285.24</v>
      </c>
      <c r="U21" s="86">
        <v>287.09</v>
      </c>
      <c r="V21" s="86">
        <v>388.59</v>
      </c>
      <c r="W21" s="86">
        <v>934.07</v>
      </c>
      <c r="X21" s="86">
        <v>646.95</v>
      </c>
      <c r="Y21" s="136">
        <v>229.68</v>
      </c>
      <c r="Z21" s="114">
        <v>0</v>
      </c>
      <c r="AA21" s="114">
        <v>0</v>
      </c>
      <c r="AB21" s="108">
        <f t="shared" si="4"/>
        <v>2486.3799999999997</v>
      </c>
      <c r="AC21" s="106">
        <f t="shared" si="5"/>
        <v>6134.807500000001</v>
      </c>
      <c r="AD21" s="95">
        <f t="shared" si="6"/>
        <v>0</v>
      </c>
      <c r="AE21" s="95">
        <f t="shared" si="7"/>
        <v>0</v>
      </c>
      <c r="AF21" s="95"/>
      <c r="AG21" s="16">
        <f t="shared" si="18"/>
        <v>512.13</v>
      </c>
      <c r="AH21" s="16">
        <f>B21*0.2*0.99876</f>
        <v>170.4983196</v>
      </c>
      <c r="AI21" s="16">
        <f>0.85*B21*0.98525</f>
        <v>714.8161168749999</v>
      </c>
      <c r="AJ21" s="16">
        <f t="shared" si="8"/>
        <v>128.66690103749997</v>
      </c>
      <c r="AK21" s="16">
        <f>0.83*B21*0.99</f>
        <v>701.3620349999999</v>
      </c>
      <c r="AL21" s="16">
        <f t="shared" si="9"/>
        <v>126.24516629999998</v>
      </c>
      <c r="AM21" s="16">
        <f>(1.91)*B21*0.9899</f>
        <v>1613.81466695</v>
      </c>
      <c r="AN21" s="115">
        <f t="shared" si="10"/>
        <v>290.486640051</v>
      </c>
      <c r="AO21" s="115"/>
      <c r="AP21" s="115">
        <f t="shared" si="11"/>
        <v>0</v>
      </c>
      <c r="AQ21" s="109"/>
      <c r="AR21" s="109">
        <f t="shared" si="11"/>
        <v>0</v>
      </c>
      <c r="AS21" s="128">
        <v>11200</v>
      </c>
      <c r="AT21" s="90"/>
      <c r="AU21" s="90">
        <f t="shared" si="13"/>
        <v>2016</v>
      </c>
      <c r="AV21" s="129">
        <v>293</v>
      </c>
      <c r="AW21" s="131">
        <v>0.3</v>
      </c>
      <c r="AX21" s="115">
        <f t="shared" si="12"/>
        <v>116.16863999999998</v>
      </c>
      <c r="AY21" s="112"/>
      <c r="AZ21" s="113"/>
      <c r="BA21" s="113">
        <f t="shared" si="16"/>
        <v>0</v>
      </c>
      <c r="BB21" s="113">
        <f>SUM(AG21:BA21)-AV21-AW21</f>
        <v>17590.188485813498</v>
      </c>
      <c r="BC21" s="119"/>
      <c r="BD21" s="14">
        <f t="shared" si="14"/>
        <v>-11455.380985813497</v>
      </c>
      <c r="BE21" s="30">
        <f>AB21-S21</f>
        <v>-1248.4000000000005</v>
      </c>
    </row>
    <row r="22" spans="1:57" ht="12.75">
      <c r="A22" s="11" t="s">
        <v>53</v>
      </c>
      <c r="B22" s="97">
        <v>853.55</v>
      </c>
      <c r="C22" s="98">
        <f t="shared" si="1"/>
        <v>7383.2074999999995</v>
      </c>
      <c r="D22" s="121">
        <f t="shared" si="17"/>
        <v>3363.187500000001</v>
      </c>
      <c r="E22" s="100">
        <v>430.99</v>
      </c>
      <c r="F22" s="100">
        <v>32.92</v>
      </c>
      <c r="G22" s="100">
        <v>584.07</v>
      </c>
      <c r="H22" s="100">
        <v>44.61</v>
      </c>
      <c r="I22" s="100">
        <v>1402.95</v>
      </c>
      <c r="J22" s="100">
        <v>107.15</v>
      </c>
      <c r="K22" s="100">
        <v>971.96</v>
      </c>
      <c r="L22" s="100">
        <v>74.24</v>
      </c>
      <c r="M22" s="100">
        <v>344.81</v>
      </c>
      <c r="N22" s="100">
        <v>26.32</v>
      </c>
      <c r="O22" s="117">
        <v>0</v>
      </c>
      <c r="P22" s="118">
        <v>0</v>
      </c>
      <c r="Q22" s="86">
        <v>0</v>
      </c>
      <c r="R22" s="86">
        <v>0</v>
      </c>
      <c r="S22" s="85">
        <f t="shared" si="2"/>
        <v>3734.78</v>
      </c>
      <c r="T22" s="101">
        <f t="shared" si="3"/>
        <v>285.24</v>
      </c>
      <c r="U22" s="85">
        <v>187.44</v>
      </c>
      <c r="V22" s="85">
        <v>253.9</v>
      </c>
      <c r="W22" s="85">
        <v>610.03</v>
      </c>
      <c r="X22" s="85">
        <v>422.59</v>
      </c>
      <c r="Y22" s="135">
        <v>149.97</v>
      </c>
      <c r="Z22" s="102">
        <v>0</v>
      </c>
      <c r="AA22" s="102">
        <v>0</v>
      </c>
      <c r="AB22" s="108">
        <f t="shared" si="4"/>
        <v>1623.9299999999998</v>
      </c>
      <c r="AC22" s="106">
        <f t="shared" si="5"/>
        <v>5272.3575</v>
      </c>
      <c r="AD22" s="95">
        <f t="shared" si="6"/>
        <v>0</v>
      </c>
      <c r="AE22" s="95">
        <f t="shared" si="7"/>
        <v>0</v>
      </c>
      <c r="AF22" s="95"/>
      <c r="AG22" s="16">
        <f t="shared" si="18"/>
        <v>512.13</v>
      </c>
      <c r="AH22" s="16">
        <f>B22*0.2*0.9996</f>
        <v>170.641716</v>
      </c>
      <c r="AI22" s="16">
        <f>0.85*B22*0.98508</f>
        <v>714.6927788999999</v>
      </c>
      <c r="AJ22" s="16">
        <f t="shared" si="8"/>
        <v>128.64470020199997</v>
      </c>
      <c r="AK22" s="16">
        <f>0.83*B22*0.98981</f>
        <v>701.2274301649999</v>
      </c>
      <c r="AL22" s="16">
        <f t="shared" si="9"/>
        <v>126.22093742969997</v>
      </c>
      <c r="AM22" s="16">
        <f>(1.91)*B22*0.98981</f>
        <v>1613.6679417049997</v>
      </c>
      <c r="AN22" s="115">
        <f t="shared" si="10"/>
        <v>290.46022950689996</v>
      </c>
      <c r="AO22" s="115"/>
      <c r="AP22" s="115">
        <f t="shared" si="11"/>
        <v>0</v>
      </c>
      <c r="AQ22" s="109"/>
      <c r="AR22" s="109">
        <f t="shared" si="11"/>
        <v>0</v>
      </c>
      <c r="AS22" s="128"/>
      <c r="AT22" s="90"/>
      <c r="AU22" s="90">
        <f t="shared" si="13"/>
        <v>0</v>
      </c>
      <c r="AV22" s="129">
        <v>349</v>
      </c>
      <c r="AW22" s="131">
        <v>0.3</v>
      </c>
      <c r="AX22" s="115">
        <f t="shared" si="12"/>
        <v>138.37152</v>
      </c>
      <c r="AY22" s="112"/>
      <c r="AZ22" s="113"/>
      <c r="BA22" s="113">
        <f t="shared" si="16"/>
        <v>0</v>
      </c>
      <c r="BB22" s="113">
        <f>SUM(AG22:BA22)-AV22-AW22</f>
        <v>4396.057253908599</v>
      </c>
      <c r="BC22" s="119"/>
      <c r="BD22" s="14">
        <f t="shared" si="14"/>
        <v>876.3002460914013</v>
      </c>
      <c r="BE22" s="30">
        <f>AB22-S22</f>
        <v>-2110.8500000000004</v>
      </c>
    </row>
    <row r="23" spans="1:57" ht="12.75">
      <c r="A23" s="11" t="s">
        <v>41</v>
      </c>
      <c r="B23" s="97">
        <v>853.55</v>
      </c>
      <c r="C23" s="122">
        <f t="shared" si="1"/>
        <v>7383.2074999999995</v>
      </c>
      <c r="D23" s="121">
        <f t="shared" si="17"/>
        <v>3363.187500000001</v>
      </c>
      <c r="E23" s="87">
        <v>430.99</v>
      </c>
      <c r="F23" s="85">
        <v>32.92</v>
      </c>
      <c r="G23" s="85">
        <v>584.07</v>
      </c>
      <c r="H23" s="85">
        <v>44.61</v>
      </c>
      <c r="I23" s="85">
        <v>1402.95</v>
      </c>
      <c r="J23" s="85">
        <v>107.15</v>
      </c>
      <c r="K23" s="85">
        <v>971.96</v>
      </c>
      <c r="L23" s="85">
        <v>74.24</v>
      </c>
      <c r="M23" s="85">
        <v>344.81</v>
      </c>
      <c r="N23" s="85">
        <v>26.32</v>
      </c>
      <c r="O23" s="85">
        <v>0</v>
      </c>
      <c r="P23" s="102">
        <v>0</v>
      </c>
      <c r="Q23" s="85">
        <v>0</v>
      </c>
      <c r="R23" s="85">
        <v>0</v>
      </c>
      <c r="S23" s="85">
        <f t="shared" si="2"/>
        <v>3734.78</v>
      </c>
      <c r="T23" s="101">
        <f t="shared" si="3"/>
        <v>285.24</v>
      </c>
      <c r="U23" s="88">
        <f>109.17+107.17</f>
        <v>216.34</v>
      </c>
      <c r="V23" s="85">
        <f>147.88+145.15</f>
        <v>293.03</v>
      </c>
      <c r="W23" s="85">
        <f>355.3+348.75</f>
        <v>704.05</v>
      </c>
      <c r="X23" s="85">
        <f>246.13+241.56</f>
        <v>487.69</v>
      </c>
      <c r="Y23" s="85">
        <f>85.72+87.34</f>
        <v>173.06</v>
      </c>
      <c r="Z23" s="102">
        <v>0</v>
      </c>
      <c r="AA23" s="102">
        <v>0</v>
      </c>
      <c r="AB23" s="102">
        <f>SUM(U23:AA23)</f>
        <v>1874.17</v>
      </c>
      <c r="AC23" s="106">
        <f>AB23+T23+D23</f>
        <v>5522.597500000001</v>
      </c>
      <c r="AD23" s="95">
        <f t="shared" si="6"/>
        <v>0</v>
      </c>
      <c r="AE23" s="95">
        <f t="shared" si="7"/>
        <v>0</v>
      </c>
      <c r="AF23" s="95">
        <f>'[1]Т10'!$I$104+'[1]Т10'!$I$118</f>
        <v>1514.85388</v>
      </c>
      <c r="AG23" s="16">
        <f t="shared" si="18"/>
        <v>512.13</v>
      </c>
      <c r="AH23" s="16">
        <f>B23*0.2</f>
        <v>170.71</v>
      </c>
      <c r="AI23" s="16">
        <f>(0.847*B23)</f>
        <v>722.9568499999999</v>
      </c>
      <c r="AJ23" s="16">
        <f t="shared" si="8"/>
        <v>130.13223299999999</v>
      </c>
      <c r="AK23" s="16">
        <f>0.83*B23</f>
        <v>708.4464999999999</v>
      </c>
      <c r="AL23" s="16">
        <f t="shared" si="9"/>
        <v>127.52036999999997</v>
      </c>
      <c r="AM23" s="16">
        <f>(2.25/1.18)*B23</f>
        <v>1627.5317796610168</v>
      </c>
      <c r="AN23" s="16">
        <f t="shared" si="10"/>
        <v>292.955720338983</v>
      </c>
      <c r="AO23" s="16"/>
      <c r="AP23" s="16">
        <f t="shared" si="11"/>
        <v>0</v>
      </c>
      <c r="AQ23" s="109"/>
      <c r="AR23" s="109">
        <f t="shared" si="11"/>
        <v>0</v>
      </c>
      <c r="AS23" s="90">
        <v>835.3</v>
      </c>
      <c r="AT23" s="90"/>
      <c r="AU23" s="90">
        <f t="shared" si="13"/>
        <v>150.35399999999998</v>
      </c>
      <c r="AV23" s="110">
        <v>425</v>
      </c>
      <c r="AW23" s="125">
        <v>0.3</v>
      </c>
      <c r="AX23" s="16">
        <f t="shared" si="12"/>
        <v>168.504</v>
      </c>
      <c r="AY23" s="112"/>
      <c r="AZ23" s="126"/>
      <c r="BA23" s="113">
        <f t="shared" si="16"/>
        <v>0</v>
      </c>
      <c r="BB23" s="113">
        <f>SUM(AG23:AU23)+AX23+AY23+AZ23+BA23</f>
        <v>5446.541453000001</v>
      </c>
      <c r="BC23" s="119">
        <f>'[3]Т10'!$O$104+'[3]Т10'!$O$118</f>
        <v>609.684236</v>
      </c>
      <c r="BD23" s="14">
        <f>AC23+AF23-BB23-BC23</f>
        <v>981.2256909999996</v>
      </c>
      <c r="BE23" s="30">
        <f>AB23-S23</f>
        <v>-1860.6100000000001</v>
      </c>
    </row>
    <row r="24" spans="1:57" ht="12.75">
      <c r="A24" s="11" t="s">
        <v>42</v>
      </c>
      <c r="B24" s="134">
        <v>853.55</v>
      </c>
      <c r="C24" s="122">
        <f t="shared" si="1"/>
        <v>7383.2074999999995</v>
      </c>
      <c r="D24" s="121">
        <f t="shared" si="17"/>
        <v>3363.187500000001</v>
      </c>
      <c r="E24" s="100">
        <v>430.99</v>
      </c>
      <c r="F24" s="100">
        <v>32.92</v>
      </c>
      <c r="G24" s="100">
        <v>584.07</v>
      </c>
      <c r="H24" s="100">
        <v>44.61</v>
      </c>
      <c r="I24" s="100">
        <v>1402.95</v>
      </c>
      <c r="J24" s="100">
        <v>107.15</v>
      </c>
      <c r="K24" s="100">
        <v>971.96</v>
      </c>
      <c r="L24" s="100">
        <v>74.24</v>
      </c>
      <c r="M24" s="100">
        <v>344.81</v>
      </c>
      <c r="N24" s="100">
        <v>26.32</v>
      </c>
      <c r="O24" s="100">
        <v>0</v>
      </c>
      <c r="P24" s="107">
        <v>0</v>
      </c>
      <c r="Q24" s="107">
        <v>0</v>
      </c>
      <c r="R24" s="107">
        <v>0</v>
      </c>
      <c r="S24" s="85">
        <f t="shared" si="2"/>
        <v>3734.78</v>
      </c>
      <c r="T24" s="101">
        <f t="shared" si="3"/>
        <v>285.24</v>
      </c>
      <c r="U24" s="85">
        <v>500.58</v>
      </c>
      <c r="V24" s="85">
        <v>677.55</v>
      </c>
      <c r="W24" s="85">
        <v>1628.61</v>
      </c>
      <c r="X24" s="85">
        <v>1128.07</v>
      </c>
      <c r="Y24" s="135">
        <v>400.48</v>
      </c>
      <c r="Z24" s="102">
        <v>0</v>
      </c>
      <c r="AA24" s="102">
        <v>0</v>
      </c>
      <c r="AB24" s="107">
        <f>SUM(U24:AA24)</f>
        <v>4335.289999999999</v>
      </c>
      <c r="AC24" s="106">
        <f>D24+T24+AB24</f>
        <v>7983.7175</v>
      </c>
      <c r="AD24" s="95">
        <f t="shared" si="6"/>
        <v>0</v>
      </c>
      <c r="AE24" s="95">
        <f t="shared" si="7"/>
        <v>0</v>
      </c>
      <c r="AF24" s="95">
        <f>'[1]Т11'!$I$104+'[1]Т11'!$I$118</f>
        <v>1514.85388</v>
      </c>
      <c r="AG24" s="16">
        <f t="shared" si="18"/>
        <v>512.13</v>
      </c>
      <c r="AH24" s="16">
        <f>B24*0.2</f>
        <v>170.71</v>
      </c>
      <c r="AI24" s="16">
        <f>0.85*B24</f>
        <v>725.5174999999999</v>
      </c>
      <c r="AJ24" s="16">
        <f t="shared" si="8"/>
        <v>130.59314999999998</v>
      </c>
      <c r="AK24" s="16">
        <f>0.83*B24</f>
        <v>708.4464999999999</v>
      </c>
      <c r="AL24" s="16">
        <f t="shared" si="9"/>
        <v>127.52036999999997</v>
      </c>
      <c r="AM24" s="16">
        <f>(1.91)*B24</f>
        <v>1630.2804999999998</v>
      </c>
      <c r="AN24" s="16">
        <f t="shared" si="10"/>
        <v>293.45048999999995</v>
      </c>
      <c r="AO24" s="16"/>
      <c r="AP24" s="16">
        <f t="shared" si="11"/>
        <v>0</v>
      </c>
      <c r="AQ24" s="109"/>
      <c r="AR24" s="109">
        <f t="shared" si="11"/>
        <v>0</v>
      </c>
      <c r="AS24" s="90">
        <v>0</v>
      </c>
      <c r="AT24" s="90"/>
      <c r="AU24" s="90">
        <f t="shared" si="13"/>
        <v>0</v>
      </c>
      <c r="AV24" s="110">
        <v>470</v>
      </c>
      <c r="AW24" s="125">
        <v>0.3</v>
      </c>
      <c r="AX24" s="16">
        <f t="shared" si="12"/>
        <v>186.34560000000002</v>
      </c>
      <c r="AY24" s="112"/>
      <c r="AZ24" s="113"/>
      <c r="BA24" s="113">
        <f t="shared" si="16"/>
        <v>0</v>
      </c>
      <c r="BB24" s="113">
        <f>SUM(AG24:AU24)+AX24+AY24+AZ24+BA24</f>
        <v>4484.99411</v>
      </c>
      <c r="BC24" s="123">
        <f>'[1]Т11'!$O$104+'[1]Т11'!$O$118</f>
        <v>610.5409199999999</v>
      </c>
      <c r="BD24" s="14">
        <f>AC24+AF24-BB24-BC24</f>
        <v>4403.03635</v>
      </c>
      <c r="BE24" s="30">
        <f>AB24-S24</f>
        <v>600.5099999999989</v>
      </c>
    </row>
    <row r="25" spans="1:57" ht="12.75">
      <c r="A25" s="11" t="s">
        <v>43</v>
      </c>
      <c r="B25" s="97">
        <v>853.55</v>
      </c>
      <c r="C25" s="122">
        <f t="shared" si="1"/>
        <v>7383.2074999999995</v>
      </c>
      <c r="D25" s="121">
        <f t="shared" si="17"/>
        <v>3363.187500000001</v>
      </c>
      <c r="E25" s="100">
        <v>430.99</v>
      </c>
      <c r="F25" s="100">
        <v>32.92</v>
      </c>
      <c r="G25" s="100">
        <v>584.07</v>
      </c>
      <c r="H25" s="100">
        <v>44.61</v>
      </c>
      <c r="I25" s="100">
        <v>1402.95</v>
      </c>
      <c r="J25" s="100">
        <v>107.15</v>
      </c>
      <c r="K25" s="100">
        <v>971.96</v>
      </c>
      <c r="L25" s="100">
        <v>74.24</v>
      </c>
      <c r="M25" s="100">
        <v>344.81</v>
      </c>
      <c r="N25" s="100">
        <v>26.32</v>
      </c>
      <c r="O25" s="100">
        <v>0</v>
      </c>
      <c r="P25" s="107">
        <v>0</v>
      </c>
      <c r="Q25" s="107"/>
      <c r="R25" s="107"/>
      <c r="S25" s="85">
        <f t="shared" si="2"/>
        <v>3734.78</v>
      </c>
      <c r="T25" s="101">
        <f t="shared" si="3"/>
        <v>285.24</v>
      </c>
      <c r="U25" s="85">
        <v>393.23</v>
      </c>
      <c r="V25" s="85">
        <v>532.61</v>
      </c>
      <c r="W25" s="85">
        <v>1279.76</v>
      </c>
      <c r="X25" s="85">
        <v>886.47</v>
      </c>
      <c r="Y25" s="135">
        <v>314.63</v>
      </c>
      <c r="Z25" s="102">
        <v>0</v>
      </c>
      <c r="AA25" s="102">
        <v>0</v>
      </c>
      <c r="AB25" s="107">
        <f>SUM(U25:AA25)</f>
        <v>3406.7</v>
      </c>
      <c r="AC25" s="106">
        <f>D25+T25+AB25</f>
        <v>7055.1275000000005</v>
      </c>
      <c r="AD25" s="95">
        <f t="shared" si="6"/>
        <v>0</v>
      </c>
      <c r="AE25" s="95">
        <f t="shared" si="7"/>
        <v>0</v>
      </c>
      <c r="AF25" s="95">
        <f>'[1]Т12'!$I$105+'[1]Т12'!$I$120</f>
        <v>1514.85388</v>
      </c>
      <c r="AG25" s="16">
        <f t="shared" si="18"/>
        <v>512.13</v>
      </c>
      <c r="AH25" s="16">
        <f>B25*0.2</f>
        <v>170.71</v>
      </c>
      <c r="AI25" s="16">
        <f>0.85*B25</f>
        <v>725.5174999999999</v>
      </c>
      <c r="AJ25" s="16">
        <f t="shared" si="8"/>
        <v>130.59314999999998</v>
      </c>
      <c r="AK25" s="16">
        <f>0.83*B25</f>
        <v>708.4464999999999</v>
      </c>
      <c r="AL25" s="16">
        <f t="shared" si="9"/>
        <v>127.52036999999997</v>
      </c>
      <c r="AM25" s="16">
        <f>(1.91)*B25</f>
        <v>1630.2804999999998</v>
      </c>
      <c r="AN25" s="16">
        <f t="shared" si="10"/>
        <v>293.45048999999995</v>
      </c>
      <c r="AO25" s="16"/>
      <c r="AP25" s="16">
        <f t="shared" si="11"/>
        <v>0</v>
      </c>
      <c r="AQ25" s="109"/>
      <c r="AR25" s="109">
        <f t="shared" si="11"/>
        <v>0</v>
      </c>
      <c r="AS25" s="90">
        <v>0</v>
      </c>
      <c r="AT25" s="90"/>
      <c r="AU25" s="90">
        <f t="shared" si="13"/>
        <v>0</v>
      </c>
      <c r="AV25" s="110">
        <v>514</v>
      </c>
      <c r="AW25" s="125">
        <v>0.3</v>
      </c>
      <c r="AX25" s="16">
        <f t="shared" si="12"/>
        <v>203.79072</v>
      </c>
      <c r="AY25" s="112"/>
      <c r="AZ25" s="113"/>
      <c r="BA25" s="113">
        <f t="shared" si="16"/>
        <v>0</v>
      </c>
      <c r="BB25" s="113">
        <f>SUM(AG25:BA25)-AV25-AW25</f>
        <v>4502.43923</v>
      </c>
      <c r="BC25" s="123">
        <f>'[1]Т12'!$O$105+'[1]Т12'!$O$120</f>
        <v>610.5409199999999</v>
      </c>
      <c r="BD25" s="14">
        <f>AC25+AF25-BB25-BC25</f>
        <v>3457.001230000001</v>
      </c>
      <c r="BE25" s="30">
        <f>AB25-S25</f>
        <v>-328.0800000000004</v>
      </c>
    </row>
    <row r="26" spans="1:57" s="20" customFormat="1" ht="12.75">
      <c r="A26" s="17" t="s">
        <v>5</v>
      </c>
      <c r="B26" s="60"/>
      <c r="C26" s="60">
        <f aca="true" t="shared" si="19" ref="C26:BC26">SUM(C14:C25)</f>
        <v>88598.49</v>
      </c>
      <c r="D26" s="60">
        <f t="shared" si="19"/>
        <v>30607.11375</v>
      </c>
      <c r="E26" s="57">
        <f t="shared" si="19"/>
        <v>4963.909999999999</v>
      </c>
      <c r="F26" s="57">
        <f t="shared" si="19"/>
        <v>385.48000000000013</v>
      </c>
      <c r="G26" s="57">
        <f t="shared" si="19"/>
        <v>6719.299999999999</v>
      </c>
      <c r="H26" s="57">
        <f t="shared" si="19"/>
        <v>521.72</v>
      </c>
      <c r="I26" s="57">
        <f t="shared" si="19"/>
        <v>16152.790000000003</v>
      </c>
      <c r="J26" s="57">
        <f t="shared" si="19"/>
        <v>1254.0400000000002</v>
      </c>
      <c r="K26" s="57">
        <f t="shared" si="19"/>
        <v>11186.829999999998</v>
      </c>
      <c r="L26" s="57">
        <f t="shared" si="19"/>
        <v>868.6800000000001</v>
      </c>
      <c r="M26" s="57">
        <f t="shared" si="19"/>
        <v>3971.3299999999995</v>
      </c>
      <c r="N26" s="57">
        <f t="shared" si="19"/>
        <v>308.23999999999995</v>
      </c>
      <c r="O26" s="57">
        <f t="shared" si="19"/>
        <v>0</v>
      </c>
      <c r="P26" s="57">
        <f t="shared" si="19"/>
        <v>0</v>
      </c>
      <c r="Q26" s="57">
        <f t="shared" si="19"/>
        <v>0</v>
      </c>
      <c r="R26" s="57">
        <f t="shared" si="19"/>
        <v>0</v>
      </c>
      <c r="S26" s="57">
        <f t="shared" si="19"/>
        <v>42994.159999999996</v>
      </c>
      <c r="T26" s="57">
        <f t="shared" si="19"/>
        <v>3338.159999999999</v>
      </c>
      <c r="U26" s="61">
        <f t="shared" si="19"/>
        <v>2890.71</v>
      </c>
      <c r="V26" s="61">
        <f t="shared" si="19"/>
        <v>3910.2900000000004</v>
      </c>
      <c r="W26" s="61">
        <f t="shared" si="19"/>
        <v>9134.41</v>
      </c>
      <c r="X26" s="61">
        <f t="shared" si="19"/>
        <v>6511.709999999999</v>
      </c>
      <c r="Y26" s="61">
        <f t="shared" si="19"/>
        <v>2312.71</v>
      </c>
      <c r="Z26" s="61">
        <f t="shared" si="19"/>
        <v>0</v>
      </c>
      <c r="AA26" s="61">
        <f t="shared" si="19"/>
        <v>0</v>
      </c>
      <c r="AB26" s="61">
        <f t="shared" si="19"/>
        <v>24759.829999999998</v>
      </c>
      <c r="AC26" s="61">
        <f t="shared" si="19"/>
        <v>58705.10375</v>
      </c>
      <c r="AD26" s="61">
        <f t="shared" si="19"/>
        <v>0</v>
      </c>
      <c r="AE26" s="93">
        <f t="shared" si="19"/>
        <v>0</v>
      </c>
      <c r="AF26" s="93">
        <f t="shared" si="19"/>
        <v>4544.56164</v>
      </c>
      <c r="AG26" s="18">
        <f t="shared" si="19"/>
        <v>5940.7080000000005</v>
      </c>
      <c r="AH26" s="18">
        <f t="shared" si="19"/>
        <v>1988.9253816000003</v>
      </c>
      <c r="AI26" s="18">
        <f t="shared" si="19"/>
        <v>8304.336283524999</v>
      </c>
      <c r="AJ26" s="18">
        <f t="shared" si="19"/>
        <v>1494.7805310344995</v>
      </c>
      <c r="AK26" s="18">
        <f t="shared" si="19"/>
        <v>8072.896641265</v>
      </c>
      <c r="AL26" s="18">
        <f t="shared" si="19"/>
        <v>1453.1213954276996</v>
      </c>
      <c r="AM26" s="18">
        <f t="shared" si="19"/>
        <v>18574.150851916016</v>
      </c>
      <c r="AN26" s="18">
        <f t="shared" si="19"/>
        <v>3343.347153344883</v>
      </c>
      <c r="AO26" s="18">
        <f t="shared" si="19"/>
        <v>0</v>
      </c>
      <c r="AP26" s="18">
        <f t="shared" si="19"/>
        <v>0</v>
      </c>
      <c r="AQ26" s="18">
        <f>SUM(AQ14:AQ25)</f>
        <v>0</v>
      </c>
      <c r="AR26" s="18">
        <f>SUM(AR14:AR25)</f>
        <v>0</v>
      </c>
      <c r="AS26" s="18">
        <f>SUM(AS14:AS25)</f>
        <v>19104.719999999998</v>
      </c>
      <c r="AT26" s="18">
        <f>SUM(AT14:AT25)</f>
        <v>0</v>
      </c>
      <c r="AU26" s="18">
        <f>SUM(AU14:AU25)</f>
        <v>3438.8596</v>
      </c>
      <c r="AV26" s="18"/>
      <c r="AW26" s="18"/>
      <c r="AX26" s="18">
        <f t="shared" si="19"/>
        <v>1744.512</v>
      </c>
      <c r="AY26" s="18">
        <f t="shared" si="19"/>
        <v>0</v>
      </c>
      <c r="AZ26" s="18">
        <f t="shared" si="19"/>
        <v>0</v>
      </c>
      <c r="BA26" s="18">
        <f t="shared" si="19"/>
        <v>0</v>
      </c>
      <c r="BB26" s="18">
        <f t="shared" si="19"/>
        <v>73460.3578381131</v>
      </c>
      <c r="BC26" s="18">
        <f t="shared" si="19"/>
        <v>1830.7660759999999</v>
      </c>
      <c r="BD26" s="18">
        <f>SUM(BD14:BD25)</f>
        <v>-12041.458524113094</v>
      </c>
      <c r="BE26" s="19">
        <f>SUM(BE14:BE25)</f>
        <v>-18234.330000000005</v>
      </c>
    </row>
    <row r="27" spans="1:57" ht="12.75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/>
      <c r="T27" s="48"/>
      <c r="U27" s="52"/>
      <c r="V27" s="52"/>
      <c r="W27" s="52"/>
      <c r="X27" s="52"/>
      <c r="Y27" s="52"/>
      <c r="Z27" s="52"/>
      <c r="AA27" s="52"/>
      <c r="AB27" s="52"/>
      <c r="AC27" s="94"/>
      <c r="AD27" s="94"/>
      <c r="AE27" s="95"/>
      <c r="AF27" s="95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89"/>
      <c r="AT27" s="89"/>
      <c r="AU27" s="90"/>
      <c r="AV27" s="90"/>
      <c r="AW27" s="90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thickBot="1">
      <c r="A28" s="22" t="s">
        <v>54</v>
      </c>
      <c r="B28" s="23"/>
      <c r="C28" s="23">
        <f>C12+C26</f>
        <v>110748.1125</v>
      </c>
      <c r="D28" s="23">
        <f>D12+D26</f>
        <v>35938.601717825004</v>
      </c>
      <c r="E28" s="50">
        <f aca="true" t="shared" si="20" ref="E28:BC28">E12+E26</f>
        <v>5601.079999999999</v>
      </c>
      <c r="F28" s="50">
        <f t="shared" si="20"/>
        <v>436.3700000000001</v>
      </c>
      <c r="G28" s="50">
        <f t="shared" si="20"/>
        <v>7489.579999999999</v>
      </c>
      <c r="H28" s="50">
        <f t="shared" si="20"/>
        <v>590.39</v>
      </c>
      <c r="I28" s="50">
        <f t="shared" si="20"/>
        <v>18223.81</v>
      </c>
      <c r="J28" s="50">
        <f t="shared" si="20"/>
        <v>1419.3700000000001</v>
      </c>
      <c r="K28" s="50">
        <f t="shared" si="20"/>
        <v>12620.529999999999</v>
      </c>
      <c r="L28" s="50">
        <f t="shared" si="20"/>
        <v>983.1700000000001</v>
      </c>
      <c r="M28" s="50">
        <f t="shared" si="20"/>
        <v>4481.08</v>
      </c>
      <c r="N28" s="50">
        <f>N12+N26</f>
        <v>348.91999999999996</v>
      </c>
      <c r="O28" s="50">
        <f t="shared" si="20"/>
        <v>0</v>
      </c>
      <c r="P28" s="50">
        <f t="shared" si="20"/>
        <v>0</v>
      </c>
      <c r="Q28" s="50">
        <f t="shared" si="20"/>
        <v>0</v>
      </c>
      <c r="R28" s="50">
        <f t="shared" si="20"/>
        <v>0</v>
      </c>
      <c r="S28" s="50">
        <f t="shared" si="20"/>
        <v>48416.079999999994</v>
      </c>
      <c r="T28" s="50">
        <f t="shared" si="20"/>
        <v>3778.219999999999</v>
      </c>
      <c r="U28" s="53">
        <f t="shared" si="20"/>
        <v>3156.17</v>
      </c>
      <c r="V28" s="53">
        <f t="shared" si="20"/>
        <v>4268.650000000001</v>
      </c>
      <c r="W28" s="53">
        <f t="shared" si="20"/>
        <v>10268.78</v>
      </c>
      <c r="X28" s="53">
        <f t="shared" si="20"/>
        <v>7109.039999999999</v>
      </c>
      <c r="Y28" s="53">
        <f t="shared" si="20"/>
        <v>2525.11</v>
      </c>
      <c r="Z28" s="53">
        <f t="shared" si="20"/>
        <v>0</v>
      </c>
      <c r="AA28" s="53">
        <f t="shared" si="20"/>
        <v>0</v>
      </c>
      <c r="AB28" s="53">
        <f t="shared" si="20"/>
        <v>27327.75</v>
      </c>
      <c r="AC28" s="53">
        <f t="shared" si="20"/>
        <v>67044.571717825</v>
      </c>
      <c r="AD28" s="53">
        <f t="shared" si="20"/>
        <v>0</v>
      </c>
      <c r="AE28" s="53">
        <f>AE12+AE26</f>
        <v>0</v>
      </c>
      <c r="AF28" s="53">
        <f t="shared" si="20"/>
        <v>4544.56164</v>
      </c>
      <c r="AG28" s="23">
        <f t="shared" si="20"/>
        <v>7477.098</v>
      </c>
      <c r="AH28" s="23">
        <f t="shared" si="20"/>
        <v>2516.1632166000004</v>
      </c>
      <c r="AI28" s="23">
        <f t="shared" si="20"/>
        <v>10483.381149525</v>
      </c>
      <c r="AJ28" s="23">
        <f t="shared" si="20"/>
        <v>1887.0086069144995</v>
      </c>
      <c r="AK28" s="23">
        <f t="shared" si="20"/>
        <v>10608.615470025</v>
      </c>
      <c r="AL28" s="23">
        <f t="shared" si="20"/>
        <v>1909.5507846044995</v>
      </c>
      <c r="AM28" s="23">
        <f t="shared" si="20"/>
        <v>23231.096008581015</v>
      </c>
      <c r="AN28" s="23">
        <f t="shared" si="20"/>
        <v>4181.597281544583</v>
      </c>
      <c r="AO28" s="23">
        <f t="shared" si="20"/>
        <v>0</v>
      </c>
      <c r="AP28" s="23">
        <f t="shared" si="20"/>
        <v>0</v>
      </c>
      <c r="AQ28" s="23">
        <f t="shared" si="20"/>
        <v>0</v>
      </c>
      <c r="AR28" s="23">
        <f t="shared" si="20"/>
        <v>0</v>
      </c>
      <c r="AS28" s="23">
        <f t="shared" si="20"/>
        <v>19555.719999999998</v>
      </c>
      <c r="AT28" s="23">
        <f t="shared" si="20"/>
        <v>0</v>
      </c>
      <c r="AU28" s="23">
        <f t="shared" si="20"/>
        <v>3520.0395999999996</v>
      </c>
      <c r="AV28" s="23"/>
      <c r="AW28" s="23"/>
      <c r="AX28" s="23">
        <f t="shared" si="20"/>
        <v>1744.512</v>
      </c>
      <c r="AY28" s="23">
        <f t="shared" si="20"/>
        <v>0</v>
      </c>
      <c r="AZ28" s="23">
        <f t="shared" si="20"/>
        <v>0</v>
      </c>
      <c r="BA28" s="23">
        <f t="shared" si="20"/>
        <v>0</v>
      </c>
      <c r="BB28" s="23">
        <f t="shared" si="20"/>
        <v>87114.78211779459</v>
      </c>
      <c r="BC28" s="23">
        <f t="shared" si="20"/>
        <v>1830.7660759999999</v>
      </c>
      <c r="BD28" s="23">
        <f>BD12+BD26</f>
        <v>-17356.41483596959</v>
      </c>
      <c r="BE28" s="24">
        <f>BE12+BE26</f>
        <v>-21088.330000000005</v>
      </c>
    </row>
    <row r="29" spans="1:57" ht="15" customHeight="1">
      <c r="A29" s="5" t="s">
        <v>91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/>
      <c r="R29" s="55"/>
      <c r="S29" s="55"/>
      <c r="T29" s="55"/>
      <c r="U29" s="62"/>
      <c r="V29" s="62"/>
      <c r="W29" s="62"/>
      <c r="X29" s="62"/>
      <c r="Y29" s="62"/>
      <c r="Z29" s="62"/>
      <c r="AA29" s="54"/>
      <c r="AB29" s="54"/>
      <c r="AC29" s="91"/>
      <c r="AD29" s="91"/>
      <c r="AE29" s="92"/>
      <c r="AF29" s="92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14"/>
      <c r="BB29" s="14"/>
      <c r="BC29" s="14"/>
      <c r="BD29" s="14"/>
      <c r="BE29" s="30"/>
    </row>
    <row r="30" spans="1:57" ht="12.75">
      <c r="A30" s="11" t="s">
        <v>45</v>
      </c>
      <c r="B30" s="97">
        <v>853.55</v>
      </c>
      <c r="C30" s="122">
        <f aca="true" t="shared" si="21" ref="C30:C41">B30*8.65</f>
        <v>7383.2074999999995</v>
      </c>
      <c r="D30" s="121">
        <f aca="true" t="shared" si="22" ref="D30:D36">C30-E30-F30-G30-H30-I30-J30-K30-L30-M30-N30</f>
        <v>3363.187500000001</v>
      </c>
      <c r="E30" s="100">
        <v>430.99</v>
      </c>
      <c r="F30" s="100">
        <v>32.92</v>
      </c>
      <c r="G30" s="100">
        <v>584.07</v>
      </c>
      <c r="H30" s="100">
        <v>44.61</v>
      </c>
      <c r="I30" s="100">
        <v>1402.95</v>
      </c>
      <c r="J30" s="100">
        <v>107.15</v>
      </c>
      <c r="K30" s="100">
        <v>971.96</v>
      </c>
      <c r="L30" s="100">
        <v>74.24</v>
      </c>
      <c r="M30" s="100">
        <v>344.81</v>
      </c>
      <c r="N30" s="100">
        <v>26.32</v>
      </c>
      <c r="O30" s="100">
        <v>0</v>
      </c>
      <c r="P30" s="107">
        <v>0</v>
      </c>
      <c r="Q30" s="107"/>
      <c r="R30" s="107"/>
      <c r="S30" s="85">
        <f aca="true" t="shared" si="23" ref="S30:S41">E30+G30+I30+K30+M30+O30+Q30</f>
        <v>3734.78</v>
      </c>
      <c r="T30" s="101">
        <f aca="true" t="shared" si="24" ref="T30:T41">P30+N30+L30+J30+H30+F30+R30</f>
        <v>285.24</v>
      </c>
      <c r="U30" s="85">
        <v>141.18</v>
      </c>
      <c r="V30" s="85">
        <v>191.26</v>
      </c>
      <c r="W30" s="85">
        <v>459.49</v>
      </c>
      <c r="X30" s="85">
        <v>318.28</v>
      </c>
      <c r="Y30" s="135">
        <v>112.96</v>
      </c>
      <c r="Z30" s="102">
        <v>0</v>
      </c>
      <c r="AA30" s="102">
        <v>0</v>
      </c>
      <c r="AB30" s="107">
        <f>SUM(U30:AA30)</f>
        <v>1223.17</v>
      </c>
      <c r="AC30" s="106">
        <f aca="true" t="shared" si="25" ref="AC30:AC41">D30+T30+AB30</f>
        <v>4871.597500000001</v>
      </c>
      <c r="AD30" s="95">
        <f aca="true" t="shared" si="26" ref="AD30:AD41">P30+Z30</f>
        <v>0</v>
      </c>
      <c r="AE30" s="95">
        <f aca="true" t="shared" si="27" ref="AE30:AE41">R30+AA30</f>
        <v>0</v>
      </c>
      <c r="AF30" s="95">
        <f>'[4]Т01-10'!$I$102+'[4]Т01-10'!$I$117</f>
        <v>1514.85388</v>
      </c>
      <c r="AG30" s="16">
        <f aca="true" t="shared" si="28" ref="AG30:AG41">0.6*B30</f>
        <v>512.13</v>
      </c>
      <c r="AH30" s="16">
        <f aca="true" t="shared" si="29" ref="AH30:AH41">B30*0.2</f>
        <v>170.71</v>
      </c>
      <c r="AI30" s="16">
        <f aca="true" t="shared" si="30" ref="AI30:AI41">1*B30</f>
        <v>853.55</v>
      </c>
      <c r="AJ30" s="16">
        <v>0</v>
      </c>
      <c r="AK30" s="16">
        <f aca="true" t="shared" si="31" ref="AK30:AK41">0.98*B30</f>
        <v>836.4789999999999</v>
      </c>
      <c r="AL30" s="16">
        <v>0</v>
      </c>
      <c r="AM30" s="16">
        <f aca="true" t="shared" si="32" ref="AM30:AM41">2.25*B30</f>
        <v>1920.4875</v>
      </c>
      <c r="AN30" s="16">
        <v>0</v>
      </c>
      <c r="AO30" s="16"/>
      <c r="AP30" s="16">
        <v>0</v>
      </c>
      <c r="AQ30" s="109"/>
      <c r="AR30" s="109"/>
      <c r="AS30" s="90">
        <v>0</v>
      </c>
      <c r="AT30" s="90"/>
      <c r="AU30" s="90">
        <f aca="true" t="shared" si="33" ref="AU30:AU41">AT30*0.18</f>
        <v>0</v>
      </c>
      <c r="AV30" s="110">
        <v>508</v>
      </c>
      <c r="AW30" s="125">
        <v>0.3</v>
      </c>
      <c r="AX30" s="141">
        <f aca="true" t="shared" si="34" ref="AX30:AX41">AV30*AW30*1.4</f>
        <v>213.35999999999999</v>
      </c>
      <c r="AY30" s="112"/>
      <c r="AZ30" s="113"/>
      <c r="BA30" s="113">
        <f aca="true" t="shared" si="35" ref="BA30:BA41">AZ30*0.18</f>
        <v>0</v>
      </c>
      <c r="BB30" s="113">
        <f aca="true" t="shared" si="36" ref="BB30:BB41">SUM(AG30:BA30)-AV30-AW30</f>
        <v>4506.7164999999995</v>
      </c>
      <c r="BC30" s="123">
        <f>'[4]Т03-10'!$M$118+'[4]Т03-10'!$M$103</f>
        <v>609.818</v>
      </c>
      <c r="BD30" s="14">
        <f aca="true" t="shared" si="37" ref="BD30:BD41">AC30+AF30-BB30-BC30</f>
        <v>1269.916880000001</v>
      </c>
      <c r="BE30" s="30">
        <f>AB30-S30</f>
        <v>-2511.61</v>
      </c>
    </row>
    <row r="31" spans="1:57" ht="12.75">
      <c r="A31" s="11" t="s">
        <v>46</v>
      </c>
      <c r="B31" s="134">
        <v>853.55</v>
      </c>
      <c r="C31" s="122">
        <f t="shared" si="21"/>
        <v>7383.2074999999995</v>
      </c>
      <c r="D31" s="121">
        <f t="shared" si="22"/>
        <v>3363.187500000001</v>
      </c>
      <c r="E31" s="142">
        <v>430.99</v>
      </c>
      <c r="F31" s="100">
        <v>32.92</v>
      </c>
      <c r="G31" s="100">
        <v>584.07</v>
      </c>
      <c r="H31" s="100">
        <v>44.61</v>
      </c>
      <c r="I31" s="100">
        <v>1402.95</v>
      </c>
      <c r="J31" s="100">
        <v>107.15</v>
      </c>
      <c r="K31" s="100">
        <v>971.96</v>
      </c>
      <c r="L31" s="100">
        <v>74.24</v>
      </c>
      <c r="M31" s="100">
        <v>344.81</v>
      </c>
      <c r="N31" s="100">
        <v>26.32</v>
      </c>
      <c r="O31" s="100">
        <v>0</v>
      </c>
      <c r="P31" s="107">
        <v>0</v>
      </c>
      <c r="Q31" s="102">
        <v>0</v>
      </c>
      <c r="R31" s="102">
        <v>0</v>
      </c>
      <c r="S31" s="85">
        <f t="shared" si="23"/>
        <v>3734.78</v>
      </c>
      <c r="T31" s="101">
        <f t="shared" si="24"/>
        <v>285.24</v>
      </c>
      <c r="U31" s="85">
        <v>263.33</v>
      </c>
      <c r="V31" s="85">
        <v>356.81</v>
      </c>
      <c r="W31" s="85">
        <v>857.15</v>
      </c>
      <c r="X31" s="85">
        <v>593.84</v>
      </c>
      <c r="Y31" s="135">
        <v>210.66</v>
      </c>
      <c r="Z31" s="102">
        <v>0</v>
      </c>
      <c r="AA31" s="102">
        <v>0</v>
      </c>
      <c r="AB31" s="107">
        <f>SUM(U31:AA31)</f>
        <v>2281.79</v>
      </c>
      <c r="AC31" s="106">
        <f t="shared" si="25"/>
        <v>5930.217500000001</v>
      </c>
      <c r="AD31" s="95">
        <f t="shared" si="26"/>
        <v>0</v>
      </c>
      <c r="AE31" s="95">
        <f t="shared" si="27"/>
        <v>0</v>
      </c>
      <c r="AF31" s="95">
        <f>'[4]Т01-10'!$I$102+'[4]Т01-10'!$I$117</f>
        <v>1514.85388</v>
      </c>
      <c r="AG31" s="16">
        <f t="shared" si="28"/>
        <v>512.13</v>
      </c>
      <c r="AH31" s="16">
        <f t="shared" si="29"/>
        <v>170.71</v>
      </c>
      <c r="AI31" s="16">
        <f t="shared" si="30"/>
        <v>853.55</v>
      </c>
      <c r="AJ31" s="16">
        <v>0</v>
      </c>
      <c r="AK31" s="16">
        <f t="shared" si="31"/>
        <v>836.4789999999999</v>
      </c>
      <c r="AL31" s="16">
        <v>0</v>
      </c>
      <c r="AM31" s="16">
        <f t="shared" si="32"/>
        <v>1920.4875</v>
      </c>
      <c r="AN31" s="16">
        <v>0</v>
      </c>
      <c r="AO31" s="16"/>
      <c r="AP31" s="16"/>
      <c r="AQ31" s="109"/>
      <c r="AR31" s="109"/>
      <c r="AS31" s="90"/>
      <c r="AT31" s="90"/>
      <c r="AU31" s="90">
        <f t="shared" si="33"/>
        <v>0</v>
      </c>
      <c r="AV31" s="110">
        <v>407</v>
      </c>
      <c r="AW31" s="125">
        <v>0.3</v>
      </c>
      <c r="AX31" s="16">
        <f t="shared" si="34"/>
        <v>170.93999999999997</v>
      </c>
      <c r="AY31" s="112"/>
      <c r="AZ31" s="113"/>
      <c r="BA31" s="113">
        <f t="shared" si="35"/>
        <v>0</v>
      </c>
      <c r="BB31" s="113">
        <f t="shared" si="36"/>
        <v>4464.2964999999995</v>
      </c>
      <c r="BC31" s="123">
        <f>'[4]Т03-10'!$M$118+'[4]Т03-10'!$M$103</f>
        <v>609.818</v>
      </c>
      <c r="BD31" s="14">
        <f t="shared" si="37"/>
        <v>2370.9568800000006</v>
      </c>
      <c r="BE31" s="30">
        <f aca="true" t="shared" si="38" ref="BE31:BE36">AB31-S31</f>
        <v>-1452.9900000000002</v>
      </c>
    </row>
    <row r="32" spans="1:57" ht="12.75">
      <c r="A32" s="11" t="s">
        <v>47</v>
      </c>
      <c r="B32" s="97">
        <v>853.55</v>
      </c>
      <c r="C32" s="122">
        <f t="shared" si="21"/>
        <v>7383.2074999999995</v>
      </c>
      <c r="D32" s="121">
        <f t="shared" si="22"/>
        <v>3363.187500000001</v>
      </c>
      <c r="E32" s="100">
        <v>430.99</v>
      </c>
      <c r="F32" s="100">
        <v>32.92</v>
      </c>
      <c r="G32" s="100">
        <v>584.07</v>
      </c>
      <c r="H32" s="100">
        <v>44.61</v>
      </c>
      <c r="I32" s="100">
        <v>1402.95</v>
      </c>
      <c r="J32" s="100">
        <v>107.15</v>
      </c>
      <c r="K32" s="100">
        <v>971.96</v>
      </c>
      <c r="L32" s="100">
        <v>74.24</v>
      </c>
      <c r="M32" s="100">
        <v>344.81</v>
      </c>
      <c r="N32" s="100">
        <v>26.32</v>
      </c>
      <c r="O32" s="100">
        <v>0</v>
      </c>
      <c r="P32" s="107">
        <v>0</v>
      </c>
      <c r="Q32" s="107">
        <v>0</v>
      </c>
      <c r="R32" s="107">
        <v>0</v>
      </c>
      <c r="S32" s="85">
        <f t="shared" si="23"/>
        <v>3734.78</v>
      </c>
      <c r="T32" s="101">
        <f t="shared" si="24"/>
        <v>285.24</v>
      </c>
      <c r="U32" s="85">
        <v>342.18</v>
      </c>
      <c r="V32" s="85">
        <v>463.66</v>
      </c>
      <c r="W32" s="85">
        <v>1113.8</v>
      </c>
      <c r="X32" s="85">
        <v>771.61</v>
      </c>
      <c r="Y32" s="135">
        <v>273.81</v>
      </c>
      <c r="Z32" s="102">
        <v>0</v>
      </c>
      <c r="AA32" s="102">
        <v>0</v>
      </c>
      <c r="AB32" s="107">
        <f>SUM(U32:AA32)</f>
        <v>2965.06</v>
      </c>
      <c r="AC32" s="106">
        <f t="shared" si="25"/>
        <v>6613.487500000001</v>
      </c>
      <c r="AD32" s="95">
        <f t="shared" si="26"/>
        <v>0</v>
      </c>
      <c r="AE32" s="95">
        <f t="shared" si="27"/>
        <v>0</v>
      </c>
      <c r="AF32" s="95">
        <f>'[4]Т01-10'!$I$102+'[4]Т01-10'!$I$117</f>
        <v>1514.85388</v>
      </c>
      <c r="AG32" s="16">
        <f t="shared" si="28"/>
        <v>512.13</v>
      </c>
      <c r="AH32" s="16">
        <f t="shared" si="29"/>
        <v>170.71</v>
      </c>
      <c r="AI32" s="16">
        <f t="shared" si="30"/>
        <v>853.55</v>
      </c>
      <c r="AJ32" s="16">
        <v>0</v>
      </c>
      <c r="AK32" s="16">
        <f t="shared" si="31"/>
        <v>836.4789999999999</v>
      </c>
      <c r="AL32" s="16">
        <v>0</v>
      </c>
      <c r="AM32" s="16">
        <f t="shared" si="32"/>
        <v>1920.4875</v>
      </c>
      <c r="AN32" s="16">
        <v>0</v>
      </c>
      <c r="AO32" s="16"/>
      <c r="AP32" s="16"/>
      <c r="AQ32" s="109"/>
      <c r="AR32" s="109"/>
      <c r="AS32" s="90"/>
      <c r="AT32" s="90"/>
      <c r="AU32" s="90">
        <f t="shared" si="33"/>
        <v>0</v>
      </c>
      <c r="AV32" s="110">
        <v>383</v>
      </c>
      <c r="AW32" s="125">
        <v>0.3</v>
      </c>
      <c r="AX32" s="16">
        <f t="shared" si="34"/>
        <v>160.85999999999999</v>
      </c>
      <c r="AY32" s="112"/>
      <c r="AZ32" s="113"/>
      <c r="BA32" s="113">
        <f t="shared" si="35"/>
        <v>0</v>
      </c>
      <c r="BB32" s="113">
        <f t="shared" si="36"/>
        <v>4454.2164999999995</v>
      </c>
      <c r="BC32" s="123">
        <f>'[4]Т03-10'!$M$118+'[4]Т03-10'!$M$103</f>
        <v>609.818</v>
      </c>
      <c r="BD32" s="14">
        <f t="shared" si="37"/>
        <v>3064.306880000001</v>
      </c>
      <c r="BE32" s="30">
        <f t="shared" si="38"/>
        <v>-769.7200000000003</v>
      </c>
    </row>
    <row r="33" spans="1:57" ht="12.75">
      <c r="A33" s="11" t="s">
        <v>48</v>
      </c>
      <c r="B33" s="97">
        <v>853.55</v>
      </c>
      <c r="C33" s="122">
        <f t="shared" si="21"/>
        <v>7383.2074999999995</v>
      </c>
      <c r="D33" s="121">
        <f t="shared" si="22"/>
        <v>3362.4375000000005</v>
      </c>
      <c r="E33" s="100">
        <v>431.07</v>
      </c>
      <c r="F33" s="100">
        <v>32.92</v>
      </c>
      <c r="G33" s="100">
        <v>584.19</v>
      </c>
      <c r="H33" s="100">
        <v>44.61</v>
      </c>
      <c r="I33" s="100">
        <v>1403.23</v>
      </c>
      <c r="J33" s="100">
        <v>107.15</v>
      </c>
      <c r="K33" s="100">
        <v>972.15</v>
      </c>
      <c r="L33" s="100">
        <v>74.24</v>
      </c>
      <c r="M33" s="100">
        <v>344.89</v>
      </c>
      <c r="N33" s="100">
        <v>26.32</v>
      </c>
      <c r="O33" s="100">
        <v>0</v>
      </c>
      <c r="P33" s="107">
        <v>0</v>
      </c>
      <c r="Q33" s="107"/>
      <c r="R33" s="107"/>
      <c r="S33" s="85">
        <f t="shared" si="23"/>
        <v>3735.5299999999997</v>
      </c>
      <c r="T33" s="101">
        <f t="shared" si="24"/>
        <v>285.24</v>
      </c>
      <c r="U33" s="85">
        <v>178.99</v>
      </c>
      <c r="V33" s="85">
        <v>241.67</v>
      </c>
      <c r="W33" s="85">
        <v>575.39</v>
      </c>
      <c r="X33" s="85">
        <v>402.76</v>
      </c>
      <c r="Y33" s="135">
        <v>143.22</v>
      </c>
      <c r="Z33" s="102">
        <v>0</v>
      </c>
      <c r="AA33" s="102">
        <v>0</v>
      </c>
      <c r="AB33" s="107">
        <f>SUM(U33:AA33)</f>
        <v>1542.03</v>
      </c>
      <c r="AC33" s="106">
        <f t="shared" si="25"/>
        <v>5189.7075</v>
      </c>
      <c r="AD33" s="95">
        <f t="shared" si="26"/>
        <v>0</v>
      </c>
      <c r="AE33" s="95">
        <f t="shared" si="27"/>
        <v>0</v>
      </c>
      <c r="AF33" s="95">
        <f>'[5]Т04-10'!$I$103+'[5]Т04-10'!$I$118</f>
        <v>1514.85388</v>
      </c>
      <c r="AG33" s="16">
        <f t="shared" si="28"/>
        <v>512.13</v>
      </c>
      <c r="AH33" s="16">
        <f t="shared" si="29"/>
        <v>170.71</v>
      </c>
      <c r="AI33" s="16">
        <f t="shared" si="30"/>
        <v>853.55</v>
      </c>
      <c r="AJ33" s="16">
        <v>0</v>
      </c>
      <c r="AK33" s="16">
        <f t="shared" si="31"/>
        <v>836.4789999999999</v>
      </c>
      <c r="AL33" s="16">
        <v>0</v>
      </c>
      <c r="AM33" s="16">
        <f t="shared" si="32"/>
        <v>1920.4875</v>
      </c>
      <c r="AN33" s="16">
        <v>0</v>
      </c>
      <c r="AO33" s="16"/>
      <c r="AP33" s="16"/>
      <c r="AQ33" s="109"/>
      <c r="AR33" s="109"/>
      <c r="AS33" s="90"/>
      <c r="AT33" s="90"/>
      <c r="AU33" s="90">
        <f t="shared" si="33"/>
        <v>0</v>
      </c>
      <c r="AV33" s="110">
        <v>307</v>
      </c>
      <c r="AW33" s="125">
        <v>0.3</v>
      </c>
      <c r="AX33" s="16">
        <f t="shared" si="34"/>
        <v>128.94</v>
      </c>
      <c r="AY33" s="112"/>
      <c r="AZ33" s="113"/>
      <c r="BA33" s="113">
        <f t="shared" si="35"/>
        <v>0</v>
      </c>
      <c r="BB33" s="113">
        <f t="shared" si="36"/>
        <v>4422.2964999999995</v>
      </c>
      <c r="BC33" s="123">
        <f>'[5]Т04-10'!$M$103+'[5]Т04-10'!$M$118</f>
        <v>609.818</v>
      </c>
      <c r="BD33" s="14">
        <f t="shared" si="37"/>
        <v>1672.4468800000006</v>
      </c>
      <c r="BE33" s="30">
        <f t="shared" si="38"/>
        <v>-2193.5</v>
      </c>
    </row>
    <row r="34" spans="1:57" ht="12.75">
      <c r="A34" s="11" t="s">
        <v>49</v>
      </c>
      <c r="B34" s="97">
        <v>853.55</v>
      </c>
      <c r="C34" s="122">
        <f t="shared" si="21"/>
        <v>7383.2074999999995</v>
      </c>
      <c r="D34" s="121">
        <f t="shared" si="22"/>
        <v>3362.2675</v>
      </c>
      <c r="E34" s="100">
        <v>431.1</v>
      </c>
      <c r="F34" s="100">
        <v>32.92</v>
      </c>
      <c r="G34" s="100">
        <v>584.21</v>
      </c>
      <c r="H34" s="100">
        <v>44.61</v>
      </c>
      <c r="I34" s="100">
        <v>1403.3</v>
      </c>
      <c r="J34" s="100">
        <v>107.15</v>
      </c>
      <c r="K34" s="100">
        <v>972.2</v>
      </c>
      <c r="L34" s="100">
        <v>74.24</v>
      </c>
      <c r="M34" s="100">
        <v>344.89</v>
      </c>
      <c r="N34" s="100">
        <v>26.32</v>
      </c>
      <c r="O34" s="100">
        <v>0</v>
      </c>
      <c r="P34" s="107">
        <v>0</v>
      </c>
      <c r="Q34" s="107"/>
      <c r="R34" s="107"/>
      <c r="S34" s="85">
        <f t="shared" si="23"/>
        <v>3735.7000000000003</v>
      </c>
      <c r="T34" s="101">
        <f t="shared" si="24"/>
        <v>285.24</v>
      </c>
      <c r="U34" s="143">
        <v>135.32</v>
      </c>
      <c r="V34" s="143">
        <v>183.38</v>
      </c>
      <c r="W34" s="143">
        <v>440.5</v>
      </c>
      <c r="X34" s="143">
        <v>305.17</v>
      </c>
      <c r="Y34" s="144">
        <v>108.24</v>
      </c>
      <c r="Z34" s="145">
        <v>0</v>
      </c>
      <c r="AA34" s="145">
        <v>0</v>
      </c>
      <c r="AB34" s="107">
        <f aca="true" t="shared" si="39" ref="AB34:AB41">SUM(U34:AA34)</f>
        <v>1172.6100000000001</v>
      </c>
      <c r="AC34" s="106">
        <f t="shared" si="25"/>
        <v>4820.1175</v>
      </c>
      <c r="AD34" s="95">
        <f t="shared" si="26"/>
        <v>0</v>
      </c>
      <c r="AE34" s="95">
        <f t="shared" si="27"/>
        <v>0</v>
      </c>
      <c r="AF34" s="95">
        <f>'[5]Т04-10'!$I$103+'[5]Т04-10'!$I$118</f>
        <v>1514.85388</v>
      </c>
      <c r="AG34" s="16">
        <f t="shared" si="28"/>
        <v>512.13</v>
      </c>
      <c r="AH34" s="16">
        <f t="shared" si="29"/>
        <v>170.71</v>
      </c>
      <c r="AI34" s="16">
        <f t="shared" si="30"/>
        <v>853.55</v>
      </c>
      <c r="AJ34" s="16">
        <v>0</v>
      </c>
      <c r="AK34" s="16">
        <f t="shared" si="31"/>
        <v>836.4789999999999</v>
      </c>
      <c r="AL34" s="16">
        <v>0</v>
      </c>
      <c r="AM34" s="16">
        <f t="shared" si="32"/>
        <v>1920.4875</v>
      </c>
      <c r="AN34" s="16">
        <v>0</v>
      </c>
      <c r="AO34" s="16"/>
      <c r="AP34" s="16"/>
      <c r="AQ34" s="109"/>
      <c r="AR34" s="109"/>
      <c r="AS34" s="90">
        <v>484</v>
      </c>
      <c r="AT34" s="90"/>
      <c r="AU34" s="90">
        <f t="shared" si="33"/>
        <v>0</v>
      </c>
      <c r="AV34" s="110">
        <v>263</v>
      </c>
      <c r="AW34" s="125">
        <v>0.3</v>
      </c>
      <c r="AX34" s="16">
        <f t="shared" si="34"/>
        <v>110.45999999999998</v>
      </c>
      <c r="AY34" s="112"/>
      <c r="AZ34" s="113"/>
      <c r="BA34" s="113">
        <f t="shared" si="35"/>
        <v>0</v>
      </c>
      <c r="BB34" s="113">
        <f t="shared" si="36"/>
        <v>4887.8165</v>
      </c>
      <c r="BC34" s="123">
        <f>'[5]Т04-10'!$M$103+'[5]Т04-10'!$M$118</f>
        <v>609.818</v>
      </c>
      <c r="BD34" s="14">
        <f t="shared" si="37"/>
        <v>837.3368800000001</v>
      </c>
      <c r="BE34" s="30">
        <f t="shared" si="38"/>
        <v>-2563.09</v>
      </c>
    </row>
    <row r="35" spans="1:57" ht="12.75">
      <c r="A35" s="11" t="s">
        <v>50</v>
      </c>
      <c r="B35" s="97">
        <v>853.55</v>
      </c>
      <c r="C35" s="122">
        <f t="shared" si="21"/>
        <v>7383.2074999999995</v>
      </c>
      <c r="D35" s="121">
        <f t="shared" si="22"/>
        <v>3362.2675</v>
      </c>
      <c r="E35" s="100">
        <v>431.1</v>
      </c>
      <c r="F35" s="100">
        <v>32.92</v>
      </c>
      <c r="G35" s="100">
        <v>584.21</v>
      </c>
      <c r="H35" s="100">
        <v>44.61</v>
      </c>
      <c r="I35" s="100">
        <v>1403.3</v>
      </c>
      <c r="J35" s="100">
        <v>107.15</v>
      </c>
      <c r="K35" s="100">
        <v>972.2</v>
      </c>
      <c r="L35" s="100">
        <v>74.24</v>
      </c>
      <c r="M35" s="100">
        <v>344.89</v>
      </c>
      <c r="N35" s="100">
        <v>26.32</v>
      </c>
      <c r="O35" s="100">
        <v>0</v>
      </c>
      <c r="P35" s="107">
        <v>0</v>
      </c>
      <c r="Q35" s="100">
        <v>0</v>
      </c>
      <c r="R35" s="107">
        <v>0</v>
      </c>
      <c r="S35" s="85">
        <f t="shared" si="23"/>
        <v>3735.7000000000003</v>
      </c>
      <c r="T35" s="101">
        <f t="shared" si="24"/>
        <v>285.24</v>
      </c>
      <c r="U35" s="85">
        <v>281.6</v>
      </c>
      <c r="V35" s="85">
        <v>381.52</v>
      </c>
      <c r="W35" s="85">
        <v>916.54</v>
      </c>
      <c r="X35" s="85">
        <v>634.93</v>
      </c>
      <c r="Y35" s="135">
        <v>225.31</v>
      </c>
      <c r="Z35" s="102">
        <v>0</v>
      </c>
      <c r="AA35" s="102">
        <v>0</v>
      </c>
      <c r="AB35" s="107">
        <f t="shared" si="39"/>
        <v>2439.8999999999996</v>
      </c>
      <c r="AC35" s="106">
        <f t="shared" si="25"/>
        <v>6087.407499999999</v>
      </c>
      <c r="AD35" s="95">
        <f t="shared" si="26"/>
        <v>0</v>
      </c>
      <c r="AE35" s="95">
        <f t="shared" si="27"/>
        <v>0</v>
      </c>
      <c r="AF35" s="95">
        <f>'[5]Т04-10'!$I$103+'[5]Т04-10'!$I$118</f>
        <v>1514.85388</v>
      </c>
      <c r="AG35" s="16">
        <f t="shared" si="28"/>
        <v>512.13</v>
      </c>
      <c r="AH35" s="16">
        <f t="shared" si="29"/>
        <v>170.71</v>
      </c>
      <c r="AI35" s="16">
        <f t="shared" si="30"/>
        <v>853.55</v>
      </c>
      <c r="AJ35" s="16">
        <v>0</v>
      </c>
      <c r="AK35" s="16">
        <f t="shared" si="31"/>
        <v>836.4789999999999</v>
      </c>
      <c r="AL35" s="16">
        <v>0</v>
      </c>
      <c r="AM35" s="16">
        <f t="shared" si="32"/>
        <v>1920.4875</v>
      </c>
      <c r="AN35" s="16">
        <v>0</v>
      </c>
      <c r="AO35" s="16"/>
      <c r="AP35" s="16"/>
      <c r="AQ35" s="109"/>
      <c r="AR35" s="109"/>
      <c r="AS35" s="90">
        <v>12668</v>
      </c>
      <c r="AT35" s="90"/>
      <c r="AU35" s="90">
        <f t="shared" si="33"/>
        <v>0</v>
      </c>
      <c r="AV35" s="110">
        <v>233</v>
      </c>
      <c r="AW35" s="125">
        <v>0.3</v>
      </c>
      <c r="AX35" s="16">
        <f t="shared" si="34"/>
        <v>97.85999999999999</v>
      </c>
      <c r="AY35" s="112"/>
      <c r="AZ35" s="113"/>
      <c r="BA35" s="113">
        <f t="shared" si="35"/>
        <v>0</v>
      </c>
      <c r="BB35" s="113">
        <f t="shared" si="36"/>
        <v>17059.216500000002</v>
      </c>
      <c r="BC35" s="123">
        <f>'[5]Т06-10'!$M$100+'[5]Т06-10'!$M$115</f>
        <v>609.818</v>
      </c>
      <c r="BD35" s="14">
        <f t="shared" si="37"/>
        <v>-10066.773120000002</v>
      </c>
      <c r="BE35" s="30">
        <f t="shared" si="38"/>
        <v>-1295.8000000000006</v>
      </c>
    </row>
    <row r="36" spans="1:57" ht="12.75">
      <c r="A36" s="11" t="s">
        <v>51</v>
      </c>
      <c r="B36" s="97">
        <v>853.55</v>
      </c>
      <c r="C36" s="122">
        <f t="shared" si="21"/>
        <v>7383.2074999999995</v>
      </c>
      <c r="D36" s="121">
        <f t="shared" si="22"/>
        <v>3362.2775</v>
      </c>
      <c r="E36" s="142">
        <v>464.02</v>
      </c>
      <c r="F36" s="100">
        <v>0</v>
      </c>
      <c r="G36" s="100">
        <v>628.82</v>
      </c>
      <c r="H36" s="100">
        <v>0</v>
      </c>
      <c r="I36" s="100">
        <v>1510.45</v>
      </c>
      <c r="J36" s="100">
        <v>0</v>
      </c>
      <c r="K36" s="100">
        <v>1046.43</v>
      </c>
      <c r="L36" s="100">
        <v>0</v>
      </c>
      <c r="M36" s="100">
        <v>371.21</v>
      </c>
      <c r="N36" s="100">
        <v>0</v>
      </c>
      <c r="O36" s="100">
        <v>0</v>
      </c>
      <c r="P36" s="107">
        <v>0</v>
      </c>
      <c r="Q36" s="107"/>
      <c r="R36" s="107"/>
      <c r="S36" s="85">
        <f t="shared" si="23"/>
        <v>4020.9300000000003</v>
      </c>
      <c r="T36" s="101">
        <f t="shared" si="24"/>
        <v>0</v>
      </c>
      <c r="U36" s="87">
        <v>127.94</v>
      </c>
      <c r="V36" s="85">
        <v>173.39</v>
      </c>
      <c r="W36" s="85">
        <v>416.48</v>
      </c>
      <c r="X36" s="85">
        <v>288.53</v>
      </c>
      <c r="Y36" s="135">
        <v>102.35</v>
      </c>
      <c r="Z36" s="102">
        <v>0</v>
      </c>
      <c r="AA36" s="102">
        <v>0</v>
      </c>
      <c r="AB36" s="107">
        <f t="shared" si="39"/>
        <v>1108.6899999999998</v>
      </c>
      <c r="AC36" s="106">
        <f t="shared" si="25"/>
        <v>4470.9675</v>
      </c>
      <c r="AD36" s="95">
        <f t="shared" si="26"/>
        <v>0</v>
      </c>
      <c r="AE36" s="95">
        <f t="shared" si="27"/>
        <v>0</v>
      </c>
      <c r="AF36" s="95">
        <f>'[6]Т07-10'!$I$99+'[6]Т07-10'!$I$114</f>
        <v>1397.3022799999999</v>
      </c>
      <c r="AG36" s="16">
        <f t="shared" si="28"/>
        <v>512.13</v>
      </c>
      <c r="AH36" s="16">
        <f t="shared" si="29"/>
        <v>170.71</v>
      </c>
      <c r="AI36" s="16">
        <f t="shared" si="30"/>
        <v>853.55</v>
      </c>
      <c r="AJ36" s="16">
        <v>0</v>
      </c>
      <c r="AK36" s="16">
        <f t="shared" si="31"/>
        <v>836.4789999999999</v>
      </c>
      <c r="AL36" s="16">
        <v>0</v>
      </c>
      <c r="AM36" s="16">
        <f t="shared" si="32"/>
        <v>1920.4875</v>
      </c>
      <c r="AN36" s="16">
        <v>0</v>
      </c>
      <c r="AO36" s="16"/>
      <c r="AP36" s="16"/>
      <c r="AQ36" s="109"/>
      <c r="AR36" s="109"/>
      <c r="AS36" s="90"/>
      <c r="AT36" s="90"/>
      <c r="AU36" s="90">
        <f t="shared" si="33"/>
        <v>0</v>
      </c>
      <c r="AV36" s="110">
        <v>248</v>
      </c>
      <c r="AW36" s="125">
        <v>0.3</v>
      </c>
      <c r="AX36" s="16">
        <f t="shared" si="34"/>
        <v>104.15999999999998</v>
      </c>
      <c r="AY36" s="112"/>
      <c r="AZ36" s="113"/>
      <c r="BA36" s="113">
        <f t="shared" si="35"/>
        <v>0</v>
      </c>
      <c r="BB36" s="113">
        <f t="shared" si="36"/>
        <v>4397.5165</v>
      </c>
      <c r="BC36" s="123">
        <f>'[5]Т06-10'!$M$100+'[5]Т06-10'!$M$115</f>
        <v>609.818</v>
      </c>
      <c r="BD36" s="14">
        <f t="shared" si="37"/>
        <v>860.9352799999999</v>
      </c>
      <c r="BE36" s="30">
        <f t="shared" si="38"/>
        <v>-2912.2400000000007</v>
      </c>
    </row>
    <row r="37" spans="1:57" ht="12.75">
      <c r="A37" s="11" t="s">
        <v>52</v>
      </c>
      <c r="B37" s="97">
        <v>853.55</v>
      </c>
      <c r="C37" s="122">
        <f t="shared" si="21"/>
        <v>7383.2074999999995</v>
      </c>
      <c r="D37" s="121">
        <f>C37-E37-F37-G37-H37-I37-J37-K37-L37-M37-N37</f>
        <v>3362.2775</v>
      </c>
      <c r="E37" s="142">
        <v>464.02</v>
      </c>
      <c r="F37" s="100">
        <v>0</v>
      </c>
      <c r="G37" s="100">
        <v>628.82</v>
      </c>
      <c r="H37" s="100">
        <v>0</v>
      </c>
      <c r="I37" s="100">
        <v>1510.45</v>
      </c>
      <c r="J37" s="100">
        <v>0</v>
      </c>
      <c r="K37" s="100">
        <v>1046.43</v>
      </c>
      <c r="L37" s="100">
        <v>0</v>
      </c>
      <c r="M37" s="100">
        <v>371.21</v>
      </c>
      <c r="N37" s="100">
        <v>0</v>
      </c>
      <c r="O37" s="100">
        <v>0</v>
      </c>
      <c r="P37" s="107">
        <v>0</v>
      </c>
      <c r="Q37" s="107"/>
      <c r="R37" s="107"/>
      <c r="S37" s="85">
        <f t="shared" si="23"/>
        <v>4020.9300000000003</v>
      </c>
      <c r="T37" s="101">
        <f t="shared" si="24"/>
        <v>0</v>
      </c>
      <c r="U37" s="143">
        <v>249.99</v>
      </c>
      <c r="V37" s="143">
        <v>338.73</v>
      </c>
      <c r="W37" s="143">
        <v>813.68</v>
      </c>
      <c r="X37" s="143">
        <v>563.7</v>
      </c>
      <c r="Y37" s="144">
        <v>199.98</v>
      </c>
      <c r="Z37" s="145">
        <v>0</v>
      </c>
      <c r="AA37" s="145">
        <v>0</v>
      </c>
      <c r="AB37" s="107">
        <f t="shared" si="39"/>
        <v>2166.08</v>
      </c>
      <c r="AC37" s="106">
        <f t="shared" si="25"/>
        <v>5528.3575</v>
      </c>
      <c r="AD37" s="95">
        <f t="shared" si="26"/>
        <v>0</v>
      </c>
      <c r="AE37" s="95">
        <f t="shared" si="27"/>
        <v>0</v>
      </c>
      <c r="AF37" s="95">
        <f>'[6]Т07-10'!$I$99+'[6]Т07-10'!$I$114</f>
        <v>1397.3022799999999</v>
      </c>
      <c r="AG37" s="16">
        <f t="shared" si="28"/>
        <v>512.13</v>
      </c>
      <c r="AH37" s="16">
        <f t="shared" si="29"/>
        <v>170.71</v>
      </c>
      <c r="AI37" s="16">
        <f t="shared" si="30"/>
        <v>853.55</v>
      </c>
      <c r="AJ37" s="16">
        <v>0</v>
      </c>
      <c r="AK37" s="16">
        <f t="shared" si="31"/>
        <v>836.4789999999999</v>
      </c>
      <c r="AL37" s="16">
        <v>0</v>
      </c>
      <c r="AM37" s="16">
        <f t="shared" si="32"/>
        <v>1920.4875</v>
      </c>
      <c r="AN37" s="16">
        <v>0</v>
      </c>
      <c r="AO37" s="16"/>
      <c r="AP37" s="16"/>
      <c r="AQ37" s="109"/>
      <c r="AR37" s="109"/>
      <c r="AS37" s="90"/>
      <c r="AT37" s="90">
        <f>47.8</f>
        <v>47.8</v>
      </c>
      <c r="AU37" s="90">
        <f t="shared" si="33"/>
        <v>8.604</v>
      </c>
      <c r="AV37" s="110">
        <v>293</v>
      </c>
      <c r="AW37" s="125">
        <v>0.3</v>
      </c>
      <c r="AX37" s="16">
        <f t="shared" si="34"/>
        <v>123.05999999999997</v>
      </c>
      <c r="AY37" s="112"/>
      <c r="AZ37" s="113"/>
      <c r="BA37" s="113">
        <f t="shared" si="35"/>
        <v>0</v>
      </c>
      <c r="BB37" s="113">
        <f t="shared" si="36"/>
        <v>4472.820500000001</v>
      </c>
      <c r="BC37" s="123">
        <f>'[5]Т06-10'!$M$100+'[5]Т06-10'!$M$115</f>
        <v>609.818</v>
      </c>
      <c r="BD37" s="14">
        <f t="shared" si="37"/>
        <v>1843.0212799999993</v>
      </c>
      <c r="BE37" s="30">
        <f>AB37-S37</f>
        <v>-1854.8500000000004</v>
      </c>
    </row>
    <row r="38" spans="1:57" ht="12.75">
      <c r="A38" s="11" t="s">
        <v>53</v>
      </c>
      <c r="B38" s="97">
        <v>853.55</v>
      </c>
      <c r="C38" s="122">
        <f t="shared" si="21"/>
        <v>7383.2074999999995</v>
      </c>
      <c r="D38" s="121">
        <f>C38-E38-F38-G38-H38-I38-J38-K38-L38-M38-N38</f>
        <v>3362.2775</v>
      </c>
      <c r="E38" s="100">
        <v>464.02</v>
      </c>
      <c r="F38" s="100">
        <v>0</v>
      </c>
      <c r="G38" s="100">
        <v>628.82</v>
      </c>
      <c r="H38" s="100">
        <v>0</v>
      </c>
      <c r="I38" s="100">
        <v>1510.45</v>
      </c>
      <c r="J38" s="100">
        <v>0</v>
      </c>
      <c r="K38" s="100">
        <v>1046.43</v>
      </c>
      <c r="L38" s="100">
        <v>0</v>
      </c>
      <c r="M38" s="100">
        <v>371.21</v>
      </c>
      <c r="N38" s="100">
        <v>0</v>
      </c>
      <c r="O38" s="100">
        <v>0</v>
      </c>
      <c r="P38" s="107">
        <v>0</v>
      </c>
      <c r="Q38" s="107"/>
      <c r="R38" s="107"/>
      <c r="S38" s="85">
        <f t="shared" si="23"/>
        <v>4020.9300000000003</v>
      </c>
      <c r="T38" s="101">
        <f t="shared" si="24"/>
        <v>0</v>
      </c>
      <c r="U38" s="85">
        <v>233.45</v>
      </c>
      <c r="V38" s="85">
        <v>316.34</v>
      </c>
      <c r="W38" s="85">
        <v>759.9</v>
      </c>
      <c r="X38" s="85">
        <v>526.43</v>
      </c>
      <c r="Y38" s="135">
        <v>186.74</v>
      </c>
      <c r="Z38" s="102">
        <v>0</v>
      </c>
      <c r="AA38" s="102">
        <v>0</v>
      </c>
      <c r="AB38" s="107">
        <f t="shared" si="39"/>
        <v>2022.86</v>
      </c>
      <c r="AC38" s="106">
        <f t="shared" si="25"/>
        <v>5385.1375</v>
      </c>
      <c r="AD38" s="95">
        <f t="shared" si="26"/>
        <v>0</v>
      </c>
      <c r="AE38" s="95">
        <f t="shared" si="27"/>
        <v>0</v>
      </c>
      <c r="AF38" s="95">
        <f>'[6]Т07-10'!$I$99+'[6]Т07-10'!$I$114</f>
        <v>1397.3022799999999</v>
      </c>
      <c r="AG38" s="16">
        <f t="shared" si="28"/>
        <v>512.13</v>
      </c>
      <c r="AH38" s="16">
        <f t="shared" si="29"/>
        <v>170.71</v>
      </c>
      <c r="AI38" s="16">
        <f t="shared" si="30"/>
        <v>853.55</v>
      </c>
      <c r="AJ38" s="16">
        <v>0</v>
      </c>
      <c r="AK38" s="16">
        <f t="shared" si="31"/>
        <v>836.4789999999999</v>
      </c>
      <c r="AL38" s="16">
        <v>0</v>
      </c>
      <c r="AM38" s="16">
        <f t="shared" si="32"/>
        <v>1920.4875</v>
      </c>
      <c r="AN38" s="16">
        <v>0</v>
      </c>
      <c r="AO38" s="16"/>
      <c r="AP38" s="16"/>
      <c r="AQ38" s="109"/>
      <c r="AR38" s="109"/>
      <c r="AS38" s="90"/>
      <c r="AT38" s="90"/>
      <c r="AU38" s="146">
        <f t="shared" si="33"/>
        <v>0</v>
      </c>
      <c r="AV38" s="110">
        <v>349</v>
      </c>
      <c r="AW38" s="125">
        <v>0.3</v>
      </c>
      <c r="AX38" s="16">
        <f t="shared" si="34"/>
        <v>146.57999999999998</v>
      </c>
      <c r="AY38" s="112"/>
      <c r="AZ38" s="113"/>
      <c r="BA38" s="113">
        <f t="shared" si="35"/>
        <v>0</v>
      </c>
      <c r="BB38" s="113">
        <f t="shared" si="36"/>
        <v>4439.9365</v>
      </c>
      <c r="BC38" s="123">
        <f>'[5]Т06-10'!$M$100+'[5]Т06-10'!$M$115</f>
        <v>609.818</v>
      </c>
      <c r="BD38" s="14">
        <f t="shared" si="37"/>
        <v>1732.68528</v>
      </c>
      <c r="BE38" s="30">
        <f>AB38-S38</f>
        <v>-1998.0700000000004</v>
      </c>
    </row>
    <row r="39" spans="1:57" ht="12.75">
      <c r="A39" s="11" t="s">
        <v>41</v>
      </c>
      <c r="B39" s="97">
        <v>853.55</v>
      </c>
      <c r="C39" s="122">
        <f t="shared" si="21"/>
        <v>7383.2074999999995</v>
      </c>
      <c r="D39" s="121">
        <f>C39-E39-F39-G39-H39-I39-J39-K39-L39-M39-N39</f>
        <v>3362.2775</v>
      </c>
      <c r="E39" s="117">
        <v>464.02</v>
      </c>
      <c r="F39" s="117">
        <v>0</v>
      </c>
      <c r="G39" s="117">
        <v>628.82</v>
      </c>
      <c r="H39" s="117">
        <v>0</v>
      </c>
      <c r="I39" s="117">
        <v>1510.45</v>
      </c>
      <c r="J39" s="117">
        <v>0</v>
      </c>
      <c r="K39" s="117">
        <v>1046.43</v>
      </c>
      <c r="L39" s="117">
        <v>0</v>
      </c>
      <c r="M39" s="117">
        <v>371.21</v>
      </c>
      <c r="N39" s="117">
        <v>0</v>
      </c>
      <c r="O39" s="117">
        <v>0</v>
      </c>
      <c r="P39" s="118">
        <v>0</v>
      </c>
      <c r="Q39" s="118"/>
      <c r="R39" s="118"/>
      <c r="S39" s="85">
        <f t="shared" si="23"/>
        <v>4020.9300000000003</v>
      </c>
      <c r="T39" s="101">
        <f t="shared" si="24"/>
        <v>0</v>
      </c>
      <c r="U39" s="85">
        <v>234.01</v>
      </c>
      <c r="V39" s="85">
        <v>317.11</v>
      </c>
      <c r="W39" s="85">
        <v>761.72</v>
      </c>
      <c r="X39" s="85">
        <v>527.7</v>
      </c>
      <c r="Y39" s="135">
        <v>187.19</v>
      </c>
      <c r="Z39" s="102">
        <v>0</v>
      </c>
      <c r="AA39" s="102">
        <v>0</v>
      </c>
      <c r="AB39" s="107">
        <f t="shared" si="39"/>
        <v>2027.7300000000002</v>
      </c>
      <c r="AC39" s="106">
        <f t="shared" si="25"/>
        <v>5390.007500000001</v>
      </c>
      <c r="AD39" s="95">
        <f t="shared" si="26"/>
        <v>0</v>
      </c>
      <c r="AE39" s="95">
        <f t="shared" si="27"/>
        <v>0</v>
      </c>
      <c r="AF39" s="95">
        <f>'[6]Т10-10'!$I$99+'[6]Т10-10'!$I$115</f>
        <v>1397.3022799999999</v>
      </c>
      <c r="AG39" s="16">
        <f t="shared" si="28"/>
        <v>512.13</v>
      </c>
      <c r="AH39" s="16">
        <f t="shared" si="29"/>
        <v>170.71</v>
      </c>
      <c r="AI39" s="16">
        <f t="shared" si="30"/>
        <v>853.55</v>
      </c>
      <c r="AJ39" s="16">
        <v>0</v>
      </c>
      <c r="AK39" s="16">
        <f t="shared" si="31"/>
        <v>836.4789999999999</v>
      </c>
      <c r="AL39" s="16">
        <v>0</v>
      </c>
      <c r="AM39" s="16">
        <f t="shared" si="32"/>
        <v>1920.4875</v>
      </c>
      <c r="AN39" s="16">
        <v>0</v>
      </c>
      <c r="AO39" s="16"/>
      <c r="AP39" s="16"/>
      <c r="AQ39" s="109"/>
      <c r="AR39" s="109"/>
      <c r="AS39" s="90"/>
      <c r="AT39" s="90"/>
      <c r="AU39" s="90">
        <f t="shared" si="33"/>
        <v>0</v>
      </c>
      <c r="AV39" s="110">
        <v>425</v>
      </c>
      <c r="AW39" s="125">
        <v>0.3</v>
      </c>
      <c r="AX39" s="16">
        <f t="shared" si="34"/>
        <v>178.5</v>
      </c>
      <c r="AY39" s="112"/>
      <c r="AZ39" s="113"/>
      <c r="BA39" s="113">
        <f t="shared" si="35"/>
        <v>0</v>
      </c>
      <c r="BB39" s="113">
        <f t="shared" si="36"/>
        <v>4471.8565</v>
      </c>
      <c r="BC39" s="123">
        <f>'[6]Т10-10'!$M$99+'[6]Т10-10'!$M$115</f>
        <v>609.818</v>
      </c>
      <c r="BD39" s="14">
        <f t="shared" si="37"/>
        <v>1705.6352800000006</v>
      </c>
      <c r="BE39" s="30">
        <f>AB39-S39</f>
        <v>-1993.2</v>
      </c>
    </row>
    <row r="40" spans="1:57" ht="12.75">
      <c r="A40" s="11" t="s">
        <v>42</v>
      </c>
      <c r="B40" s="97">
        <v>853.55</v>
      </c>
      <c r="C40" s="122">
        <f t="shared" si="21"/>
        <v>7383.2074999999995</v>
      </c>
      <c r="D40" s="121">
        <f>C40-E40-F40-G40-H40-I40-J40-K40-L40-M40-N40</f>
        <v>3362.2775</v>
      </c>
      <c r="E40" s="100">
        <v>464.02</v>
      </c>
      <c r="F40" s="100">
        <v>0</v>
      </c>
      <c r="G40" s="100">
        <v>628.82</v>
      </c>
      <c r="H40" s="100">
        <v>0</v>
      </c>
      <c r="I40" s="100">
        <v>1510.45</v>
      </c>
      <c r="J40" s="100">
        <v>0</v>
      </c>
      <c r="K40" s="100">
        <v>1046.43</v>
      </c>
      <c r="L40" s="100">
        <v>0</v>
      </c>
      <c r="M40" s="100">
        <v>371.21</v>
      </c>
      <c r="N40" s="100">
        <v>0</v>
      </c>
      <c r="O40" s="100">
        <v>0</v>
      </c>
      <c r="P40" s="107">
        <v>0</v>
      </c>
      <c r="Q40" s="107"/>
      <c r="R40" s="107"/>
      <c r="S40" s="85">
        <f t="shared" si="23"/>
        <v>4020.9300000000003</v>
      </c>
      <c r="T40" s="101">
        <f t="shared" si="24"/>
        <v>0</v>
      </c>
      <c r="U40" s="87">
        <v>527.18</v>
      </c>
      <c r="V40" s="85">
        <v>714.41</v>
      </c>
      <c r="W40" s="85">
        <v>1716.06</v>
      </c>
      <c r="X40" s="85">
        <v>1188.9</v>
      </c>
      <c r="Y40" s="135">
        <v>421.77</v>
      </c>
      <c r="Z40" s="102">
        <v>0</v>
      </c>
      <c r="AA40" s="102">
        <v>0</v>
      </c>
      <c r="AB40" s="107">
        <f t="shared" si="39"/>
        <v>4568.32</v>
      </c>
      <c r="AC40" s="106">
        <f t="shared" si="25"/>
        <v>7930.5975</v>
      </c>
      <c r="AD40" s="95">
        <f t="shared" si="26"/>
        <v>0</v>
      </c>
      <c r="AE40" s="95">
        <f t="shared" si="27"/>
        <v>0</v>
      </c>
      <c r="AF40" s="95">
        <f>'[6]Т11'!$I$99+'[6]Т11'!$I$114</f>
        <v>1397.3022799999999</v>
      </c>
      <c r="AG40" s="16">
        <f t="shared" si="28"/>
        <v>512.13</v>
      </c>
      <c r="AH40" s="16">
        <f t="shared" si="29"/>
        <v>170.71</v>
      </c>
      <c r="AI40" s="16">
        <f t="shared" si="30"/>
        <v>853.55</v>
      </c>
      <c r="AJ40" s="16">
        <v>0</v>
      </c>
      <c r="AK40" s="16">
        <f t="shared" si="31"/>
        <v>836.4789999999999</v>
      </c>
      <c r="AL40" s="16">
        <v>0</v>
      </c>
      <c r="AM40" s="16">
        <f t="shared" si="32"/>
        <v>1920.4875</v>
      </c>
      <c r="AN40" s="16">
        <v>0</v>
      </c>
      <c r="AO40" s="16"/>
      <c r="AP40" s="16"/>
      <c r="AQ40" s="109"/>
      <c r="AR40" s="109"/>
      <c r="AS40" s="90"/>
      <c r="AT40" s="90"/>
      <c r="AU40" s="90">
        <f t="shared" si="33"/>
        <v>0</v>
      </c>
      <c r="AV40" s="110">
        <v>470</v>
      </c>
      <c r="AW40" s="125">
        <v>0.3</v>
      </c>
      <c r="AX40" s="16">
        <f t="shared" si="34"/>
        <v>197.39999999999998</v>
      </c>
      <c r="AY40" s="112"/>
      <c r="AZ40" s="113"/>
      <c r="BA40" s="113">
        <f t="shared" si="35"/>
        <v>0</v>
      </c>
      <c r="BB40" s="113">
        <f t="shared" si="36"/>
        <v>4490.7564999999995</v>
      </c>
      <c r="BC40" s="123">
        <f>'[6]Т11'!$M$99+'[6]Т11'!$M$114</f>
        <v>609.818</v>
      </c>
      <c r="BD40" s="14">
        <f t="shared" si="37"/>
        <v>4227.32528</v>
      </c>
      <c r="BE40" s="30">
        <f>AB40-S40</f>
        <v>547.3899999999994</v>
      </c>
    </row>
    <row r="41" spans="1:57" ht="12.75">
      <c r="A41" s="11" t="s">
        <v>43</v>
      </c>
      <c r="B41" s="97">
        <v>853.55</v>
      </c>
      <c r="C41" s="122">
        <f t="shared" si="21"/>
        <v>7383.2074999999995</v>
      </c>
      <c r="D41" s="121">
        <f>C41-E41-F41-G41-H41-I41-J41-K41-L41-M41-N41</f>
        <v>3362.2775</v>
      </c>
      <c r="E41" s="100">
        <v>464.02</v>
      </c>
      <c r="F41" s="100">
        <v>0</v>
      </c>
      <c r="G41" s="100">
        <v>628.82</v>
      </c>
      <c r="H41" s="100">
        <v>0</v>
      </c>
      <c r="I41" s="100">
        <v>1510.45</v>
      </c>
      <c r="J41" s="100">
        <v>0</v>
      </c>
      <c r="K41" s="100">
        <v>1046.43</v>
      </c>
      <c r="L41" s="100">
        <v>0</v>
      </c>
      <c r="M41" s="100">
        <v>371.21</v>
      </c>
      <c r="N41" s="100">
        <v>0</v>
      </c>
      <c r="O41" s="100">
        <v>0</v>
      </c>
      <c r="P41" s="107">
        <v>0</v>
      </c>
      <c r="Q41" s="107"/>
      <c r="R41" s="107"/>
      <c r="S41" s="85">
        <f t="shared" si="23"/>
        <v>4020.9300000000003</v>
      </c>
      <c r="T41" s="101">
        <f t="shared" si="24"/>
        <v>0</v>
      </c>
      <c r="U41" s="85">
        <v>246.36</v>
      </c>
      <c r="V41" s="85">
        <v>333.84</v>
      </c>
      <c r="W41" s="85">
        <v>801.88</v>
      </c>
      <c r="X41" s="85">
        <v>555.45</v>
      </c>
      <c r="Y41" s="135">
        <v>197.07</v>
      </c>
      <c r="Z41" s="102">
        <v>0</v>
      </c>
      <c r="AA41" s="102">
        <v>0</v>
      </c>
      <c r="AB41" s="107">
        <f t="shared" si="39"/>
        <v>2134.6</v>
      </c>
      <c r="AC41" s="106">
        <f t="shared" si="25"/>
        <v>5496.8775000000005</v>
      </c>
      <c r="AD41" s="95">
        <f t="shared" si="26"/>
        <v>0</v>
      </c>
      <c r="AE41" s="95">
        <f t="shared" si="27"/>
        <v>0</v>
      </c>
      <c r="AF41" s="95">
        <f>'[6]Т11'!$I$99+'[6]Т11'!$I$114</f>
        <v>1397.3022799999999</v>
      </c>
      <c r="AG41" s="16">
        <f t="shared" si="28"/>
        <v>512.13</v>
      </c>
      <c r="AH41" s="16">
        <f t="shared" si="29"/>
        <v>170.71</v>
      </c>
      <c r="AI41" s="16">
        <f t="shared" si="30"/>
        <v>853.55</v>
      </c>
      <c r="AJ41" s="16">
        <v>0</v>
      </c>
      <c r="AK41" s="16">
        <f t="shared" si="31"/>
        <v>836.4789999999999</v>
      </c>
      <c r="AL41" s="16">
        <v>0</v>
      </c>
      <c r="AM41" s="16">
        <f t="shared" si="32"/>
        <v>1920.4875</v>
      </c>
      <c r="AN41" s="16">
        <v>0</v>
      </c>
      <c r="AO41" s="16"/>
      <c r="AP41" s="16"/>
      <c r="AQ41" s="109"/>
      <c r="AR41" s="109"/>
      <c r="AS41" s="90"/>
      <c r="AT41" s="90"/>
      <c r="AU41" s="90">
        <f t="shared" si="33"/>
        <v>0</v>
      </c>
      <c r="AV41" s="110">
        <v>514</v>
      </c>
      <c r="AW41" s="125">
        <v>0.3</v>
      </c>
      <c r="AX41" s="16">
        <f t="shared" si="34"/>
        <v>215.87999999999997</v>
      </c>
      <c r="AY41" s="112"/>
      <c r="AZ41" s="113"/>
      <c r="BA41" s="113">
        <f t="shared" si="35"/>
        <v>0</v>
      </c>
      <c r="BB41" s="113">
        <f t="shared" si="36"/>
        <v>4509.2365</v>
      </c>
      <c r="BC41" s="123">
        <f>'[6]Т11'!$M$99+'[6]Т11'!$M$114</f>
        <v>609.818</v>
      </c>
      <c r="BD41" s="14">
        <f t="shared" si="37"/>
        <v>1775.1252800000004</v>
      </c>
      <c r="BE41" s="30">
        <f>AB41-S41</f>
        <v>-1886.3300000000004</v>
      </c>
    </row>
    <row r="42" spans="1:57" s="20" customFormat="1" ht="12.75">
      <c r="A42" s="17" t="s">
        <v>5</v>
      </c>
      <c r="B42" s="60"/>
      <c r="C42" s="60">
        <f aca="true" t="shared" si="40" ref="C42:AU42">SUM(C30:C41)</f>
        <v>88598.49</v>
      </c>
      <c r="D42" s="60">
        <f t="shared" si="40"/>
        <v>40350.2</v>
      </c>
      <c r="E42" s="57">
        <f t="shared" si="40"/>
        <v>5370.360000000001</v>
      </c>
      <c r="F42" s="57">
        <f t="shared" si="40"/>
        <v>197.52000000000004</v>
      </c>
      <c r="G42" s="57">
        <f t="shared" si="40"/>
        <v>7277.739999999999</v>
      </c>
      <c r="H42" s="57">
        <f t="shared" si="40"/>
        <v>267.66</v>
      </c>
      <c r="I42" s="57">
        <f t="shared" si="40"/>
        <v>17481.380000000005</v>
      </c>
      <c r="J42" s="57">
        <f t="shared" si="40"/>
        <v>642.9</v>
      </c>
      <c r="K42" s="57">
        <f t="shared" si="40"/>
        <v>12111.010000000002</v>
      </c>
      <c r="L42" s="57">
        <f t="shared" si="40"/>
        <v>445.44</v>
      </c>
      <c r="M42" s="57">
        <f t="shared" si="40"/>
        <v>4296.36</v>
      </c>
      <c r="N42" s="57">
        <f t="shared" si="40"/>
        <v>157.92</v>
      </c>
      <c r="O42" s="57">
        <f t="shared" si="40"/>
        <v>0</v>
      </c>
      <c r="P42" s="57">
        <f t="shared" si="40"/>
        <v>0</v>
      </c>
      <c r="Q42" s="57">
        <f t="shared" si="40"/>
        <v>0</v>
      </c>
      <c r="R42" s="57">
        <f t="shared" si="40"/>
        <v>0</v>
      </c>
      <c r="S42" s="57">
        <f t="shared" si="40"/>
        <v>46536.85</v>
      </c>
      <c r="T42" s="57">
        <f t="shared" si="40"/>
        <v>1711.44</v>
      </c>
      <c r="U42" s="61">
        <f t="shared" si="40"/>
        <v>2961.5299999999997</v>
      </c>
      <c r="V42" s="61">
        <f t="shared" si="40"/>
        <v>4012.1200000000003</v>
      </c>
      <c r="W42" s="61">
        <f t="shared" si="40"/>
        <v>9632.589999999998</v>
      </c>
      <c r="X42" s="61">
        <f t="shared" si="40"/>
        <v>6677.3</v>
      </c>
      <c r="Y42" s="61">
        <f t="shared" si="40"/>
        <v>2369.3</v>
      </c>
      <c r="Z42" s="61">
        <f t="shared" si="40"/>
        <v>0</v>
      </c>
      <c r="AA42" s="61">
        <f t="shared" si="40"/>
        <v>0</v>
      </c>
      <c r="AB42" s="61">
        <f t="shared" si="40"/>
        <v>25652.839999999997</v>
      </c>
      <c r="AC42" s="61">
        <f t="shared" si="40"/>
        <v>67714.48</v>
      </c>
      <c r="AD42" s="61">
        <f t="shared" si="40"/>
        <v>0</v>
      </c>
      <c r="AE42" s="93">
        <f t="shared" si="40"/>
        <v>0</v>
      </c>
      <c r="AF42" s="93">
        <f t="shared" si="40"/>
        <v>17472.93696</v>
      </c>
      <c r="AG42" s="18">
        <f t="shared" si="40"/>
        <v>6145.56</v>
      </c>
      <c r="AH42" s="18">
        <f t="shared" si="40"/>
        <v>2048.52</v>
      </c>
      <c r="AI42" s="18">
        <f t="shared" si="40"/>
        <v>10242.599999999999</v>
      </c>
      <c r="AJ42" s="18">
        <f t="shared" si="40"/>
        <v>0</v>
      </c>
      <c r="AK42" s="18">
        <f t="shared" si="40"/>
        <v>10037.748</v>
      </c>
      <c r="AL42" s="18">
        <f t="shared" si="40"/>
        <v>0</v>
      </c>
      <c r="AM42" s="18">
        <f t="shared" si="40"/>
        <v>23045.849999999995</v>
      </c>
      <c r="AN42" s="18">
        <f t="shared" si="40"/>
        <v>0</v>
      </c>
      <c r="AO42" s="18">
        <f t="shared" si="40"/>
        <v>0</v>
      </c>
      <c r="AP42" s="18">
        <f t="shared" si="40"/>
        <v>0</v>
      </c>
      <c r="AQ42" s="18">
        <f t="shared" si="40"/>
        <v>0</v>
      </c>
      <c r="AR42" s="18">
        <f t="shared" si="40"/>
        <v>0</v>
      </c>
      <c r="AS42" s="18">
        <f t="shared" si="40"/>
        <v>13152</v>
      </c>
      <c r="AT42" s="18">
        <f t="shared" si="40"/>
        <v>47.8</v>
      </c>
      <c r="AU42" s="18">
        <f t="shared" si="40"/>
        <v>8.604</v>
      </c>
      <c r="AV42" s="18"/>
      <c r="AW42" s="18"/>
      <c r="AX42" s="18">
        <f aca="true" t="shared" si="41" ref="AX42:BE42">SUM(AX30:AX41)</f>
        <v>1847.9999999999998</v>
      </c>
      <c r="AY42" s="18">
        <f t="shared" si="41"/>
        <v>0</v>
      </c>
      <c r="AZ42" s="18">
        <f t="shared" si="41"/>
        <v>0</v>
      </c>
      <c r="BA42" s="18">
        <f t="shared" si="41"/>
        <v>0</v>
      </c>
      <c r="BB42" s="18">
        <f t="shared" si="41"/>
        <v>66576.682</v>
      </c>
      <c r="BC42" s="18">
        <f t="shared" si="41"/>
        <v>7317.816000000002</v>
      </c>
      <c r="BD42" s="18">
        <f t="shared" si="41"/>
        <v>11292.918960000003</v>
      </c>
      <c r="BE42" s="19">
        <f t="shared" si="41"/>
        <v>-20884.010000000006</v>
      </c>
    </row>
    <row r="43" spans="1:57" ht="12.75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94"/>
      <c r="AD43" s="94"/>
      <c r="AE43" s="95"/>
      <c r="AF43" s="95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89"/>
      <c r="AT43" s="89"/>
      <c r="AU43" s="90"/>
      <c r="AV43" s="90"/>
      <c r="AW43" s="90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42" ref="C44:AU44">C28+C42</f>
        <v>199346.6025</v>
      </c>
      <c r="D44" s="23">
        <f t="shared" si="42"/>
        <v>76288.801717825</v>
      </c>
      <c r="E44" s="50">
        <f t="shared" si="42"/>
        <v>10971.439999999999</v>
      </c>
      <c r="F44" s="50">
        <f t="shared" si="42"/>
        <v>633.8900000000001</v>
      </c>
      <c r="G44" s="50">
        <f t="shared" si="42"/>
        <v>14767.319999999998</v>
      </c>
      <c r="H44" s="50">
        <f t="shared" si="42"/>
        <v>858.05</v>
      </c>
      <c r="I44" s="50">
        <f t="shared" si="42"/>
        <v>35705.19</v>
      </c>
      <c r="J44" s="50">
        <f t="shared" si="42"/>
        <v>2062.27</v>
      </c>
      <c r="K44" s="50">
        <f t="shared" si="42"/>
        <v>24731.54</v>
      </c>
      <c r="L44" s="50">
        <f t="shared" si="42"/>
        <v>1428.6100000000001</v>
      </c>
      <c r="M44" s="50">
        <f t="shared" si="42"/>
        <v>8777.439999999999</v>
      </c>
      <c r="N44" s="50">
        <f t="shared" si="42"/>
        <v>506.8399999999999</v>
      </c>
      <c r="O44" s="50">
        <f t="shared" si="42"/>
        <v>0</v>
      </c>
      <c r="P44" s="50">
        <f t="shared" si="42"/>
        <v>0</v>
      </c>
      <c r="Q44" s="50">
        <f t="shared" si="42"/>
        <v>0</v>
      </c>
      <c r="R44" s="50">
        <f t="shared" si="42"/>
        <v>0</v>
      </c>
      <c r="S44" s="50">
        <f t="shared" si="42"/>
        <v>94952.93</v>
      </c>
      <c r="T44" s="50">
        <f t="shared" si="42"/>
        <v>5489.659999999999</v>
      </c>
      <c r="U44" s="53">
        <f t="shared" si="42"/>
        <v>6117.7</v>
      </c>
      <c r="V44" s="53">
        <f t="shared" si="42"/>
        <v>8280.77</v>
      </c>
      <c r="W44" s="53">
        <f t="shared" si="42"/>
        <v>19901.37</v>
      </c>
      <c r="X44" s="53">
        <f t="shared" si="42"/>
        <v>13786.34</v>
      </c>
      <c r="Y44" s="53">
        <f t="shared" si="42"/>
        <v>4894.41</v>
      </c>
      <c r="Z44" s="53">
        <f t="shared" si="42"/>
        <v>0</v>
      </c>
      <c r="AA44" s="53">
        <f t="shared" si="42"/>
        <v>0</v>
      </c>
      <c r="AB44" s="53">
        <f t="shared" si="42"/>
        <v>52980.59</v>
      </c>
      <c r="AC44" s="53">
        <f t="shared" si="42"/>
        <v>134759.051717825</v>
      </c>
      <c r="AD44" s="53">
        <f t="shared" si="42"/>
        <v>0</v>
      </c>
      <c r="AE44" s="53">
        <f t="shared" si="42"/>
        <v>0</v>
      </c>
      <c r="AF44" s="53">
        <f t="shared" si="42"/>
        <v>22017.4986</v>
      </c>
      <c r="AG44" s="23">
        <f t="shared" si="42"/>
        <v>13622.658</v>
      </c>
      <c r="AH44" s="23">
        <f t="shared" si="42"/>
        <v>4564.6832166</v>
      </c>
      <c r="AI44" s="23">
        <f t="shared" si="42"/>
        <v>20725.981149524996</v>
      </c>
      <c r="AJ44" s="23">
        <f t="shared" si="42"/>
        <v>1887.0086069144995</v>
      </c>
      <c r="AK44" s="23">
        <f t="shared" si="42"/>
        <v>20646.363470025</v>
      </c>
      <c r="AL44" s="23">
        <f t="shared" si="42"/>
        <v>1909.5507846044995</v>
      </c>
      <c r="AM44" s="23">
        <f t="shared" si="42"/>
        <v>46276.94600858101</v>
      </c>
      <c r="AN44" s="23">
        <f t="shared" si="42"/>
        <v>4181.597281544583</v>
      </c>
      <c r="AO44" s="23">
        <f t="shared" si="42"/>
        <v>0</v>
      </c>
      <c r="AP44" s="23">
        <f t="shared" si="42"/>
        <v>0</v>
      </c>
      <c r="AQ44" s="23">
        <f t="shared" si="42"/>
        <v>0</v>
      </c>
      <c r="AR44" s="23">
        <f t="shared" si="42"/>
        <v>0</v>
      </c>
      <c r="AS44" s="23">
        <f t="shared" si="42"/>
        <v>32707.719999999998</v>
      </c>
      <c r="AT44" s="23">
        <f t="shared" si="42"/>
        <v>47.8</v>
      </c>
      <c r="AU44" s="23">
        <f t="shared" si="42"/>
        <v>3528.6435999999994</v>
      </c>
      <c r="AV44" s="23"/>
      <c r="AW44" s="23"/>
      <c r="AX44" s="23">
        <f aca="true" t="shared" si="43" ref="AX44:BE44">AX28+AX42</f>
        <v>3592.5119999999997</v>
      </c>
      <c r="AY44" s="23">
        <f t="shared" si="43"/>
        <v>0</v>
      </c>
      <c r="AZ44" s="23">
        <f t="shared" si="43"/>
        <v>0</v>
      </c>
      <c r="BA44" s="23">
        <f t="shared" si="43"/>
        <v>0</v>
      </c>
      <c r="BB44" s="23">
        <f t="shared" si="43"/>
        <v>153691.4641177946</v>
      </c>
      <c r="BC44" s="23">
        <f t="shared" si="43"/>
        <v>9148.582076000002</v>
      </c>
      <c r="BD44" s="23">
        <f t="shared" si="43"/>
        <v>-6063.495875969587</v>
      </c>
      <c r="BE44" s="24">
        <f t="shared" si="43"/>
        <v>-41972.34000000001</v>
      </c>
    </row>
  </sheetData>
  <sheetProtection/>
  <mergeCells count="67">
    <mergeCell ref="S5:S6"/>
    <mergeCell ref="Z5:Z6"/>
    <mergeCell ref="AA5:AA6"/>
    <mergeCell ref="V5:V6"/>
    <mergeCell ref="W5:W6"/>
    <mergeCell ref="X5:X6"/>
    <mergeCell ref="Y5:Y6"/>
    <mergeCell ref="AB5:AB6"/>
    <mergeCell ref="AV5:AX5"/>
    <mergeCell ref="AD3:AD6"/>
    <mergeCell ref="BA5:BA6"/>
    <mergeCell ref="AQ5:AQ6"/>
    <mergeCell ref="AR5:AR6"/>
    <mergeCell ref="AT5:AT6"/>
    <mergeCell ref="AZ5:AZ6"/>
    <mergeCell ref="BB5:BB6"/>
    <mergeCell ref="AU5:AU6"/>
    <mergeCell ref="AG5:AG6"/>
    <mergeCell ref="AF3:AF6"/>
    <mergeCell ref="AG3:BB4"/>
    <mergeCell ref="AN5:AN6"/>
    <mergeCell ref="AO5:AO6"/>
    <mergeCell ref="AY5:AY6"/>
    <mergeCell ref="M4:N4"/>
    <mergeCell ref="O4:P4"/>
    <mergeCell ref="Q4:R4"/>
    <mergeCell ref="R5:R6"/>
    <mergeCell ref="L5:L6"/>
    <mergeCell ref="M5:M6"/>
    <mergeCell ref="N5:N6"/>
    <mergeCell ref="O5:O6"/>
    <mergeCell ref="E5:E6"/>
    <mergeCell ref="F5:F6"/>
    <mergeCell ref="G5:G6"/>
    <mergeCell ref="H5:H6"/>
    <mergeCell ref="P5:P6"/>
    <mergeCell ref="Q5:Q6"/>
    <mergeCell ref="I5:I6"/>
    <mergeCell ref="J5:J6"/>
    <mergeCell ref="K5:K6"/>
    <mergeCell ref="BD3:BD6"/>
    <mergeCell ref="S3:T4"/>
    <mergeCell ref="U3:AB4"/>
    <mergeCell ref="AC3:AC6"/>
    <mergeCell ref="AE3:AE6"/>
    <mergeCell ref="T5:T6"/>
    <mergeCell ref="U5:U6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tabSelected="1" workbookViewId="0" topLeftCell="A31">
      <selection activeCell="C55" sqref="C55:D55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125" style="2" customWidth="1"/>
    <col min="10" max="10" width="9.25390625" style="2" customWidth="1"/>
    <col min="11" max="11" width="9.875" style="2" customWidth="1"/>
    <col min="12" max="12" width="10.875" style="2" customWidth="1"/>
    <col min="13" max="13" width="10.125" style="2" customWidth="1"/>
    <col min="14" max="14" width="9.375" style="2" customWidth="1"/>
    <col min="15" max="15" width="10.375" style="2" customWidth="1"/>
    <col min="16" max="16" width="9.375" style="2" customWidth="1"/>
    <col min="17" max="17" width="10.75390625" style="2" customWidth="1"/>
    <col min="18" max="18" width="13.00390625" style="2" customWidth="1"/>
    <col min="19" max="16384" width="9.125" style="2" customWidth="1"/>
  </cols>
  <sheetData>
    <row r="1" spans="2:8" ht="20.25" customHeight="1">
      <c r="B1" s="202" t="s">
        <v>55</v>
      </c>
      <c r="C1" s="202"/>
      <c r="D1" s="202"/>
      <c r="E1" s="202"/>
      <c r="F1" s="202"/>
      <c r="G1" s="202"/>
      <c r="H1" s="202"/>
    </row>
    <row r="2" spans="2:8" ht="21" customHeight="1">
      <c r="B2" s="202" t="s">
        <v>56</v>
      </c>
      <c r="C2" s="202"/>
      <c r="D2" s="202"/>
      <c r="E2" s="202"/>
      <c r="F2" s="202"/>
      <c r="G2" s="202"/>
      <c r="H2" s="202"/>
    </row>
    <row r="5" spans="1:17" ht="12.75">
      <c r="A5" s="204" t="s">
        <v>88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</row>
    <row r="6" spans="1:17" ht="12.75">
      <c r="A6" s="205" t="s">
        <v>93</v>
      </c>
      <c r="B6" s="205"/>
      <c r="C6" s="205"/>
      <c r="D6" s="205"/>
      <c r="E6" s="205"/>
      <c r="F6" s="205"/>
      <c r="G6" s="205"/>
      <c r="H6" s="96"/>
      <c r="I6" s="96"/>
      <c r="J6" s="96"/>
      <c r="K6" s="96"/>
      <c r="L6" s="96"/>
      <c r="M6" s="96"/>
      <c r="N6" s="96"/>
      <c r="O6" s="96"/>
      <c r="P6" s="96"/>
      <c r="Q6" s="96"/>
    </row>
    <row r="7" spans="1:17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6" ht="13.5" thickBot="1">
      <c r="A8" s="203" t="s">
        <v>57</v>
      </c>
      <c r="B8" s="203"/>
      <c r="C8" s="203"/>
      <c r="D8" s="203"/>
      <c r="E8" s="203">
        <v>8.65</v>
      </c>
      <c r="F8" s="203"/>
    </row>
    <row r="9" spans="1:18" ht="12.75" customHeight="1">
      <c r="A9" s="148" t="s">
        <v>58</v>
      </c>
      <c r="B9" s="231" t="s">
        <v>1</v>
      </c>
      <c r="C9" s="234" t="s">
        <v>59</v>
      </c>
      <c r="D9" s="237" t="s">
        <v>3</v>
      </c>
      <c r="E9" s="221" t="s">
        <v>60</v>
      </c>
      <c r="F9" s="222"/>
      <c r="G9" s="195" t="s">
        <v>61</v>
      </c>
      <c r="H9" s="196"/>
      <c r="I9" s="199" t="str">
        <f>'[2]Лист1'!AD3</f>
        <v>Доходы по нежил.помещениям</v>
      </c>
      <c r="J9" s="206" t="s">
        <v>10</v>
      </c>
      <c r="K9" s="187"/>
      <c r="L9" s="187"/>
      <c r="M9" s="187"/>
      <c r="N9" s="187"/>
      <c r="O9" s="207"/>
      <c r="P9" s="163" t="s">
        <v>75</v>
      </c>
      <c r="Q9" s="210" t="s">
        <v>62</v>
      </c>
      <c r="R9" s="210" t="s">
        <v>12</v>
      </c>
    </row>
    <row r="10" spans="1:18" ht="12.75">
      <c r="A10" s="149"/>
      <c r="B10" s="232"/>
      <c r="C10" s="235"/>
      <c r="D10" s="238"/>
      <c r="E10" s="223"/>
      <c r="F10" s="224"/>
      <c r="G10" s="197"/>
      <c r="H10" s="198"/>
      <c r="I10" s="200"/>
      <c r="J10" s="208"/>
      <c r="K10" s="159"/>
      <c r="L10" s="159"/>
      <c r="M10" s="159"/>
      <c r="N10" s="159"/>
      <c r="O10" s="209"/>
      <c r="P10" s="164"/>
      <c r="Q10" s="211"/>
      <c r="R10" s="211"/>
    </row>
    <row r="11" spans="1:18" ht="26.25" customHeight="1">
      <c r="A11" s="149"/>
      <c r="B11" s="232"/>
      <c r="C11" s="235"/>
      <c r="D11" s="238"/>
      <c r="E11" s="213" t="s">
        <v>63</v>
      </c>
      <c r="F11" s="214"/>
      <c r="G11" s="84" t="s">
        <v>64</v>
      </c>
      <c r="H11" s="215" t="s">
        <v>7</v>
      </c>
      <c r="I11" s="200"/>
      <c r="J11" s="217" t="s">
        <v>65</v>
      </c>
      <c r="K11" s="219" t="s">
        <v>32</v>
      </c>
      <c r="L11" s="219" t="s">
        <v>66</v>
      </c>
      <c r="M11" s="219" t="s">
        <v>37</v>
      </c>
      <c r="N11" s="219" t="s">
        <v>67</v>
      </c>
      <c r="O11" s="215" t="s">
        <v>39</v>
      </c>
      <c r="P11" s="164"/>
      <c r="Q11" s="211"/>
      <c r="R11" s="211"/>
    </row>
    <row r="12" spans="1:18" ht="66.75" customHeight="1" thickBot="1">
      <c r="A12" s="230"/>
      <c r="B12" s="233"/>
      <c r="C12" s="236"/>
      <c r="D12" s="239"/>
      <c r="E12" s="63" t="s">
        <v>68</v>
      </c>
      <c r="F12" s="66" t="s">
        <v>21</v>
      </c>
      <c r="G12" s="81" t="s">
        <v>69</v>
      </c>
      <c r="H12" s="216"/>
      <c r="I12" s="201"/>
      <c r="J12" s="218"/>
      <c r="K12" s="220"/>
      <c r="L12" s="220"/>
      <c r="M12" s="220"/>
      <c r="N12" s="220"/>
      <c r="O12" s="216"/>
      <c r="P12" s="165"/>
      <c r="Q12" s="212"/>
      <c r="R12" s="212"/>
    </row>
    <row r="13" spans="1:18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  <c r="Q13" s="64">
        <v>17</v>
      </c>
      <c r="R13" s="65">
        <v>18</v>
      </c>
    </row>
    <row r="14" spans="1:18" ht="12.75">
      <c r="A14" s="7" t="s">
        <v>40</v>
      </c>
      <c r="B14" s="8"/>
      <c r="C14" s="26"/>
      <c r="D14" s="7"/>
      <c r="E14" s="8"/>
      <c r="F14" s="9"/>
      <c r="G14" s="7"/>
      <c r="H14" s="9"/>
      <c r="I14" s="138"/>
      <c r="J14" s="7"/>
      <c r="K14" s="8"/>
      <c r="L14" s="8"/>
      <c r="M14" s="8"/>
      <c r="N14" s="8"/>
      <c r="O14" s="9"/>
      <c r="P14" s="133"/>
      <c r="Q14" s="76"/>
      <c r="R14" s="73"/>
    </row>
    <row r="15" spans="1:18" ht="12.75">
      <c r="A15" s="11" t="s">
        <v>41</v>
      </c>
      <c r="B15" s="82">
        <f>Лист1!B9</f>
        <v>853.55</v>
      </c>
      <c r="C15" s="27">
        <f>B15*8.65</f>
        <v>7383.2074999999995</v>
      </c>
      <c r="D15" s="28">
        <f>Лист1!D9</f>
        <v>1778.4670226</v>
      </c>
      <c r="E15" s="14">
        <f>Лист1!S9</f>
        <v>1057.3400000000001</v>
      </c>
      <c r="F15" s="30">
        <f>Лист1!T9</f>
        <v>88</v>
      </c>
      <c r="G15" s="29">
        <f>Лист1!AB9</f>
        <v>0</v>
      </c>
      <c r="H15" s="30">
        <f>Лист1!AC9</f>
        <v>1866.4670226</v>
      </c>
      <c r="I15" s="139">
        <f>Лист1!AF9</f>
        <v>0</v>
      </c>
      <c r="J15" s="29">
        <f>Лист1!AG9</f>
        <v>512.13</v>
      </c>
      <c r="K15" s="14">
        <f>Лист1!AI9+Лист1!AJ9</f>
        <v>857.9235901999999</v>
      </c>
      <c r="L15" s="14">
        <f>Лист1!AH9+Лист1!AK9+Лист1!AL9+Лист1!AM9+Лист1!AN9+Лист1!AO9+Лист1!AP9</f>
        <v>3012.5134805049997</v>
      </c>
      <c r="M15" s="31">
        <f>Лист1!AS9+Лист1!AU9</f>
        <v>0</v>
      </c>
      <c r="N15" s="31">
        <f>Лист1!AX9</f>
        <v>0</v>
      </c>
      <c r="O15" s="30">
        <f>Лист1!BB9</f>
        <v>4382.567070704999</v>
      </c>
      <c r="P15" s="137">
        <f>Лист1!BC9</f>
        <v>0</v>
      </c>
      <c r="Q15" s="74">
        <f>Лист1!BD9</f>
        <v>-2516.1000481049996</v>
      </c>
      <c r="R15" s="74">
        <f>Лист1!BE9</f>
        <v>-1057.3400000000001</v>
      </c>
    </row>
    <row r="16" spans="1:18" ht="12.75">
      <c r="A16" s="11" t="s">
        <v>42</v>
      </c>
      <c r="B16" s="82">
        <f>Лист1!B10</f>
        <v>853.55</v>
      </c>
      <c r="C16" s="27">
        <f aca="true" t="shared" si="0" ref="C16:C31">B16*8.65</f>
        <v>7383.2074999999995</v>
      </c>
      <c r="D16" s="28">
        <f>Лист1!D10</f>
        <v>1778.4670226</v>
      </c>
      <c r="E16" s="14">
        <f>Лист1!S10</f>
        <v>1057.3400000000001</v>
      </c>
      <c r="F16" s="30">
        <f>Лист1!T10</f>
        <v>88</v>
      </c>
      <c r="G16" s="29">
        <f>Лист1!AB10</f>
        <v>953.93</v>
      </c>
      <c r="H16" s="30">
        <f>Лист1!AC10</f>
        <v>2820.3970226</v>
      </c>
      <c r="I16" s="139">
        <f>Лист1!AF10</f>
        <v>0</v>
      </c>
      <c r="J16" s="29">
        <f>Лист1!AG10</f>
        <v>512.13</v>
      </c>
      <c r="K16" s="14">
        <f>Лист1!AI10+Лист1!AJ10</f>
        <v>857.9235901999999</v>
      </c>
      <c r="L16" s="14">
        <f>Лист1!AH10+Лист1!AK10+Лист1!AL10+Лист1!AM10+Лист1!AN10+Лист1!AO10+Лист1!AP10</f>
        <v>3003.421465905</v>
      </c>
      <c r="M16" s="31">
        <f>Лист1!AS10+Лист1!AU10</f>
        <v>532.18</v>
      </c>
      <c r="N16" s="31">
        <f>Лист1!AX10</f>
        <v>0</v>
      </c>
      <c r="O16" s="30">
        <f>Лист1!BB10</f>
        <v>4905.655056105</v>
      </c>
      <c r="P16" s="137">
        <f>Лист1!BC10</f>
        <v>0</v>
      </c>
      <c r="Q16" s="74">
        <f>Лист1!BD10</f>
        <v>-2085.2580335049997</v>
      </c>
      <c r="R16" s="74">
        <f>Лист1!BE10</f>
        <v>-103.4100000000002</v>
      </c>
    </row>
    <row r="17" spans="1:20" ht="13.5" thickBot="1">
      <c r="A17" s="32" t="s">
        <v>43</v>
      </c>
      <c r="B17" s="82">
        <f>Лист1!B11</f>
        <v>853.55</v>
      </c>
      <c r="C17" s="33">
        <f t="shared" si="0"/>
        <v>7383.2074999999995</v>
      </c>
      <c r="D17" s="28">
        <f>Лист1!D11</f>
        <v>1774.553922625</v>
      </c>
      <c r="E17" s="14">
        <f>Лист1!S11</f>
        <v>3307.24</v>
      </c>
      <c r="F17" s="30">
        <f>Лист1!T11</f>
        <v>264.06</v>
      </c>
      <c r="G17" s="29">
        <f>Лист1!AB11</f>
        <v>1613.9900000000002</v>
      </c>
      <c r="H17" s="30">
        <f>Лист1!AC11</f>
        <v>3652.6039226250005</v>
      </c>
      <c r="I17" s="139">
        <f>Лист1!AF11</f>
        <v>0</v>
      </c>
      <c r="J17" s="29">
        <f>Лист1!AG11</f>
        <v>512.13</v>
      </c>
      <c r="K17" s="14">
        <f>Лист1!AI11+Лист1!AJ11</f>
        <v>855.4257614799999</v>
      </c>
      <c r="L17" s="14">
        <f>Лист1!AH11+Лист1!AK11+Лист1!AL11+Лист1!AM11+Лист1!AN11+Лист1!AO11+Лист1!AP11</f>
        <v>2998.6463913915</v>
      </c>
      <c r="M17" s="31">
        <f>Лист1!AS11+Лист1!AU11</f>
        <v>0</v>
      </c>
      <c r="N17" s="31">
        <f>Лист1!AX11</f>
        <v>0</v>
      </c>
      <c r="O17" s="30">
        <f>Лист1!BB11</f>
        <v>4366.2021528714995</v>
      </c>
      <c r="P17" s="137">
        <f>Лист1!BC11</f>
        <v>0</v>
      </c>
      <c r="Q17" s="74">
        <f>Лист1!BD11</f>
        <v>-713.598230246499</v>
      </c>
      <c r="R17" s="74">
        <f>Лист1!BE11</f>
        <v>-1693.2499999999995</v>
      </c>
      <c r="S17" s="1"/>
      <c r="T17" s="1"/>
    </row>
    <row r="18" spans="1:20" s="20" customFormat="1" ht="13.5" thickBot="1">
      <c r="A18" s="34" t="s">
        <v>5</v>
      </c>
      <c r="B18" s="35"/>
      <c r="C18" s="36">
        <f>SUM(C15:C17)</f>
        <v>22149.622499999998</v>
      </c>
      <c r="D18" s="67">
        <f aca="true" t="shared" si="1" ref="D18:J18">SUM(D15:D17)</f>
        <v>5331.487967825</v>
      </c>
      <c r="E18" s="36">
        <f t="shared" si="1"/>
        <v>5421.92</v>
      </c>
      <c r="F18" s="68">
        <f t="shared" si="1"/>
        <v>440.06</v>
      </c>
      <c r="G18" s="67">
        <f t="shared" si="1"/>
        <v>2567.92</v>
      </c>
      <c r="H18" s="68">
        <f t="shared" si="1"/>
        <v>8339.467967825</v>
      </c>
      <c r="I18" s="68">
        <f t="shared" si="1"/>
        <v>0</v>
      </c>
      <c r="J18" s="67">
        <f t="shared" si="1"/>
        <v>1536.3899999999999</v>
      </c>
      <c r="K18" s="36">
        <f aca="true" t="shared" si="2" ref="K18:R18">SUM(K15:K17)</f>
        <v>2571.27294188</v>
      </c>
      <c r="L18" s="36">
        <f t="shared" si="2"/>
        <v>9014.5813378015</v>
      </c>
      <c r="M18" s="36">
        <f t="shared" si="2"/>
        <v>532.18</v>
      </c>
      <c r="N18" s="36">
        <f t="shared" si="2"/>
        <v>0</v>
      </c>
      <c r="O18" s="68">
        <f t="shared" si="2"/>
        <v>13654.4242796815</v>
      </c>
      <c r="P18" s="68">
        <f t="shared" si="2"/>
        <v>0</v>
      </c>
      <c r="Q18" s="75">
        <f t="shared" si="2"/>
        <v>-5314.956311856498</v>
      </c>
      <c r="R18" s="75">
        <f t="shared" si="2"/>
        <v>-2854</v>
      </c>
      <c r="S18" s="70"/>
      <c r="T18" s="71"/>
    </row>
    <row r="19" spans="1:20" ht="12.75">
      <c r="A19" s="7" t="s">
        <v>44</v>
      </c>
      <c r="B19" s="40"/>
      <c r="C19" s="41"/>
      <c r="D19" s="42"/>
      <c r="E19" s="43"/>
      <c r="F19" s="45"/>
      <c r="G19" s="44"/>
      <c r="H19" s="45"/>
      <c r="I19" s="140"/>
      <c r="J19" s="44"/>
      <c r="K19" s="14"/>
      <c r="L19" s="14"/>
      <c r="M19" s="31"/>
      <c r="N19" s="69"/>
      <c r="O19" s="30"/>
      <c r="P19" s="137"/>
      <c r="Q19" s="74"/>
      <c r="R19" s="74"/>
      <c r="S19" s="1"/>
      <c r="T19" s="1"/>
    </row>
    <row r="20" spans="1:20" ht="12.75">
      <c r="A20" s="11" t="s">
        <v>45</v>
      </c>
      <c r="B20" s="82">
        <f>Лист1!B14</f>
        <v>853.55</v>
      </c>
      <c r="C20" s="27">
        <f t="shared" si="0"/>
        <v>7383.2074999999995</v>
      </c>
      <c r="D20" s="28">
        <f>Лист1!D14</f>
        <v>922.9009374999999</v>
      </c>
      <c r="E20" s="14">
        <f>Лист1!S14</f>
        <v>3306.95</v>
      </c>
      <c r="F20" s="30">
        <f>Лист1!T14</f>
        <v>264.06</v>
      </c>
      <c r="G20" s="29">
        <f>Лист1!AB14</f>
        <v>1065.67</v>
      </c>
      <c r="H20" s="30">
        <f>Лист1!AC14</f>
        <v>2252.6309375</v>
      </c>
      <c r="I20" s="139">
        <f>Лист1!AF14</f>
        <v>0</v>
      </c>
      <c r="J20" s="29">
        <f>Лист1!AG14</f>
        <v>460.91700000000003</v>
      </c>
      <c r="K20" s="14">
        <f>Лист1!AI14+Лист1!AJ14</f>
        <v>742.22433355</v>
      </c>
      <c r="L20" s="14">
        <f>Лист1!AH14+Лист1!AK14+Лист1!AL14+Лист1!AM14+Лист1!AN14+Лист1!AO14+Лист1!AP14+Лист1!AQ14+Лист1!AR14</f>
        <v>2549.176171196</v>
      </c>
      <c r="M20" s="31">
        <f>Лист1!AS14+Лист1!AT14+Лист1!AU14+Лист1!AZ14+Лист1!BA14</f>
        <v>7906.01</v>
      </c>
      <c r="N20" s="31">
        <f>Лист1!AX14</f>
        <v>201.41184</v>
      </c>
      <c r="O20" s="30">
        <f>Лист1!BB14</f>
        <v>11658.327504746</v>
      </c>
      <c r="P20" s="137">
        <f>Лист1!BC14</f>
        <v>0</v>
      </c>
      <c r="Q20" s="74">
        <f>Лист1!BD14</f>
        <v>-9405.696567246</v>
      </c>
      <c r="R20" s="74">
        <f>Лист1!BE14</f>
        <v>-2241.2799999999997</v>
      </c>
      <c r="S20" s="1"/>
      <c r="T20" s="1"/>
    </row>
    <row r="21" spans="1:20" ht="12.75">
      <c r="A21" s="11" t="s">
        <v>46</v>
      </c>
      <c r="B21" s="82">
        <f>Лист1!B15</f>
        <v>853.55</v>
      </c>
      <c r="C21" s="27">
        <f t="shared" si="0"/>
        <v>7383.2074999999995</v>
      </c>
      <c r="D21" s="28">
        <f>Лист1!D15</f>
        <v>922.9009374999999</v>
      </c>
      <c r="E21" s="14">
        <f>Лист1!S15</f>
        <v>3305.3999999999996</v>
      </c>
      <c r="F21" s="30">
        <f>Лист1!T15</f>
        <v>264.06</v>
      </c>
      <c r="G21" s="29">
        <f>Лист1!AB15</f>
        <v>1879.78</v>
      </c>
      <c r="H21" s="30">
        <f>Лист1!AC15</f>
        <v>3066.7409374999997</v>
      </c>
      <c r="I21" s="139">
        <f>Лист1!AF15</f>
        <v>0</v>
      </c>
      <c r="J21" s="29">
        <f>Лист1!AG15</f>
        <v>460.91700000000003</v>
      </c>
      <c r="K21" s="14">
        <f>Лист1!AI15+Лист1!AJ15</f>
        <v>741.3918229</v>
      </c>
      <c r="L21" s="14">
        <f>Лист1!AH15+Лист1!AK15+Лист1!AL15+Лист1!AM15+Лист1!AN15+Лист1!AO15+Лист1!AP15+Лист1!AQ15+Лист1!AR15</f>
        <v>2552.856081311</v>
      </c>
      <c r="M21" s="31">
        <f>Лист1!AS15+Лист1!AT15+Лист1!AU15+Лист1!AZ15+Лист1!BA15</f>
        <v>0</v>
      </c>
      <c r="N21" s="31">
        <f>Лист1!AX15</f>
        <v>161.36736</v>
      </c>
      <c r="O21" s="30">
        <f>Лист1!BB15</f>
        <v>3755.1649042109993</v>
      </c>
      <c r="P21" s="137">
        <f>Лист1!BC15</f>
        <v>0</v>
      </c>
      <c r="Q21" s="74">
        <f>Лист1!BD15</f>
        <v>-688.4239667109996</v>
      </c>
      <c r="R21" s="74">
        <f>Лист1!BE15</f>
        <v>-1425.6199999999997</v>
      </c>
      <c r="S21" s="1"/>
      <c r="T21" s="1"/>
    </row>
    <row r="22" spans="1:20" ht="12.75">
      <c r="A22" s="11" t="s">
        <v>47</v>
      </c>
      <c r="B22" s="82">
        <f>Лист1!B16</f>
        <v>853.55</v>
      </c>
      <c r="C22" s="27">
        <f t="shared" si="0"/>
        <v>7383.2074999999995</v>
      </c>
      <c r="D22" s="28">
        <f>Лист1!D16</f>
        <v>922.9009374999999</v>
      </c>
      <c r="E22" s="14">
        <f>Лист1!S16</f>
        <v>3305.37</v>
      </c>
      <c r="F22" s="30">
        <f>Лист1!T16</f>
        <v>264.06</v>
      </c>
      <c r="G22" s="29">
        <f>Лист1!AB16</f>
        <v>1351.7299999999998</v>
      </c>
      <c r="H22" s="30">
        <f>Лист1!AC16</f>
        <v>2538.6909374999996</v>
      </c>
      <c r="I22" s="139">
        <f>Лист1!AF16</f>
        <v>0</v>
      </c>
      <c r="J22" s="29">
        <f>Лист1!AG16</f>
        <v>460.91700000000003</v>
      </c>
      <c r="K22" s="14">
        <f>Лист1!AI16+Лист1!AJ16</f>
        <v>742.687788875</v>
      </c>
      <c r="L22" s="14">
        <f>Лист1!AH16+Лист1!AK16+Лист1!AL16+Лист1!AM16+Лист1!AN16+Лист1!AO16+Лист1!AP16+Лист1!AQ16+Лист1!AR16</f>
        <v>2467.65562868</v>
      </c>
      <c r="M22" s="31">
        <f>Лист1!AS16+Лист1!AT16+Лист1!AU16+Лист1!AZ16+Лист1!BA16</f>
        <v>0</v>
      </c>
      <c r="N22" s="31">
        <f>Лист1!AX16</f>
        <v>151.85184</v>
      </c>
      <c r="O22" s="30">
        <f>Лист1!BB16</f>
        <v>3671.260417555</v>
      </c>
      <c r="P22" s="137">
        <f>Лист1!BC16</f>
        <v>0</v>
      </c>
      <c r="Q22" s="74">
        <f>Лист1!BD16</f>
        <v>-1132.5694800550004</v>
      </c>
      <c r="R22" s="74">
        <f>Лист1!BE16</f>
        <v>-1953.64</v>
      </c>
      <c r="S22" s="1"/>
      <c r="T22" s="1"/>
    </row>
    <row r="23" spans="1:20" ht="12.75">
      <c r="A23" s="11" t="s">
        <v>48</v>
      </c>
      <c r="B23" s="82">
        <f>Лист1!B17</f>
        <v>853.55</v>
      </c>
      <c r="C23" s="27">
        <f t="shared" si="0"/>
        <v>7383.2074999999995</v>
      </c>
      <c r="D23" s="28">
        <f>Лист1!D17</f>
        <v>922.9009374999999</v>
      </c>
      <c r="E23" s="14">
        <f>Лист1!S17</f>
        <v>3208.21</v>
      </c>
      <c r="F23" s="30">
        <f>Лист1!T17</f>
        <v>264.06</v>
      </c>
      <c r="G23" s="29">
        <f>Лист1!AB17</f>
        <v>1542.03</v>
      </c>
      <c r="H23" s="30">
        <f>Лист1!AC17</f>
        <v>2728.9909374999997</v>
      </c>
      <c r="I23" s="139">
        <f>Лист1!AF17</f>
        <v>0</v>
      </c>
      <c r="J23" s="29">
        <f>Лист1!AG17</f>
        <v>460.91700000000003</v>
      </c>
      <c r="K23" s="14">
        <f>Лист1!AI17+Лист1!AJ17</f>
        <v>764.5068104499999</v>
      </c>
      <c r="L23" s="14">
        <f>Лист1!AH17+Лист1!AK17+Лист1!AL17+Лист1!AM17+Лист1!AN17+Лист1!AO17+Лист1!AP17+Лист1!AQ17+Лист1!AR17</f>
        <v>2502.8248554279994</v>
      </c>
      <c r="M23" s="31">
        <f>Лист1!AS17+Лист1!AT17+Лист1!AU17+Лист1!AY17+Лист1!AZ17</f>
        <v>365.8</v>
      </c>
      <c r="N23" s="31">
        <f>Лист1!AX17</f>
        <v>121.71936</v>
      </c>
      <c r="O23" s="30">
        <f>Лист1!BB17</f>
        <v>4730.399065877999</v>
      </c>
      <c r="P23" s="137">
        <f>Лист1!BC17</f>
        <v>0</v>
      </c>
      <c r="Q23" s="74">
        <f>Лист1!BD17</f>
        <v>-2001.4081283779997</v>
      </c>
      <c r="R23" s="74">
        <f>Лист1!BE17</f>
        <v>-1666.18</v>
      </c>
      <c r="S23" s="1"/>
      <c r="T23" s="1"/>
    </row>
    <row r="24" spans="1:20" ht="12.75">
      <c r="A24" s="11" t="s">
        <v>49</v>
      </c>
      <c r="B24" s="82">
        <f>Лист1!B18</f>
        <v>853.55</v>
      </c>
      <c r="C24" s="27">
        <f t="shared" si="0"/>
        <v>7383.2074999999995</v>
      </c>
      <c r="D24" s="28">
        <f>Лист1!D18</f>
        <v>3373.1974999999993</v>
      </c>
      <c r="E24" s="14">
        <f>Лист1!S18</f>
        <v>3724.77</v>
      </c>
      <c r="F24" s="30">
        <f>Лист1!T18</f>
        <v>285.24</v>
      </c>
      <c r="G24" s="29">
        <f>Лист1!AB18</f>
        <v>1531.0100000000002</v>
      </c>
      <c r="H24" s="30">
        <f>Лист1!AC18</f>
        <v>5189.447499999999</v>
      </c>
      <c r="I24" s="139">
        <f>Лист1!AF18</f>
        <v>0</v>
      </c>
      <c r="J24" s="29">
        <f>Лист1!AG18</f>
        <v>512.13</v>
      </c>
      <c r="K24" s="14">
        <f>Лист1!AI18+Лист1!AJ18</f>
        <v>856.1106499999999</v>
      </c>
      <c r="L24" s="14">
        <f>Лист1!AH18+Лист1!AK18+Лист1!AL18+Лист1!AM18+Лист1!AN18+Лист1!AO18+Лист1!AP18+Лист1!AQ18+Лист1!AR18</f>
        <v>2932.11496</v>
      </c>
      <c r="M24" s="31">
        <f>Лист1!AS18+Лист1!AT18+Лист1!AU18+Лист1!AZ18+Лист1!BA18</f>
        <v>0</v>
      </c>
      <c r="N24" s="31">
        <f>Лист1!AX18</f>
        <v>104.27423999999999</v>
      </c>
      <c r="O24" s="30">
        <f>Лист1!BB18</f>
        <v>4404.629849999999</v>
      </c>
      <c r="P24" s="137">
        <f>Лист1!BC18</f>
        <v>0</v>
      </c>
      <c r="Q24" s="74">
        <f>Лист1!BD18</f>
        <v>784.81765</v>
      </c>
      <c r="R24" s="74">
        <f>Лист1!BE18</f>
        <v>-2193.7599999999998</v>
      </c>
      <c r="S24" s="1"/>
      <c r="T24" s="1"/>
    </row>
    <row r="25" spans="1:20" ht="12.75">
      <c r="A25" s="11" t="s">
        <v>50</v>
      </c>
      <c r="B25" s="82">
        <f>Лист1!B19</f>
        <v>853.55</v>
      </c>
      <c r="C25" s="27">
        <f t="shared" si="0"/>
        <v>7383.2074999999995</v>
      </c>
      <c r="D25" s="28">
        <f>Лист1!D19</f>
        <v>3363.187500000001</v>
      </c>
      <c r="E25" s="14">
        <f>Лист1!S19</f>
        <v>3734.78</v>
      </c>
      <c r="F25" s="30">
        <f>Лист1!T19</f>
        <v>285.24</v>
      </c>
      <c r="G25" s="29">
        <f>Лист1!AB19</f>
        <v>1697.8200000000002</v>
      </c>
      <c r="H25" s="30">
        <f>Лист1!AC19</f>
        <v>5346.247500000001</v>
      </c>
      <c r="I25" s="139">
        <f>Лист1!AF19</f>
        <v>0</v>
      </c>
      <c r="J25" s="29">
        <f>Лист1!AG19</f>
        <v>512.13</v>
      </c>
      <c r="K25" s="14">
        <f>Лист1!AI19+Лист1!AJ19</f>
        <v>856.1106499999999</v>
      </c>
      <c r="L25" s="14">
        <f>Лист1!AH19+Лист1!AK19+Лист1!AL19+Лист1!AM19+Лист1!AN19+Лист1!AO19+Лист1!AP19+Лист1!AQ19+Лист1!AR19</f>
        <v>2932.1917795</v>
      </c>
      <c r="M25" s="31">
        <f>Лист1!AS19+Лист1!AT19+Лист1!AU19+Лист1!AZ19+Лист1!BA19</f>
        <v>70.1156</v>
      </c>
      <c r="N25" s="31">
        <f>Лист1!AX19</f>
        <v>92.37983999999999</v>
      </c>
      <c r="O25" s="30">
        <f>Лист1!BB19</f>
        <v>4462.927869499999</v>
      </c>
      <c r="P25" s="137">
        <f>Лист1!BC19</f>
        <v>0</v>
      </c>
      <c r="Q25" s="74">
        <f>Лист1!BD19</f>
        <v>883.319630500002</v>
      </c>
      <c r="R25" s="74">
        <f>Лист1!BE19</f>
        <v>-2036.96</v>
      </c>
      <c r="S25" s="1"/>
      <c r="T25" s="1"/>
    </row>
    <row r="26" spans="1:20" ht="12.75">
      <c r="A26" s="11" t="s">
        <v>51</v>
      </c>
      <c r="B26" s="82">
        <f>Лист1!B20</f>
        <v>853.55</v>
      </c>
      <c r="C26" s="27">
        <f t="shared" si="0"/>
        <v>7383.2074999999995</v>
      </c>
      <c r="D26" s="28">
        <f>Лист1!D20</f>
        <v>3363.187500000001</v>
      </c>
      <c r="E26" s="14">
        <f>Лист1!S20</f>
        <v>3734.78</v>
      </c>
      <c r="F26" s="30">
        <f>Лист1!T20</f>
        <v>285.24</v>
      </c>
      <c r="G26" s="29">
        <f>Лист1!AB20</f>
        <v>1965.3199999999997</v>
      </c>
      <c r="H26" s="30">
        <f>Лист1!AC20</f>
        <v>5613.7475</v>
      </c>
      <c r="I26" s="139">
        <f>Лист1!AF20</f>
        <v>0</v>
      </c>
      <c r="J26" s="29">
        <f>Лист1!AG20</f>
        <v>512.13</v>
      </c>
      <c r="K26" s="14">
        <f>Лист1!AI20+Лист1!AJ20</f>
        <v>843.9538787699998</v>
      </c>
      <c r="L26" s="14">
        <f>Лист1!AH20+Лист1!AK20+Лист1!AL20+Лист1!AM20+Лист1!AN20+Лист1!AO20+Лист1!AP20+Лист1!AQ20+Лист1!AR20</f>
        <v>2903.0167747309997</v>
      </c>
      <c r="M26" s="31">
        <f>Лист1!AS20+Лист1!AT20+Лист1!AU20+Лист1!AZ20+Лист1!BA20</f>
        <v>0</v>
      </c>
      <c r="N26" s="31">
        <f>Лист1!AX20</f>
        <v>98.32704</v>
      </c>
      <c r="O26" s="30">
        <f>Лист1!BB20</f>
        <v>4357.427693501</v>
      </c>
      <c r="P26" s="137">
        <f>Лист1!BC20</f>
        <v>0</v>
      </c>
      <c r="Q26" s="74">
        <f>Лист1!BD20</f>
        <v>1256.3198064990002</v>
      </c>
      <c r="R26" s="74">
        <f>Лист1!BE20</f>
        <v>-1769.4600000000005</v>
      </c>
      <c r="S26" s="1"/>
      <c r="T26" s="1"/>
    </row>
    <row r="27" spans="1:20" ht="12.75">
      <c r="A27" s="11" t="s">
        <v>52</v>
      </c>
      <c r="B27" s="82">
        <f>Лист1!B21</f>
        <v>853.55</v>
      </c>
      <c r="C27" s="27">
        <f t="shared" si="0"/>
        <v>7383.2074999999995</v>
      </c>
      <c r="D27" s="28">
        <f>Лист1!D21</f>
        <v>3363.187500000001</v>
      </c>
      <c r="E27" s="14">
        <f>Лист1!S21</f>
        <v>3734.78</v>
      </c>
      <c r="F27" s="30">
        <f>Лист1!T21</f>
        <v>285.24</v>
      </c>
      <c r="G27" s="29">
        <f>Лист1!AB21</f>
        <v>2486.3799999999997</v>
      </c>
      <c r="H27" s="30">
        <f>Лист1!AC21</f>
        <v>6134.807500000001</v>
      </c>
      <c r="I27" s="139">
        <f>Лист1!AF21</f>
        <v>0</v>
      </c>
      <c r="J27" s="29">
        <f>Лист1!AG21</f>
        <v>512.13</v>
      </c>
      <c r="K27" s="14">
        <f>Лист1!AI21+Лист1!AJ21</f>
        <v>843.4830179124999</v>
      </c>
      <c r="L27" s="14">
        <f>Лист1!AH21+Лист1!AK21+Лист1!AL21+Лист1!AM21+Лист1!AN21+Лист1!AO21+Лист1!AP21+Лист1!AQ21+Лист1!AR21</f>
        <v>2902.406827901</v>
      </c>
      <c r="M27" s="31">
        <f>Лист1!AS21+Лист1!AT21+Лист1!AU21+Лист1!AZ21+Лист1!BA21</f>
        <v>13216</v>
      </c>
      <c r="N27" s="31">
        <f>Лист1!AX21</f>
        <v>116.16863999999998</v>
      </c>
      <c r="O27" s="30">
        <f>Лист1!BB21</f>
        <v>17590.188485813498</v>
      </c>
      <c r="P27" s="137">
        <f>Лист1!BC21</f>
        <v>0</v>
      </c>
      <c r="Q27" s="74">
        <f>Лист1!BD21</f>
        <v>-11455.380985813497</v>
      </c>
      <c r="R27" s="74">
        <f>Лист1!BE21</f>
        <v>-1248.4000000000005</v>
      </c>
      <c r="S27" s="1"/>
      <c r="T27" s="1"/>
    </row>
    <row r="28" spans="1:20" ht="12.75">
      <c r="A28" s="11" t="s">
        <v>53</v>
      </c>
      <c r="B28" s="82">
        <f>Лист1!B22</f>
        <v>853.55</v>
      </c>
      <c r="C28" s="27">
        <f t="shared" si="0"/>
        <v>7383.2074999999995</v>
      </c>
      <c r="D28" s="28">
        <f>Лист1!D22</f>
        <v>3363.187500000001</v>
      </c>
      <c r="E28" s="14">
        <f>Лист1!S22</f>
        <v>3734.78</v>
      </c>
      <c r="F28" s="30">
        <f>Лист1!T22</f>
        <v>285.24</v>
      </c>
      <c r="G28" s="29">
        <f>Лист1!AB22</f>
        <v>1623.9299999999998</v>
      </c>
      <c r="H28" s="30">
        <f>Лист1!AC22</f>
        <v>5272.3575</v>
      </c>
      <c r="I28" s="139">
        <f>Лист1!AF22</f>
        <v>0</v>
      </c>
      <c r="J28" s="29">
        <f>Лист1!AG22</f>
        <v>512.13</v>
      </c>
      <c r="K28" s="14">
        <f>Лист1!AI22+Лист1!AJ22</f>
        <v>843.3374791019999</v>
      </c>
      <c r="L28" s="14">
        <f>Лист1!AH22+Лист1!AK22+Лист1!AL22+Лист1!AM22+Лист1!AN22+Лист1!AO22+Лист1!AP22+Лист1!AQ22+Лист1!AR22</f>
        <v>2902.2182548065994</v>
      </c>
      <c r="M28" s="31">
        <f>Лист1!AS22+Лист1!AT22+Лист1!AU22+Лист1!AZ22+Лист1!BA22</f>
        <v>0</v>
      </c>
      <c r="N28" s="31">
        <f>Лист1!AX22</f>
        <v>138.37152</v>
      </c>
      <c r="O28" s="30">
        <f>Лист1!BB22</f>
        <v>4396.057253908599</v>
      </c>
      <c r="P28" s="137">
        <f>Лист1!BC22</f>
        <v>0</v>
      </c>
      <c r="Q28" s="74">
        <f>Лист1!BD22</f>
        <v>876.3002460914013</v>
      </c>
      <c r="R28" s="74">
        <f>Лист1!BE22</f>
        <v>-2110.8500000000004</v>
      </c>
      <c r="S28" s="1"/>
      <c r="T28" s="1"/>
    </row>
    <row r="29" spans="1:20" ht="12.75">
      <c r="A29" s="11" t="s">
        <v>41</v>
      </c>
      <c r="B29" s="82">
        <f>Лист1!B23</f>
        <v>853.55</v>
      </c>
      <c r="C29" s="27">
        <f>B29*8.65</f>
        <v>7383.2074999999995</v>
      </c>
      <c r="D29" s="28">
        <f>Лист1!D23</f>
        <v>3363.187500000001</v>
      </c>
      <c r="E29" s="14">
        <f>Лист1!S23</f>
        <v>3734.78</v>
      </c>
      <c r="F29" s="30">
        <f>Лист1!T23</f>
        <v>285.24</v>
      </c>
      <c r="G29" s="29">
        <f>Лист1!AB23</f>
        <v>1874.17</v>
      </c>
      <c r="H29" s="30">
        <f>Лист1!AC23</f>
        <v>5522.597500000001</v>
      </c>
      <c r="I29" s="139">
        <f>Лист1!AF23</f>
        <v>1514.85388</v>
      </c>
      <c r="J29" s="29">
        <f>Лист1!AG23</f>
        <v>512.13</v>
      </c>
      <c r="K29" s="14">
        <f>Лист1!AI23+Лист1!AJ23</f>
        <v>853.0890829999998</v>
      </c>
      <c r="L29" s="14">
        <f>Лист1!AH23+Лист1!AK23+Лист1!AL23+Лист1!AM23+Лист1!AN23+Лист1!AO23+Лист1!AP23+Лист1!AQ23+Лист1!AR23</f>
        <v>2927.16437</v>
      </c>
      <c r="M29" s="31">
        <f>Лист1!AS23+Лист1!AT23+Лист1!AU23+Лист1!AZ23+Лист1!BA23</f>
        <v>985.654</v>
      </c>
      <c r="N29" s="31">
        <f>Лист1!AX23</f>
        <v>168.504</v>
      </c>
      <c r="O29" s="30">
        <f>Лист1!BB23</f>
        <v>5446.541453000001</v>
      </c>
      <c r="P29" s="137">
        <f>Лист1!BC23</f>
        <v>609.684236</v>
      </c>
      <c r="Q29" s="74">
        <f>Лист1!BD23</f>
        <v>981.2256909999996</v>
      </c>
      <c r="R29" s="74">
        <f>Лист1!BE23</f>
        <v>-1860.6100000000001</v>
      </c>
      <c r="S29" s="1"/>
      <c r="T29" s="1"/>
    </row>
    <row r="30" spans="1:20" ht="12.75">
      <c r="A30" s="11" t="s">
        <v>42</v>
      </c>
      <c r="B30" s="82">
        <f>Лист1!B24</f>
        <v>853.55</v>
      </c>
      <c r="C30" s="27">
        <f t="shared" si="0"/>
        <v>7383.2074999999995</v>
      </c>
      <c r="D30" s="28">
        <f>Лист1!D24</f>
        <v>3363.187500000001</v>
      </c>
      <c r="E30" s="14">
        <f>Лист1!S24</f>
        <v>3734.78</v>
      </c>
      <c r="F30" s="30">
        <f>Лист1!T24</f>
        <v>285.24</v>
      </c>
      <c r="G30" s="29">
        <f>Лист1!AB24</f>
        <v>4335.289999999999</v>
      </c>
      <c r="H30" s="30">
        <f>Лист1!AC24</f>
        <v>7983.7175</v>
      </c>
      <c r="I30" s="139">
        <f>Лист1!AF24</f>
        <v>1514.85388</v>
      </c>
      <c r="J30" s="29">
        <f>Лист1!AG24</f>
        <v>512.13</v>
      </c>
      <c r="K30" s="14">
        <f>Лист1!AI24+Лист1!AJ24</f>
        <v>856.1106499999999</v>
      </c>
      <c r="L30" s="14">
        <f>Лист1!AH24+Лист1!AK24+Лист1!AL24+Лист1!AM24+Лист1!AN24+Лист1!AO24+Лист1!AP24+Лист1!AQ24+Лист1!AR24</f>
        <v>2930.4078599999993</v>
      </c>
      <c r="M30" s="31">
        <f>Лист1!AS24+Лист1!AT24+Лист1!AU24+Лист1!AZ24+Лист1!BA24</f>
        <v>0</v>
      </c>
      <c r="N30" s="31">
        <f>Лист1!AX24</f>
        <v>186.34560000000002</v>
      </c>
      <c r="O30" s="30">
        <f>Лист1!BB24</f>
        <v>4484.99411</v>
      </c>
      <c r="P30" s="137">
        <f>Лист1!BC24</f>
        <v>610.5409199999999</v>
      </c>
      <c r="Q30" s="74">
        <f>Лист1!BD24</f>
        <v>4403.03635</v>
      </c>
      <c r="R30" s="74">
        <f>Лист1!BE24</f>
        <v>600.5099999999989</v>
      </c>
      <c r="S30" s="1"/>
      <c r="T30" s="1"/>
    </row>
    <row r="31" spans="1:20" ht="13.5" thickBot="1">
      <c r="A31" s="32" t="s">
        <v>43</v>
      </c>
      <c r="B31" s="82">
        <f>Лист1!B25</f>
        <v>853.55</v>
      </c>
      <c r="C31" s="33">
        <f t="shared" si="0"/>
        <v>7383.2074999999995</v>
      </c>
      <c r="D31" s="28">
        <f>Лист1!D25</f>
        <v>3363.187500000001</v>
      </c>
      <c r="E31" s="14">
        <f>Лист1!S25</f>
        <v>3734.78</v>
      </c>
      <c r="F31" s="30">
        <f>Лист1!T25</f>
        <v>285.24</v>
      </c>
      <c r="G31" s="29">
        <f>Лист1!AB25</f>
        <v>3406.7</v>
      </c>
      <c r="H31" s="30">
        <f>Лист1!AC25</f>
        <v>7055.1275000000005</v>
      </c>
      <c r="I31" s="139">
        <f>Лист1!AF25</f>
        <v>1514.85388</v>
      </c>
      <c r="J31" s="29">
        <f>Лист1!AG25</f>
        <v>512.13</v>
      </c>
      <c r="K31" s="14">
        <f>Лист1!AI25+Лист1!AJ25</f>
        <v>856.1106499999999</v>
      </c>
      <c r="L31" s="14">
        <f>Лист1!AH25+Лист1!AK25+Лист1!AL25+Лист1!AM25+Лист1!AN25+Лист1!AO25+Лист1!AP25+Лист1!AQ25+Лист1!AR25</f>
        <v>2930.4078599999993</v>
      </c>
      <c r="M31" s="31">
        <f>Лист1!AS25+Лист1!AT25+Лист1!AU25+Лист1!AZ25+Лист1!BA25</f>
        <v>0</v>
      </c>
      <c r="N31" s="31">
        <f>Лист1!AX25</f>
        <v>203.79072</v>
      </c>
      <c r="O31" s="30">
        <f>Лист1!BB25</f>
        <v>4502.43923</v>
      </c>
      <c r="P31" s="137">
        <f>Лист1!BC25</f>
        <v>610.5409199999999</v>
      </c>
      <c r="Q31" s="74">
        <f>Лист1!BD25</f>
        <v>3457.001230000001</v>
      </c>
      <c r="R31" s="74">
        <f>Лист1!BE25</f>
        <v>-328.0800000000004</v>
      </c>
      <c r="S31" s="1"/>
      <c r="T31" s="1"/>
    </row>
    <row r="32" spans="1:20" s="20" customFormat="1" ht="13.5" thickBot="1">
      <c r="A32" s="34" t="s">
        <v>5</v>
      </c>
      <c r="B32" s="35"/>
      <c r="C32" s="36">
        <f aca="true" t="shared" si="3" ref="C32:R32">SUM(C20:C31)</f>
        <v>88598.49</v>
      </c>
      <c r="D32" s="67">
        <f t="shared" si="3"/>
        <v>30607.11375</v>
      </c>
      <c r="E32" s="36">
        <f t="shared" si="3"/>
        <v>42994.159999999996</v>
      </c>
      <c r="F32" s="68">
        <f t="shared" si="3"/>
        <v>3338.159999999999</v>
      </c>
      <c r="G32" s="67">
        <f t="shared" si="3"/>
        <v>24759.829999999998</v>
      </c>
      <c r="H32" s="68">
        <f t="shared" si="3"/>
        <v>58705.10375</v>
      </c>
      <c r="I32" s="68">
        <f t="shared" si="3"/>
        <v>4544.56164</v>
      </c>
      <c r="J32" s="67">
        <f t="shared" si="3"/>
        <v>5940.7080000000005</v>
      </c>
      <c r="K32" s="36">
        <f t="shared" si="3"/>
        <v>9799.116814559498</v>
      </c>
      <c r="L32" s="36">
        <f t="shared" si="3"/>
        <v>33432.441423553595</v>
      </c>
      <c r="M32" s="36">
        <f>SUM(M20:M31)</f>
        <v>22543.579599999997</v>
      </c>
      <c r="N32" s="36">
        <f t="shared" si="3"/>
        <v>1744.512</v>
      </c>
      <c r="O32" s="68">
        <f t="shared" si="3"/>
        <v>73460.3578381131</v>
      </c>
      <c r="P32" s="68">
        <f t="shared" si="3"/>
        <v>1830.7660759999999</v>
      </c>
      <c r="Q32" s="75">
        <f t="shared" si="3"/>
        <v>-12041.458524113094</v>
      </c>
      <c r="R32" s="75">
        <f t="shared" si="3"/>
        <v>-18234.330000000005</v>
      </c>
      <c r="S32" s="71"/>
      <c r="T32" s="71"/>
    </row>
    <row r="33" spans="1:20" ht="13.5" thickBot="1">
      <c r="A33" s="225" t="s">
        <v>70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79"/>
      <c r="S33" s="1"/>
      <c r="T33" s="1"/>
    </row>
    <row r="34" spans="1:20" s="20" customFormat="1" ht="13.5" thickBot="1">
      <c r="A34" s="80" t="s">
        <v>54</v>
      </c>
      <c r="B34" s="38"/>
      <c r="C34" s="39">
        <f>C18+C32</f>
        <v>110748.1125</v>
      </c>
      <c r="D34" s="37">
        <f aca="true" t="shared" si="4" ref="D34:R34">D18+D32</f>
        <v>35938.601717825004</v>
      </c>
      <c r="E34" s="38">
        <f t="shared" si="4"/>
        <v>48416.079999999994</v>
      </c>
      <c r="F34" s="39">
        <f t="shared" si="4"/>
        <v>3778.219999999999</v>
      </c>
      <c r="G34" s="37">
        <f t="shared" si="4"/>
        <v>27327.75</v>
      </c>
      <c r="H34" s="39">
        <f t="shared" si="4"/>
        <v>67044.571717825</v>
      </c>
      <c r="I34" s="39">
        <f t="shared" si="4"/>
        <v>4544.56164</v>
      </c>
      <c r="J34" s="37">
        <f t="shared" si="4"/>
        <v>7477.098</v>
      </c>
      <c r="K34" s="38">
        <f t="shared" si="4"/>
        <v>12370.389756439497</v>
      </c>
      <c r="L34" s="38">
        <f t="shared" si="4"/>
        <v>42447.022761355096</v>
      </c>
      <c r="M34" s="38">
        <f t="shared" si="4"/>
        <v>23075.759599999998</v>
      </c>
      <c r="N34" s="38">
        <f t="shared" si="4"/>
        <v>1744.512</v>
      </c>
      <c r="O34" s="78">
        <f t="shared" si="4"/>
        <v>87114.78211779459</v>
      </c>
      <c r="P34" s="78">
        <f t="shared" si="4"/>
        <v>1830.7660759999999</v>
      </c>
      <c r="Q34" s="77">
        <f>Q18+Q32</f>
        <v>-17356.41483596959</v>
      </c>
      <c r="R34" s="77">
        <f t="shared" si="4"/>
        <v>-21088.330000000005</v>
      </c>
      <c r="S34" s="72"/>
      <c r="T34" s="71"/>
    </row>
    <row r="35" spans="1:20" ht="12.75">
      <c r="A35" s="7" t="s">
        <v>91</v>
      </c>
      <c r="B35" s="40"/>
      <c r="C35" s="41"/>
      <c r="D35" s="42"/>
      <c r="E35" s="43"/>
      <c r="F35" s="45"/>
      <c r="G35" s="44"/>
      <c r="H35" s="45"/>
      <c r="I35" s="140"/>
      <c r="J35" s="44"/>
      <c r="K35" s="14"/>
      <c r="L35" s="14"/>
      <c r="M35" s="31"/>
      <c r="N35" s="69"/>
      <c r="O35" s="30"/>
      <c r="P35" s="137"/>
      <c r="Q35" s="74"/>
      <c r="R35" s="74"/>
      <c r="S35" s="1"/>
      <c r="T35" s="1"/>
    </row>
    <row r="36" spans="1:20" ht="12.75">
      <c r="A36" s="11" t="s">
        <v>45</v>
      </c>
      <c r="B36" s="82">
        <f>Лист1!B30</f>
        <v>853.55</v>
      </c>
      <c r="C36" s="27">
        <f aca="true" t="shared" si="5" ref="C36:C47">B36*8.65</f>
        <v>7383.2074999999995</v>
      </c>
      <c r="D36" s="28">
        <f>Лист1!D30</f>
        <v>3363.187500000001</v>
      </c>
      <c r="E36" s="14">
        <f>Лист1!S30</f>
        <v>3734.78</v>
      </c>
      <c r="F36" s="30">
        <f>Лист1!T30</f>
        <v>285.24</v>
      </c>
      <c r="G36" s="29">
        <f>Лист1!AB30</f>
        <v>1223.17</v>
      </c>
      <c r="H36" s="30">
        <f>Лист1!AC30</f>
        <v>4871.597500000001</v>
      </c>
      <c r="I36" s="139">
        <f>Лист1!AF30</f>
        <v>1514.85388</v>
      </c>
      <c r="J36" s="29">
        <f>Лист1!AG30</f>
        <v>512.13</v>
      </c>
      <c r="K36" s="14">
        <f>Лист1!AI30+Лист1!AJ30</f>
        <v>853.55</v>
      </c>
      <c r="L36" s="14">
        <f>Лист1!AH30+Лист1!AK30+Лист1!AL30+Лист1!AM30+Лист1!AN30+Лист1!AO30+Лист1!AP30+Лист1!AQ30+Лист1!AR30</f>
        <v>2927.6765</v>
      </c>
      <c r="M36" s="31">
        <f>Лист1!AS30+Лист1!AT30+Лист1!AU30+Лист1!AZ30+Лист1!BA30</f>
        <v>0</v>
      </c>
      <c r="N36" s="31">
        <f>Лист1!AX30</f>
        <v>213.35999999999999</v>
      </c>
      <c r="O36" s="30">
        <f>Лист1!BB30</f>
        <v>4506.7164999999995</v>
      </c>
      <c r="P36" s="137">
        <f>Лист1!BC30</f>
        <v>609.818</v>
      </c>
      <c r="Q36" s="74">
        <f>Лист1!BD30</f>
        <v>1269.916880000001</v>
      </c>
      <c r="R36" s="74">
        <f>Лист1!BE30</f>
        <v>-2511.61</v>
      </c>
      <c r="S36" s="1"/>
      <c r="T36" s="1"/>
    </row>
    <row r="37" spans="1:20" ht="12.75">
      <c r="A37" s="11" t="s">
        <v>46</v>
      </c>
      <c r="B37" s="82">
        <f>Лист1!B31</f>
        <v>853.55</v>
      </c>
      <c r="C37" s="27">
        <f t="shared" si="5"/>
        <v>7383.2074999999995</v>
      </c>
      <c r="D37" s="28">
        <f>Лист1!D31</f>
        <v>3363.187500000001</v>
      </c>
      <c r="E37" s="14">
        <f>Лист1!S31</f>
        <v>3734.78</v>
      </c>
      <c r="F37" s="30">
        <f>Лист1!T31</f>
        <v>285.24</v>
      </c>
      <c r="G37" s="29">
        <f>Лист1!AB31</f>
        <v>2281.79</v>
      </c>
      <c r="H37" s="30">
        <f>Лист1!AC31</f>
        <v>5930.217500000001</v>
      </c>
      <c r="I37" s="139">
        <f>Лист1!AF31</f>
        <v>1514.85388</v>
      </c>
      <c r="J37" s="29">
        <f>Лист1!AG31</f>
        <v>512.13</v>
      </c>
      <c r="K37" s="14">
        <f>Лист1!AI31+Лист1!AJ31</f>
        <v>853.55</v>
      </c>
      <c r="L37" s="14">
        <f>Лист1!AH31+Лист1!AK31+Лист1!AL31+Лист1!AM31+Лист1!AN31+Лист1!AO31+Лист1!AP31+Лист1!AQ31+Лист1!AR31</f>
        <v>2927.6765</v>
      </c>
      <c r="M37" s="31">
        <f>Лист1!AS31+Лист1!AT31+Лист1!AU31+Лист1!AZ31+Лист1!BA31</f>
        <v>0</v>
      </c>
      <c r="N37" s="31">
        <f>Лист1!AX31</f>
        <v>170.93999999999997</v>
      </c>
      <c r="O37" s="30">
        <f>Лист1!BB31</f>
        <v>4464.2964999999995</v>
      </c>
      <c r="P37" s="137">
        <f>Лист1!BC31</f>
        <v>609.818</v>
      </c>
      <c r="Q37" s="74">
        <f>Лист1!BD31</f>
        <v>2370.9568800000006</v>
      </c>
      <c r="R37" s="74">
        <f>Лист1!BE31</f>
        <v>-1452.9900000000002</v>
      </c>
      <c r="S37" s="1"/>
      <c r="T37" s="1"/>
    </row>
    <row r="38" spans="1:20" ht="12.75">
      <c r="A38" s="11" t="s">
        <v>47</v>
      </c>
      <c r="B38" s="82">
        <f>Лист1!B32</f>
        <v>853.55</v>
      </c>
      <c r="C38" s="27">
        <f t="shared" si="5"/>
        <v>7383.2074999999995</v>
      </c>
      <c r="D38" s="28">
        <f>Лист1!D32</f>
        <v>3363.187500000001</v>
      </c>
      <c r="E38" s="14">
        <f>Лист1!S32</f>
        <v>3734.78</v>
      </c>
      <c r="F38" s="30">
        <f>Лист1!T32</f>
        <v>285.24</v>
      </c>
      <c r="G38" s="29">
        <f>Лист1!AB32</f>
        <v>2965.06</v>
      </c>
      <c r="H38" s="30">
        <f>Лист1!AC32</f>
        <v>6613.487500000001</v>
      </c>
      <c r="I38" s="139">
        <f>Лист1!AF32</f>
        <v>1514.85388</v>
      </c>
      <c r="J38" s="29">
        <f>Лист1!AG32</f>
        <v>512.13</v>
      </c>
      <c r="K38" s="14">
        <f>Лист1!AI32+Лист1!AJ32</f>
        <v>853.55</v>
      </c>
      <c r="L38" s="14">
        <f>Лист1!AH32+Лист1!AK32+Лист1!AL32+Лист1!AM32+Лист1!AN32+Лист1!AO32+Лист1!AP32+Лист1!AQ32+Лист1!AR32</f>
        <v>2927.6765</v>
      </c>
      <c r="M38" s="31">
        <f>Лист1!AS32+Лист1!AT32+Лист1!AU32+Лист1!AZ32+Лист1!BA32</f>
        <v>0</v>
      </c>
      <c r="N38" s="31">
        <f>Лист1!AX32</f>
        <v>160.85999999999999</v>
      </c>
      <c r="O38" s="30">
        <f>Лист1!BB32</f>
        <v>4454.2164999999995</v>
      </c>
      <c r="P38" s="137">
        <f>Лист1!BC32</f>
        <v>609.818</v>
      </c>
      <c r="Q38" s="74">
        <f>Лист1!BD32</f>
        <v>3064.306880000001</v>
      </c>
      <c r="R38" s="74">
        <f>Лист1!BE32</f>
        <v>-769.7200000000003</v>
      </c>
      <c r="S38" s="1"/>
      <c r="T38" s="1"/>
    </row>
    <row r="39" spans="1:20" ht="12.75">
      <c r="A39" s="11" t="s">
        <v>48</v>
      </c>
      <c r="B39" s="82">
        <f>Лист1!B33</f>
        <v>853.55</v>
      </c>
      <c r="C39" s="27">
        <f t="shared" si="5"/>
        <v>7383.2074999999995</v>
      </c>
      <c r="D39" s="28">
        <f>Лист1!D33</f>
        <v>3362.4375000000005</v>
      </c>
      <c r="E39" s="14">
        <f>Лист1!S33</f>
        <v>3735.5299999999997</v>
      </c>
      <c r="F39" s="30">
        <f>Лист1!T33</f>
        <v>285.24</v>
      </c>
      <c r="G39" s="29">
        <f>Лист1!AB33</f>
        <v>1542.03</v>
      </c>
      <c r="H39" s="30">
        <f>Лист1!AC33</f>
        <v>5189.7075</v>
      </c>
      <c r="I39" s="139">
        <f>Лист1!AF33</f>
        <v>1514.85388</v>
      </c>
      <c r="J39" s="29">
        <f>Лист1!AG33</f>
        <v>512.13</v>
      </c>
      <c r="K39" s="14">
        <f>Лист1!AI33+Лист1!AJ33</f>
        <v>853.55</v>
      </c>
      <c r="L39" s="14">
        <f>Лист1!AH33+Лист1!AK33+Лист1!AL33+Лист1!AM33+Лист1!AN33+Лист1!AO33+Лист1!AP33+Лист1!AQ33+Лист1!AR33</f>
        <v>2927.6765</v>
      </c>
      <c r="M39" s="31">
        <f>Лист1!AS33+Лист1!AT33+Лист1!AU33+Лист1!AY33+Лист1!AZ33</f>
        <v>0</v>
      </c>
      <c r="N39" s="31">
        <f>Лист1!AX33</f>
        <v>128.94</v>
      </c>
      <c r="O39" s="30">
        <f>Лист1!BB33</f>
        <v>4422.2964999999995</v>
      </c>
      <c r="P39" s="137">
        <f>Лист1!BC33</f>
        <v>609.818</v>
      </c>
      <c r="Q39" s="74">
        <f>Лист1!BD33</f>
        <v>1672.4468800000006</v>
      </c>
      <c r="R39" s="74">
        <f>Лист1!BE33</f>
        <v>-2193.5</v>
      </c>
      <c r="S39" s="1"/>
      <c r="T39" s="1"/>
    </row>
    <row r="40" spans="1:20" ht="12.75">
      <c r="A40" s="11" t="s">
        <v>49</v>
      </c>
      <c r="B40" s="82">
        <f>Лист1!B34</f>
        <v>853.55</v>
      </c>
      <c r="C40" s="27">
        <f t="shared" si="5"/>
        <v>7383.2074999999995</v>
      </c>
      <c r="D40" s="28">
        <f>Лист1!D34</f>
        <v>3362.2675</v>
      </c>
      <c r="E40" s="14">
        <f>Лист1!S34</f>
        <v>3735.7000000000003</v>
      </c>
      <c r="F40" s="30">
        <f>Лист1!T34</f>
        <v>285.24</v>
      </c>
      <c r="G40" s="29">
        <f>Лист1!AB34</f>
        <v>1172.6100000000001</v>
      </c>
      <c r="H40" s="30">
        <f>Лист1!AC34</f>
        <v>4820.1175</v>
      </c>
      <c r="I40" s="139">
        <f>Лист1!AF34</f>
        <v>1514.85388</v>
      </c>
      <c r="J40" s="29">
        <f>Лист1!AG34</f>
        <v>512.13</v>
      </c>
      <c r="K40" s="14">
        <f>Лист1!AI34+Лист1!AJ34</f>
        <v>853.55</v>
      </c>
      <c r="L40" s="14">
        <f>Лист1!AH34+Лист1!AK34+Лист1!AL34+Лист1!AM34+Лист1!AN34+Лист1!AO34+Лист1!AP34+Лист1!AQ34+Лист1!AR34</f>
        <v>2927.6765</v>
      </c>
      <c r="M40" s="31">
        <f>Лист1!AS34+Лист1!AT34+Лист1!AU34+Лист1!AZ34+Лист1!BA34</f>
        <v>484</v>
      </c>
      <c r="N40" s="31">
        <f>Лист1!AX34</f>
        <v>110.45999999999998</v>
      </c>
      <c r="O40" s="30">
        <f>Лист1!BB34</f>
        <v>4887.8165</v>
      </c>
      <c r="P40" s="137">
        <f>Лист1!BC34</f>
        <v>609.818</v>
      </c>
      <c r="Q40" s="74">
        <f>Лист1!BD34</f>
        <v>837.3368800000001</v>
      </c>
      <c r="R40" s="74">
        <f>Лист1!BE34</f>
        <v>-2563.09</v>
      </c>
      <c r="S40" s="1"/>
      <c r="T40" s="1"/>
    </row>
    <row r="41" spans="1:20" ht="12.75">
      <c r="A41" s="11" t="s">
        <v>50</v>
      </c>
      <c r="B41" s="82">
        <f>Лист1!B35</f>
        <v>853.55</v>
      </c>
      <c r="C41" s="27">
        <f t="shared" si="5"/>
        <v>7383.2074999999995</v>
      </c>
      <c r="D41" s="28">
        <f>Лист1!D35</f>
        <v>3362.2675</v>
      </c>
      <c r="E41" s="14">
        <f>Лист1!S35</f>
        <v>3735.7000000000003</v>
      </c>
      <c r="F41" s="30">
        <f>Лист1!T35</f>
        <v>285.24</v>
      </c>
      <c r="G41" s="29">
        <f>Лист1!AB35</f>
        <v>2439.8999999999996</v>
      </c>
      <c r="H41" s="30">
        <f>Лист1!AC35</f>
        <v>6087.407499999999</v>
      </c>
      <c r="I41" s="139">
        <f>Лист1!AF35</f>
        <v>1514.85388</v>
      </c>
      <c r="J41" s="29">
        <f>Лист1!AG35</f>
        <v>512.13</v>
      </c>
      <c r="K41" s="14">
        <f>Лист1!AI35+Лист1!AJ35</f>
        <v>853.55</v>
      </c>
      <c r="L41" s="14">
        <f>Лист1!AH35+Лист1!AK35+Лист1!AL35+Лист1!AM35+Лист1!AN35+Лист1!AO35+Лист1!AP35+Лист1!AQ35+Лист1!AR35</f>
        <v>2927.6765</v>
      </c>
      <c r="M41" s="31">
        <f>Лист1!AS35+Лист1!AT35+Лист1!AU35+Лист1!AZ35+Лист1!BA35</f>
        <v>12668</v>
      </c>
      <c r="N41" s="31">
        <f>Лист1!AX35</f>
        <v>97.85999999999999</v>
      </c>
      <c r="O41" s="30">
        <f>Лист1!BB35</f>
        <v>17059.216500000002</v>
      </c>
      <c r="P41" s="137">
        <f>Лист1!BC35</f>
        <v>609.818</v>
      </c>
      <c r="Q41" s="74">
        <f>Лист1!BD35</f>
        <v>-10066.773120000002</v>
      </c>
      <c r="R41" s="74">
        <f>Лист1!BE35</f>
        <v>-1295.8000000000006</v>
      </c>
      <c r="S41" s="1"/>
      <c r="T41" s="1"/>
    </row>
    <row r="42" spans="1:20" ht="12.75">
      <c r="A42" s="11" t="s">
        <v>51</v>
      </c>
      <c r="B42" s="82">
        <f>Лист1!B36</f>
        <v>853.55</v>
      </c>
      <c r="C42" s="27">
        <f t="shared" si="5"/>
        <v>7383.2074999999995</v>
      </c>
      <c r="D42" s="28">
        <f>Лист1!D36</f>
        <v>3362.2775</v>
      </c>
      <c r="E42" s="14">
        <f>Лист1!S36</f>
        <v>4020.9300000000003</v>
      </c>
      <c r="F42" s="30">
        <f>Лист1!T36</f>
        <v>0</v>
      </c>
      <c r="G42" s="29">
        <f>Лист1!AB36</f>
        <v>1108.6899999999998</v>
      </c>
      <c r="H42" s="30">
        <f>Лист1!AC36</f>
        <v>4470.9675</v>
      </c>
      <c r="I42" s="139">
        <f>Лист1!AF36</f>
        <v>1397.3022799999999</v>
      </c>
      <c r="J42" s="29">
        <f>Лист1!AG36</f>
        <v>512.13</v>
      </c>
      <c r="K42" s="14">
        <f>Лист1!AI36+Лист1!AJ36</f>
        <v>853.55</v>
      </c>
      <c r="L42" s="14">
        <f>Лист1!AH36+Лист1!AK36+Лист1!AL36+Лист1!AM36+Лист1!AN36+Лист1!AO36+Лист1!AP36+Лист1!AQ36+Лист1!AR36</f>
        <v>2927.6765</v>
      </c>
      <c r="M42" s="31">
        <f>Лист1!AS36+Лист1!AT36+Лист1!AU36+Лист1!AZ36+Лист1!BA36</f>
        <v>0</v>
      </c>
      <c r="N42" s="31">
        <f>Лист1!AX36</f>
        <v>104.15999999999998</v>
      </c>
      <c r="O42" s="30">
        <f>Лист1!BB36</f>
        <v>4397.5165</v>
      </c>
      <c r="P42" s="137">
        <f>Лист1!BC36</f>
        <v>609.818</v>
      </c>
      <c r="Q42" s="74">
        <f>Лист1!BD36</f>
        <v>860.9352799999999</v>
      </c>
      <c r="R42" s="74">
        <f>Лист1!BE36</f>
        <v>-2912.2400000000007</v>
      </c>
      <c r="S42" s="1"/>
      <c r="T42" s="1"/>
    </row>
    <row r="43" spans="1:20" ht="12.75">
      <c r="A43" s="11" t="s">
        <v>52</v>
      </c>
      <c r="B43" s="82">
        <f>Лист1!B37</f>
        <v>853.55</v>
      </c>
      <c r="C43" s="27">
        <f t="shared" si="5"/>
        <v>7383.2074999999995</v>
      </c>
      <c r="D43" s="28">
        <f>Лист1!D37</f>
        <v>3362.2775</v>
      </c>
      <c r="E43" s="14">
        <f>Лист1!S37</f>
        <v>4020.9300000000003</v>
      </c>
      <c r="F43" s="30">
        <f>Лист1!T37</f>
        <v>0</v>
      </c>
      <c r="G43" s="29">
        <f>Лист1!AB37</f>
        <v>2166.08</v>
      </c>
      <c r="H43" s="30">
        <f>Лист1!AC37</f>
        <v>5528.3575</v>
      </c>
      <c r="I43" s="139">
        <f>Лист1!AF37</f>
        <v>1397.3022799999999</v>
      </c>
      <c r="J43" s="29">
        <f>Лист1!AG37</f>
        <v>512.13</v>
      </c>
      <c r="K43" s="14">
        <f>Лист1!AI37+Лист1!AJ37</f>
        <v>853.55</v>
      </c>
      <c r="L43" s="14">
        <f>Лист1!AH37+Лист1!AK37+Лист1!AL37+Лист1!AM37+Лист1!AN37+Лист1!AO37+Лист1!AP37+Лист1!AQ37+Лист1!AR37</f>
        <v>2927.6765</v>
      </c>
      <c r="M43" s="31">
        <f>Лист1!AS37+Лист1!AT37+Лист1!AU37+Лист1!AZ37+Лист1!BA37</f>
        <v>56.403999999999996</v>
      </c>
      <c r="N43" s="31">
        <f>Лист1!AX37</f>
        <v>123.05999999999997</v>
      </c>
      <c r="O43" s="30">
        <f>Лист1!BB37</f>
        <v>4472.820500000001</v>
      </c>
      <c r="P43" s="137">
        <f>Лист1!BC37</f>
        <v>609.818</v>
      </c>
      <c r="Q43" s="74">
        <f>Лист1!BD37</f>
        <v>1843.0212799999993</v>
      </c>
      <c r="R43" s="74">
        <f>Лист1!BE37</f>
        <v>-1854.8500000000004</v>
      </c>
      <c r="S43" s="1"/>
      <c r="T43" s="1"/>
    </row>
    <row r="44" spans="1:20" ht="12.75">
      <c r="A44" s="11" t="s">
        <v>53</v>
      </c>
      <c r="B44" s="82">
        <f>Лист1!B38</f>
        <v>853.55</v>
      </c>
      <c r="C44" s="27">
        <f t="shared" si="5"/>
        <v>7383.2074999999995</v>
      </c>
      <c r="D44" s="28">
        <f>Лист1!D38</f>
        <v>3362.2775</v>
      </c>
      <c r="E44" s="14">
        <f>Лист1!S38</f>
        <v>4020.9300000000003</v>
      </c>
      <c r="F44" s="30">
        <f>Лист1!T38</f>
        <v>0</v>
      </c>
      <c r="G44" s="29">
        <f>Лист1!AB38</f>
        <v>2022.86</v>
      </c>
      <c r="H44" s="30">
        <f>Лист1!AC38</f>
        <v>5385.1375</v>
      </c>
      <c r="I44" s="139">
        <f>Лист1!AF38</f>
        <v>1397.3022799999999</v>
      </c>
      <c r="J44" s="29">
        <f>Лист1!AG38</f>
        <v>512.13</v>
      </c>
      <c r="K44" s="14">
        <f>Лист1!AI38+Лист1!AJ38</f>
        <v>853.55</v>
      </c>
      <c r="L44" s="14">
        <f>Лист1!AH38+Лист1!AK38+Лист1!AL38+Лист1!AM38+Лист1!AN38+Лист1!AO38+Лист1!AP38+Лист1!AQ38+Лист1!AR38</f>
        <v>2927.6765</v>
      </c>
      <c r="M44" s="31">
        <f>Лист1!AS38+Лист1!AT38+Лист1!AU38+Лист1!AZ38+Лист1!BA38</f>
        <v>0</v>
      </c>
      <c r="N44" s="31">
        <f>Лист1!AX38</f>
        <v>146.57999999999998</v>
      </c>
      <c r="O44" s="30">
        <f>Лист1!BB38</f>
        <v>4439.9365</v>
      </c>
      <c r="P44" s="137">
        <f>Лист1!BC38</f>
        <v>609.818</v>
      </c>
      <c r="Q44" s="74">
        <f>Лист1!BD38</f>
        <v>1732.68528</v>
      </c>
      <c r="R44" s="74">
        <f>Лист1!BE38</f>
        <v>-1998.0700000000004</v>
      </c>
      <c r="S44" s="1"/>
      <c r="T44" s="1"/>
    </row>
    <row r="45" spans="1:20" ht="12.75">
      <c r="A45" s="11" t="s">
        <v>41</v>
      </c>
      <c r="B45" s="82">
        <f>Лист1!B39</f>
        <v>853.55</v>
      </c>
      <c r="C45" s="27">
        <f>B45*8.65</f>
        <v>7383.2074999999995</v>
      </c>
      <c r="D45" s="28">
        <f>Лист1!D39</f>
        <v>3362.2775</v>
      </c>
      <c r="E45" s="14">
        <f>Лист1!S39</f>
        <v>4020.9300000000003</v>
      </c>
      <c r="F45" s="30">
        <f>Лист1!T39</f>
        <v>0</v>
      </c>
      <c r="G45" s="29">
        <f>Лист1!AB39</f>
        <v>2027.7300000000002</v>
      </c>
      <c r="H45" s="30">
        <f>Лист1!AC39</f>
        <v>5390.007500000001</v>
      </c>
      <c r="I45" s="139">
        <f>Лист1!AF39</f>
        <v>1397.3022799999999</v>
      </c>
      <c r="J45" s="29">
        <f>Лист1!AG39</f>
        <v>512.13</v>
      </c>
      <c r="K45" s="14">
        <f>Лист1!AI39+Лист1!AJ39</f>
        <v>853.55</v>
      </c>
      <c r="L45" s="14">
        <f>Лист1!AH39+Лист1!AK39+Лист1!AL39+Лист1!AM39+Лист1!AN39+Лист1!AO39+Лист1!AP39+Лист1!AQ39+Лист1!AR39</f>
        <v>2927.6765</v>
      </c>
      <c r="M45" s="31">
        <f>Лист1!AS39+Лист1!AT39+Лист1!AU39+Лист1!AZ39+Лист1!BA39</f>
        <v>0</v>
      </c>
      <c r="N45" s="31">
        <f>Лист1!AX39</f>
        <v>178.5</v>
      </c>
      <c r="O45" s="30">
        <f>Лист1!BB39</f>
        <v>4471.8565</v>
      </c>
      <c r="P45" s="137">
        <f>Лист1!BC39</f>
        <v>609.818</v>
      </c>
      <c r="Q45" s="74">
        <f>Лист1!BD39</f>
        <v>1705.6352800000006</v>
      </c>
      <c r="R45" s="74">
        <f>Лист1!BE39</f>
        <v>-1993.2</v>
      </c>
      <c r="S45" s="1"/>
      <c r="T45" s="1"/>
    </row>
    <row r="46" spans="1:20" ht="12.75">
      <c r="A46" s="11" t="s">
        <v>42</v>
      </c>
      <c r="B46" s="82">
        <f>Лист1!B40</f>
        <v>853.55</v>
      </c>
      <c r="C46" s="27">
        <f t="shared" si="5"/>
        <v>7383.2074999999995</v>
      </c>
      <c r="D46" s="28">
        <f>Лист1!D40</f>
        <v>3362.2775</v>
      </c>
      <c r="E46" s="14">
        <f>Лист1!S40</f>
        <v>4020.9300000000003</v>
      </c>
      <c r="F46" s="30">
        <f>Лист1!T40</f>
        <v>0</v>
      </c>
      <c r="G46" s="29">
        <f>Лист1!AB40</f>
        <v>4568.32</v>
      </c>
      <c r="H46" s="30">
        <f>Лист1!AC40</f>
        <v>7930.5975</v>
      </c>
      <c r="I46" s="139">
        <f>Лист1!AF40</f>
        <v>1397.3022799999999</v>
      </c>
      <c r="J46" s="29">
        <f>Лист1!AG40</f>
        <v>512.13</v>
      </c>
      <c r="K46" s="14">
        <f>Лист1!AI40+Лист1!AJ40</f>
        <v>853.55</v>
      </c>
      <c r="L46" s="14">
        <f>Лист1!AH40+Лист1!AK40+Лист1!AL40+Лист1!AM40+Лист1!AN40+Лист1!AO40+Лист1!AP40+Лист1!AQ40+Лист1!AR40</f>
        <v>2927.6765</v>
      </c>
      <c r="M46" s="31">
        <f>Лист1!AS40+Лист1!AT40+Лист1!AU40+Лист1!AZ40+Лист1!BA40</f>
        <v>0</v>
      </c>
      <c r="N46" s="31">
        <f>Лист1!AX40</f>
        <v>197.39999999999998</v>
      </c>
      <c r="O46" s="30">
        <f>Лист1!BB40</f>
        <v>4490.7564999999995</v>
      </c>
      <c r="P46" s="137">
        <f>Лист1!BC40</f>
        <v>609.818</v>
      </c>
      <c r="Q46" s="74">
        <f>Лист1!BD40</f>
        <v>4227.32528</v>
      </c>
      <c r="R46" s="74">
        <f>Лист1!BE40</f>
        <v>547.3899999999994</v>
      </c>
      <c r="S46" s="1"/>
      <c r="T46" s="1"/>
    </row>
    <row r="47" spans="1:20" ht="13.5" thickBot="1">
      <c r="A47" s="32" t="s">
        <v>43</v>
      </c>
      <c r="B47" s="82">
        <f>Лист1!B41</f>
        <v>853.55</v>
      </c>
      <c r="C47" s="33">
        <f t="shared" si="5"/>
        <v>7383.2074999999995</v>
      </c>
      <c r="D47" s="28">
        <f>Лист1!D41</f>
        <v>3362.2775</v>
      </c>
      <c r="E47" s="14">
        <f>Лист1!S41</f>
        <v>4020.9300000000003</v>
      </c>
      <c r="F47" s="30">
        <f>Лист1!T41</f>
        <v>0</v>
      </c>
      <c r="G47" s="29">
        <f>Лист1!AB41</f>
        <v>2134.6</v>
      </c>
      <c r="H47" s="30">
        <f>Лист1!AC41</f>
        <v>5496.8775000000005</v>
      </c>
      <c r="I47" s="139">
        <f>Лист1!AF41</f>
        <v>1397.3022799999999</v>
      </c>
      <c r="J47" s="29">
        <f>Лист1!AG41</f>
        <v>512.13</v>
      </c>
      <c r="K47" s="14">
        <f>Лист1!AI41+Лист1!AJ41</f>
        <v>853.55</v>
      </c>
      <c r="L47" s="14">
        <f>Лист1!AH41+Лист1!AK41+Лист1!AL41+Лист1!AM41+Лист1!AN41+Лист1!AO41+Лист1!AP41+Лист1!AQ41+Лист1!AR41</f>
        <v>2927.6765</v>
      </c>
      <c r="M47" s="31">
        <f>Лист1!AS41+Лист1!AT41+Лист1!AU41+Лист1!AZ41+Лист1!BA41</f>
        <v>0</v>
      </c>
      <c r="N47" s="31">
        <f>Лист1!AX41</f>
        <v>215.87999999999997</v>
      </c>
      <c r="O47" s="30">
        <f>Лист1!BB41</f>
        <v>4509.2365</v>
      </c>
      <c r="P47" s="137">
        <f>Лист1!BC41</f>
        <v>609.818</v>
      </c>
      <c r="Q47" s="74">
        <f>Лист1!BD41</f>
        <v>1775.1252800000004</v>
      </c>
      <c r="R47" s="74">
        <f>Лист1!BE41</f>
        <v>-1886.3300000000004</v>
      </c>
      <c r="S47" s="1"/>
      <c r="T47" s="1"/>
    </row>
    <row r="48" spans="1:20" s="20" customFormat="1" ht="13.5" thickBot="1">
      <c r="A48" s="34" t="s">
        <v>5</v>
      </c>
      <c r="B48" s="35"/>
      <c r="C48" s="36">
        <f aca="true" t="shared" si="6" ref="C48:R48">SUM(C36:C47)</f>
        <v>88598.49</v>
      </c>
      <c r="D48" s="67">
        <f t="shared" si="6"/>
        <v>40350.2</v>
      </c>
      <c r="E48" s="36">
        <f t="shared" si="6"/>
        <v>46536.85</v>
      </c>
      <c r="F48" s="68">
        <f t="shared" si="6"/>
        <v>1711.44</v>
      </c>
      <c r="G48" s="67">
        <f t="shared" si="6"/>
        <v>25652.839999999997</v>
      </c>
      <c r="H48" s="68">
        <f t="shared" si="6"/>
        <v>67714.48</v>
      </c>
      <c r="I48" s="68">
        <f t="shared" si="6"/>
        <v>17472.93696</v>
      </c>
      <c r="J48" s="67">
        <f t="shared" si="6"/>
        <v>6145.56</v>
      </c>
      <c r="K48" s="36">
        <f t="shared" si="6"/>
        <v>10242.599999999999</v>
      </c>
      <c r="L48" s="36">
        <f t="shared" si="6"/>
        <v>35132.11800000001</v>
      </c>
      <c r="M48" s="36">
        <f t="shared" si="6"/>
        <v>13208.404</v>
      </c>
      <c r="N48" s="36">
        <f t="shared" si="6"/>
        <v>1847.9999999999998</v>
      </c>
      <c r="O48" s="68">
        <f t="shared" si="6"/>
        <v>66576.682</v>
      </c>
      <c r="P48" s="68">
        <f t="shared" si="6"/>
        <v>7317.816000000002</v>
      </c>
      <c r="Q48" s="75">
        <f t="shared" si="6"/>
        <v>11292.918960000003</v>
      </c>
      <c r="R48" s="75">
        <f t="shared" si="6"/>
        <v>-20884.010000000006</v>
      </c>
      <c r="S48" s="71"/>
      <c r="T48" s="71"/>
    </row>
    <row r="49" spans="1:20" ht="13.5" thickBot="1">
      <c r="A49" s="225" t="s">
        <v>70</v>
      </c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79"/>
      <c r="S49" s="1"/>
      <c r="T49" s="1"/>
    </row>
    <row r="50" spans="1:20" s="20" customFormat="1" ht="13.5" thickBot="1">
      <c r="A50" s="80" t="s">
        <v>54</v>
      </c>
      <c r="B50" s="38"/>
      <c r="C50" s="39">
        <f>C34+C48</f>
        <v>199346.6025</v>
      </c>
      <c r="D50" s="37">
        <f aca="true" t="shared" si="7" ref="D50:P50">D34+D48</f>
        <v>76288.801717825</v>
      </c>
      <c r="E50" s="38">
        <f t="shared" si="7"/>
        <v>94952.93</v>
      </c>
      <c r="F50" s="39">
        <f t="shared" si="7"/>
        <v>5489.659999999999</v>
      </c>
      <c r="G50" s="37">
        <f t="shared" si="7"/>
        <v>52980.59</v>
      </c>
      <c r="H50" s="39">
        <f t="shared" si="7"/>
        <v>134759.051717825</v>
      </c>
      <c r="I50" s="39">
        <f t="shared" si="7"/>
        <v>22017.4986</v>
      </c>
      <c r="J50" s="37">
        <f t="shared" si="7"/>
        <v>13622.658</v>
      </c>
      <c r="K50" s="38">
        <f t="shared" si="7"/>
        <v>22612.989756439496</v>
      </c>
      <c r="L50" s="38">
        <f t="shared" si="7"/>
        <v>77579.14076135511</v>
      </c>
      <c r="M50" s="38">
        <f t="shared" si="7"/>
        <v>36284.1636</v>
      </c>
      <c r="N50" s="38">
        <f t="shared" si="7"/>
        <v>3592.5119999999997</v>
      </c>
      <c r="O50" s="78">
        <f t="shared" si="7"/>
        <v>153691.4641177946</v>
      </c>
      <c r="P50" s="78">
        <f t="shared" si="7"/>
        <v>9148.582076000002</v>
      </c>
      <c r="Q50" s="77">
        <f>Q34+Q48</f>
        <v>-6063.495875969587</v>
      </c>
      <c r="R50" s="77">
        <f>R34+R48</f>
        <v>-41972.34000000001</v>
      </c>
      <c r="S50" s="72"/>
      <c r="T50" s="71"/>
    </row>
    <row r="53" spans="1:20" ht="12.75">
      <c r="A53" s="20" t="s">
        <v>90</v>
      </c>
      <c r="D53" s="83" t="s">
        <v>92</v>
      </c>
      <c r="S53" s="1"/>
      <c r="T53" s="1"/>
    </row>
    <row r="54" spans="1:20" ht="12.75">
      <c r="A54" s="21" t="s">
        <v>71</v>
      </c>
      <c r="B54" s="21" t="s">
        <v>72</v>
      </c>
      <c r="C54" s="229" t="s">
        <v>73</v>
      </c>
      <c r="D54" s="229"/>
      <c r="S54" s="1"/>
      <c r="T54" s="1"/>
    </row>
    <row r="55" spans="1:20" ht="12.75">
      <c r="A55" s="124">
        <v>0</v>
      </c>
      <c r="B55" s="124">
        <v>0</v>
      </c>
      <c r="C55" s="227">
        <f>A55-B55</f>
        <v>0</v>
      </c>
      <c r="D55" s="228"/>
      <c r="S55" s="1"/>
      <c r="T55" s="1"/>
    </row>
    <row r="56" spans="1:20" ht="12.75">
      <c r="A56" s="46"/>
      <c r="S56" s="1"/>
      <c r="T56" s="1"/>
    </row>
    <row r="57" spans="1:20" ht="12.75">
      <c r="A57" s="2" t="s">
        <v>76</v>
      </c>
      <c r="G57" s="2" t="s">
        <v>77</v>
      </c>
      <c r="S57" s="1"/>
      <c r="T57" s="1"/>
    </row>
    <row r="58" ht="12.75">
      <c r="A58" s="1"/>
    </row>
    <row r="59" ht="12.75">
      <c r="A59" s="1"/>
    </row>
    <row r="60" ht="12.75">
      <c r="A60" s="2" t="s">
        <v>87</v>
      </c>
    </row>
    <row r="61" ht="12.75">
      <c r="A61" s="2" t="s">
        <v>78</v>
      </c>
    </row>
  </sheetData>
  <sheetProtection/>
  <mergeCells count="29">
    <mergeCell ref="A49:Q49"/>
    <mergeCell ref="C55:D55"/>
    <mergeCell ref="O11:O12"/>
    <mergeCell ref="A33:Q33"/>
    <mergeCell ref="C54:D54"/>
    <mergeCell ref="Q9:Q12"/>
    <mergeCell ref="A9:A12"/>
    <mergeCell ref="B9:B12"/>
    <mergeCell ref="C9:C12"/>
    <mergeCell ref="D9:D12"/>
    <mergeCell ref="R9:R12"/>
    <mergeCell ref="E11:F11"/>
    <mergeCell ref="H11:H12"/>
    <mergeCell ref="J11:J12"/>
    <mergeCell ref="K11:K12"/>
    <mergeCell ref="L11:L12"/>
    <mergeCell ref="M11:M12"/>
    <mergeCell ref="N11:N12"/>
    <mergeCell ref="E9:F10"/>
    <mergeCell ref="G9:H10"/>
    <mergeCell ref="P9:P12"/>
    <mergeCell ref="I9:I12"/>
    <mergeCell ref="B1:H1"/>
    <mergeCell ref="B2:H2"/>
    <mergeCell ref="A8:D8"/>
    <mergeCell ref="E8:F8"/>
    <mergeCell ref="A5:Q5"/>
    <mergeCell ref="A6:G6"/>
    <mergeCell ref="J9:O10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User</cp:lastModifiedBy>
  <cp:lastPrinted>2010-08-17T10:50:12Z</cp:lastPrinted>
  <dcterms:created xsi:type="dcterms:W3CDTF">2010-04-02T05:03:24Z</dcterms:created>
  <dcterms:modified xsi:type="dcterms:W3CDTF">2011-04-12T03:44:25Z</dcterms:modified>
  <cp:category/>
  <cp:version/>
  <cp:contentType/>
  <cp:contentStatus/>
</cp:coreProperties>
</file>