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<sst xmlns="http://schemas.openxmlformats.org/spreadsheetml/2006/main" count="301" uniqueCount="127">
  <si>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</si>
  <si>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</si>
  <si>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</si>
  <si>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</si>
  <si>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</si>
  <si>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</si>
  <si>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</si>
  <si>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</si>
  <si>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</si>
  <si>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</si>
  <si>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</si>
  <si>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</si>
  <si>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</si>
  <si>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</si>
  <si>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</si>
  <si>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</si>
  <si>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</si>
  <si>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</si>
  <si>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</si>
  <si>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</si>
  <si>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</si>
  <si>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</si>
  <si>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</si>
  <si>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</si>
  <si>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</si>
  <si>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</si>
  <si>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</si>
  <si>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</si>
  <si>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</si>
  <si>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</si>
  <si>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</si>
  <si>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</si>
  <si>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</si>
  <si>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</si>
  <si>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</si>
  <si>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</si>
  <si>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</si>
  <si>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</si>
  <si>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</si>
  <si>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</si>
  <si>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</si>
  <si>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</si>
  <si>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</si>
  <si>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</si>
  <si>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</si>
  <si>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</si>
  <si>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</si>
  <si>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</si>
  <si>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</si>
  <si>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</si>
  <si>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</si>
  <si>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</si>
  <si>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</si>
  <si>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</si>
  <si>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</si>
  <si>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</si>
  <si>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</si>
  <si>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</si>
  <si>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</si>
  <si>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</si>
  <si>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</si>
  <si>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</si>
  <si>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</si>
  <si>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</si>
  <si>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</si>
  <si>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</si>
  <si>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</si>
  <si>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</si>
  <si>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</si>
  <si>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</si>
  <si>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</si>
  <si>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</si>
  <si>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</si>
  <si>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</si>
  <si>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</si>
  <si>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Юбилейная, д. 11</t>
  </si>
  <si>
    <t>Выписка по лицевому счету по адресу г. Таштагол, ул. Юбилейная, д. 11</t>
  </si>
  <si>
    <t>Социаьный найм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</si>
  <si>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</si>
  <si>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</si>
  <si>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</si>
  <si>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</si>
  <si>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</si>
  <si>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</si>
  <si>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</si>
  <si>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</si>
  <si>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</si>
  <si>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</si>
  <si>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</si>
  <si>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</si>
  <si>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</si>
  <si>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</si>
  <si>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</si>
  <si>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</si>
  <si>
    <t>на начало отчетного периода</t>
  </si>
  <si>
    <t>Исп. Ю.С. Дмитриева</t>
  </si>
  <si>
    <t>Лицевой счет по адресу г. Таштагол, ул. Юбилейная, д. 10</t>
  </si>
  <si>
    <t>№ п/п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</si>
  <si>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</si>
  <si>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</si>
  <si>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</si>
  <si>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</si>
  <si>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</si>
  <si>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</si>
  <si>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</si>
  <si>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</si>
  <si>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</si>
  <si>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</si>
  <si>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</si>
  <si>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</si>
  <si>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</si>
  <si>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</si>
  <si>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</si>
  <si>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</si>
  <si>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</si>
  <si>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</si>
  <si>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</si>
  <si>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</si>
  <si>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</si>
  <si>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Собрано квартплаты от населения</t>
  </si>
  <si>
    <t>Услуга начисления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</si>
  <si>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</si>
  <si>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</si>
  <si>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</si>
  <si>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Юбилейная, д. 11</t>
  </si>
  <si>
    <t>Социальный найм</t>
  </si>
  <si>
    <t>Тариф по содержанию и тек.ремонту 100 % (14,05 руб.*площадь)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</si>
</sst>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4" fontId="2" fillId="0" borderId="35" xfId="34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26" xfId="34" applyNumberFormat="1" applyFont="1" applyFill="1" applyBorder="1" applyAlignment="1">
      <alignment horizontal="right" vertical="center" wrapText="1"/>
      <protection/>
    </xf>
    <xf numFmtId="4" fontId="7" fillId="0" borderId="27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7" fillId="0" borderId="37" xfId="34" applyNumberFormat="1" applyFont="1" applyFill="1" applyBorder="1" applyAlignment="1">
      <alignment horizontal="right" vertical="center" wrapText="1"/>
      <protection/>
    </xf>
    <xf numFmtId="4" fontId="7" fillId="0" borderId="36" xfId="34" applyNumberFormat="1" applyFont="1" applyFill="1" applyBorder="1" applyAlignment="1">
      <alignment horizontal="right" vertical="center" wrapText="1"/>
      <protection/>
    </xf>
    <xf numFmtId="4" fontId="0" fillId="0" borderId="3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8" borderId="4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44" xfId="0" applyNumberFormat="1" applyFont="1" applyFill="1" applyBorder="1" applyAlignment="1">
      <alignment horizontal="right"/>
    </xf>
    <xf numFmtId="4" fontId="0" fillId="38" borderId="45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11" fillId="0" borderId="32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2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2" fillId="39" borderId="11" xfId="3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49" xfId="0" applyNumberFormat="1" applyFont="1" applyFill="1" applyBorder="1" applyAlignment="1">
      <alignment horizontal="center" vertical="center" wrapText="1"/>
    </xf>
    <xf numFmtId="2" fontId="1" fillId="35" borderId="50" xfId="0" applyNumberFormat="1" applyFont="1" applyFill="1" applyBorder="1" applyAlignment="1">
      <alignment horizontal="center" vertical="center" wrapText="1"/>
    </xf>
    <xf numFmtId="2" fontId="1" fillId="35" borderId="4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34" borderId="50" xfId="0" applyNumberFormat="1" applyFont="1" applyFill="1" applyBorder="1" applyAlignment="1">
      <alignment horizontal="center" vertical="center" wrapText="1"/>
    </xf>
    <xf numFmtId="4" fontId="1" fillId="34" borderId="40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textRotation="90"/>
    </xf>
    <xf numFmtId="0" fontId="0" fillId="0" borderId="5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8" fillId="34" borderId="50" xfId="0" applyNumberFormat="1" applyFont="1" applyFill="1" applyBorder="1" applyAlignment="1">
      <alignment horizontal="center" vertical="center" wrapText="1"/>
    </xf>
    <xf numFmtId="2" fontId="8" fillId="34" borderId="40" xfId="0" applyNumberFormat="1" applyFont="1" applyFill="1" applyBorder="1" applyAlignment="1">
      <alignment horizontal="center" vertical="center" wrapText="1"/>
    </xf>
    <xf numFmtId="2" fontId="8" fillId="34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textRotation="90"/>
    </xf>
    <xf numFmtId="0" fontId="1" fillId="36" borderId="40" xfId="0" applyFont="1" applyFill="1" applyBorder="1" applyAlignment="1">
      <alignment horizontal="center" textRotation="90"/>
    </xf>
    <xf numFmtId="0" fontId="1" fillId="38" borderId="50" xfId="0" applyFont="1" applyFill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9" fillId="0" borderId="50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3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2" fontId="8" fillId="0" borderId="5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36" borderId="41" xfId="0" applyFont="1" applyFill="1" applyBorder="1" applyAlignment="1">
      <alignment horizontal="center" textRotation="90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7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40" borderId="32" xfId="0" applyNumberFormat="1" applyFont="1" applyFill="1" applyBorder="1" applyAlignment="1">
      <alignment/>
    </xf>
    <xf numFmtId="4" fontId="0" fillId="40" borderId="0" xfId="0" applyNumberFormat="1" applyFont="1" applyFill="1" applyBorder="1" applyAlignment="1">
      <alignment/>
    </xf>
    <xf numFmtId="4" fontId="11" fillId="40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73" xfId="0" applyNumberFormat="1" applyFont="1" applyFill="1" applyBorder="1" applyAlignment="1">
      <alignment/>
    </xf>
    <xf numFmtId="4" fontId="11" fillId="37" borderId="3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4" fontId="29" fillId="0" borderId="3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74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0" fillId="0" borderId="74" xfId="0" applyNumberFormat="1" applyFont="1" applyFill="1" applyBorder="1" applyAlignment="1">
      <alignment horizontal="center"/>
    </xf>
    <xf numFmtId="4" fontId="0" fillId="36" borderId="33" xfId="0" applyNumberFormat="1" applyFont="1" applyFill="1" applyBorder="1" applyAlignment="1">
      <alignment horizontal="center"/>
    </xf>
    <xf numFmtId="4" fontId="0" fillId="0" borderId="75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36" borderId="33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44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2" fontId="11" fillId="34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4" fontId="1" fillId="0" borderId="61" xfId="0" applyNumberFormat="1" applyFont="1" applyFill="1" applyBorder="1" applyAlignment="1">
      <alignment horizontal="right"/>
    </xf>
    <xf numFmtId="4" fontId="0" fillId="34" borderId="75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0" fontId="0" fillId="40" borderId="0" xfId="0" applyFont="1" applyFill="1" applyAlignment="1">
      <alignment/>
    </xf>
    <xf numFmtId="4" fontId="2" fillId="34" borderId="75" xfId="0" applyNumberFormat="1" applyFont="1" applyFill="1" applyBorder="1" applyAlignment="1">
      <alignment horizontal="right" wrapText="1"/>
    </xf>
    <xf numFmtId="4" fontId="0" fillId="40" borderId="6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63" xfId="0" applyFont="1" applyFill="1" applyBorder="1" applyAlignment="1">
      <alignment horizontal="right" vertical="center" wrapText="1"/>
    </xf>
    <xf numFmtId="4" fontId="1" fillId="0" borderId="27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49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1" fillId="0" borderId="7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56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76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wrapText="1"/>
    </xf>
    <xf numFmtId="4" fontId="2" fillId="0" borderId="25" xfId="34" applyNumberFormat="1" applyFont="1" applyFill="1" applyBorder="1" applyAlignment="1">
      <alignment horizontal="right" vertical="center" wrapText="1"/>
      <protection/>
    </xf>
    <xf numFmtId="4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55" xfId="0" applyFont="1" applyFill="1" applyBorder="1" applyAlignment="1">
      <alignment horizontal="left"/>
    </xf>
    <xf numFmtId="4" fontId="1" fillId="0" borderId="49" xfId="0" applyNumberFormat="1" applyFont="1" applyFill="1" applyBorder="1" applyAlignment="1">
      <alignment horizontal="right"/>
    </xf>
    <xf numFmtId="4" fontId="1" fillId="0" borderId="7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11" fillId="0" borderId="15" xfId="0" applyNumberFormat="1" applyFont="1" applyFill="1" applyBorder="1" applyAlignment="1">
      <alignment horizontal="center" wrapText="1"/>
    </xf>
    <xf numFmtId="4" fontId="31" fillId="0" borderId="20" xfId="34" applyNumberFormat="1" applyFont="1" applyFill="1" applyBorder="1" applyAlignment="1">
      <alignment horizontal="center" vertical="center" wrapText="1"/>
      <protection/>
    </xf>
    <xf numFmtId="2" fontId="11" fillId="34" borderId="11" xfId="0" applyNumberFormat="1" applyFont="1" applyFill="1" applyBorder="1" applyAlignment="1">
      <alignment horizontal="center"/>
    </xf>
    <xf numFmtId="0" fontId="31" fillId="0" borderId="20" xfId="0" applyFont="1" applyBorder="1" applyAlignment="1">
      <alignment wrapText="1"/>
    </xf>
    <xf numFmtId="0" fontId="31" fillId="36" borderId="33" xfId="0" applyFont="1" applyFill="1" applyBorder="1" applyAlignment="1">
      <alignment/>
    </xf>
    <xf numFmtId="0" fontId="31" fillId="0" borderId="11" xfId="0" applyFont="1" applyBorder="1" applyAlignment="1">
      <alignment wrapText="1"/>
    </xf>
    <xf numFmtId="0" fontId="31" fillId="0" borderId="31" xfId="0" applyFont="1" applyBorder="1" applyAlignment="1">
      <alignment wrapText="1"/>
    </xf>
    <xf numFmtId="4" fontId="11" fillId="34" borderId="11" xfId="0" applyNumberFormat="1" applyFont="1" applyFill="1" applyBorder="1" applyAlignment="1">
      <alignment horizontal="center"/>
    </xf>
    <xf numFmtId="0" fontId="11" fillId="37" borderId="11" xfId="0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31" fillId="0" borderId="32" xfId="0" applyFont="1" applyBorder="1" applyAlignment="1">
      <alignment wrapText="1"/>
    </xf>
    <xf numFmtId="0" fontId="31" fillId="0" borderId="46" xfId="0" applyFont="1" applyBorder="1" applyAlignment="1">
      <alignment wrapText="1"/>
    </xf>
    <xf numFmtId="0" fontId="31" fillId="36" borderId="15" xfId="0" applyFont="1" applyFill="1" applyBorder="1" applyAlignment="1">
      <alignment/>
    </xf>
    <xf numFmtId="4" fontId="0" fillId="37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70;&#1073;&#1080;&#1083;&#1077;&#1081;&#1085;&#1072;&#1103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70;&#1073;&#1080;&#1083;&#1077;&#1081;&#1085;&#1072;&#1103;,%201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4%20&#1089;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</sheetNames>
    <sheetDataSet>
      <sheetData sheetId="0">
        <row r="44">
          <cell r="AO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Q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1" topLeftCell="I1" activePane="topRight" state="frozen"/>
      <selection pane="topLeft" activeCell="A3" sqref="A3"/>
      <selection pane="topRight"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4" width="9.25390625" style="2" bestFit="1" customWidth="1"/>
    <col min="35" max="35" width="8.125" style="2" bestFit="1" customWidth="1"/>
    <col min="36" max="36" width="9.25390625" style="2" bestFit="1" customWidth="1"/>
    <col min="37" max="37" width="8.125" style="2" bestFit="1" customWidth="1"/>
    <col min="38" max="38" width="10.125" style="2" bestFit="1" customWidth="1"/>
    <col min="39" max="39" width="8.125" style="2" bestFit="1" customWidth="1"/>
    <col min="40" max="40" width="9.25390625" style="2" bestFit="1" customWidth="1"/>
    <col min="41" max="41" width="4.875" style="2" bestFit="1" customWidth="1"/>
    <col min="42" max="42" width="10.125" style="2" bestFit="1" customWidth="1"/>
    <col min="43" max="43" width="9.875" style="2" customWidth="1"/>
    <col min="44" max="44" width="10.625" style="2" customWidth="1"/>
    <col min="45" max="46" width="9.375" style="2" customWidth="1"/>
    <col min="47" max="47" width="9.75390625" style="2" customWidth="1"/>
    <col min="48" max="48" width="10.375" style="2" customWidth="1"/>
    <col min="49" max="49" width="10.75390625" style="2" customWidth="1"/>
    <col min="50" max="50" width="10.00390625" style="2" customWidth="1"/>
    <col min="51" max="53" width="9.125" style="2" customWidth="1"/>
    <col min="54" max="54" width="10.25390625" style="2" customWidth="1"/>
    <col min="55" max="55" width="9.125" style="2" customWidth="1"/>
    <col min="56" max="56" width="10.625" style="2" customWidth="1"/>
    <col min="57" max="57" width="10.375" style="2" customWidth="1"/>
    <col min="58" max="58" width="10.125" style="2" customWidth="1"/>
    <col min="59" max="16384" width="9.125" style="2" customWidth="1"/>
  </cols>
  <sheetData>
    <row r="1" spans="1:18" ht="12.75">
      <c r="A1" s="216" t="s">
        <v>75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17" t="s">
        <v>78</v>
      </c>
      <c r="B3" s="219" t="s">
        <v>0</v>
      </c>
      <c r="C3" s="221" t="s">
        <v>1</v>
      </c>
      <c r="D3" s="223" t="s">
        <v>2</v>
      </c>
      <c r="E3" s="217" t="s">
        <v>11</v>
      </c>
      <c r="F3" s="227"/>
      <c r="G3" s="217" t="s">
        <v>12</v>
      </c>
      <c r="H3" s="230"/>
      <c r="I3" s="217" t="s">
        <v>13</v>
      </c>
      <c r="J3" s="230"/>
      <c r="K3" s="217" t="s">
        <v>14</v>
      </c>
      <c r="L3" s="230"/>
      <c r="M3" s="233" t="s">
        <v>15</v>
      </c>
      <c r="N3" s="230"/>
      <c r="O3" s="217" t="s">
        <v>16</v>
      </c>
      <c r="P3" s="230"/>
      <c r="Q3" s="217" t="s">
        <v>17</v>
      </c>
      <c r="R3" s="230"/>
      <c r="S3" s="217" t="s">
        <v>3</v>
      </c>
      <c r="T3" s="233"/>
      <c r="U3" s="240" t="s">
        <v>4</v>
      </c>
      <c r="V3" s="241"/>
      <c r="W3" s="241"/>
      <c r="X3" s="241"/>
      <c r="Y3" s="241"/>
      <c r="Z3" s="241"/>
      <c r="AA3" s="241"/>
      <c r="AB3" s="241"/>
      <c r="AC3" s="244" t="s">
        <v>79</v>
      </c>
      <c r="AD3" s="209" t="s">
        <v>6</v>
      </c>
      <c r="AE3" s="209" t="s">
        <v>7</v>
      </c>
      <c r="AF3" s="236" t="s">
        <v>80</v>
      </c>
      <c r="AG3" s="261" t="s">
        <v>8</v>
      </c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3"/>
      <c r="BC3" s="256" t="s">
        <v>81</v>
      </c>
      <c r="BD3" s="258"/>
      <c r="BE3" s="249" t="s">
        <v>9</v>
      </c>
      <c r="BF3" s="249" t="s">
        <v>10</v>
      </c>
    </row>
    <row r="4" spans="1:58" ht="36" customHeight="1" thickBot="1">
      <c r="A4" s="218"/>
      <c r="B4" s="220"/>
      <c r="C4" s="222"/>
      <c r="D4" s="224"/>
      <c r="E4" s="228"/>
      <c r="F4" s="229"/>
      <c r="G4" s="231"/>
      <c r="H4" s="232"/>
      <c r="I4" s="231"/>
      <c r="J4" s="232"/>
      <c r="K4" s="231"/>
      <c r="L4" s="232"/>
      <c r="M4" s="234"/>
      <c r="N4" s="235"/>
      <c r="O4" s="231"/>
      <c r="P4" s="232"/>
      <c r="Q4" s="231"/>
      <c r="R4" s="232"/>
      <c r="S4" s="231"/>
      <c r="T4" s="239"/>
      <c r="U4" s="242"/>
      <c r="V4" s="243"/>
      <c r="W4" s="243"/>
      <c r="X4" s="243"/>
      <c r="Y4" s="243"/>
      <c r="Z4" s="243"/>
      <c r="AA4" s="243"/>
      <c r="AB4" s="243"/>
      <c r="AC4" s="245"/>
      <c r="AD4" s="210"/>
      <c r="AE4" s="210"/>
      <c r="AF4" s="237"/>
      <c r="AG4" s="208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5"/>
      <c r="BC4" s="252" t="s">
        <v>82</v>
      </c>
      <c r="BD4" s="255" t="s">
        <v>83</v>
      </c>
      <c r="BE4" s="250"/>
      <c r="BF4" s="250"/>
    </row>
    <row r="5" spans="1:58" ht="29.25" customHeight="1" thickBot="1">
      <c r="A5" s="218"/>
      <c r="B5" s="220"/>
      <c r="C5" s="222"/>
      <c r="D5" s="224"/>
      <c r="E5" s="225" t="s">
        <v>18</v>
      </c>
      <c r="F5" s="212" t="s">
        <v>19</v>
      </c>
      <c r="G5" s="212" t="s">
        <v>18</v>
      </c>
      <c r="H5" s="212" t="s">
        <v>19</v>
      </c>
      <c r="I5" s="212" t="s">
        <v>18</v>
      </c>
      <c r="J5" s="212" t="s">
        <v>19</v>
      </c>
      <c r="K5" s="212" t="s">
        <v>18</v>
      </c>
      <c r="L5" s="212" t="s">
        <v>19</v>
      </c>
      <c r="M5" s="212" t="s">
        <v>18</v>
      </c>
      <c r="N5" s="212" t="s">
        <v>19</v>
      </c>
      <c r="O5" s="212" t="s">
        <v>18</v>
      </c>
      <c r="P5" s="212" t="s">
        <v>19</v>
      </c>
      <c r="Q5" s="212" t="s">
        <v>18</v>
      </c>
      <c r="R5" s="212" t="s">
        <v>19</v>
      </c>
      <c r="S5" s="212" t="s">
        <v>18</v>
      </c>
      <c r="T5" s="247" t="s">
        <v>19</v>
      </c>
      <c r="U5" s="214" t="s">
        <v>20</v>
      </c>
      <c r="V5" s="214" t="s">
        <v>21</v>
      </c>
      <c r="W5" s="214" t="s">
        <v>22</v>
      </c>
      <c r="X5" s="214" t="s">
        <v>23</v>
      </c>
      <c r="Y5" s="214" t="s">
        <v>24</v>
      </c>
      <c r="Z5" s="214" t="s">
        <v>25</v>
      </c>
      <c r="AA5" s="214" t="s">
        <v>26</v>
      </c>
      <c r="AB5" s="207" t="s">
        <v>27</v>
      </c>
      <c r="AC5" s="245"/>
      <c r="AD5" s="210"/>
      <c r="AE5" s="210"/>
      <c r="AF5" s="237"/>
      <c r="AG5" s="266" t="s">
        <v>28</v>
      </c>
      <c r="AH5" s="268" t="s">
        <v>29</v>
      </c>
      <c r="AI5" s="268" t="s">
        <v>30</v>
      </c>
      <c r="AJ5" s="201" t="s">
        <v>31</v>
      </c>
      <c r="AK5" s="268" t="s">
        <v>32</v>
      </c>
      <c r="AL5" s="201" t="s">
        <v>31</v>
      </c>
      <c r="AM5" s="201" t="s">
        <v>33</v>
      </c>
      <c r="AN5" s="201" t="s">
        <v>31</v>
      </c>
      <c r="AO5" s="201" t="s">
        <v>34</v>
      </c>
      <c r="AP5" s="201" t="s">
        <v>31</v>
      </c>
      <c r="AQ5" s="203" t="s">
        <v>84</v>
      </c>
      <c r="AR5" s="205" t="s">
        <v>31</v>
      </c>
      <c r="AS5" s="270" t="s">
        <v>85</v>
      </c>
      <c r="AT5" s="270" t="s">
        <v>86</v>
      </c>
      <c r="AU5" s="113" t="s">
        <v>31</v>
      </c>
      <c r="AV5" s="256" t="s">
        <v>87</v>
      </c>
      <c r="AW5" s="257"/>
      <c r="AX5" s="258"/>
      <c r="AY5" s="259" t="s">
        <v>17</v>
      </c>
      <c r="AZ5" s="255" t="s">
        <v>36</v>
      </c>
      <c r="BA5" s="255" t="s">
        <v>31</v>
      </c>
      <c r="BB5" s="255" t="s">
        <v>37</v>
      </c>
      <c r="BC5" s="253"/>
      <c r="BD5" s="201"/>
      <c r="BE5" s="250"/>
      <c r="BF5" s="250"/>
    </row>
    <row r="6" spans="1:58" ht="54" customHeight="1" thickBot="1">
      <c r="A6" s="218"/>
      <c r="B6" s="220"/>
      <c r="C6" s="222"/>
      <c r="D6" s="224"/>
      <c r="E6" s="226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48"/>
      <c r="U6" s="215"/>
      <c r="V6" s="215"/>
      <c r="W6" s="215"/>
      <c r="X6" s="215"/>
      <c r="Y6" s="215"/>
      <c r="Z6" s="215"/>
      <c r="AA6" s="215"/>
      <c r="AB6" s="208"/>
      <c r="AC6" s="246"/>
      <c r="AD6" s="211"/>
      <c r="AE6" s="211"/>
      <c r="AF6" s="238"/>
      <c r="AG6" s="267"/>
      <c r="AH6" s="269"/>
      <c r="AI6" s="269"/>
      <c r="AJ6" s="202"/>
      <c r="AK6" s="269"/>
      <c r="AL6" s="202"/>
      <c r="AM6" s="202"/>
      <c r="AN6" s="202"/>
      <c r="AO6" s="202"/>
      <c r="AP6" s="202"/>
      <c r="AQ6" s="204"/>
      <c r="AR6" s="206"/>
      <c r="AS6" s="271"/>
      <c r="AT6" s="271"/>
      <c r="AU6" s="115"/>
      <c r="AV6" s="114" t="s">
        <v>88</v>
      </c>
      <c r="AW6" s="114" t="s">
        <v>89</v>
      </c>
      <c r="AX6" s="114" t="s">
        <v>90</v>
      </c>
      <c r="AY6" s="260"/>
      <c r="AZ6" s="202"/>
      <c r="BA6" s="202"/>
      <c r="BB6" s="202"/>
      <c r="BC6" s="254"/>
      <c r="BD6" s="202"/>
      <c r="BE6" s="251"/>
      <c r="BF6" s="251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16">
        <v>43</v>
      </c>
      <c r="AR7" s="117">
        <v>44</v>
      </c>
      <c r="AS7" s="118">
        <v>45</v>
      </c>
      <c r="AT7" s="10">
        <v>46</v>
      </c>
      <c r="AU7" s="11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19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20"/>
      <c r="AR8" s="120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19"/>
    </row>
    <row r="9" spans="1:58" s="137" customFormat="1" ht="12.75" hidden="1">
      <c r="A9" s="121" t="s">
        <v>39</v>
      </c>
      <c r="B9" s="93">
        <v>902.3</v>
      </c>
      <c r="C9" s="122">
        <f>B9*8.65</f>
        <v>7804.8949999999995</v>
      </c>
      <c r="D9" s="123">
        <f>C9*0.24088</f>
        <v>1880.0431076</v>
      </c>
      <c r="E9" s="103">
        <v>686.03</v>
      </c>
      <c r="F9" s="103">
        <v>69.03</v>
      </c>
      <c r="G9" s="103">
        <v>926.18</v>
      </c>
      <c r="H9" s="103">
        <v>93.18</v>
      </c>
      <c r="I9" s="103">
        <v>2229.62</v>
      </c>
      <c r="J9" s="103">
        <v>224.34</v>
      </c>
      <c r="K9" s="103">
        <v>1543.58</v>
      </c>
      <c r="L9" s="103">
        <v>155.31</v>
      </c>
      <c r="M9" s="103">
        <v>548.83</v>
      </c>
      <c r="N9" s="103">
        <v>55.22</v>
      </c>
      <c r="O9" s="103">
        <v>0</v>
      </c>
      <c r="P9" s="103">
        <v>0</v>
      </c>
      <c r="Q9" s="103">
        <v>0</v>
      </c>
      <c r="R9" s="103">
        <v>0</v>
      </c>
      <c r="S9" s="94">
        <f>E9+G9+I9+K9+M9+O9+Q9</f>
        <v>5934.24</v>
      </c>
      <c r="T9" s="124">
        <f>P9+N9+L9+J9+H9+F9+R9</f>
        <v>597.0799999999999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125">
        <v>0</v>
      </c>
      <c r="AA9" s="125">
        <v>0</v>
      </c>
      <c r="AB9" s="125">
        <f>SUM(U9:AA9)</f>
        <v>0</v>
      </c>
      <c r="AC9" s="126">
        <f>D9+T9+AB9</f>
        <v>2477.1231076</v>
      </c>
      <c r="AD9" s="127">
        <f>P9+Z9</f>
        <v>0</v>
      </c>
      <c r="AE9" s="128">
        <f>R9+AA9</f>
        <v>0</v>
      </c>
      <c r="AF9" s="128"/>
      <c r="AG9" s="25">
        <f>0.6*B9</f>
        <v>541.38</v>
      </c>
      <c r="AH9" s="25">
        <f>B9*0.2*1.05826</f>
        <v>190.9735996</v>
      </c>
      <c r="AI9" s="25">
        <f>0.8518*B9</f>
        <v>768.5791399999999</v>
      </c>
      <c r="AJ9" s="25">
        <f>AI9*0.18</f>
        <v>138.3442452</v>
      </c>
      <c r="AK9" s="25">
        <f>1.04*B9*0.9531</f>
        <v>894.3814151999999</v>
      </c>
      <c r="AL9" s="25">
        <f>AK9*0.18</f>
        <v>160.98865473599997</v>
      </c>
      <c r="AM9" s="25">
        <f>(1.91)*B9*0.9531</f>
        <v>1642.5658682999997</v>
      </c>
      <c r="AN9" s="25">
        <f>AM9*0.18</f>
        <v>295.66185629399996</v>
      </c>
      <c r="AO9" s="25"/>
      <c r="AP9" s="25">
        <f>AO9*0.18</f>
        <v>0</v>
      </c>
      <c r="AQ9" s="129"/>
      <c r="AR9" s="129"/>
      <c r="AS9" s="96"/>
      <c r="AT9" s="96"/>
      <c r="AU9" s="96">
        <f>(AS9+AT9)*0.18</f>
        <v>0</v>
      </c>
      <c r="AV9" s="130"/>
      <c r="AW9" s="131"/>
      <c r="AX9" s="25">
        <f>AV9*AW9*1.12*1.18</f>
        <v>0</v>
      </c>
      <c r="AY9" s="132"/>
      <c r="AZ9" s="133"/>
      <c r="BA9" s="133">
        <f>AZ9*0.18</f>
        <v>0</v>
      </c>
      <c r="BB9" s="133">
        <f>SUM(AG9:BA9)-AV9-AW9</f>
        <v>4632.87477933</v>
      </c>
      <c r="BC9" s="134"/>
      <c r="BD9" s="18">
        <f>BB9-(AF9-BC9)</f>
        <v>4632.87477933</v>
      </c>
      <c r="BE9" s="135">
        <f>AC9-BB9</f>
        <v>-2155.75167173</v>
      </c>
      <c r="BF9" s="136">
        <f>AB9-S9</f>
        <v>-5934.24</v>
      </c>
    </row>
    <row r="10" spans="1:58" ht="12.75" hidden="1">
      <c r="A10" s="14" t="s">
        <v>40</v>
      </c>
      <c r="B10" s="93">
        <v>902.3</v>
      </c>
      <c r="C10" s="122">
        <f>B10*8.65</f>
        <v>7804.8949999999995</v>
      </c>
      <c r="D10" s="123">
        <f>C10*0.24088</f>
        <v>1880.0431076</v>
      </c>
      <c r="E10" s="103">
        <v>-0.52</v>
      </c>
      <c r="F10" s="103">
        <v>-0.01</v>
      </c>
      <c r="G10" s="103">
        <v>-0.7</v>
      </c>
      <c r="H10" s="103">
        <v>0</v>
      </c>
      <c r="I10" s="103">
        <v>-1.68</v>
      </c>
      <c r="J10" s="103">
        <v>0</v>
      </c>
      <c r="K10" s="103">
        <v>-1.17</v>
      </c>
      <c r="L10" s="103">
        <v>0.01</v>
      </c>
      <c r="M10" s="103">
        <v>-0.45</v>
      </c>
      <c r="N10" s="103">
        <v>0.02</v>
      </c>
      <c r="O10" s="103">
        <v>0</v>
      </c>
      <c r="P10" s="103">
        <v>0</v>
      </c>
      <c r="Q10" s="103">
        <v>0</v>
      </c>
      <c r="R10" s="103">
        <v>0</v>
      </c>
      <c r="S10" s="94">
        <f>E10+G10+I10+K10+M10+O10+Q10</f>
        <v>-4.5200000000000005</v>
      </c>
      <c r="T10" s="124">
        <f>P10+N10+L10+J10+H10+F10+R10</f>
        <v>0.019999999999999997</v>
      </c>
      <c r="U10" s="94">
        <v>359.79</v>
      </c>
      <c r="V10" s="94">
        <v>485.74</v>
      </c>
      <c r="W10" s="94">
        <v>1169.31</v>
      </c>
      <c r="X10" s="94">
        <v>809.53</v>
      </c>
      <c r="Y10" s="94">
        <v>287.83</v>
      </c>
      <c r="Z10" s="125">
        <v>0</v>
      </c>
      <c r="AA10" s="125">
        <v>0</v>
      </c>
      <c r="AB10" s="138">
        <f>SUM(U10:AA10)</f>
        <v>3112.2</v>
      </c>
      <c r="AC10" s="139">
        <f>D10+T10+AB10</f>
        <v>4992.2631076</v>
      </c>
      <c r="AD10" s="128">
        <f>P10+Z10</f>
        <v>0</v>
      </c>
      <c r="AE10" s="128">
        <f>R10+AA10</f>
        <v>0</v>
      </c>
      <c r="AF10" s="128"/>
      <c r="AG10" s="25">
        <f>0.6*B10</f>
        <v>541.38</v>
      </c>
      <c r="AH10" s="25">
        <f>B10*0.201</f>
        <v>181.3623</v>
      </c>
      <c r="AI10" s="25">
        <f>0.8518*B10</f>
        <v>768.5791399999999</v>
      </c>
      <c r="AJ10" s="25">
        <f>AI10*0.18</f>
        <v>138.3442452</v>
      </c>
      <c r="AK10" s="25">
        <f>1.04*B10*0.9531</f>
        <v>894.3814151999999</v>
      </c>
      <c r="AL10" s="25">
        <f>AK10*0.18</f>
        <v>160.98865473599997</v>
      </c>
      <c r="AM10" s="25">
        <f>(1.91)*B10*0.9531</f>
        <v>1642.5658682999997</v>
      </c>
      <c r="AN10" s="25">
        <f>AM10*0.18</f>
        <v>295.66185629399996</v>
      </c>
      <c r="AO10" s="25"/>
      <c r="AP10" s="25">
        <f>AO10*0.18</f>
        <v>0</v>
      </c>
      <c r="AQ10" s="129"/>
      <c r="AR10" s="129"/>
      <c r="AS10" s="96">
        <v>471</v>
      </c>
      <c r="AT10" s="96"/>
      <c r="AU10" s="96">
        <f>(AS10+AT10)*0.18</f>
        <v>84.78</v>
      </c>
      <c r="AV10" s="130"/>
      <c r="AW10" s="131"/>
      <c r="AX10" s="25">
        <f>AV10*AW10*1.12*1.18</f>
        <v>0</v>
      </c>
      <c r="AY10" s="132"/>
      <c r="AZ10" s="133"/>
      <c r="BA10" s="133">
        <f>AZ10*0.18</f>
        <v>0</v>
      </c>
      <c r="BB10" s="133">
        <f>SUM(AG10:BA10)-AV10-AW10</f>
        <v>5179.0434797299995</v>
      </c>
      <c r="BC10" s="134"/>
      <c r="BD10" s="18">
        <f>BB10-(AF10-BC10)</f>
        <v>5179.0434797299995</v>
      </c>
      <c r="BE10" s="135">
        <f>AC10-BB10</f>
        <v>-186.7803721299997</v>
      </c>
      <c r="BF10" s="135">
        <f>AB10-S10</f>
        <v>3116.72</v>
      </c>
    </row>
    <row r="11" spans="1:58" ht="13.5" hidden="1" thickBot="1">
      <c r="A11" s="51" t="s">
        <v>41</v>
      </c>
      <c r="B11" s="93">
        <v>902.3</v>
      </c>
      <c r="C11" s="122">
        <f>B11*8.65</f>
        <v>7804.8949999999995</v>
      </c>
      <c r="D11" s="123">
        <f>C11*0.24035</f>
        <v>1875.90651325</v>
      </c>
      <c r="E11" s="103">
        <v>340.7</v>
      </c>
      <c r="F11" s="103">
        <v>34.51</v>
      </c>
      <c r="G11" s="103">
        <v>459.96</v>
      </c>
      <c r="H11" s="103">
        <v>46.59</v>
      </c>
      <c r="I11" s="103">
        <v>1107.28</v>
      </c>
      <c r="J11" s="103">
        <v>112.17</v>
      </c>
      <c r="K11" s="103">
        <v>766.57</v>
      </c>
      <c r="L11" s="103">
        <v>77.66</v>
      </c>
      <c r="M11" s="103">
        <v>272.54</v>
      </c>
      <c r="N11" s="103">
        <v>27.62</v>
      </c>
      <c r="O11" s="103">
        <v>0</v>
      </c>
      <c r="P11" s="183">
        <v>0</v>
      </c>
      <c r="Q11" s="103">
        <v>0</v>
      </c>
      <c r="R11" s="183">
        <v>0</v>
      </c>
      <c r="S11" s="94">
        <f>E11+G11+I11+K11+M11+O11+Q11</f>
        <v>2947.05</v>
      </c>
      <c r="T11" s="124">
        <f>P11+N11+L11+J11+H11+F11+R11</f>
        <v>298.54999999999995</v>
      </c>
      <c r="U11" s="94">
        <v>196.62</v>
      </c>
      <c r="V11" s="94">
        <v>265.45</v>
      </c>
      <c r="W11" s="94">
        <v>638.98</v>
      </c>
      <c r="X11" s="94">
        <v>442.35</v>
      </c>
      <c r="Y11" s="94">
        <v>157.26</v>
      </c>
      <c r="Z11" s="125">
        <v>0</v>
      </c>
      <c r="AA11" s="125">
        <v>0</v>
      </c>
      <c r="AB11" s="138">
        <f>SUM(U11:AA11)</f>
        <v>1700.66</v>
      </c>
      <c r="AC11" s="139">
        <f>D11+T11+AB11</f>
        <v>3875.11651325</v>
      </c>
      <c r="AD11" s="128">
        <f>P11+Z11</f>
        <v>0</v>
      </c>
      <c r="AE11" s="128">
        <f>R11+AA11</f>
        <v>0</v>
      </c>
      <c r="AF11" s="128"/>
      <c r="AG11" s="25">
        <f>0.6*B11</f>
        <v>541.38</v>
      </c>
      <c r="AH11" s="25">
        <f>B11*0.2*1.02524</f>
        <v>185.0148104</v>
      </c>
      <c r="AI11" s="25">
        <f>0.84932*B11</f>
        <v>766.3414359999999</v>
      </c>
      <c r="AJ11" s="25">
        <f>AI11*0.18</f>
        <v>137.94145848</v>
      </c>
      <c r="AK11" s="25">
        <f>1.04*B11*0.95033</f>
        <v>891.7820693599999</v>
      </c>
      <c r="AL11" s="25">
        <f>AK11*0.18</f>
        <v>160.52077248479998</v>
      </c>
      <c r="AM11" s="25">
        <f>(1.91)*B11*0.95033</f>
        <v>1637.7920696899998</v>
      </c>
      <c r="AN11" s="25">
        <f>AM11*0.18</f>
        <v>294.80257254419996</v>
      </c>
      <c r="AO11" s="25"/>
      <c r="AP11" s="25">
        <f>AO11*0.18</f>
        <v>0</v>
      </c>
      <c r="AQ11" s="129"/>
      <c r="AR11" s="129"/>
      <c r="AS11" s="96"/>
      <c r="AT11" s="96"/>
      <c r="AU11" s="96">
        <f>(AS11+AT11)*0.18</f>
        <v>0</v>
      </c>
      <c r="AV11" s="130"/>
      <c r="AW11" s="131"/>
      <c r="AX11" s="25">
        <f>AV11*AW11*1.12*1.18</f>
        <v>0</v>
      </c>
      <c r="AY11" s="132"/>
      <c r="AZ11" s="133"/>
      <c r="BA11" s="133">
        <f>AZ11*0.18</f>
        <v>0</v>
      </c>
      <c r="BB11" s="133">
        <f>SUM(AG11:BA11)-AV11-AW11</f>
        <v>4615.575188959</v>
      </c>
      <c r="BC11" s="134"/>
      <c r="BD11" s="18">
        <f>BB11-(AF11-BC11)</f>
        <v>4615.575188959</v>
      </c>
      <c r="BE11" s="135">
        <f>AC11-BB11</f>
        <v>-740.4586757090001</v>
      </c>
      <c r="BF11" s="135">
        <f>AB11-S11</f>
        <v>-1246.39</v>
      </c>
    </row>
    <row r="12" spans="1:58" s="24" customFormat="1" ht="15" customHeight="1" hidden="1" thickBot="1">
      <c r="A12" s="53" t="s">
        <v>3</v>
      </c>
      <c r="B12" s="84"/>
      <c r="C12" s="84">
        <f>SUM(C9:C11)</f>
        <v>23414.684999999998</v>
      </c>
      <c r="D12" s="84">
        <f aca="true" t="shared" si="0" ref="D12:BD12">SUM(D9:D11)</f>
        <v>5635.99272845</v>
      </c>
      <c r="E12" s="84">
        <f t="shared" si="0"/>
        <v>1026.21</v>
      </c>
      <c r="F12" s="84">
        <f t="shared" si="0"/>
        <v>103.53</v>
      </c>
      <c r="G12" s="84">
        <f t="shared" si="0"/>
        <v>1385.4399999999998</v>
      </c>
      <c r="H12" s="84">
        <f t="shared" si="0"/>
        <v>139.77</v>
      </c>
      <c r="I12" s="84">
        <f t="shared" si="0"/>
        <v>3335.2200000000003</v>
      </c>
      <c r="J12" s="84">
        <f t="shared" si="0"/>
        <v>336.51</v>
      </c>
      <c r="K12" s="84">
        <f t="shared" si="0"/>
        <v>2308.98</v>
      </c>
      <c r="L12" s="84">
        <f t="shared" si="0"/>
        <v>232.98</v>
      </c>
      <c r="M12" s="84">
        <f t="shared" si="0"/>
        <v>820.9200000000001</v>
      </c>
      <c r="N12" s="84">
        <f t="shared" si="0"/>
        <v>82.86</v>
      </c>
      <c r="O12" s="84">
        <f t="shared" si="0"/>
        <v>0</v>
      </c>
      <c r="P12" s="84">
        <f t="shared" si="0"/>
        <v>0</v>
      </c>
      <c r="Q12" s="84">
        <f t="shared" si="0"/>
        <v>0</v>
      </c>
      <c r="R12" s="84">
        <f t="shared" si="0"/>
        <v>0</v>
      </c>
      <c r="S12" s="84">
        <f t="shared" si="0"/>
        <v>8876.77</v>
      </c>
      <c r="T12" s="84">
        <f t="shared" si="0"/>
        <v>895.6499999999999</v>
      </c>
      <c r="U12" s="84">
        <f t="shared" si="0"/>
        <v>556.4100000000001</v>
      </c>
      <c r="V12" s="84">
        <f t="shared" si="0"/>
        <v>751.19</v>
      </c>
      <c r="W12" s="84">
        <f t="shared" si="0"/>
        <v>1808.29</v>
      </c>
      <c r="X12" s="84">
        <f t="shared" si="0"/>
        <v>1251.88</v>
      </c>
      <c r="Y12" s="84">
        <f t="shared" si="0"/>
        <v>445.09</v>
      </c>
      <c r="Z12" s="84">
        <f t="shared" si="0"/>
        <v>0</v>
      </c>
      <c r="AA12" s="84">
        <f t="shared" si="0"/>
        <v>0</v>
      </c>
      <c r="AB12" s="84">
        <f t="shared" si="0"/>
        <v>4812.86</v>
      </c>
      <c r="AC12" s="84">
        <f t="shared" si="0"/>
        <v>11344.50272845</v>
      </c>
      <c r="AD12" s="84">
        <f t="shared" si="0"/>
        <v>0</v>
      </c>
      <c r="AE12" s="84">
        <f t="shared" si="0"/>
        <v>0</v>
      </c>
      <c r="AF12" s="84">
        <f t="shared" si="0"/>
        <v>0</v>
      </c>
      <c r="AG12" s="84">
        <f t="shared" si="0"/>
        <v>1624.1399999999999</v>
      </c>
      <c r="AH12" s="84">
        <f t="shared" si="0"/>
        <v>557.3507099999999</v>
      </c>
      <c r="AI12" s="84">
        <f t="shared" si="0"/>
        <v>2303.499716</v>
      </c>
      <c r="AJ12" s="84">
        <f t="shared" si="0"/>
        <v>414.62994888</v>
      </c>
      <c r="AK12" s="84">
        <f t="shared" si="0"/>
        <v>2680.5448997599997</v>
      </c>
      <c r="AL12" s="84">
        <f t="shared" si="0"/>
        <v>482.4980819567999</v>
      </c>
      <c r="AM12" s="84">
        <f t="shared" si="0"/>
        <v>4922.923806289999</v>
      </c>
      <c r="AN12" s="84">
        <f t="shared" si="0"/>
        <v>886.1262851321999</v>
      </c>
      <c r="AO12" s="84">
        <f t="shared" si="0"/>
        <v>0</v>
      </c>
      <c r="AP12" s="84">
        <f t="shared" si="0"/>
        <v>0</v>
      </c>
      <c r="AQ12" s="140">
        <f t="shared" si="0"/>
        <v>0</v>
      </c>
      <c r="AR12" s="140">
        <f t="shared" si="0"/>
        <v>0</v>
      </c>
      <c r="AS12" s="141">
        <f t="shared" si="0"/>
        <v>471</v>
      </c>
      <c r="AT12" s="141">
        <f t="shared" si="0"/>
        <v>0</v>
      </c>
      <c r="AU12" s="141">
        <f t="shared" si="0"/>
        <v>84.78</v>
      </c>
      <c r="AV12" s="84">
        <f t="shared" si="0"/>
        <v>0</v>
      </c>
      <c r="AW12" s="84">
        <f t="shared" si="0"/>
        <v>0</v>
      </c>
      <c r="AX12" s="84">
        <f t="shared" si="0"/>
        <v>0</v>
      </c>
      <c r="AY12" s="84">
        <f t="shared" si="0"/>
        <v>0</v>
      </c>
      <c r="AZ12" s="84">
        <f t="shared" si="0"/>
        <v>0</v>
      </c>
      <c r="BA12" s="84">
        <f t="shared" si="0"/>
        <v>0</v>
      </c>
      <c r="BB12" s="84">
        <f t="shared" si="0"/>
        <v>14427.493448018999</v>
      </c>
      <c r="BC12" s="84">
        <f t="shared" si="0"/>
        <v>0</v>
      </c>
      <c r="BD12" s="84">
        <f t="shared" si="0"/>
        <v>14427.493448018999</v>
      </c>
      <c r="BE12" s="84">
        <f>SUM(BE9:BE11)</f>
        <v>-3082.990719569</v>
      </c>
      <c r="BF12" s="142">
        <f>SUM(BF9:BF11)</f>
        <v>-4063.91</v>
      </c>
    </row>
    <row r="13" spans="1:58" ht="15" customHeight="1" hidden="1">
      <c r="A13" s="8" t="s">
        <v>42</v>
      </c>
      <c r="B13" s="81"/>
      <c r="C13" s="143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46"/>
      <c r="Q13" s="147"/>
      <c r="R13" s="147"/>
      <c r="S13" s="147"/>
      <c r="T13" s="147"/>
      <c r="U13" s="148"/>
      <c r="V13" s="148"/>
      <c r="W13" s="148"/>
      <c r="X13" s="148"/>
      <c r="Y13" s="148"/>
      <c r="Z13" s="148"/>
      <c r="AA13" s="149"/>
      <c r="AB13" s="149"/>
      <c r="AC13" s="150"/>
      <c r="AD13" s="151"/>
      <c r="AE13" s="151"/>
      <c r="AF13" s="64"/>
      <c r="AG13" s="64"/>
      <c r="AH13" s="64"/>
      <c r="AI13" s="64"/>
      <c r="AJ13" s="64"/>
      <c r="AK13" s="64"/>
      <c r="AL13" s="64"/>
      <c r="AM13" s="64"/>
      <c r="AN13" s="82"/>
      <c r="AO13" s="82"/>
      <c r="AP13" s="82"/>
      <c r="AQ13" s="152"/>
      <c r="AR13" s="153"/>
      <c r="AS13" s="154"/>
      <c r="AT13" s="154"/>
      <c r="AU13" s="155"/>
      <c r="AV13" s="64"/>
      <c r="AW13" s="64"/>
      <c r="AX13" s="65"/>
      <c r="AY13" s="1"/>
      <c r="AZ13" s="1"/>
      <c r="BA13" s="1"/>
      <c r="BB13" s="1"/>
      <c r="BC13" s="1"/>
      <c r="BD13" s="1"/>
      <c r="BE13" s="1"/>
      <c r="BF13" s="119"/>
    </row>
    <row r="14" spans="1:58" ht="12.75" hidden="1">
      <c r="A14" s="14" t="s">
        <v>43</v>
      </c>
      <c r="B14" s="156">
        <v>902.3</v>
      </c>
      <c r="C14" s="122">
        <f aca="true" t="shared" si="1" ref="C14:C25">B14*8.65</f>
        <v>7804.8949999999995</v>
      </c>
      <c r="D14" s="123">
        <f>C14*0.125</f>
        <v>975.6118749999999</v>
      </c>
      <c r="E14" s="103">
        <v>340.7</v>
      </c>
      <c r="F14" s="103">
        <v>34.51</v>
      </c>
      <c r="G14" s="103">
        <v>459.96</v>
      </c>
      <c r="H14" s="103">
        <v>46.59</v>
      </c>
      <c r="I14" s="103">
        <v>1107.28</v>
      </c>
      <c r="J14" s="103">
        <v>112.17</v>
      </c>
      <c r="K14" s="103">
        <v>766.57</v>
      </c>
      <c r="L14" s="103">
        <v>77.66</v>
      </c>
      <c r="M14" s="103">
        <v>272.54</v>
      </c>
      <c r="N14" s="103">
        <v>27.62</v>
      </c>
      <c r="O14" s="103">
        <v>0</v>
      </c>
      <c r="P14" s="183">
        <v>0</v>
      </c>
      <c r="Q14" s="103">
        <v>0</v>
      </c>
      <c r="R14" s="183">
        <v>0</v>
      </c>
      <c r="S14" s="94">
        <f aca="true" t="shared" si="2" ref="S14:S25">E14+G14+I14+K14+M14+O14+Q14</f>
        <v>2947.05</v>
      </c>
      <c r="T14" s="124">
        <f aca="true" t="shared" si="3" ref="T14:T25">P14+N14+L14+J14+H14+F14+R14</f>
        <v>298.54999999999995</v>
      </c>
      <c r="U14" s="94">
        <v>166</v>
      </c>
      <c r="V14" s="94">
        <v>224.11</v>
      </c>
      <c r="W14" s="94">
        <v>539.53</v>
      </c>
      <c r="X14" s="94">
        <v>373.53</v>
      </c>
      <c r="Y14" s="94">
        <v>132.79</v>
      </c>
      <c r="Z14" s="125">
        <v>0</v>
      </c>
      <c r="AA14" s="125">
        <v>0</v>
      </c>
      <c r="AB14" s="157">
        <f aca="true" t="shared" si="4" ref="AB14:AB22">SUM(U14:AA14)</f>
        <v>1435.96</v>
      </c>
      <c r="AC14" s="139">
        <f aca="true" t="shared" si="5" ref="AC14:AC22">D14+T14+AB14</f>
        <v>2710.121875</v>
      </c>
      <c r="AD14" s="128">
        <f aca="true" t="shared" si="6" ref="AD14:AD25">P14+Z14</f>
        <v>0</v>
      </c>
      <c r="AE14" s="128">
        <f aca="true" t="shared" si="7" ref="AE14:AE25">R14+AA14</f>
        <v>0</v>
      </c>
      <c r="AF14" s="128"/>
      <c r="AG14" s="25">
        <f>0.6*B14*0.9</f>
        <v>487.242</v>
      </c>
      <c r="AH14" s="25">
        <f>B14*0.2*0.891</f>
        <v>160.78986</v>
      </c>
      <c r="AI14" s="25">
        <f>0.85*B14*0.867-0.02</f>
        <v>664.929985</v>
      </c>
      <c r="AJ14" s="25">
        <f aca="true" t="shared" si="8" ref="AJ14:AJ25">AI14*0.18</f>
        <v>119.68739729999999</v>
      </c>
      <c r="AK14" s="25">
        <f>0.83*B14*0.8686</f>
        <v>650.5023573999999</v>
      </c>
      <c r="AL14" s="25">
        <f aca="true" t="shared" si="9" ref="AL14:AL25">AK14*0.18</f>
        <v>117.09042433199998</v>
      </c>
      <c r="AM14" s="25">
        <f>1.91*B14*0.8686</f>
        <v>1496.9391598</v>
      </c>
      <c r="AN14" s="25">
        <f aca="true" t="shared" si="10" ref="AN14:AN25">AM14*0.18</f>
        <v>269.449048764</v>
      </c>
      <c r="AO14" s="25"/>
      <c r="AP14" s="25">
        <f aca="true" t="shared" si="11" ref="AP14:AR25">AO14*0.18</f>
        <v>0</v>
      </c>
      <c r="AQ14" s="129"/>
      <c r="AR14" s="129">
        <f>AQ14*0.18</f>
        <v>0</v>
      </c>
      <c r="AS14" s="96"/>
      <c r="AT14" s="96"/>
      <c r="AU14" s="96">
        <f>(AS14+AT14)*0.18</f>
        <v>0</v>
      </c>
      <c r="AV14" s="130">
        <v>508</v>
      </c>
      <c r="AW14" s="184">
        <v>0.3</v>
      </c>
      <c r="AX14" s="162"/>
      <c r="AY14" s="162"/>
      <c r="AZ14" s="185"/>
      <c r="BA14" s="185">
        <f>AZ14*0.18</f>
        <v>0</v>
      </c>
      <c r="BB14" s="133">
        <f>SUM(AG14:AU14)</f>
        <v>3966.630232596</v>
      </c>
      <c r="BC14" s="134"/>
      <c r="BD14" s="158">
        <f>BB14-(AF14-BC14)</f>
        <v>3966.630232596</v>
      </c>
      <c r="BE14" s="135">
        <f>(AC14-BB14)+(AF14-BC14)</f>
        <v>-1256.5083575960002</v>
      </c>
      <c r="BF14" s="135">
        <f>AB14-S14</f>
        <v>-1511.0900000000001</v>
      </c>
    </row>
    <row r="15" spans="1:58" ht="12.75" hidden="1">
      <c r="A15" s="14" t="s">
        <v>44</v>
      </c>
      <c r="B15" s="156">
        <v>902.3</v>
      </c>
      <c r="C15" s="122">
        <f t="shared" si="1"/>
        <v>7804.8949999999995</v>
      </c>
      <c r="D15" s="123">
        <f>C15*0.125</f>
        <v>975.6118749999999</v>
      </c>
      <c r="E15" s="103">
        <v>331.49</v>
      </c>
      <c r="F15" s="103">
        <v>34.51</v>
      </c>
      <c r="G15" s="103">
        <v>447.53</v>
      </c>
      <c r="H15" s="103">
        <v>46.59</v>
      </c>
      <c r="I15" s="103">
        <v>1077.34</v>
      </c>
      <c r="J15" s="103">
        <v>112.17</v>
      </c>
      <c r="K15" s="103">
        <v>745.84</v>
      </c>
      <c r="L15" s="103">
        <v>77.66</v>
      </c>
      <c r="M15" s="103">
        <v>265.17</v>
      </c>
      <c r="N15" s="103">
        <v>27.62</v>
      </c>
      <c r="O15" s="103">
        <v>0</v>
      </c>
      <c r="P15" s="183">
        <v>0</v>
      </c>
      <c r="Q15" s="103">
        <v>0</v>
      </c>
      <c r="R15" s="183">
        <v>0</v>
      </c>
      <c r="S15" s="94">
        <f t="shared" si="2"/>
        <v>2867.37</v>
      </c>
      <c r="T15" s="124">
        <f t="shared" si="3"/>
        <v>298.54999999999995</v>
      </c>
      <c r="U15" s="94">
        <v>200.48</v>
      </c>
      <c r="V15" s="94">
        <v>270.67</v>
      </c>
      <c r="W15" s="94">
        <v>651.63</v>
      </c>
      <c r="X15" s="94">
        <v>451.1</v>
      </c>
      <c r="Y15" s="94">
        <v>160.37</v>
      </c>
      <c r="Z15" s="125">
        <v>0</v>
      </c>
      <c r="AA15" s="125">
        <v>0</v>
      </c>
      <c r="AB15" s="138">
        <f t="shared" si="4"/>
        <v>1734.25</v>
      </c>
      <c r="AC15" s="139">
        <f t="shared" si="5"/>
        <v>3008.411875</v>
      </c>
      <c r="AD15" s="128">
        <f t="shared" si="6"/>
        <v>0</v>
      </c>
      <c r="AE15" s="128">
        <f t="shared" si="7"/>
        <v>0</v>
      </c>
      <c r="AF15" s="128"/>
      <c r="AG15" s="25">
        <f>0.6*B15*0.9</f>
        <v>487.242</v>
      </c>
      <c r="AH15" s="25">
        <f>B15*0.2*0.9153</f>
        <v>165.175038</v>
      </c>
      <c r="AI15" s="25">
        <f>0.85*B15*0.866</f>
        <v>664.1830299999999</v>
      </c>
      <c r="AJ15" s="25">
        <f t="shared" si="8"/>
        <v>119.55294539999998</v>
      </c>
      <c r="AK15" s="25">
        <f>0.83*B15*0.8685</f>
        <v>650.4274664999999</v>
      </c>
      <c r="AL15" s="25">
        <f t="shared" si="9"/>
        <v>117.07694396999999</v>
      </c>
      <c r="AM15" s="25">
        <f>(1.91)*B15*0.8684</f>
        <v>1496.5944811999998</v>
      </c>
      <c r="AN15" s="25">
        <f t="shared" si="10"/>
        <v>269.38700661599995</v>
      </c>
      <c r="AO15" s="25"/>
      <c r="AP15" s="25">
        <f t="shared" si="11"/>
        <v>0</v>
      </c>
      <c r="AQ15" s="129"/>
      <c r="AR15" s="129">
        <f>AQ15*0.18</f>
        <v>0</v>
      </c>
      <c r="AS15" s="96"/>
      <c r="AT15" s="96"/>
      <c r="AU15" s="96">
        <f aca="true" t="shared" si="12" ref="AU15:AU25">(AS15+AT15)*0.18</f>
        <v>0</v>
      </c>
      <c r="AV15" s="130">
        <v>407</v>
      </c>
      <c r="AW15" s="131">
        <v>0.3</v>
      </c>
      <c r="AX15" s="25"/>
      <c r="AY15" s="132"/>
      <c r="AZ15" s="133"/>
      <c r="BA15" s="133">
        <f>AZ15*0.18</f>
        <v>0</v>
      </c>
      <c r="BB15" s="133">
        <f>SUM(AG15:AU15)+AY15</f>
        <v>3969.638911685999</v>
      </c>
      <c r="BC15" s="159"/>
      <c r="BD15" s="158">
        <f>BB15-(AF15-BC15)</f>
        <v>3969.638911685999</v>
      </c>
      <c r="BE15" s="135">
        <f>(AC15-BB15)+(AF15-BC15)</f>
        <v>-961.2270366859993</v>
      </c>
      <c r="BF15" s="135">
        <f>AB15-S15</f>
        <v>-1133.12</v>
      </c>
    </row>
    <row r="16" spans="1:58" ht="13.5" hidden="1" thickBot="1">
      <c r="A16" s="160" t="s">
        <v>45</v>
      </c>
      <c r="B16" s="186">
        <v>902.3</v>
      </c>
      <c r="C16" s="122">
        <f t="shared" si="1"/>
        <v>7804.8949999999995</v>
      </c>
      <c r="D16" s="123">
        <f>C16*0.125</f>
        <v>975.6118749999999</v>
      </c>
      <c r="E16" s="103">
        <v>340.7</v>
      </c>
      <c r="F16" s="103">
        <v>34.51</v>
      </c>
      <c r="G16" s="103">
        <v>459.96</v>
      </c>
      <c r="H16" s="103">
        <v>46.59</v>
      </c>
      <c r="I16" s="103">
        <v>1107.28</v>
      </c>
      <c r="J16" s="103">
        <v>112.17</v>
      </c>
      <c r="K16" s="103">
        <v>766.57</v>
      </c>
      <c r="L16" s="103">
        <v>77.66</v>
      </c>
      <c r="M16" s="103">
        <v>272.54</v>
      </c>
      <c r="N16" s="103">
        <v>27.62</v>
      </c>
      <c r="O16" s="103">
        <v>0</v>
      </c>
      <c r="P16" s="183">
        <v>0</v>
      </c>
      <c r="Q16" s="103">
        <v>0</v>
      </c>
      <c r="R16" s="183">
        <v>0</v>
      </c>
      <c r="S16" s="95">
        <f t="shared" si="2"/>
        <v>2947.05</v>
      </c>
      <c r="T16" s="187">
        <f t="shared" si="3"/>
        <v>298.54999999999995</v>
      </c>
      <c r="U16" s="95">
        <v>448.39</v>
      </c>
      <c r="V16" s="95">
        <v>605.33</v>
      </c>
      <c r="W16" s="95">
        <v>1457.19</v>
      </c>
      <c r="X16" s="95">
        <v>1008.82</v>
      </c>
      <c r="Y16" s="95">
        <v>358.69</v>
      </c>
      <c r="Z16" s="161">
        <v>0</v>
      </c>
      <c r="AA16" s="161">
        <v>0</v>
      </c>
      <c r="AB16" s="157">
        <f t="shared" si="4"/>
        <v>3878.42</v>
      </c>
      <c r="AC16" s="139">
        <f t="shared" si="5"/>
        <v>5152.581875</v>
      </c>
      <c r="AD16" s="128">
        <f t="shared" si="6"/>
        <v>0</v>
      </c>
      <c r="AE16" s="128">
        <f t="shared" si="7"/>
        <v>0</v>
      </c>
      <c r="AF16" s="128"/>
      <c r="AG16" s="162">
        <f>0.6*B16*0.9</f>
        <v>487.242</v>
      </c>
      <c r="AH16" s="162">
        <f>B16*0.2*0.9082-0.01</f>
        <v>163.88377200000002</v>
      </c>
      <c r="AI16" s="25">
        <f>0.85*B16*0.8675+0.01</f>
        <v>665.3434625</v>
      </c>
      <c r="AJ16" s="25">
        <f t="shared" si="8"/>
        <v>119.76182324999999</v>
      </c>
      <c r="AK16" s="162">
        <f>0.83*B16*0.838</f>
        <v>627.5857419999999</v>
      </c>
      <c r="AL16" s="25">
        <f t="shared" si="9"/>
        <v>112.96543355999997</v>
      </c>
      <c r="AM16" s="25">
        <f>1.91*B16*0.838</f>
        <v>1444.2033339999998</v>
      </c>
      <c r="AN16" s="25">
        <f t="shared" si="10"/>
        <v>259.95660011999996</v>
      </c>
      <c r="AO16" s="25"/>
      <c r="AP16" s="25">
        <f t="shared" si="11"/>
        <v>0</v>
      </c>
      <c r="AQ16" s="129"/>
      <c r="AR16" s="129">
        <f>AQ16*0.18</f>
        <v>0</v>
      </c>
      <c r="AS16" s="96"/>
      <c r="AT16" s="96"/>
      <c r="AU16" s="96">
        <f t="shared" si="12"/>
        <v>0</v>
      </c>
      <c r="AV16" s="130">
        <v>383</v>
      </c>
      <c r="AW16" s="131">
        <v>0.3</v>
      </c>
      <c r="AX16" s="162"/>
      <c r="AY16" s="162"/>
      <c r="AZ16" s="185"/>
      <c r="BA16" s="185">
        <f>AZ16*0.18</f>
        <v>0</v>
      </c>
      <c r="BB16" s="133">
        <f>SUM(AG16:AU16)</f>
        <v>3880.9421674299997</v>
      </c>
      <c r="BC16" s="159"/>
      <c r="BD16" s="163">
        <f>BB16-(AF16-BC16)</f>
        <v>3880.9421674299997</v>
      </c>
      <c r="BE16" s="164">
        <f>(AC16-BB16)+(AF16-BC16)</f>
        <v>1271.6397075700002</v>
      </c>
      <c r="BF16" s="164">
        <f>AB16-S16</f>
        <v>931.3699999999999</v>
      </c>
    </row>
    <row r="17" spans="1:58" ht="13.5" hidden="1" thickBot="1">
      <c r="A17" s="165" t="s">
        <v>46</v>
      </c>
      <c r="B17" s="188">
        <v>902.3</v>
      </c>
      <c r="C17" s="122">
        <f t="shared" si="1"/>
        <v>7804.8949999999995</v>
      </c>
      <c r="D17" s="123">
        <f>C17*0.125</f>
        <v>975.6118749999999</v>
      </c>
      <c r="E17" s="104">
        <v>340.7</v>
      </c>
      <c r="F17" s="104">
        <v>34.51</v>
      </c>
      <c r="G17" s="104">
        <v>459.96</v>
      </c>
      <c r="H17" s="104">
        <v>46.59</v>
      </c>
      <c r="I17" s="104">
        <v>1107.28</v>
      </c>
      <c r="J17" s="104">
        <v>112.17</v>
      </c>
      <c r="K17" s="104">
        <v>765.57</v>
      </c>
      <c r="L17" s="104">
        <v>77.66</v>
      </c>
      <c r="M17" s="104">
        <v>272.54</v>
      </c>
      <c r="N17" s="104">
        <v>27.62</v>
      </c>
      <c r="O17" s="104">
        <v>0</v>
      </c>
      <c r="P17" s="189">
        <v>0</v>
      </c>
      <c r="Q17" s="104">
        <v>0</v>
      </c>
      <c r="R17" s="189">
        <v>0</v>
      </c>
      <c r="S17" s="94">
        <f t="shared" si="2"/>
        <v>2946.05</v>
      </c>
      <c r="T17" s="124">
        <f t="shared" si="3"/>
        <v>298.54999999999995</v>
      </c>
      <c r="U17" s="94">
        <v>226.02</v>
      </c>
      <c r="V17" s="94">
        <v>305.17</v>
      </c>
      <c r="W17" s="94">
        <v>734.64</v>
      </c>
      <c r="X17" s="94">
        <v>508.6</v>
      </c>
      <c r="Y17" s="94">
        <v>180.81</v>
      </c>
      <c r="Z17" s="94">
        <v>0</v>
      </c>
      <c r="AA17" s="94">
        <v>0</v>
      </c>
      <c r="AB17" s="157">
        <f t="shared" si="4"/>
        <v>1955.2399999999998</v>
      </c>
      <c r="AC17" s="190">
        <f t="shared" si="5"/>
        <v>3229.4018749999996</v>
      </c>
      <c r="AD17" s="191">
        <f t="shared" si="6"/>
        <v>0</v>
      </c>
      <c r="AE17" s="191">
        <f t="shared" si="7"/>
        <v>0</v>
      </c>
      <c r="AF17" s="128"/>
      <c r="AG17" s="25">
        <f>0.6*B17*0.9</f>
        <v>487.242</v>
      </c>
      <c r="AH17" s="162">
        <f>B17*0.2*0.9234</f>
        <v>166.636764</v>
      </c>
      <c r="AI17" s="25">
        <f>0.85*B17*0.893</f>
        <v>684.890815</v>
      </c>
      <c r="AJ17" s="25">
        <f t="shared" si="8"/>
        <v>123.2803467</v>
      </c>
      <c r="AK17" s="25">
        <f>0.83*B17*0.8498</f>
        <v>636.4228681999999</v>
      </c>
      <c r="AL17" s="25">
        <f t="shared" si="9"/>
        <v>114.55611627599998</v>
      </c>
      <c r="AM17" s="25">
        <f>(1.91)*B17*0.8498</f>
        <v>1464.5393714</v>
      </c>
      <c r="AN17" s="25">
        <f t="shared" si="10"/>
        <v>263.617086852</v>
      </c>
      <c r="AO17" s="25"/>
      <c r="AP17" s="25">
        <f t="shared" si="11"/>
        <v>0</v>
      </c>
      <c r="AQ17" s="129"/>
      <c r="AR17" s="129">
        <f t="shared" si="11"/>
        <v>0</v>
      </c>
      <c r="AS17" s="96">
        <v>310</v>
      </c>
      <c r="AT17" s="96"/>
      <c r="AU17" s="96">
        <f t="shared" si="12"/>
        <v>55.8</v>
      </c>
      <c r="AV17" s="130">
        <v>307</v>
      </c>
      <c r="AW17" s="131">
        <v>0.3</v>
      </c>
      <c r="AX17" s="25">
        <v>636.35</v>
      </c>
      <c r="AY17" s="132"/>
      <c r="AZ17" s="133"/>
      <c r="BA17" s="133">
        <f aca="true" t="shared" si="13" ref="BA17:BA25">AZ17*0.18</f>
        <v>0</v>
      </c>
      <c r="BB17" s="133">
        <f aca="true" t="shared" si="14" ref="BB17:BB22">SUM(AG17:BA17)-AV17-AW17</f>
        <v>4943.335368428</v>
      </c>
      <c r="BC17" s="192"/>
      <c r="BD17" s="166">
        <f>(AC17-BA17)+(AF17-BB17)</f>
        <v>-1713.9334934280005</v>
      </c>
      <c r="BE17" s="164">
        <f>(AC17-BB17)+(AF17-BC17)</f>
        <v>-1713.9334934280005</v>
      </c>
      <c r="BF17" s="164">
        <f>AB17-S17</f>
        <v>-990.8100000000004</v>
      </c>
    </row>
    <row r="18" spans="1:58" ht="13.5" hidden="1" thickBot="1">
      <c r="A18" s="14" t="s">
        <v>47</v>
      </c>
      <c r="B18" s="186">
        <v>902.3</v>
      </c>
      <c r="C18" s="122">
        <f t="shared" si="1"/>
        <v>7804.8949999999995</v>
      </c>
      <c r="D18" s="167">
        <f aca="true" t="shared" si="15" ref="D18:D25">C18-E18-F18-G18-H18-I18-J18-K18-L18-M18-N18</f>
        <v>4225.135</v>
      </c>
      <c r="E18" s="104">
        <v>374.36</v>
      </c>
      <c r="F18" s="104">
        <v>38.83</v>
      </c>
      <c r="G18" s="104">
        <v>507.08</v>
      </c>
      <c r="H18" s="104">
        <v>52.63</v>
      </c>
      <c r="I18" s="104">
        <v>1218.34</v>
      </c>
      <c r="J18" s="104">
        <v>126.41</v>
      </c>
      <c r="K18" s="104">
        <v>843.99</v>
      </c>
      <c r="L18" s="104">
        <v>87.57</v>
      </c>
      <c r="M18" s="104">
        <v>299.49</v>
      </c>
      <c r="N18" s="104">
        <v>31.06</v>
      </c>
      <c r="O18" s="104">
        <v>0</v>
      </c>
      <c r="P18" s="189">
        <v>0</v>
      </c>
      <c r="Q18" s="104">
        <v>0</v>
      </c>
      <c r="R18" s="189">
        <v>0</v>
      </c>
      <c r="S18" s="95">
        <f t="shared" si="2"/>
        <v>3243.2599999999993</v>
      </c>
      <c r="T18" s="187">
        <f t="shared" si="3"/>
        <v>336.5</v>
      </c>
      <c r="U18" s="95">
        <v>265.9</v>
      </c>
      <c r="V18" s="95">
        <v>358.96</v>
      </c>
      <c r="W18" s="95">
        <v>864.17</v>
      </c>
      <c r="X18" s="95">
        <v>598.24</v>
      </c>
      <c r="Y18" s="95">
        <v>212.68</v>
      </c>
      <c r="Z18" s="161">
        <v>0</v>
      </c>
      <c r="AA18" s="161">
        <v>0</v>
      </c>
      <c r="AB18" s="157">
        <f t="shared" si="4"/>
        <v>2299.9499999999994</v>
      </c>
      <c r="AC18" s="139">
        <f t="shared" si="5"/>
        <v>6861.584999999999</v>
      </c>
      <c r="AD18" s="128">
        <f t="shared" si="6"/>
        <v>0</v>
      </c>
      <c r="AE18" s="128">
        <f t="shared" si="7"/>
        <v>0</v>
      </c>
      <c r="AF18" s="128"/>
      <c r="AG18" s="25">
        <f aca="true" t="shared" si="16" ref="AG18:AG25">0.6*B18</f>
        <v>541.38</v>
      </c>
      <c r="AH18" s="25">
        <f>B18*0.2*1.01</f>
        <v>182.2646</v>
      </c>
      <c r="AI18" s="25">
        <f>0.85*B18</f>
        <v>766.9549999999999</v>
      </c>
      <c r="AJ18" s="25">
        <f t="shared" si="8"/>
        <v>138.0519</v>
      </c>
      <c r="AK18" s="25">
        <f>0.83*B18</f>
        <v>748.9089999999999</v>
      </c>
      <c r="AL18" s="25">
        <f t="shared" si="9"/>
        <v>134.80361999999997</v>
      </c>
      <c r="AM18" s="25">
        <f>(1.91)*B18</f>
        <v>1723.3929999999998</v>
      </c>
      <c r="AN18" s="25">
        <f t="shared" si="10"/>
        <v>310.21073999999993</v>
      </c>
      <c r="AO18" s="25"/>
      <c r="AP18" s="25">
        <f t="shared" si="11"/>
        <v>0</v>
      </c>
      <c r="AQ18" s="129"/>
      <c r="AR18" s="129">
        <f t="shared" si="11"/>
        <v>0</v>
      </c>
      <c r="AS18" s="96"/>
      <c r="AT18" s="96"/>
      <c r="AU18" s="96">
        <f t="shared" si="12"/>
        <v>0</v>
      </c>
      <c r="AV18" s="130">
        <v>263</v>
      </c>
      <c r="AW18" s="131">
        <v>0.3</v>
      </c>
      <c r="AX18" s="162">
        <f aca="true" t="shared" si="17" ref="AX18:AX25">AV18*AW18*1.12*1.18</f>
        <v>104.27423999999999</v>
      </c>
      <c r="AY18" s="162"/>
      <c r="AZ18" s="185"/>
      <c r="BA18" s="185">
        <f t="shared" si="13"/>
        <v>0</v>
      </c>
      <c r="BB18" s="185">
        <f t="shared" si="14"/>
        <v>4650.242099999999</v>
      </c>
      <c r="BC18" s="192"/>
      <c r="BD18" s="18">
        <f aca="true" t="shared" si="18" ref="BD18:BD25">BB18-(AF18-BC18)</f>
        <v>4650.242099999999</v>
      </c>
      <c r="BE18" s="164">
        <f>(AC18-BB18)+(AF18-BC18)</f>
        <v>2211.3429000000006</v>
      </c>
      <c r="BF18" s="164">
        <f>AB18-S18</f>
        <v>-943.31</v>
      </c>
    </row>
    <row r="19" spans="1:58" ht="13.5" hidden="1" thickBot="1">
      <c r="A19" s="160" t="s">
        <v>48</v>
      </c>
      <c r="B19" s="186">
        <v>902.3</v>
      </c>
      <c r="C19" s="122">
        <f t="shared" si="1"/>
        <v>7804.8949999999995</v>
      </c>
      <c r="D19" s="167">
        <f t="shared" si="15"/>
        <v>4225.384999999999</v>
      </c>
      <c r="E19" s="104">
        <v>370.29</v>
      </c>
      <c r="F19" s="104">
        <v>42.87</v>
      </c>
      <c r="G19" s="104">
        <v>501.57</v>
      </c>
      <c r="H19" s="104">
        <v>58.1</v>
      </c>
      <c r="I19" s="104">
        <v>1205.11</v>
      </c>
      <c r="J19" s="104">
        <v>139.55</v>
      </c>
      <c r="K19" s="104">
        <v>834.83</v>
      </c>
      <c r="L19" s="104">
        <v>96.67</v>
      </c>
      <c r="M19" s="104">
        <v>296.23</v>
      </c>
      <c r="N19" s="104">
        <v>34.29</v>
      </c>
      <c r="O19" s="104">
        <v>0</v>
      </c>
      <c r="P19" s="189">
        <v>0</v>
      </c>
      <c r="Q19" s="104">
        <v>0</v>
      </c>
      <c r="R19" s="189">
        <v>0</v>
      </c>
      <c r="S19" s="94">
        <f t="shared" si="2"/>
        <v>3208.0299999999997</v>
      </c>
      <c r="T19" s="124">
        <f t="shared" si="3"/>
        <v>371.48</v>
      </c>
      <c r="U19" s="95">
        <v>306.79</v>
      </c>
      <c r="V19" s="95">
        <v>415.15</v>
      </c>
      <c r="W19" s="95">
        <v>997.99</v>
      </c>
      <c r="X19" s="95">
        <v>691.22</v>
      </c>
      <c r="Y19" s="95">
        <v>245.46</v>
      </c>
      <c r="Z19" s="161">
        <v>0</v>
      </c>
      <c r="AA19" s="161">
        <v>0</v>
      </c>
      <c r="AB19" s="157">
        <f t="shared" si="4"/>
        <v>2656.61</v>
      </c>
      <c r="AC19" s="139">
        <f t="shared" si="5"/>
        <v>7253.475</v>
      </c>
      <c r="AD19" s="128">
        <f t="shared" si="6"/>
        <v>0</v>
      </c>
      <c r="AE19" s="128">
        <f t="shared" si="7"/>
        <v>0</v>
      </c>
      <c r="AF19" s="128"/>
      <c r="AG19" s="25">
        <f t="shared" si="16"/>
        <v>541.38</v>
      </c>
      <c r="AH19" s="25">
        <f>B19*0.2*1.01045</f>
        <v>182.345807</v>
      </c>
      <c r="AI19" s="25">
        <f>0.85*B19</f>
        <v>766.9549999999999</v>
      </c>
      <c r="AJ19" s="25">
        <f t="shared" si="8"/>
        <v>138.0519</v>
      </c>
      <c r="AK19" s="25">
        <f>0.83*B19</f>
        <v>748.9089999999999</v>
      </c>
      <c r="AL19" s="25">
        <f t="shared" si="9"/>
        <v>134.80361999999997</v>
      </c>
      <c r="AM19" s="25">
        <f>(1.91)*B19</f>
        <v>1723.3929999999998</v>
      </c>
      <c r="AN19" s="162">
        <f t="shared" si="10"/>
        <v>310.21073999999993</v>
      </c>
      <c r="AO19" s="162"/>
      <c r="AP19" s="162">
        <f t="shared" si="11"/>
        <v>0</v>
      </c>
      <c r="AQ19" s="129"/>
      <c r="AR19" s="129">
        <f t="shared" si="11"/>
        <v>0</v>
      </c>
      <c r="AS19" s="193"/>
      <c r="AT19" s="193"/>
      <c r="AU19" s="96">
        <f t="shared" si="12"/>
        <v>0</v>
      </c>
      <c r="AV19" s="194">
        <v>233</v>
      </c>
      <c r="AW19" s="184">
        <v>0.3</v>
      </c>
      <c r="AX19" s="162">
        <f t="shared" si="17"/>
        <v>92.37983999999999</v>
      </c>
      <c r="AY19" s="132"/>
      <c r="AZ19" s="133"/>
      <c r="BA19" s="133">
        <f t="shared" si="13"/>
        <v>0</v>
      </c>
      <c r="BB19" s="133">
        <f t="shared" si="14"/>
        <v>4638.428906999999</v>
      </c>
      <c r="BC19" s="159"/>
      <c r="BD19" s="168">
        <f t="shared" si="18"/>
        <v>4638.428906999999</v>
      </c>
      <c r="BE19" s="169">
        <f aca="true" t="shared" si="19" ref="BE19:BE25">(AC19-BB19)+(AF19-BC19)</f>
        <v>2615.0460930000017</v>
      </c>
      <c r="BF19" s="170">
        <f aca="true" t="shared" si="20" ref="BF19:BF24">AB19-S19</f>
        <v>-551.4199999999996</v>
      </c>
    </row>
    <row r="20" spans="1:58" ht="12.75" hidden="1">
      <c r="A20" s="165" t="s">
        <v>49</v>
      </c>
      <c r="B20" s="156">
        <v>902.3</v>
      </c>
      <c r="C20" s="122">
        <f t="shared" si="1"/>
        <v>7804.8949999999995</v>
      </c>
      <c r="D20" s="167">
        <f t="shared" si="15"/>
        <v>4225.425</v>
      </c>
      <c r="E20" s="104">
        <v>369.67</v>
      </c>
      <c r="F20" s="104">
        <v>43.49</v>
      </c>
      <c r="G20" s="104">
        <v>500.72</v>
      </c>
      <c r="H20" s="104">
        <v>58.94</v>
      </c>
      <c r="I20" s="104">
        <v>1203.07</v>
      </c>
      <c r="J20" s="104">
        <v>141.57</v>
      </c>
      <c r="K20" s="104">
        <v>833.41</v>
      </c>
      <c r="L20" s="104">
        <v>98.08</v>
      </c>
      <c r="M20" s="104">
        <v>295.73</v>
      </c>
      <c r="N20" s="104">
        <v>34.79</v>
      </c>
      <c r="O20" s="104">
        <v>0</v>
      </c>
      <c r="P20" s="189">
        <v>0</v>
      </c>
      <c r="Q20" s="104">
        <v>0</v>
      </c>
      <c r="R20" s="189">
        <v>0</v>
      </c>
      <c r="S20" s="94">
        <f t="shared" si="2"/>
        <v>3202.6</v>
      </c>
      <c r="T20" s="124">
        <f t="shared" si="3"/>
        <v>376.87</v>
      </c>
      <c r="U20" s="95">
        <v>349.77</v>
      </c>
      <c r="V20" s="95">
        <v>473.52</v>
      </c>
      <c r="W20" s="95">
        <v>1138.1</v>
      </c>
      <c r="X20" s="95">
        <v>788.29</v>
      </c>
      <c r="Y20" s="95">
        <v>279.79</v>
      </c>
      <c r="Z20" s="161">
        <v>0</v>
      </c>
      <c r="AA20" s="161">
        <v>0</v>
      </c>
      <c r="AB20" s="157">
        <f t="shared" si="4"/>
        <v>3029.47</v>
      </c>
      <c r="AC20" s="139">
        <f t="shared" si="5"/>
        <v>7631.764999999999</v>
      </c>
      <c r="AD20" s="128">
        <f t="shared" si="6"/>
        <v>0</v>
      </c>
      <c r="AE20" s="128">
        <f t="shared" si="7"/>
        <v>0</v>
      </c>
      <c r="AF20" s="128"/>
      <c r="AG20" s="25">
        <f t="shared" si="16"/>
        <v>541.38</v>
      </c>
      <c r="AH20" s="25">
        <f>B20*0.2*0.99425</f>
        <v>179.422355</v>
      </c>
      <c r="AI20" s="162">
        <f>0.85*B20*0.9858</f>
        <v>756.0642389999999</v>
      </c>
      <c r="AJ20" s="25">
        <f t="shared" si="8"/>
        <v>136.09156302</v>
      </c>
      <c r="AK20" s="162">
        <f>0.83*B20*0.9905</f>
        <v>741.7943644999999</v>
      </c>
      <c r="AL20" s="25">
        <f t="shared" si="9"/>
        <v>133.52298560999998</v>
      </c>
      <c r="AM20" s="162">
        <f>(1.91)*B20*0.9904</f>
        <v>1706.8484271999996</v>
      </c>
      <c r="AN20" s="162">
        <f t="shared" si="10"/>
        <v>307.23271689599994</v>
      </c>
      <c r="AO20" s="162"/>
      <c r="AP20" s="162">
        <f t="shared" si="11"/>
        <v>0</v>
      </c>
      <c r="AQ20" s="129"/>
      <c r="AR20" s="129">
        <f t="shared" si="11"/>
        <v>0</v>
      </c>
      <c r="AS20" s="193">
        <v>7253</v>
      </c>
      <c r="AT20" s="96"/>
      <c r="AU20" s="96">
        <f t="shared" si="12"/>
        <v>1305.54</v>
      </c>
      <c r="AV20" s="194">
        <v>248</v>
      </c>
      <c r="AW20" s="184">
        <v>0.3</v>
      </c>
      <c r="AX20" s="162">
        <f t="shared" si="17"/>
        <v>98.32704</v>
      </c>
      <c r="AY20" s="132"/>
      <c r="AZ20" s="133"/>
      <c r="BA20" s="133">
        <f t="shared" si="13"/>
        <v>0</v>
      </c>
      <c r="BB20" s="133">
        <f t="shared" si="14"/>
        <v>13159.223691226001</v>
      </c>
      <c r="BC20" s="159"/>
      <c r="BD20" s="18">
        <f t="shared" si="18"/>
        <v>13159.223691226001</v>
      </c>
      <c r="BE20" s="135">
        <f t="shared" si="19"/>
        <v>-5527.458691226002</v>
      </c>
      <c r="BF20" s="136">
        <f t="shared" si="20"/>
        <v>-173.1300000000001</v>
      </c>
    </row>
    <row r="21" spans="1:58" ht="12.75" hidden="1">
      <c r="A21" s="14" t="s">
        <v>50</v>
      </c>
      <c r="B21" s="156">
        <v>902.3</v>
      </c>
      <c r="C21" s="122">
        <f t="shared" si="1"/>
        <v>7804.8949999999995</v>
      </c>
      <c r="D21" s="167">
        <f t="shared" si="15"/>
        <v>4225.425</v>
      </c>
      <c r="E21" s="104">
        <v>369.67</v>
      </c>
      <c r="F21" s="104">
        <v>43.49</v>
      </c>
      <c r="G21" s="104">
        <v>500.72</v>
      </c>
      <c r="H21" s="104">
        <v>58.94</v>
      </c>
      <c r="I21" s="104">
        <v>1203.07</v>
      </c>
      <c r="J21" s="104">
        <v>141.57</v>
      </c>
      <c r="K21" s="104">
        <v>833.41</v>
      </c>
      <c r="L21" s="104">
        <v>98.08</v>
      </c>
      <c r="M21" s="104">
        <v>295.73</v>
      </c>
      <c r="N21" s="104">
        <v>34.79</v>
      </c>
      <c r="O21" s="104">
        <v>0</v>
      </c>
      <c r="P21" s="189">
        <v>0</v>
      </c>
      <c r="Q21" s="95">
        <v>0</v>
      </c>
      <c r="R21" s="95">
        <v>0</v>
      </c>
      <c r="S21" s="94">
        <f t="shared" si="2"/>
        <v>3202.6</v>
      </c>
      <c r="T21" s="124">
        <f t="shared" si="3"/>
        <v>376.87</v>
      </c>
      <c r="U21" s="95">
        <v>288.61</v>
      </c>
      <c r="V21" s="95">
        <v>390.87</v>
      </c>
      <c r="W21" s="95">
        <v>939.23</v>
      </c>
      <c r="X21" s="95">
        <v>650.63</v>
      </c>
      <c r="Y21" s="95">
        <v>230.88</v>
      </c>
      <c r="Z21" s="161">
        <v>0</v>
      </c>
      <c r="AA21" s="161">
        <v>0</v>
      </c>
      <c r="AB21" s="157">
        <f t="shared" si="4"/>
        <v>2500.2200000000003</v>
      </c>
      <c r="AC21" s="139">
        <f t="shared" si="5"/>
        <v>7102.515</v>
      </c>
      <c r="AD21" s="128">
        <f t="shared" si="6"/>
        <v>0</v>
      </c>
      <c r="AE21" s="128">
        <f t="shared" si="7"/>
        <v>0</v>
      </c>
      <c r="AF21" s="128"/>
      <c r="AG21" s="25">
        <f t="shared" si="16"/>
        <v>541.38</v>
      </c>
      <c r="AH21" s="25">
        <f>B21*0.2*0.99876</f>
        <v>180.2362296</v>
      </c>
      <c r="AI21" s="25">
        <f>0.85*B21*0.98525</f>
        <v>755.64241375</v>
      </c>
      <c r="AJ21" s="25">
        <f t="shared" si="8"/>
        <v>136.01563447499998</v>
      </c>
      <c r="AK21" s="25">
        <f>0.83*B21*0.99</f>
        <v>741.4199099999998</v>
      </c>
      <c r="AL21" s="25">
        <f t="shared" si="9"/>
        <v>133.45558379999997</v>
      </c>
      <c r="AM21" s="25">
        <f>(1.91)*B21*0.9899</f>
        <v>1705.9867306999997</v>
      </c>
      <c r="AN21" s="162">
        <f t="shared" si="10"/>
        <v>307.07761152599994</v>
      </c>
      <c r="AO21" s="162"/>
      <c r="AP21" s="162">
        <f t="shared" si="11"/>
        <v>0</v>
      </c>
      <c r="AQ21" s="129"/>
      <c r="AR21" s="129">
        <f t="shared" si="11"/>
        <v>0</v>
      </c>
      <c r="AS21" s="193"/>
      <c r="AT21" s="96"/>
      <c r="AU21" s="96">
        <f t="shared" si="12"/>
        <v>0</v>
      </c>
      <c r="AV21" s="194">
        <v>293</v>
      </c>
      <c r="AW21" s="184">
        <v>0.3</v>
      </c>
      <c r="AX21" s="162">
        <f t="shared" si="17"/>
        <v>116.16863999999998</v>
      </c>
      <c r="AY21" s="132"/>
      <c r="AZ21" s="133"/>
      <c r="BA21" s="133">
        <f t="shared" si="13"/>
        <v>0</v>
      </c>
      <c r="BB21" s="133">
        <f t="shared" si="14"/>
        <v>4617.3827538509995</v>
      </c>
      <c r="BC21" s="159"/>
      <c r="BD21" s="18">
        <f t="shared" si="18"/>
        <v>4617.3827538509995</v>
      </c>
      <c r="BE21" s="135">
        <f t="shared" si="19"/>
        <v>2485.132246149001</v>
      </c>
      <c r="BF21" s="136">
        <f t="shared" si="20"/>
        <v>-702.3799999999997</v>
      </c>
    </row>
    <row r="22" spans="1:58" ht="13.5" hidden="1" thickBot="1">
      <c r="A22" s="160" t="s">
        <v>51</v>
      </c>
      <c r="B22" s="93">
        <v>902.3</v>
      </c>
      <c r="C22" s="122">
        <f t="shared" si="1"/>
        <v>7804.8949999999995</v>
      </c>
      <c r="D22" s="167">
        <f t="shared" si="15"/>
        <v>4225.425</v>
      </c>
      <c r="E22" s="103">
        <v>369.67</v>
      </c>
      <c r="F22" s="103">
        <v>43.49</v>
      </c>
      <c r="G22" s="103">
        <v>500.72</v>
      </c>
      <c r="H22" s="103">
        <v>58.94</v>
      </c>
      <c r="I22" s="103">
        <v>1203.07</v>
      </c>
      <c r="J22" s="103">
        <v>141.57</v>
      </c>
      <c r="K22" s="103">
        <v>833.41</v>
      </c>
      <c r="L22" s="103">
        <v>98.08</v>
      </c>
      <c r="M22" s="103">
        <v>295.73</v>
      </c>
      <c r="N22" s="103">
        <v>34.79</v>
      </c>
      <c r="O22" s="104">
        <v>0</v>
      </c>
      <c r="P22" s="189">
        <v>0</v>
      </c>
      <c r="Q22" s="95">
        <v>0</v>
      </c>
      <c r="R22" s="95">
        <v>0</v>
      </c>
      <c r="S22" s="94">
        <f t="shared" si="2"/>
        <v>3202.6</v>
      </c>
      <c r="T22" s="124">
        <f t="shared" si="3"/>
        <v>376.87</v>
      </c>
      <c r="U22" s="94">
        <v>328.34</v>
      </c>
      <c r="V22" s="94">
        <v>444.72</v>
      </c>
      <c r="W22" s="94">
        <v>1068.58</v>
      </c>
      <c r="X22" s="94">
        <v>740.24</v>
      </c>
      <c r="Y22" s="94">
        <v>262.69</v>
      </c>
      <c r="Z22" s="125">
        <v>0</v>
      </c>
      <c r="AA22" s="125">
        <v>0</v>
      </c>
      <c r="AB22" s="157">
        <f t="shared" si="4"/>
        <v>2844.57</v>
      </c>
      <c r="AC22" s="139">
        <f t="shared" si="5"/>
        <v>7446.865</v>
      </c>
      <c r="AD22" s="128">
        <f t="shared" si="6"/>
        <v>0</v>
      </c>
      <c r="AE22" s="128">
        <f t="shared" si="7"/>
        <v>0</v>
      </c>
      <c r="AF22" s="128"/>
      <c r="AG22" s="25">
        <f t="shared" si="16"/>
        <v>541.38</v>
      </c>
      <c r="AH22" s="25">
        <f>B22*0.2*0.9996</f>
        <v>180.38781600000002</v>
      </c>
      <c r="AI22" s="25">
        <f>0.85*B22*0.98508</f>
        <v>755.5120313999998</v>
      </c>
      <c r="AJ22" s="25">
        <f t="shared" si="8"/>
        <v>135.99216565199995</v>
      </c>
      <c r="AK22" s="25">
        <f>0.83*B22*0.98981</f>
        <v>741.2776172899999</v>
      </c>
      <c r="AL22" s="25">
        <f t="shared" si="9"/>
        <v>133.42997111219998</v>
      </c>
      <c r="AM22" s="25">
        <f>(1.91)*B22*0.98981</f>
        <v>1705.8316253299997</v>
      </c>
      <c r="AN22" s="162">
        <f t="shared" si="10"/>
        <v>307.04969255939994</v>
      </c>
      <c r="AO22" s="162"/>
      <c r="AP22" s="162">
        <f t="shared" si="11"/>
        <v>0</v>
      </c>
      <c r="AQ22" s="129"/>
      <c r="AR22" s="129">
        <f t="shared" si="11"/>
        <v>0</v>
      </c>
      <c r="AS22" s="193"/>
      <c r="AT22" s="96"/>
      <c r="AU22" s="96">
        <f t="shared" si="12"/>
        <v>0</v>
      </c>
      <c r="AV22" s="194">
        <v>349</v>
      </c>
      <c r="AW22" s="184">
        <v>0.3</v>
      </c>
      <c r="AX22" s="162">
        <f t="shared" si="17"/>
        <v>138.37152</v>
      </c>
      <c r="AY22" s="132"/>
      <c r="AZ22" s="133"/>
      <c r="BA22" s="133">
        <f t="shared" si="13"/>
        <v>0</v>
      </c>
      <c r="BB22" s="133">
        <f t="shared" si="14"/>
        <v>4639.232439343598</v>
      </c>
      <c r="BC22" s="159"/>
      <c r="BD22" s="168">
        <f t="shared" si="18"/>
        <v>4639.232439343598</v>
      </c>
      <c r="BE22" s="164">
        <f t="shared" si="19"/>
        <v>2807.6325606564014</v>
      </c>
      <c r="BF22" s="170">
        <f t="shared" si="20"/>
        <v>-358.02999999999975</v>
      </c>
    </row>
    <row r="23" spans="1:58" ht="12.75" hidden="1">
      <c r="A23" s="171" t="s">
        <v>39</v>
      </c>
      <c r="B23" s="93">
        <v>902.3</v>
      </c>
      <c r="C23" s="172">
        <f t="shared" si="1"/>
        <v>7804.8949999999995</v>
      </c>
      <c r="D23" s="167">
        <f t="shared" si="15"/>
        <v>4226.175000000001</v>
      </c>
      <c r="E23" s="97">
        <v>369.57</v>
      </c>
      <c r="F23" s="94">
        <v>43.49</v>
      </c>
      <c r="G23" s="94">
        <v>500.61</v>
      </c>
      <c r="H23" s="94">
        <v>58.94</v>
      </c>
      <c r="I23" s="94">
        <v>1202.79</v>
      </c>
      <c r="J23" s="94">
        <v>141.57</v>
      </c>
      <c r="K23" s="94">
        <v>833.22</v>
      </c>
      <c r="L23" s="94">
        <v>98.08</v>
      </c>
      <c r="M23" s="94">
        <v>295.66</v>
      </c>
      <c r="N23" s="94">
        <v>34.79</v>
      </c>
      <c r="O23" s="94">
        <v>0</v>
      </c>
      <c r="P23" s="125">
        <v>0</v>
      </c>
      <c r="Q23" s="94">
        <v>0</v>
      </c>
      <c r="R23" s="94">
        <v>0</v>
      </c>
      <c r="S23" s="94">
        <f t="shared" si="2"/>
        <v>3201.8500000000004</v>
      </c>
      <c r="T23" s="124">
        <f t="shared" si="3"/>
        <v>376.87</v>
      </c>
      <c r="U23" s="98">
        <f>202.46+71.8</f>
        <v>274.26</v>
      </c>
      <c r="V23" s="94">
        <f>274.18+97.24</f>
        <v>371.42</v>
      </c>
      <c r="W23" s="94">
        <f>658.86+233.65</f>
        <v>892.51</v>
      </c>
      <c r="X23" s="94">
        <f>456.39+161.85</f>
        <v>618.24</v>
      </c>
      <c r="Y23" s="94">
        <f>161.94+57.44</f>
        <v>219.38</v>
      </c>
      <c r="Z23" s="125">
        <v>0</v>
      </c>
      <c r="AA23" s="125">
        <v>0</v>
      </c>
      <c r="AB23" s="125">
        <f>SUM(U23:AA23)</f>
        <v>2375.8100000000004</v>
      </c>
      <c r="AC23" s="139">
        <f>AB23+T23+D23</f>
        <v>6978.855000000001</v>
      </c>
      <c r="AD23" s="128">
        <f t="shared" si="6"/>
        <v>0</v>
      </c>
      <c r="AE23" s="128">
        <f t="shared" si="7"/>
        <v>0</v>
      </c>
      <c r="AF23" s="128"/>
      <c r="AG23" s="25">
        <f t="shared" si="16"/>
        <v>541.38</v>
      </c>
      <c r="AH23" s="25">
        <f>B23*0.2</f>
        <v>180.46</v>
      </c>
      <c r="AI23" s="25">
        <f>(0.847*B23)</f>
        <v>764.2480999999999</v>
      </c>
      <c r="AJ23" s="25">
        <f t="shared" si="8"/>
        <v>137.56465799999998</v>
      </c>
      <c r="AK23" s="25">
        <f>0.83*B23</f>
        <v>748.9089999999999</v>
      </c>
      <c r="AL23" s="25">
        <f t="shared" si="9"/>
        <v>134.80361999999997</v>
      </c>
      <c r="AM23" s="25">
        <f>(2.25/1.18)*B23</f>
        <v>1720.4872881355932</v>
      </c>
      <c r="AN23" s="25">
        <f t="shared" si="10"/>
        <v>309.68771186440677</v>
      </c>
      <c r="AO23" s="25"/>
      <c r="AP23" s="25">
        <f t="shared" si="11"/>
        <v>0</v>
      </c>
      <c r="AQ23" s="129"/>
      <c r="AR23" s="129">
        <f t="shared" si="11"/>
        <v>0</v>
      </c>
      <c r="AS23" s="96">
        <v>3135.83</v>
      </c>
      <c r="AT23" s="96"/>
      <c r="AU23" s="96">
        <f t="shared" si="12"/>
        <v>564.4494</v>
      </c>
      <c r="AV23" s="130">
        <v>425</v>
      </c>
      <c r="AW23" s="131">
        <v>0.3</v>
      </c>
      <c r="AX23" s="25">
        <f t="shared" si="17"/>
        <v>168.504</v>
      </c>
      <c r="AY23" s="132"/>
      <c r="AZ23" s="173"/>
      <c r="BA23" s="133">
        <f t="shared" si="13"/>
        <v>0</v>
      </c>
      <c r="BB23" s="133">
        <f>SUM(AG23:AU23)+AX23+AY23+AZ23+BA23</f>
        <v>8406.323778000002</v>
      </c>
      <c r="BC23" s="159"/>
      <c r="BD23" s="174">
        <f t="shared" si="18"/>
        <v>8406.323778000002</v>
      </c>
      <c r="BE23" s="135">
        <f>(AC23-BB23)+(AF23-BC23)</f>
        <v>-1427.4687780000004</v>
      </c>
      <c r="BF23" s="135">
        <f t="shared" si="20"/>
        <v>-826.04</v>
      </c>
    </row>
    <row r="24" spans="1:58" ht="12.75" hidden="1">
      <c r="A24" s="14" t="s">
        <v>40</v>
      </c>
      <c r="B24" s="156">
        <v>902.3</v>
      </c>
      <c r="C24" s="172">
        <f t="shared" si="1"/>
        <v>7804.8949999999995</v>
      </c>
      <c r="D24" s="167">
        <f t="shared" si="15"/>
        <v>4226.525000000001</v>
      </c>
      <c r="E24" s="103">
        <v>369.54</v>
      </c>
      <c r="F24" s="103">
        <v>43.49</v>
      </c>
      <c r="G24" s="103">
        <v>500.56</v>
      </c>
      <c r="H24" s="103">
        <v>58.94</v>
      </c>
      <c r="I24" s="103">
        <v>1202.65</v>
      </c>
      <c r="J24" s="103">
        <v>141.57</v>
      </c>
      <c r="K24" s="103">
        <v>833.12</v>
      </c>
      <c r="L24" s="103">
        <v>98.08</v>
      </c>
      <c r="M24" s="103">
        <v>295.63</v>
      </c>
      <c r="N24" s="103">
        <v>34.79</v>
      </c>
      <c r="O24" s="103">
        <v>0</v>
      </c>
      <c r="P24" s="183">
        <v>0</v>
      </c>
      <c r="Q24" s="183">
        <v>0</v>
      </c>
      <c r="R24" s="183">
        <v>0</v>
      </c>
      <c r="S24" s="94">
        <f t="shared" si="2"/>
        <v>3201.5</v>
      </c>
      <c r="T24" s="124">
        <f t="shared" si="3"/>
        <v>376.87</v>
      </c>
      <c r="U24" s="94">
        <v>226.11</v>
      </c>
      <c r="V24" s="94">
        <v>306.21</v>
      </c>
      <c r="W24" s="94">
        <v>735.84</v>
      </c>
      <c r="X24" s="94">
        <v>509.7</v>
      </c>
      <c r="Y24" s="94">
        <v>180.9</v>
      </c>
      <c r="Z24" s="125">
        <v>0</v>
      </c>
      <c r="AA24" s="125">
        <v>0</v>
      </c>
      <c r="AB24" s="125">
        <f>SUM(U24:AA24)</f>
        <v>1958.76</v>
      </c>
      <c r="AC24" s="139">
        <f>D24+T24+AB24</f>
        <v>6562.155000000001</v>
      </c>
      <c r="AD24" s="128">
        <f t="shared" si="6"/>
        <v>0</v>
      </c>
      <c r="AE24" s="128">
        <f t="shared" si="7"/>
        <v>0</v>
      </c>
      <c r="AF24" s="128"/>
      <c r="AG24" s="25">
        <f t="shared" si="16"/>
        <v>541.38</v>
      </c>
      <c r="AH24" s="25">
        <f>B24*0.2</f>
        <v>180.46</v>
      </c>
      <c r="AI24" s="25">
        <f>0.85*B24</f>
        <v>766.9549999999999</v>
      </c>
      <c r="AJ24" s="25">
        <f t="shared" si="8"/>
        <v>138.0519</v>
      </c>
      <c r="AK24" s="25">
        <f>0.83*B24</f>
        <v>748.9089999999999</v>
      </c>
      <c r="AL24" s="25">
        <f t="shared" si="9"/>
        <v>134.80361999999997</v>
      </c>
      <c r="AM24" s="25">
        <f>(1.91)*B24</f>
        <v>1723.3929999999998</v>
      </c>
      <c r="AN24" s="25">
        <f t="shared" si="10"/>
        <v>310.21073999999993</v>
      </c>
      <c r="AO24" s="25"/>
      <c r="AP24" s="25">
        <f t="shared" si="11"/>
        <v>0</v>
      </c>
      <c r="AQ24" s="129"/>
      <c r="AR24" s="129">
        <f t="shared" si="11"/>
        <v>0</v>
      </c>
      <c r="AS24" s="96">
        <v>0</v>
      </c>
      <c r="AT24" s="96"/>
      <c r="AU24" s="96">
        <f t="shared" si="12"/>
        <v>0</v>
      </c>
      <c r="AV24" s="130">
        <v>470</v>
      </c>
      <c r="AW24" s="131">
        <v>0.3</v>
      </c>
      <c r="AX24" s="25">
        <f t="shared" si="17"/>
        <v>186.34560000000002</v>
      </c>
      <c r="AY24" s="132"/>
      <c r="AZ24" s="133"/>
      <c r="BA24" s="133">
        <f t="shared" si="13"/>
        <v>0</v>
      </c>
      <c r="BB24" s="133">
        <f>SUM(AG24:AU24)+AX24+AY24+AZ24+BA24</f>
        <v>4730.508859999999</v>
      </c>
      <c r="BC24" s="134"/>
      <c r="BD24" s="65">
        <f t="shared" si="18"/>
        <v>4730.508859999999</v>
      </c>
      <c r="BE24" s="135">
        <f t="shared" si="19"/>
        <v>1831.6461400000017</v>
      </c>
      <c r="BF24" s="135">
        <f t="shared" si="20"/>
        <v>-1242.74</v>
      </c>
    </row>
    <row r="25" spans="1:58" s="137" customFormat="1" ht="12.75" hidden="1">
      <c r="A25" s="121" t="s">
        <v>41</v>
      </c>
      <c r="B25" s="93">
        <v>902.3</v>
      </c>
      <c r="C25" s="172">
        <f t="shared" si="1"/>
        <v>7804.8949999999995</v>
      </c>
      <c r="D25" s="167">
        <f t="shared" si="15"/>
        <v>4226.525000000001</v>
      </c>
      <c r="E25" s="103">
        <v>369.54</v>
      </c>
      <c r="F25" s="103">
        <v>43.49</v>
      </c>
      <c r="G25" s="103">
        <v>500.56</v>
      </c>
      <c r="H25" s="103">
        <v>58.94</v>
      </c>
      <c r="I25" s="103">
        <v>1202.65</v>
      </c>
      <c r="J25" s="103">
        <v>141.57</v>
      </c>
      <c r="K25" s="103">
        <v>833.12</v>
      </c>
      <c r="L25" s="103">
        <v>98.08</v>
      </c>
      <c r="M25" s="103">
        <v>295.63</v>
      </c>
      <c r="N25" s="103">
        <v>34.79</v>
      </c>
      <c r="O25" s="103">
        <v>0</v>
      </c>
      <c r="P25" s="183">
        <v>0</v>
      </c>
      <c r="Q25" s="183"/>
      <c r="R25" s="183"/>
      <c r="S25" s="94">
        <f t="shared" si="2"/>
        <v>3201.5</v>
      </c>
      <c r="T25" s="124">
        <f t="shared" si="3"/>
        <v>376.87</v>
      </c>
      <c r="U25" s="94">
        <v>314.04</v>
      </c>
      <c r="V25" s="94">
        <v>425.27</v>
      </c>
      <c r="W25" s="94">
        <v>1021.88</v>
      </c>
      <c r="X25" s="94">
        <v>707.91</v>
      </c>
      <c r="Y25" s="94">
        <v>251.23</v>
      </c>
      <c r="Z25" s="125">
        <v>0</v>
      </c>
      <c r="AA25" s="125">
        <v>0</v>
      </c>
      <c r="AB25" s="125">
        <f>SUM(U25:AA25)</f>
        <v>2720.33</v>
      </c>
      <c r="AC25" s="139">
        <f>D25+T25+AB25</f>
        <v>7323.725</v>
      </c>
      <c r="AD25" s="128">
        <f t="shared" si="6"/>
        <v>0</v>
      </c>
      <c r="AE25" s="128">
        <f t="shared" si="7"/>
        <v>0</v>
      </c>
      <c r="AF25" s="128"/>
      <c r="AG25" s="25">
        <f t="shared" si="16"/>
        <v>541.38</v>
      </c>
      <c r="AH25" s="25">
        <f>B25*0.2</f>
        <v>180.46</v>
      </c>
      <c r="AI25" s="25">
        <f>0.85*B25</f>
        <v>766.9549999999999</v>
      </c>
      <c r="AJ25" s="25">
        <f t="shared" si="8"/>
        <v>138.0519</v>
      </c>
      <c r="AK25" s="25">
        <f>0.83*B25</f>
        <v>748.9089999999999</v>
      </c>
      <c r="AL25" s="25">
        <f t="shared" si="9"/>
        <v>134.80361999999997</v>
      </c>
      <c r="AM25" s="25">
        <f>(1.91)*B25</f>
        <v>1723.3929999999998</v>
      </c>
      <c r="AN25" s="25">
        <f t="shared" si="10"/>
        <v>310.21073999999993</v>
      </c>
      <c r="AO25" s="25"/>
      <c r="AP25" s="25">
        <f t="shared" si="11"/>
        <v>0</v>
      </c>
      <c r="AQ25" s="129"/>
      <c r="AR25" s="129">
        <f t="shared" si="11"/>
        <v>0</v>
      </c>
      <c r="AS25" s="96">
        <v>0</v>
      </c>
      <c r="AT25" s="96"/>
      <c r="AU25" s="96">
        <f t="shared" si="12"/>
        <v>0</v>
      </c>
      <c r="AV25" s="130">
        <v>514</v>
      </c>
      <c r="AW25" s="131">
        <v>0.3</v>
      </c>
      <c r="AX25" s="25">
        <f t="shared" si="17"/>
        <v>203.79072</v>
      </c>
      <c r="AY25" s="132"/>
      <c r="AZ25" s="133"/>
      <c r="BA25" s="133">
        <f t="shared" si="13"/>
        <v>0</v>
      </c>
      <c r="BB25" s="133">
        <f>SUM(AG25:BA25)-AV25-AW25</f>
        <v>4747.953979999999</v>
      </c>
      <c r="BC25" s="134"/>
      <c r="BD25" s="92">
        <f t="shared" si="18"/>
        <v>4747.953979999999</v>
      </c>
      <c r="BE25" s="135">
        <f t="shared" si="19"/>
        <v>2575.771020000001</v>
      </c>
      <c r="BF25" s="135">
        <f>AB25-S25</f>
        <v>-481.1700000000001</v>
      </c>
    </row>
    <row r="26" spans="1:58" s="24" customFormat="1" ht="12.75" hidden="1">
      <c r="A26" s="19" t="s">
        <v>3</v>
      </c>
      <c r="B26" s="20"/>
      <c r="C26" s="20">
        <f>SUM(C14:C25)</f>
        <v>93658.74</v>
      </c>
      <c r="D26" s="20">
        <f aca="true" t="shared" si="21" ref="D26:BF26">SUM(D14:D25)</f>
        <v>37708.4675</v>
      </c>
      <c r="E26" s="20">
        <f t="shared" si="21"/>
        <v>4315.900000000001</v>
      </c>
      <c r="F26" s="20">
        <f t="shared" si="21"/>
        <v>480.68000000000006</v>
      </c>
      <c r="G26" s="20">
        <f t="shared" si="21"/>
        <v>5839.950000000002</v>
      </c>
      <c r="H26" s="20">
        <f t="shared" si="21"/>
        <v>650.73</v>
      </c>
      <c r="I26" s="20">
        <f t="shared" si="21"/>
        <v>14039.929999999997</v>
      </c>
      <c r="J26" s="20">
        <f t="shared" si="21"/>
        <v>1564.0599999999997</v>
      </c>
      <c r="K26" s="20">
        <f t="shared" si="21"/>
        <v>9723.060000000001</v>
      </c>
      <c r="L26" s="20">
        <f t="shared" si="21"/>
        <v>1083.3600000000001</v>
      </c>
      <c r="M26" s="20">
        <f t="shared" si="21"/>
        <v>3452.6200000000003</v>
      </c>
      <c r="N26" s="20">
        <f t="shared" si="21"/>
        <v>384.57000000000005</v>
      </c>
      <c r="O26" s="20">
        <f t="shared" si="21"/>
        <v>0</v>
      </c>
      <c r="P26" s="20">
        <f t="shared" si="21"/>
        <v>0</v>
      </c>
      <c r="Q26" s="20">
        <f t="shared" si="21"/>
        <v>0</v>
      </c>
      <c r="R26" s="20">
        <f t="shared" si="21"/>
        <v>0</v>
      </c>
      <c r="S26" s="20">
        <f t="shared" si="21"/>
        <v>37371.45999999999</v>
      </c>
      <c r="T26" s="20">
        <f t="shared" si="21"/>
        <v>4163.4</v>
      </c>
      <c r="U26" s="20">
        <f t="shared" si="21"/>
        <v>3394.7100000000005</v>
      </c>
      <c r="V26" s="20">
        <f t="shared" si="21"/>
        <v>4591.4</v>
      </c>
      <c r="W26" s="20">
        <f t="shared" si="21"/>
        <v>11041.289999999999</v>
      </c>
      <c r="X26" s="20">
        <f t="shared" si="21"/>
        <v>7646.5199999999995</v>
      </c>
      <c r="Y26" s="20">
        <f t="shared" si="21"/>
        <v>2715.67</v>
      </c>
      <c r="Z26" s="20">
        <f t="shared" si="21"/>
        <v>0</v>
      </c>
      <c r="AA26" s="20">
        <f t="shared" si="21"/>
        <v>0</v>
      </c>
      <c r="AB26" s="20">
        <f t="shared" si="21"/>
        <v>29389.589999999997</v>
      </c>
      <c r="AC26" s="20">
        <f t="shared" si="21"/>
        <v>71261.4575</v>
      </c>
      <c r="AD26" s="20">
        <f t="shared" si="21"/>
        <v>0</v>
      </c>
      <c r="AE26" s="20">
        <f t="shared" si="21"/>
        <v>0</v>
      </c>
      <c r="AF26" s="20">
        <f t="shared" si="21"/>
        <v>0</v>
      </c>
      <c r="AG26" s="20">
        <f t="shared" si="21"/>
        <v>6280.008000000001</v>
      </c>
      <c r="AH26" s="20">
        <f t="shared" si="21"/>
        <v>2102.5222416</v>
      </c>
      <c r="AI26" s="20">
        <f t="shared" si="21"/>
        <v>8778.63407665</v>
      </c>
      <c r="AJ26" s="20">
        <f t="shared" si="21"/>
        <v>1580.1541337969998</v>
      </c>
      <c r="AK26" s="20">
        <f t="shared" si="21"/>
        <v>8533.975325889996</v>
      </c>
      <c r="AL26" s="20">
        <f t="shared" si="21"/>
        <v>1536.1155586601994</v>
      </c>
      <c r="AM26" s="20">
        <f t="shared" si="21"/>
        <v>19635.002417765594</v>
      </c>
      <c r="AN26" s="20">
        <f t="shared" si="21"/>
        <v>3534.300435197806</v>
      </c>
      <c r="AO26" s="20">
        <f t="shared" si="21"/>
        <v>0</v>
      </c>
      <c r="AP26" s="20">
        <f t="shared" si="21"/>
        <v>0</v>
      </c>
      <c r="AQ26" s="175">
        <f t="shared" si="21"/>
        <v>0</v>
      </c>
      <c r="AR26" s="175">
        <f t="shared" si="21"/>
        <v>0</v>
      </c>
      <c r="AS26" s="21">
        <f t="shared" si="21"/>
        <v>10698.83</v>
      </c>
      <c r="AT26" s="21">
        <f t="shared" si="21"/>
        <v>0</v>
      </c>
      <c r="AU26" s="21">
        <f t="shared" si="21"/>
        <v>1925.7894</v>
      </c>
      <c r="AV26" s="20">
        <f t="shared" si="21"/>
        <v>4400</v>
      </c>
      <c r="AW26" s="20">
        <f t="shared" si="21"/>
        <v>3.599999999999999</v>
      </c>
      <c r="AX26" s="20">
        <f t="shared" si="21"/>
        <v>1744.5115999999998</v>
      </c>
      <c r="AY26" s="20">
        <f t="shared" si="21"/>
        <v>0</v>
      </c>
      <c r="AZ26" s="20">
        <f t="shared" si="21"/>
        <v>0</v>
      </c>
      <c r="BA26" s="20">
        <f t="shared" si="21"/>
        <v>0</v>
      </c>
      <c r="BB26" s="20">
        <f t="shared" si="21"/>
        <v>66349.8431895606</v>
      </c>
      <c r="BC26" s="20">
        <f t="shared" si="21"/>
        <v>0</v>
      </c>
      <c r="BD26" s="20">
        <f t="shared" si="21"/>
        <v>59692.57432770459</v>
      </c>
      <c r="BE26" s="20">
        <f t="shared" si="21"/>
        <v>4911.614310439405</v>
      </c>
      <c r="BF26" s="176">
        <f t="shared" si="21"/>
        <v>-7981.869999999999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6"/>
      <c r="AE27" s="106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88"/>
      <c r="AQ27" s="177"/>
      <c r="AR27" s="177"/>
      <c r="AS27" s="88"/>
      <c r="AT27" s="88"/>
      <c r="AU27" s="88"/>
      <c r="AV27" s="23"/>
      <c r="AW27" s="23"/>
      <c r="AX27" s="99"/>
      <c r="AY27" s="61"/>
      <c r="AZ27" s="61"/>
      <c r="BA27" s="61"/>
      <c r="BB27" s="61"/>
      <c r="BC27" s="61"/>
      <c r="BD27" s="61"/>
      <c r="BE27" s="61"/>
      <c r="BF27" s="178"/>
    </row>
    <row r="28" spans="1:58" s="24" customFormat="1" ht="13.5" hidden="1" thickBot="1">
      <c r="A28" s="27" t="s">
        <v>52</v>
      </c>
      <c r="B28" s="28"/>
      <c r="C28" s="28">
        <f>C12+C26</f>
        <v>117073.425</v>
      </c>
      <c r="D28" s="28">
        <f aca="true" t="shared" si="22" ref="D28:BF28">D12+D26</f>
        <v>43344.46022845</v>
      </c>
      <c r="E28" s="28">
        <f t="shared" si="22"/>
        <v>5342.110000000001</v>
      </c>
      <c r="F28" s="28">
        <f t="shared" si="22"/>
        <v>584.21</v>
      </c>
      <c r="G28" s="28">
        <f t="shared" si="22"/>
        <v>7225.390000000001</v>
      </c>
      <c r="H28" s="28">
        <f t="shared" si="22"/>
        <v>790.5</v>
      </c>
      <c r="I28" s="28">
        <f t="shared" si="22"/>
        <v>17375.149999999998</v>
      </c>
      <c r="J28" s="28">
        <f t="shared" si="22"/>
        <v>1900.5699999999997</v>
      </c>
      <c r="K28" s="28">
        <f t="shared" si="22"/>
        <v>12032.04</v>
      </c>
      <c r="L28" s="28">
        <f t="shared" si="22"/>
        <v>1316.3400000000001</v>
      </c>
      <c r="M28" s="28">
        <f t="shared" si="22"/>
        <v>4273.540000000001</v>
      </c>
      <c r="N28" s="28">
        <f t="shared" si="22"/>
        <v>467.43000000000006</v>
      </c>
      <c r="O28" s="28">
        <f t="shared" si="22"/>
        <v>0</v>
      </c>
      <c r="P28" s="28">
        <f t="shared" si="22"/>
        <v>0</v>
      </c>
      <c r="Q28" s="28">
        <f t="shared" si="22"/>
        <v>0</v>
      </c>
      <c r="R28" s="28">
        <f t="shared" si="22"/>
        <v>0</v>
      </c>
      <c r="S28" s="28">
        <f t="shared" si="22"/>
        <v>46248.229999999996</v>
      </c>
      <c r="T28" s="28">
        <f t="shared" si="22"/>
        <v>5059.049999999999</v>
      </c>
      <c r="U28" s="28">
        <f t="shared" si="22"/>
        <v>3951.120000000001</v>
      </c>
      <c r="V28" s="28">
        <f t="shared" si="22"/>
        <v>5342.59</v>
      </c>
      <c r="W28" s="28">
        <f t="shared" si="22"/>
        <v>12849.579999999998</v>
      </c>
      <c r="X28" s="28">
        <f t="shared" si="22"/>
        <v>8898.4</v>
      </c>
      <c r="Y28" s="28">
        <f t="shared" si="22"/>
        <v>3160.76</v>
      </c>
      <c r="Z28" s="28">
        <f t="shared" si="22"/>
        <v>0</v>
      </c>
      <c r="AA28" s="28">
        <f t="shared" si="22"/>
        <v>0</v>
      </c>
      <c r="AB28" s="28">
        <f t="shared" si="22"/>
        <v>34202.45</v>
      </c>
      <c r="AC28" s="28">
        <f t="shared" si="22"/>
        <v>82605.96022845</v>
      </c>
      <c r="AD28" s="28">
        <f t="shared" si="22"/>
        <v>0</v>
      </c>
      <c r="AE28" s="28">
        <f t="shared" si="22"/>
        <v>0</v>
      </c>
      <c r="AF28" s="28">
        <f t="shared" si="22"/>
        <v>0</v>
      </c>
      <c r="AG28" s="28">
        <f t="shared" si="22"/>
        <v>7904.148000000001</v>
      </c>
      <c r="AH28" s="28">
        <f t="shared" si="22"/>
        <v>2659.8729516000003</v>
      </c>
      <c r="AI28" s="28">
        <f t="shared" si="22"/>
        <v>11082.13379265</v>
      </c>
      <c r="AJ28" s="28">
        <f>AJ12+AJ26</f>
        <v>1994.7840826769998</v>
      </c>
      <c r="AK28" s="28">
        <f t="shared" si="22"/>
        <v>11214.520225649996</v>
      </c>
      <c r="AL28" s="28">
        <f t="shared" si="22"/>
        <v>2018.6136406169994</v>
      </c>
      <c r="AM28" s="28">
        <f t="shared" si="22"/>
        <v>24557.926224055595</v>
      </c>
      <c r="AN28" s="28">
        <f t="shared" si="22"/>
        <v>4420.426720330006</v>
      </c>
      <c r="AO28" s="28">
        <f t="shared" si="22"/>
        <v>0</v>
      </c>
      <c r="AP28" s="28">
        <f t="shared" si="22"/>
        <v>0</v>
      </c>
      <c r="AQ28" s="179">
        <f t="shared" si="22"/>
        <v>0</v>
      </c>
      <c r="AR28" s="179">
        <f t="shared" si="22"/>
        <v>0</v>
      </c>
      <c r="AS28" s="180">
        <f t="shared" si="22"/>
        <v>11169.83</v>
      </c>
      <c r="AT28" s="180">
        <f t="shared" si="22"/>
        <v>0</v>
      </c>
      <c r="AU28" s="180">
        <f t="shared" si="22"/>
        <v>2010.5693999999999</v>
      </c>
      <c r="AV28" s="28">
        <f t="shared" si="22"/>
        <v>4400</v>
      </c>
      <c r="AW28" s="28">
        <f t="shared" si="22"/>
        <v>3.599999999999999</v>
      </c>
      <c r="AX28" s="28">
        <f t="shared" si="22"/>
        <v>1744.5115999999998</v>
      </c>
      <c r="AY28" s="28">
        <f t="shared" si="22"/>
        <v>0</v>
      </c>
      <c r="AZ28" s="28">
        <f t="shared" si="22"/>
        <v>0</v>
      </c>
      <c r="BA28" s="28">
        <f t="shared" si="22"/>
        <v>0</v>
      </c>
      <c r="BB28" s="28">
        <f t="shared" si="22"/>
        <v>80777.3366375796</v>
      </c>
      <c r="BC28" s="28">
        <f t="shared" si="22"/>
        <v>0</v>
      </c>
      <c r="BD28" s="28">
        <f t="shared" si="22"/>
        <v>74120.06777572358</v>
      </c>
      <c r="BE28" s="28">
        <f t="shared" si="22"/>
        <v>1828.6235908704052</v>
      </c>
      <c r="BF28" s="28">
        <f t="shared" si="22"/>
        <v>-12045.779999999999</v>
      </c>
    </row>
    <row r="29" spans="1:58" ht="15" customHeight="1" hidden="1">
      <c r="A29" s="8" t="s">
        <v>91</v>
      </c>
      <c r="B29" s="81"/>
      <c r="C29" s="143"/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  <c r="P29" s="146"/>
      <c r="Q29" s="147"/>
      <c r="R29" s="147"/>
      <c r="S29" s="147"/>
      <c r="T29" s="147"/>
      <c r="U29" s="148"/>
      <c r="V29" s="148"/>
      <c r="W29" s="148"/>
      <c r="X29" s="148"/>
      <c r="Y29" s="148"/>
      <c r="Z29" s="148"/>
      <c r="AA29" s="149"/>
      <c r="AB29" s="149"/>
      <c r="AC29" s="150"/>
      <c r="AD29" s="151"/>
      <c r="AE29" s="151"/>
      <c r="AF29" s="64"/>
      <c r="AG29" s="64"/>
      <c r="AH29" s="64"/>
      <c r="AI29" s="64"/>
      <c r="AJ29" s="64"/>
      <c r="AK29" s="64"/>
      <c r="AL29" s="64"/>
      <c r="AM29" s="64"/>
      <c r="AN29" s="82"/>
      <c r="AO29" s="82"/>
      <c r="AP29" s="82"/>
      <c r="AQ29" s="152"/>
      <c r="AR29" s="153"/>
      <c r="AS29" s="154"/>
      <c r="AT29" s="154"/>
      <c r="AU29" s="155"/>
      <c r="AV29" s="64"/>
      <c r="AW29" s="64"/>
      <c r="AX29" s="65"/>
      <c r="AY29" s="1"/>
      <c r="AZ29" s="1"/>
      <c r="BA29" s="1"/>
      <c r="BB29" s="1"/>
      <c r="BC29" s="1"/>
      <c r="BD29" s="1"/>
      <c r="BE29" s="1"/>
      <c r="BF29" s="119"/>
    </row>
    <row r="30" spans="1:58" ht="12.75" hidden="1">
      <c r="A30" s="14" t="s">
        <v>43</v>
      </c>
      <c r="B30" s="93">
        <v>902.3</v>
      </c>
      <c r="C30" s="172">
        <f aca="true" t="shared" si="23" ref="C30:C41">B30*8.65</f>
        <v>7804.8949999999995</v>
      </c>
      <c r="D30" s="167">
        <f aca="true" t="shared" si="24" ref="D30:D36">C30-E30-F30-G30-H30-I30-J30-K30-L30-M30-N30</f>
        <v>4226.525000000001</v>
      </c>
      <c r="E30" s="103">
        <v>369.54</v>
      </c>
      <c r="F30" s="103">
        <v>43.49</v>
      </c>
      <c r="G30" s="103">
        <v>500.56</v>
      </c>
      <c r="H30" s="103">
        <v>58.94</v>
      </c>
      <c r="I30" s="103">
        <v>1202.65</v>
      </c>
      <c r="J30" s="103">
        <v>141.57</v>
      </c>
      <c r="K30" s="103">
        <v>833.12</v>
      </c>
      <c r="L30" s="103">
        <v>98.08</v>
      </c>
      <c r="M30" s="103">
        <v>295.63</v>
      </c>
      <c r="N30" s="103">
        <v>34.79</v>
      </c>
      <c r="O30" s="103">
        <v>0</v>
      </c>
      <c r="P30" s="183">
        <v>0</v>
      </c>
      <c r="Q30" s="183"/>
      <c r="R30" s="183"/>
      <c r="S30" s="94">
        <f aca="true" t="shared" si="25" ref="S30:S41">E30+G30+I30+K30+M30+O30+Q30</f>
        <v>3201.5</v>
      </c>
      <c r="T30" s="124">
        <f aca="true" t="shared" si="26" ref="T30:T41">P30+N30+L30+J30+H30+F30+R30</f>
        <v>376.87</v>
      </c>
      <c r="U30" s="94">
        <v>440.11</v>
      </c>
      <c r="V30" s="94">
        <v>596.03</v>
      </c>
      <c r="W30" s="94">
        <v>1432.18</v>
      </c>
      <c r="X30" s="94">
        <v>992.05</v>
      </c>
      <c r="Y30" s="94">
        <v>352.1</v>
      </c>
      <c r="Z30" s="125">
        <v>0</v>
      </c>
      <c r="AA30" s="125">
        <v>0</v>
      </c>
      <c r="AB30" s="125">
        <f>SUM(U30:AA30)</f>
        <v>3812.47</v>
      </c>
      <c r="AC30" s="139">
        <f aca="true" t="shared" si="27" ref="AC30:AC41">D30+T30+AB30</f>
        <v>8415.865</v>
      </c>
      <c r="AD30" s="128">
        <f aca="true" t="shared" si="28" ref="AD30:AD41">P30+Z30</f>
        <v>0</v>
      </c>
      <c r="AE30" s="128">
        <f aca="true" t="shared" si="29" ref="AE30:AE41">R30+AA30</f>
        <v>0</v>
      </c>
      <c r="AF30" s="128"/>
      <c r="AG30" s="25">
        <f aca="true" t="shared" si="30" ref="AG30:AG41">0.6*B30</f>
        <v>541.38</v>
      </c>
      <c r="AH30" s="25">
        <f aca="true" t="shared" si="31" ref="AH30:AH41">B30*0.2</f>
        <v>180.46</v>
      </c>
      <c r="AI30" s="25">
        <f aca="true" t="shared" si="32" ref="AI30:AI41">1*B30</f>
        <v>902.3</v>
      </c>
      <c r="AJ30" s="25">
        <v>0</v>
      </c>
      <c r="AK30" s="25">
        <f aca="true" t="shared" si="33" ref="AK30:AK41">0.98*B30</f>
        <v>884.2539999999999</v>
      </c>
      <c r="AL30" s="25">
        <v>0</v>
      </c>
      <c r="AM30" s="25">
        <f aca="true" t="shared" si="34" ref="AM30:AM41">2.25*B30</f>
        <v>2030.175</v>
      </c>
      <c r="AN30" s="25">
        <v>0</v>
      </c>
      <c r="AO30" s="25"/>
      <c r="AP30" s="25">
        <v>0</v>
      </c>
      <c r="AQ30" s="129"/>
      <c r="AR30" s="129"/>
      <c r="AS30" s="96">
        <v>6397</v>
      </c>
      <c r="AT30" s="96"/>
      <c r="AU30" s="96">
        <f aca="true" t="shared" si="35" ref="AU30:AU35">AT30*0.18</f>
        <v>0</v>
      </c>
      <c r="AV30" s="130">
        <v>508</v>
      </c>
      <c r="AW30" s="131">
        <v>0.3</v>
      </c>
      <c r="AX30" s="195">
        <f aca="true" t="shared" si="36" ref="AX30:AX41">AV30*AW30*1.4</f>
        <v>213.35999999999999</v>
      </c>
      <c r="AY30" s="132"/>
      <c r="AZ30" s="133"/>
      <c r="BA30" s="133">
        <f aca="true" t="shared" si="37" ref="BA30:BA41">AZ30*0.18</f>
        <v>0</v>
      </c>
      <c r="BB30" s="133">
        <f aca="true" t="shared" si="38" ref="BB30:BB41">SUM(AG30:BA30)-AV30-AW30</f>
        <v>11148.929</v>
      </c>
      <c r="BC30" s="134"/>
      <c r="BD30" s="158"/>
      <c r="BE30" s="135">
        <f>(AC30-BB30)+(AF30-BC30)</f>
        <v>-2733.0640000000003</v>
      </c>
      <c r="BF30" s="135">
        <f>AB30-S30</f>
        <v>610.9699999999998</v>
      </c>
    </row>
    <row r="31" spans="1:58" ht="12.75" hidden="1">
      <c r="A31" s="14" t="s">
        <v>44</v>
      </c>
      <c r="B31" s="156">
        <v>902.3</v>
      </c>
      <c r="C31" s="172">
        <f t="shared" si="23"/>
        <v>7804.8949999999995</v>
      </c>
      <c r="D31" s="167">
        <f t="shared" si="24"/>
        <v>4226.525000000001</v>
      </c>
      <c r="E31" s="196">
        <v>369.54</v>
      </c>
      <c r="F31" s="103">
        <v>43.49</v>
      </c>
      <c r="G31" s="103">
        <v>500.56</v>
      </c>
      <c r="H31" s="103">
        <v>58.94</v>
      </c>
      <c r="I31" s="103">
        <v>1202.65</v>
      </c>
      <c r="J31" s="103">
        <v>141.57</v>
      </c>
      <c r="K31" s="103">
        <v>833.12</v>
      </c>
      <c r="L31" s="103">
        <v>98.08</v>
      </c>
      <c r="M31" s="103">
        <v>295.63</v>
      </c>
      <c r="N31" s="103">
        <v>34.79</v>
      </c>
      <c r="O31" s="103">
        <v>0</v>
      </c>
      <c r="P31" s="183">
        <v>0</v>
      </c>
      <c r="Q31" s="125">
        <v>0</v>
      </c>
      <c r="R31" s="125">
        <v>0</v>
      </c>
      <c r="S31" s="94">
        <f t="shared" si="25"/>
        <v>3201.5</v>
      </c>
      <c r="T31" s="124">
        <f t="shared" si="26"/>
        <v>376.87</v>
      </c>
      <c r="U31" s="94">
        <v>262.4</v>
      </c>
      <c r="V31" s="94">
        <v>355.37</v>
      </c>
      <c r="W31" s="94">
        <v>853.97</v>
      </c>
      <c r="X31" s="94">
        <v>591.56</v>
      </c>
      <c r="Y31" s="94">
        <v>209.93</v>
      </c>
      <c r="Z31" s="125">
        <v>0</v>
      </c>
      <c r="AA31" s="125">
        <v>0</v>
      </c>
      <c r="AB31" s="125">
        <f>SUM(U31:AA31)</f>
        <v>2273.23</v>
      </c>
      <c r="AC31" s="139">
        <f t="shared" si="27"/>
        <v>6876.625</v>
      </c>
      <c r="AD31" s="128">
        <f t="shared" si="28"/>
        <v>0</v>
      </c>
      <c r="AE31" s="128">
        <f t="shared" si="29"/>
        <v>0</v>
      </c>
      <c r="AF31" s="128"/>
      <c r="AG31" s="25">
        <f t="shared" si="30"/>
        <v>541.38</v>
      </c>
      <c r="AH31" s="25">
        <f t="shared" si="31"/>
        <v>180.46</v>
      </c>
      <c r="AI31" s="25">
        <f t="shared" si="32"/>
        <v>902.3</v>
      </c>
      <c r="AJ31" s="25">
        <v>0</v>
      </c>
      <c r="AK31" s="25">
        <f t="shared" si="33"/>
        <v>884.2539999999999</v>
      </c>
      <c r="AL31" s="25">
        <v>0</v>
      </c>
      <c r="AM31" s="25">
        <f t="shared" si="34"/>
        <v>2030.175</v>
      </c>
      <c r="AN31" s="25">
        <v>0</v>
      </c>
      <c r="AO31" s="25"/>
      <c r="AP31" s="25"/>
      <c r="AQ31" s="129"/>
      <c r="AR31" s="129"/>
      <c r="AS31" s="96">
        <v>3049</v>
      </c>
      <c r="AT31" s="96"/>
      <c r="AU31" s="96">
        <f t="shared" si="35"/>
        <v>0</v>
      </c>
      <c r="AV31" s="130">
        <v>407</v>
      </c>
      <c r="AW31" s="131">
        <v>0.3</v>
      </c>
      <c r="AX31" s="25">
        <f t="shared" si="36"/>
        <v>170.93999999999997</v>
      </c>
      <c r="AY31" s="132"/>
      <c r="AZ31" s="133"/>
      <c r="BA31" s="133">
        <f t="shared" si="37"/>
        <v>0</v>
      </c>
      <c r="BB31" s="133">
        <f t="shared" si="38"/>
        <v>7758.508999999999</v>
      </c>
      <c r="BC31" s="134"/>
      <c r="BD31" s="158"/>
      <c r="BE31" s="135">
        <f aca="true" t="shared" si="39" ref="BE31:BE41">(AC31-BB31)+(AF31-BC31)</f>
        <v>-881.8839999999991</v>
      </c>
      <c r="BF31" s="135">
        <f aca="true" t="shared" si="40" ref="BF31:BF41">AB31-S31</f>
        <v>-928.27</v>
      </c>
    </row>
    <row r="32" spans="1:58" ht="13.5" hidden="1" thickBot="1">
      <c r="A32" s="160" t="s">
        <v>45</v>
      </c>
      <c r="B32" s="93">
        <v>902.3</v>
      </c>
      <c r="C32" s="172">
        <f t="shared" si="23"/>
        <v>7804.8949999999995</v>
      </c>
      <c r="D32" s="167">
        <f t="shared" si="24"/>
        <v>4226.525000000001</v>
      </c>
      <c r="E32" s="103">
        <v>369.54</v>
      </c>
      <c r="F32" s="103">
        <v>43.49</v>
      </c>
      <c r="G32" s="103">
        <v>500.56</v>
      </c>
      <c r="H32" s="103">
        <v>58.94</v>
      </c>
      <c r="I32" s="103">
        <v>1202.65</v>
      </c>
      <c r="J32" s="103">
        <v>141.57</v>
      </c>
      <c r="K32" s="103">
        <v>833.12</v>
      </c>
      <c r="L32" s="103">
        <v>98.08</v>
      </c>
      <c r="M32" s="103">
        <v>295.63</v>
      </c>
      <c r="N32" s="103">
        <v>34.79</v>
      </c>
      <c r="O32" s="103">
        <v>0</v>
      </c>
      <c r="P32" s="183">
        <v>0</v>
      </c>
      <c r="Q32" s="183">
        <v>0</v>
      </c>
      <c r="R32" s="183">
        <v>0</v>
      </c>
      <c r="S32" s="94">
        <f t="shared" si="25"/>
        <v>3201.5</v>
      </c>
      <c r="T32" s="124">
        <f t="shared" si="26"/>
        <v>376.87</v>
      </c>
      <c r="U32" s="94">
        <v>231.32</v>
      </c>
      <c r="V32" s="94">
        <v>313.27</v>
      </c>
      <c r="W32" s="94">
        <v>752.75</v>
      </c>
      <c r="X32" s="94">
        <v>521.47</v>
      </c>
      <c r="Y32" s="94">
        <v>185.05</v>
      </c>
      <c r="Z32" s="125">
        <v>0</v>
      </c>
      <c r="AA32" s="125">
        <v>0</v>
      </c>
      <c r="AB32" s="125">
        <f>SUM(U32:AA32)</f>
        <v>2003.86</v>
      </c>
      <c r="AC32" s="139">
        <f t="shared" si="27"/>
        <v>6607.255</v>
      </c>
      <c r="AD32" s="128">
        <f t="shared" si="28"/>
        <v>0</v>
      </c>
      <c r="AE32" s="128">
        <f t="shared" si="29"/>
        <v>0</v>
      </c>
      <c r="AF32" s="128"/>
      <c r="AG32" s="25">
        <f t="shared" si="30"/>
        <v>541.38</v>
      </c>
      <c r="AH32" s="25">
        <f t="shared" si="31"/>
        <v>180.46</v>
      </c>
      <c r="AI32" s="25">
        <f t="shared" si="32"/>
        <v>902.3</v>
      </c>
      <c r="AJ32" s="25">
        <v>0</v>
      </c>
      <c r="AK32" s="25">
        <f t="shared" si="33"/>
        <v>884.2539999999999</v>
      </c>
      <c r="AL32" s="25">
        <v>0</v>
      </c>
      <c r="AM32" s="25">
        <f t="shared" si="34"/>
        <v>2030.175</v>
      </c>
      <c r="AN32" s="25">
        <v>0</v>
      </c>
      <c r="AO32" s="25"/>
      <c r="AP32" s="25"/>
      <c r="AQ32" s="129"/>
      <c r="AR32" s="129"/>
      <c r="AS32" s="96">
        <v>7949</v>
      </c>
      <c r="AT32" s="96"/>
      <c r="AU32" s="96">
        <f t="shared" si="35"/>
        <v>0</v>
      </c>
      <c r="AV32" s="130">
        <v>383</v>
      </c>
      <c r="AW32" s="131">
        <v>0.3</v>
      </c>
      <c r="AX32" s="25">
        <f t="shared" si="36"/>
        <v>160.85999999999999</v>
      </c>
      <c r="AY32" s="132"/>
      <c r="AZ32" s="133"/>
      <c r="BA32" s="133">
        <f t="shared" si="37"/>
        <v>0</v>
      </c>
      <c r="BB32" s="133">
        <f t="shared" si="38"/>
        <v>12648.429</v>
      </c>
      <c r="BC32" s="134"/>
      <c r="BD32" s="163"/>
      <c r="BE32" s="135">
        <f t="shared" si="39"/>
        <v>-6041.174</v>
      </c>
      <c r="BF32" s="135">
        <f t="shared" si="40"/>
        <v>-1197.64</v>
      </c>
    </row>
    <row r="33" spans="1:58" ht="12.75" hidden="1">
      <c r="A33" s="165" t="s">
        <v>46</v>
      </c>
      <c r="B33" s="93">
        <v>902.3</v>
      </c>
      <c r="C33" s="172">
        <f t="shared" si="23"/>
        <v>7804.8949999999995</v>
      </c>
      <c r="D33" s="167">
        <f t="shared" si="24"/>
        <v>4229.365</v>
      </c>
      <c r="E33" s="103">
        <v>369.21</v>
      </c>
      <c r="F33" s="103">
        <v>43.49</v>
      </c>
      <c r="G33" s="103">
        <v>500.12</v>
      </c>
      <c r="H33" s="103">
        <v>58.94</v>
      </c>
      <c r="I33" s="103">
        <v>1201.59</v>
      </c>
      <c r="J33" s="103">
        <v>141.57</v>
      </c>
      <c r="K33" s="103">
        <v>832.39</v>
      </c>
      <c r="L33" s="103">
        <v>98.08</v>
      </c>
      <c r="M33" s="103">
        <v>295.35</v>
      </c>
      <c r="N33" s="103">
        <v>34.79</v>
      </c>
      <c r="O33" s="103">
        <v>0</v>
      </c>
      <c r="P33" s="183">
        <v>0</v>
      </c>
      <c r="Q33" s="183"/>
      <c r="R33" s="183"/>
      <c r="S33" s="94">
        <f t="shared" si="25"/>
        <v>3198.66</v>
      </c>
      <c r="T33" s="124">
        <f t="shared" si="26"/>
        <v>376.87</v>
      </c>
      <c r="U33" s="94">
        <v>226.02</v>
      </c>
      <c r="V33" s="94">
        <v>305.17</v>
      </c>
      <c r="W33" s="94">
        <v>734.64</v>
      </c>
      <c r="X33" s="94">
        <v>508.6</v>
      </c>
      <c r="Y33" s="94">
        <v>180.81</v>
      </c>
      <c r="Z33" s="125">
        <v>0</v>
      </c>
      <c r="AA33" s="125">
        <v>0</v>
      </c>
      <c r="AB33" s="125">
        <f>SUM(U33:AA33)</f>
        <v>1955.2399999999998</v>
      </c>
      <c r="AC33" s="139">
        <f t="shared" si="27"/>
        <v>6561.474999999999</v>
      </c>
      <c r="AD33" s="128">
        <f t="shared" si="28"/>
        <v>0</v>
      </c>
      <c r="AE33" s="128">
        <f t="shared" si="29"/>
        <v>0</v>
      </c>
      <c r="AF33" s="128"/>
      <c r="AG33" s="25">
        <f t="shared" si="30"/>
        <v>541.38</v>
      </c>
      <c r="AH33" s="25">
        <f t="shared" si="31"/>
        <v>180.46</v>
      </c>
      <c r="AI33" s="25">
        <f t="shared" si="32"/>
        <v>902.3</v>
      </c>
      <c r="AJ33" s="25">
        <v>0</v>
      </c>
      <c r="AK33" s="25">
        <f t="shared" si="33"/>
        <v>884.2539999999999</v>
      </c>
      <c r="AL33" s="25">
        <v>0</v>
      </c>
      <c r="AM33" s="25">
        <f t="shared" si="34"/>
        <v>2030.175</v>
      </c>
      <c r="AN33" s="25">
        <v>0</v>
      </c>
      <c r="AO33" s="25"/>
      <c r="AP33" s="25"/>
      <c r="AQ33" s="129"/>
      <c r="AR33" s="129"/>
      <c r="AS33" s="96"/>
      <c r="AT33" s="96"/>
      <c r="AU33" s="96">
        <f t="shared" si="35"/>
        <v>0</v>
      </c>
      <c r="AV33" s="130">
        <v>307</v>
      </c>
      <c r="AW33" s="131">
        <v>0.3</v>
      </c>
      <c r="AX33" s="25">
        <f t="shared" si="36"/>
        <v>128.94</v>
      </c>
      <c r="AY33" s="132"/>
      <c r="AZ33" s="133"/>
      <c r="BA33" s="133">
        <f t="shared" si="37"/>
        <v>0</v>
      </c>
      <c r="BB33" s="133">
        <f t="shared" si="38"/>
        <v>4667.508999999999</v>
      </c>
      <c r="BC33" s="134"/>
      <c r="BD33" s="92"/>
      <c r="BE33" s="135">
        <f t="shared" si="39"/>
        <v>1893.9660000000003</v>
      </c>
      <c r="BF33" s="135">
        <f t="shared" si="40"/>
        <v>-1243.42</v>
      </c>
    </row>
    <row r="34" spans="1:58" ht="12.75" hidden="1">
      <c r="A34" s="14" t="s">
        <v>47</v>
      </c>
      <c r="B34" s="93">
        <v>902.3</v>
      </c>
      <c r="C34" s="172">
        <f t="shared" si="23"/>
        <v>7804.8949999999995</v>
      </c>
      <c r="D34" s="167">
        <f t="shared" si="24"/>
        <v>4235.055000000001</v>
      </c>
      <c r="E34" s="103">
        <v>368.53</v>
      </c>
      <c r="F34" s="103">
        <v>43.49</v>
      </c>
      <c r="G34" s="103">
        <v>499.26</v>
      </c>
      <c r="H34" s="103">
        <v>58.94</v>
      </c>
      <c r="I34" s="103">
        <v>1199.44</v>
      </c>
      <c r="J34" s="103">
        <v>141.57</v>
      </c>
      <c r="K34" s="103">
        <v>830.91</v>
      </c>
      <c r="L34" s="103">
        <v>98.08</v>
      </c>
      <c r="M34" s="103">
        <v>294.83</v>
      </c>
      <c r="N34" s="103">
        <v>34.79</v>
      </c>
      <c r="O34" s="103">
        <v>0</v>
      </c>
      <c r="P34" s="183">
        <v>0</v>
      </c>
      <c r="Q34" s="183"/>
      <c r="R34" s="183"/>
      <c r="S34" s="94">
        <f t="shared" si="25"/>
        <v>3192.97</v>
      </c>
      <c r="T34" s="124">
        <f t="shared" si="26"/>
        <v>376.87</v>
      </c>
      <c r="U34" s="181">
        <v>242.75</v>
      </c>
      <c r="V34" s="181">
        <v>328.81</v>
      </c>
      <c r="W34" s="181">
        <v>789.98</v>
      </c>
      <c r="X34" s="181">
        <v>547.23</v>
      </c>
      <c r="Y34" s="181">
        <v>194.2</v>
      </c>
      <c r="Z34" s="182">
        <v>0</v>
      </c>
      <c r="AA34" s="182">
        <v>0</v>
      </c>
      <c r="AB34" s="125">
        <f aca="true" t="shared" si="41" ref="AB34:AB41">SUM(U34:AA34)</f>
        <v>2102.97</v>
      </c>
      <c r="AC34" s="139">
        <f t="shared" si="27"/>
        <v>6714.895</v>
      </c>
      <c r="AD34" s="128">
        <f t="shared" si="28"/>
        <v>0</v>
      </c>
      <c r="AE34" s="128">
        <f t="shared" si="29"/>
        <v>0</v>
      </c>
      <c r="AF34" s="128"/>
      <c r="AG34" s="25">
        <f t="shared" si="30"/>
        <v>541.38</v>
      </c>
      <c r="AH34" s="25">
        <f t="shared" si="31"/>
        <v>180.46</v>
      </c>
      <c r="AI34" s="25">
        <f t="shared" si="32"/>
        <v>902.3</v>
      </c>
      <c r="AJ34" s="25">
        <v>0</v>
      </c>
      <c r="AK34" s="25">
        <f t="shared" si="33"/>
        <v>884.2539999999999</v>
      </c>
      <c r="AL34" s="25">
        <v>0</v>
      </c>
      <c r="AM34" s="25">
        <f t="shared" si="34"/>
        <v>2030.175</v>
      </c>
      <c r="AN34" s="25">
        <v>0</v>
      </c>
      <c r="AO34" s="25"/>
      <c r="AP34" s="25"/>
      <c r="AQ34" s="129"/>
      <c r="AR34" s="129"/>
      <c r="AS34" s="96"/>
      <c r="AT34" s="96"/>
      <c r="AU34" s="96">
        <f t="shared" si="35"/>
        <v>0</v>
      </c>
      <c r="AV34" s="130">
        <v>263</v>
      </c>
      <c r="AW34" s="131">
        <v>0.3</v>
      </c>
      <c r="AX34" s="25">
        <f t="shared" si="36"/>
        <v>110.45999999999998</v>
      </c>
      <c r="AY34" s="132"/>
      <c r="AZ34" s="133"/>
      <c r="BA34" s="133">
        <f t="shared" si="37"/>
        <v>0</v>
      </c>
      <c r="BB34" s="133">
        <f t="shared" si="38"/>
        <v>4649.0289999999995</v>
      </c>
      <c r="BC34" s="134"/>
      <c r="BD34" s="18"/>
      <c r="BE34" s="135">
        <f t="shared" si="39"/>
        <v>2065.866000000001</v>
      </c>
      <c r="BF34" s="135">
        <f t="shared" si="40"/>
        <v>-1090</v>
      </c>
    </row>
    <row r="35" spans="1:58" ht="13.5" hidden="1" thickBot="1">
      <c r="A35" s="160" t="s">
        <v>48</v>
      </c>
      <c r="B35" s="93">
        <v>902.3</v>
      </c>
      <c r="C35" s="172">
        <f t="shared" si="23"/>
        <v>7804.8949999999995</v>
      </c>
      <c r="D35" s="167">
        <f t="shared" si="24"/>
        <v>4235.055000000001</v>
      </c>
      <c r="E35" s="103">
        <v>368.53</v>
      </c>
      <c r="F35" s="103">
        <v>43.49</v>
      </c>
      <c r="G35" s="103">
        <v>499.26</v>
      </c>
      <c r="H35" s="103">
        <v>58.94</v>
      </c>
      <c r="I35" s="103">
        <v>1199.44</v>
      </c>
      <c r="J35" s="103">
        <v>141.57</v>
      </c>
      <c r="K35" s="103">
        <v>830.91</v>
      </c>
      <c r="L35" s="103">
        <v>98.08</v>
      </c>
      <c r="M35" s="103">
        <v>294.83</v>
      </c>
      <c r="N35" s="103">
        <v>34.79</v>
      </c>
      <c r="O35" s="103">
        <v>0</v>
      </c>
      <c r="P35" s="183">
        <v>0</v>
      </c>
      <c r="Q35" s="103">
        <v>0</v>
      </c>
      <c r="R35" s="183">
        <v>0</v>
      </c>
      <c r="S35" s="94">
        <f t="shared" si="25"/>
        <v>3192.97</v>
      </c>
      <c r="T35" s="124">
        <f t="shared" si="26"/>
        <v>376.87</v>
      </c>
      <c r="U35" s="94">
        <v>268.92</v>
      </c>
      <c r="V35" s="94">
        <v>364.24</v>
      </c>
      <c r="W35" s="94">
        <v>875.19</v>
      </c>
      <c r="X35" s="94">
        <v>606.28</v>
      </c>
      <c r="Y35" s="94">
        <v>215.15</v>
      </c>
      <c r="Z35" s="125">
        <v>0</v>
      </c>
      <c r="AA35" s="125">
        <v>0</v>
      </c>
      <c r="AB35" s="125">
        <f t="shared" si="41"/>
        <v>2329.78</v>
      </c>
      <c r="AC35" s="139">
        <f t="shared" si="27"/>
        <v>6941.705000000002</v>
      </c>
      <c r="AD35" s="128">
        <f t="shared" si="28"/>
        <v>0</v>
      </c>
      <c r="AE35" s="128">
        <f t="shared" si="29"/>
        <v>0</v>
      </c>
      <c r="AF35" s="128"/>
      <c r="AG35" s="25">
        <f t="shared" si="30"/>
        <v>541.38</v>
      </c>
      <c r="AH35" s="25">
        <f t="shared" si="31"/>
        <v>180.46</v>
      </c>
      <c r="AI35" s="25">
        <f t="shared" si="32"/>
        <v>902.3</v>
      </c>
      <c r="AJ35" s="25">
        <v>0</v>
      </c>
      <c r="AK35" s="25">
        <f t="shared" si="33"/>
        <v>884.2539999999999</v>
      </c>
      <c r="AL35" s="25">
        <v>0</v>
      </c>
      <c r="AM35" s="25">
        <f t="shared" si="34"/>
        <v>2030.175</v>
      </c>
      <c r="AN35" s="25">
        <v>0</v>
      </c>
      <c r="AO35" s="25"/>
      <c r="AP35" s="25"/>
      <c r="AQ35" s="129"/>
      <c r="AR35" s="129"/>
      <c r="AS35" s="96">
        <v>9525</v>
      </c>
      <c r="AT35" s="96"/>
      <c r="AU35" s="96">
        <f t="shared" si="35"/>
        <v>0</v>
      </c>
      <c r="AV35" s="130">
        <v>233</v>
      </c>
      <c r="AW35" s="131">
        <v>0.3</v>
      </c>
      <c r="AX35" s="25">
        <f t="shared" si="36"/>
        <v>97.85999999999999</v>
      </c>
      <c r="AY35" s="132"/>
      <c r="AZ35" s="133"/>
      <c r="BA35" s="133">
        <f t="shared" si="37"/>
        <v>0</v>
      </c>
      <c r="BB35" s="133">
        <f t="shared" si="38"/>
        <v>14161.429</v>
      </c>
      <c r="BC35" s="134"/>
      <c r="BD35" s="168"/>
      <c r="BE35" s="135">
        <f t="shared" si="39"/>
        <v>-7219.723999999998</v>
      </c>
      <c r="BF35" s="135">
        <f t="shared" si="40"/>
        <v>-863.1899999999996</v>
      </c>
    </row>
    <row r="36" spans="1:58" ht="12.75" hidden="1">
      <c r="A36" s="165" t="s">
        <v>49</v>
      </c>
      <c r="B36" s="312">
        <v>902.3</v>
      </c>
      <c r="C36" s="172">
        <f t="shared" si="23"/>
        <v>7804.8949999999995</v>
      </c>
      <c r="D36" s="167">
        <f t="shared" si="24"/>
        <v>4231.374999999999</v>
      </c>
      <c r="E36" s="313">
        <v>412.45</v>
      </c>
      <c r="F36" s="314">
        <v>0</v>
      </c>
      <c r="G36" s="314">
        <v>558.76</v>
      </c>
      <c r="H36" s="314">
        <v>0</v>
      </c>
      <c r="I36" s="314">
        <v>1342.4</v>
      </c>
      <c r="J36" s="314">
        <v>0</v>
      </c>
      <c r="K36" s="314">
        <v>929.94</v>
      </c>
      <c r="L36" s="314">
        <v>0</v>
      </c>
      <c r="M36" s="314">
        <v>329.97</v>
      </c>
      <c r="N36" s="314">
        <v>0</v>
      </c>
      <c r="O36" s="314">
        <v>0</v>
      </c>
      <c r="P36" s="315">
        <v>0</v>
      </c>
      <c r="Q36" s="315"/>
      <c r="R36" s="315"/>
      <c r="S36" s="316">
        <f t="shared" si="25"/>
        <v>3573.5200000000004</v>
      </c>
      <c r="T36" s="317">
        <f t="shared" si="26"/>
        <v>0</v>
      </c>
      <c r="U36" s="318">
        <v>166.06</v>
      </c>
      <c r="V36" s="316">
        <v>224.89</v>
      </c>
      <c r="W36" s="316">
        <v>540.42</v>
      </c>
      <c r="X36" s="316">
        <v>374.35</v>
      </c>
      <c r="Y36" s="316">
        <v>132.86</v>
      </c>
      <c r="Z36" s="319">
        <v>0</v>
      </c>
      <c r="AA36" s="319">
        <v>0</v>
      </c>
      <c r="AB36" s="319">
        <f t="shared" si="41"/>
        <v>1438.58</v>
      </c>
      <c r="AC36" s="320">
        <f t="shared" si="27"/>
        <v>5669.954999999999</v>
      </c>
      <c r="AD36" s="321">
        <f t="shared" si="28"/>
        <v>0</v>
      </c>
      <c r="AE36" s="321">
        <f t="shared" si="29"/>
        <v>0</v>
      </c>
      <c r="AF36" s="321"/>
      <c r="AG36" s="322">
        <f t="shared" si="30"/>
        <v>541.38</v>
      </c>
      <c r="AH36" s="322">
        <f t="shared" si="31"/>
        <v>180.46</v>
      </c>
      <c r="AI36" s="322">
        <f t="shared" si="32"/>
        <v>902.3</v>
      </c>
      <c r="AJ36" s="322">
        <v>0</v>
      </c>
      <c r="AK36" s="322">
        <f t="shared" si="33"/>
        <v>884.2539999999999</v>
      </c>
      <c r="AL36" s="322">
        <v>0</v>
      </c>
      <c r="AM36" s="322">
        <f t="shared" si="34"/>
        <v>2030.175</v>
      </c>
      <c r="AN36" s="322">
        <v>0</v>
      </c>
      <c r="AO36" s="322"/>
      <c r="AP36" s="322"/>
      <c r="AQ36" s="323"/>
      <c r="AR36" s="323"/>
      <c r="AS36" s="324"/>
      <c r="AT36" s="324">
        <f>47.43+449.15</f>
        <v>496.58</v>
      </c>
      <c r="AU36" s="324">
        <f>(449.15)*0.18</f>
        <v>80.847</v>
      </c>
      <c r="AV36" s="325">
        <v>248</v>
      </c>
      <c r="AW36" s="326">
        <v>0.3</v>
      </c>
      <c r="AX36" s="322">
        <f t="shared" si="36"/>
        <v>104.15999999999998</v>
      </c>
      <c r="AY36" s="132"/>
      <c r="AZ36" s="327"/>
      <c r="BA36" s="327">
        <f t="shared" si="37"/>
        <v>0</v>
      </c>
      <c r="BB36" s="327">
        <f t="shared" si="38"/>
        <v>5220.155999999999</v>
      </c>
      <c r="BC36" s="328"/>
      <c r="BD36" s="18"/>
      <c r="BE36" s="135">
        <f t="shared" si="39"/>
        <v>449.799</v>
      </c>
      <c r="BF36" s="135">
        <f t="shared" si="40"/>
        <v>-2134.9400000000005</v>
      </c>
    </row>
    <row r="37" spans="1:58" ht="12.75" hidden="1">
      <c r="A37" s="14" t="s">
        <v>50</v>
      </c>
      <c r="B37" s="312">
        <v>902.3</v>
      </c>
      <c r="C37" s="172">
        <f t="shared" si="23"/>
        <v>7804.8949999999995</v>
      </c>
      <c r="D37" s="197">
        <f>C37-E37-F37-G37-H37-I37-J37-K37-L37-M37-N37+17500</f>
        <v>21731.375</v>
      </c>
      <c r="E37" s="313">
        <v>412.45</v>
      </c>
      <c r="F37" s="314">
        <v>0</v>
      </c>
      <c r="G37" s="314">
        <v>558.76</v>
      </c>
      <c r="H37" s="314">
        <v>0</v>
      </c>
      <c r="I37" s="314">
        <v>1342.4</v>
      </c>
      <c r="J37" s="314">
        <v>0</v>
      </c>
      <c r="K37" s="314">
        <v>929.94</v>
      </c>
      <c r="L37" s="314">
        <v>0</v>
      </c>
      <c r="M37" s="314">
        <v>329.97</v>
      </c>
      <c r="N37" s="314">
        <v>0</v>
      </c>
      <c r="O37" s="314">
        <v>0</v>
      </c>
      <c r="P37" s="315">
        <v>0</v>
      </c>
      <c r="Q37" s="315"/>
      <c r="R37" s="315"/>
      <c r="S37" s="316">
        <f t="shared" si="25"/>
        <v>3573.5200000000004</v>
      </c>
      <c r="T37" s="317">
        <f t="shared" si="26"/>
        <v>0</v>
      </c>
      <c r="U37" s="181">
        <v>270.6</v>
      </c>
      <c r="V37" s="181">
        <v>366.63</v>
      </c>
      <c r="W37" s="181">
        <v>880.76</v>
      </c>
      <c r="X37" s="181">
        <v>610.14</v>
      </c>
      <c r="Y37" s="181">
        <v>216.48</v>
      </c>
      <c r="Z37" s="182">
        <v>0</v>
      </c>
      <c r="AA37" s="182">
        <v>0</v>
      </c>
      <c r="AB37" s="319">
        <f t="shared" si="41"/>
        <v>2344.61</v>
      </c>
      <c r="AC37" s="320">
        <f t="shared" si="27"/>
        <v>24075.985</v>
      </c>
      <c r="AD37" s="321">
        <f t="shared" si="28"/>
        <v>0</v>
      </c>
      <c r="AE37" s="321">
        <f t="shared" si="29"/>
        <v>0</v>
      </c>
      <c r="AF37" s="321"/>
      <c r="AG37" s="322">
        <f t="shared" si="30"/>
        <v>541.38</v>
      </c>
      <c r="AH37" s="322">
        <f t="shared" si="31"/>
        <v>180.46</v>
      </c>
      <c r="AI37" s="322">
        <f t="shared" si="32"/>
        <v>902.3</v>
      </c>
      <c r="AJ37" s="322">
        <v>0</v>
      </c>
      <c r="AK37" s="322">
        <f t="shared" si="33"/>
        <v>884.2539999999999</v>
      </c>
      <c r="AL37" s="322">
        <v>0</v>
      </c>
      <c r="AM37" s="322">
        <f t="shared" si="34"/>
        <v>2030.175</v>
      </c>
      <c r="AN37" s="322">
        <v>0</v>
      </c>
      <c r="AO37" s="322"/>
      <c r="AP37" s="322"/>
      <c r="AQ37" s="323"/>
      <c r="AR37" s="323"/>
      <c r="AS37" s="324"/>
      <c r="AT37" s="324">
        <f>47.8+2014+1000+23540+5193+7488+1050</f>
        <v>40332.8</v>
      </c>
      <c r="AU37" s="324">
        <f>0*0.18</f>
        <v>0</v>
      </c>
      <c r="AV37" s="325">
        <v>293</v>
      </c>
      <c r="AW37" s="326">
        <v>0.3</v>
      </c>
      <c r="AX37" s="322">
        <f t="shared" si="36"/>
        <v>123.05999999999997</v>
      </c>
      <c r="AY37" s="132"/>
      <c r="AZ37" s="327"/>
      <c r="BA37" s="327">
        <f t="shared" si="37"/>
        <v>0</v>
      </c>
      <c r="BB37" s="327">
        <f>SUM(AG37:BA37)-AV37-AW37</f>
        <v>44994.429000000004</v>
      </c>
      <c r="BC37" s="328"/>
      <c r="BD37" s="18"/>
      <c r="BE37" s="135">
        <f t="shared" si="39"/>
        <v>-20918.444000000003</v>
      </c>
      <c r="BF37" s="135">
        <f t="shared" si="40"/>
        <v>-1228.9100000000003</v>
      </c>
    </row>
    <row r="38" spans="1:58" ht="13.5" hidden="1" thickBot="1">
      <c r="A38" s="160" t="s">
        <v>51</v>
      </c>
      <c r="B38" s="312">
        <v>902.3</v>
      </c>
      <c r="C38" s="172">
        <f t="shared" si="23"/>
        <v>7804.8949999999995</v>
      </c>
      <c r="D38" s="167">
        <f>C38-E38-F38-G38-H38-I38-J38-K38-L38-M38-N38</f>
        <v>4231.374999999999</v>
      </c>
      <c r="E38" s="314">
        <v>412.45</v>
      </c>
      <c r="F38" s="314">
        <v>0</v>
      </c>
      <c r="G38" s="314">
        <v>558.76</v>
      </c>
      <c r="H38" s="314">
        <v>0</v>
      </c>
      <c r="I38" s="314">
        <v>1342.4</v>
      </c>
      <c r="J38" s="314">
        <v>0</v>
      </c>
      <c r="K38" s="314">
        <v>929.94</v>
      </c>
      <c r="L38" s="314">
        <v>0</v>
      </c>
      <c r="M38" s="314">
        <v>329.97</v>
      </c>
      <c r="N38" s="314">
        <v>0</v>
      </c>
      <c r="O38" s="314">
        <v>0</v>
      </c>
      <c r="P38" s="315">
        <v>0</v>
      </c>
      <c r="Q38" s="315"/>
      <c r="R38" s="315"/>
      <c r="S38" s="316">
        <f t="shared" si="25"/>
        <v>3573.5200000000004</v>
      </c>
      <c r="T38" s="317">
        <f t="shared" si="26"/>
        <v>0</v>
      </c>
      <c r="U38" s="316">
        <v>293.1</v>
      </c>
      <c r="V38" s="316">
        <v>396.88</v>
      </c>
      <c r="W38" s="316">
        <v>953.76</v>
      </c>
      <c r="X38" s="316">
        <v>660.63</v>
      </c>
      <c r="Y38" s="316">
        <v>234.5</v>
      </c>
      <c r="Z38" s="319">
        <v>0</v>
      </c>
      <c r="AA38" s="319">
        <v>0</v>
      </c>
      <c r="AB38" s="319">
        <f t="shared" si="41"/>
        <v>2538.87</v>
      </c>
      <c r="AC38" s="320">
        <f t="shared" si="27"/>
        <v>6770.244999999999</v>
      </c>
      <c r="AD38" s="321">
        <f t="shared" si="28"/>
        <v>0</v>
      </c>
      <c r="AE38" s="321">
        <f t="shared" si="29"/>
        <v>0</v>
      </c>
      <c r="AF38" s="321"/>
      <c r="AG38" s="322">
        <f t="shared" si="30"/>
        <v>541.38</v>
      </c>
      <c r="AH38" s="322">
        <f t="shared" si="31"/>
        <v>180.46</v>
      </c>
      <c r="AI38" s="322">
        <f t="shared" si="32"/>
        <v>902.3</v>
      </c>
      <c r="AJ38" s="322">
        <v>0</v>
      </c>
      <c r="AK38" s="322">
        <f t="shared" si="33"/>
        <v>884.2539999999999</v>
      </c>
      <c r="AL38" s="322">
        <v>0</v>
      </c>
      <c r="AM38" s="322">
        <f t="shared" si="34"/>
        <v>2030.175</v>
      </c>
      <c r="AN38" s="322">
        <v>0</v>
      </c>
      <c r="AO38" s="322"/>
      <c r="AP38" s="322"/>
      <c r="AQ38" s="323"/>
      <c r="AR38" s="323"/>
      <c r="AS38" s="324"/>
      <c r="AT38" s="324"/>
      <c r="AU38" s="329">
        <f>0*0.18</f>
        <v>0</v>
      </c>
      <c r="AV38" s="325">
        <v>349</v>
      </c>
      <c r="AW38" s="326">
        <v>0.3</v>
      </c>
      <c r="AX38" s="322">
        <f t="shared" si="36"/>
        <v>146.57999999999998</v>
      </c>
      <c r="AY38" s="132"/>
      <c r="AZ38" s="327"/>
      <c r="BA38" s="327">
        <v>0</v>
      </c>
      <c r="BB38" s="327">
        <f>SUM(AG38:BA38)-AV38-AW38</f>
        <v>4685.148999999999</v>
      </c>
      <c r="BC38" s="328"/>
      <c r="BD38" s="168"/>
      <c r="BE38" s="135">
        <f t="shared" si="39"/>
        <v>2085.0959999999995</v>
      </c>
      <c r="BF38" s="135">
        <f t="shared" si="40"/>
        <v>-1034.6500000000005</v>
      </c>
    </row>
    <row r="39" spans="1:58" ht="12.75" hidden="1">
      <c r="A39" s="171" t="s">
        <v>39</v>
      </c>
      <c r="B39" s="93">
        <v>902.3</v>
      </c>
      <c r="C39" s="172">
        <f t="shared" si="23"/>
        <v>7804.8949999999995</v>
      </c>
      <c r="D39" s="167">
        <f>C39-E39-F39-G39-H39-I39-J39-K39-L39-M39-N39</f>
        <v>4231.3949999999995</v>
      </c>
      <c r="E39" s="104">
        <v>412.45</v>
      </c>
      <c r="F39" s="104">
        <v>0</v>
      </c>
      <c r="G39" s="104">
        <v>558.75</v>
      </c>
      <c r="H39" s="104">
        <v>0</v>
      </c>
      <c r="I39" s="104">
        <v>1342.39</v>
      </c>
      <c r="J39" s="104">
        <v>0</v>
      </c>
      <c r="K39" s="104">
        <v>929.94</v>
      </c>
      <c r="L39" s="104">
        <v>0</v>
      </c>
      <c r="M39" s="104">
        <v>329.97</v>
      </c>
      <c r="N39" s="104">
        <v>0</v>
      </c>
      <c r="O39" s="104">
        <v>0</v>
      </c>
      <c r="P39" s="189">
        <v>0</v>
      </c>
      <c r="Q39" s="189"/>
      <c r="R39" s="189"/>
      <c r="S39" s="94">
        <f t="shared" si="25"/>
        <v>3573.5</v>
      </c>
      <c r="T39" s="124">
        <f t="shared" si="26"/>
        <v>0</v>
      </c>
      <c r="U39" s="94">
        <v>314.26</v>
      </c>
      <c r="V39" s="94">
        <v>425.58</v>
      </c>
      <c r="W39" s="94">
        <v>4022.66</v>
      </c>
      <c r="X39" s="94">
        <v>708.45</v>
      </c>
      <c r="Y39" s="94">
        <v>251.41</v>
      </c>
      <c r="Z39" s="125">
        <v>0</v>
      </c>
      <c r="AA39" s="125">
        <v>0</v>
      </c>
      <c r="AB39" s="125">
        <f t="shared" si="41"/>
        <v>5722.36</v>
      </c>
      <c r="AC39" s="139">
        <f t="shared" si="27"/>
        <v>9953.755</v>
      </c>
      <c r="AD39" s="128">
        <f t="shared" si="28"/>
        <v>0</v>
      </c>
      <c r="AE39" s="128">
        <f t="shared" si="29"/>
        <v>0</v>
      </c>
      <c r="AF39" s="128"/>
      <c r="AG39" s="25">
        <f t="shared" si="30"/>
        <v>541.38</v>
      </c>
      <c r="AH39" s="25">
        <f t="shared" si="31"/>
        <v>180.46</v>
      </c>
      <c r="AI39" s="25">
        <f t="shared" si="32"/>
        <v>902.3</v>
      </c>
      <c r="AJ39" s="25">
        <v>0</v>
      </c>
      <c r="AK39" s="25">
        <f t="shared" si="33"/>
        <v>884.2539999999999</v>
      </c>
      <c r="AL39" s="25">
        <v>0</v>
      </c>
      <c r="AM39" s="25">
        <f t="shared" si="34"/>
        <v>2030.175</v>
      </c>
      <c r="AN39" s="25">
        <v>0</v>
      </c>
      <c r="AO39" s="25"/>
      <c r="AP39" s="25"/>
      <c r="AQ39" s="129"/>
      <c r="AR39" s="129"/>
      <c r="AS39" s="96"/>
      <c r="AT39" s="96"/>
      <c r="AU39" s="96">
        <f>AT39*0.18</f>
        <v>0</v>
      </c>
      <c r="AV39" s="130">
        <v>425</v>
      </c>
      <c r="AW39" s="131">
        <v>0.3</v>
      </c>
      <c r="AX39" s="25">
        <f t="shared" si="36"/>
        <v>178.5</v>
      </c>
      <c r="AY39" s="132"/>
      <c r="AZ39" s="133"/>
      <c r="BA39" s="133">
        <f t="shared" si="37"/>
        <v>0</v>
      </c>
      <c r="BB39" s="133">
        <f>SUM(AG39:BA39)-AV39-AW39</f>
        <v>4717.0689999999995</v>
      </c>
      <c r="BC39" s="134"/>
      <c r="BD39" s="174"/>
      <c r="BE39" s="135">
        <f t="shared" si="39"/>
        <v>5236.686</v>
      </c>
      <c r="BF39" s="135">
        <f t="shared" si="40"/>
        <v>2148.8599999999997</v>
      </c>
    </row>
    <row r="40" spans="1:58" ht="12.75" hidden="1">
      <c r="A40" s="14" t="s">
        <v>40</v>
      </c>
      <c r="B40" s="93">
        <v>902.3</v>
      </c>
      <c r="C40" s="172">
        <f t="shared" si="23"/>
        <v>7804.8949999999995</v>
      </c>
      <c r="D40" s="167">
        <f>C40-E40-F40-G40-H40-I40-J40-K40-L40-M40-N40</f>
        <v>4231.374999999999</v>
      </c>
      <c r="E40" s="103">
        <v>412.45</v>
      </c>
      <c r="F40" s="103">
        <v>0</v>
      </c>
      <c r="G40" s="103">
        <v>558.76</v>
      </c>
      <c r="H40" s="103">
        <v>0</v>
      </c>
      <c r="I40" s="103">
        <v>1342.4</v>
      </c>
      <c r="J40" s="103">
        <v>0</v>
      </c>
      <c r="K40" s="103">
        <v>929.94</v>
      </c>
      <c r="L40" s="103">
        <v>0</v>
      </c>
      <c r="M40" s="103">
        <v>329.97</v>
      </c>
      <c r="N40" s="103">
        <v>0</v>
      </c>
      <c r="O40" s="103">
        <v>0</v>
      </c>
      <c r="P40" s="183">
        <v>0</v>
      </c>
      <c r="Q40" s="183"/>
      <c r="R40" s="183"/>
      <c r="S40" s="94">
        <f t="shared" si="25"/>
        <v>3573.5200000000004</v>
      </c>
      <c r="T40" s="124">
        <f t="shared" si="26"/>
        <v>0</v>
      </c>
      <c r="U40" s="97">
        <v>362.64</v>
      </c>
      <c r="V40" s="94">
        <v>491.26</v>
      </c>
      <c r="W40" s="94">
        <v>1180.25</v>
      </c>
      <c r="X40" s="94">
        <v>817.61</v>
      </c>
      <c r="Y40" s="94">
        <v>290.14</v>
      </c>
      <c r="Z40" s="125">
        <v>0</v>
      </c>
      <c r="AA40" s="125">
        <v>0</v>
      </c>
      <c r="AB40" s="125">
        <f t="shared" si="41"/>
        <v>3141.9</v>
      </c>
      <c r="AC40" s="139">
        <f t="shared" si="27"/>
        <v>7373.275</v>
      </c>
      <c r="AD40" s="128">
        <f t="shared" si="28"/>
        <v>0</v>
      </c>
      <c r="AE40" s="128">
        <f t="shared" si="29"/>
        <v>0</v>
      </c>
      <c r="AF40" s="128"/>
      <c r="AG40" s="25">
        <f t="shared" si="30"/>
        <v>541.38</v>
      </c>
      <c r="AH40" s="25">
        <f t="shared" si="31"/>
        <v>180.46</v>
      </c>
      <c r="AI40" s="25">
        <f t="shared" si="32"/>
        <v>902.3</v>
      </c>
      <c r="AJ40" s="25">
        <v>0</v>
      </c>
      <c r="AK40" s="25">
        <f t="shared" si="33"/>
        <v>884.2539999999999</v>
      </c>
      <c r="AL40" s="25">
        <v>0</v>
      </c>
      <c r="AM40" s="25">
        <f t="shared" si="34"/>
        <v>2030.175</v>
      </c>
      <c r="AN40" s="25">
        <v>0</v>
      </c>
      <c r="AO40" s="25"/>
      <c r="AP40" s="25"/>
      <c r="AQ40" s="129"/>
      <c r="AR40" s="129"/>
      <c r="AS40" s="96"/>
      <c r="AT40" s="96"/>
      <c r="AU40" s="96">
        <f>AT40*0.18</f>
        <v>0</v>
      </c>
      <c r="AV40" s="130">
        <v>470</v>
      </c>
      <c r="AW40" s="131">
        <v>0.3</v>
      </c>
      <c r="AX40" s="25">
        <f t="shared" si="36"/>
        <v>197.39999999999998</v>
      </c>
      <c r="AY40" s="132"/>
      <c r="AZ40" s="133"/>
      <c r="BA40" s="133">
        <f t="shared" si="37"/>
        <v>0</v>
      </c>
      <c r="BB40" s="133">
        <f t="shared" si="38"/>
        <v>4735.968999999999</v>
      </c>
      <c r="BC40" s="134"/>
      <c r="BD40" s="65"/>
      <c r="BE40" s="135">
        <f t="shared" si="39"/>
        <v>2637.3060000000005</v>
      </c>
      <c r="BF40" s="135">
        <f t="shared" si="40"/>
        <v>-431.62000000000035</v>
      </c>
    </row>
    <row r="41" spans="1:58" s="137" customFormat="1" ht="12.75" hidden="1">
      <c r="A41" s="121" t="s">
        <v>41</v>
      </c>
      <c r="B41" s="93">
        <v>902.3</v>
      </c>
      <c r="C41" s="172">
        <f t="shared" si="23"/>
        <v>7804.8949999999995</v>
      </c>
      <c r="D41" s="167">
        <f>C41-E41-F41-G41-H41-I41-J41-K41-L41-M41-N41</f>
        <v>4231.374999999999</v>
      </c>
      <c r="E41" s="103">
        <v>412.45</v>
      </c>
      <c r="F41" s="103">
        <v>0</v>
      </c>
      <c r="G41" s="103">
        <v>558.76</v>
      </c>
      <c r="H41" s="103">
        <v>0</v>
      </c>
      <c r="I41" s="103">
        <v>1342.4</v>
      </c>
      <c r="J41" s="103">
        <v>0</v>
      </c>
      <c r="K41" s="103">
        <v>929.94</v>
      </c>
      <c r="L41" s="103">
        <v>0</v>
      </c>
      <c r="M41" s="103">
        <v>329.97</v>
      </c>
      <c r="N41" s="103">
        <v>0</v>
      </c>
      <c r="O41" s="103">
        <v>0</v>
      </c>
      <c r="P41" s="183">
        <v>0</v>
      </c>
      <c r="Q41" s="183"/>
      <c r="R41" s="183"/>
      <c r="S41" s="94">
        <f t="shared" si="25"/>
        <v>3573.5200000000004</v>
      </c>
      <c r="T41" s="124">
        <f t="shared" si="26"/>
        <v>0</v>
      </c>
      <c r="U41" s="94">
        <v>389.64</v>
      </c>
      <c r="V41" s="94">
        <v>527.74</v>
      </c>
      <c r="W41" s="94">
        <v>3683.9</v>
      </c>
      <c r="X41" s="94">
        <v>878.4</v>
      </c>
      <c r="Y41" s="94">
        <v>311.72</v>
      </c>
      <c r="Z41" s="125">
        <v>0</v>
      </c>
      <c r="AA41" s="125">
        <v>0</v>
      </c>
      <c r="AB41" s="125">
        <f t="shared" si="41"/>
        <v>5791.4</v>
      </c>
      <c r="AC41" s="139">
        <f t="shared" si="27"/>
        <v>10022.774999999998</v>
      </c>
      <c r="AD41" s="128">
        <f t="shared" si="28"/>
        <v>0</v>
      </c>
      <c r="AE41" s="128">
        <f t="shared" si="29"/>
        <v>0</v>
      </c>
      <c r="AF41" s="128"/>
      <c r="AG41" s="25">
        <f t="shared" si="30"/>
        <v>541.38</v>
      </c>
      <c r="AH41" s="25">
        <f t="shared" si="31"/>
        <v>180.46</v>
      </c>
      <c r="AI41" s="25">
        <f t="shared" si="32"/>
        <v>902.3</v>
      </c>
      <c r="AJ41" s="25">
        <v>0</v>
      </c>
      <c r="AK41" s="25">
        <f t="shared" si="33"/>
        <v>884.2539999999999</v>
      </c>
      <c r="AL41" s="25">
        <v>0</v>
      </c>
      <c r="AM41" s="25">
        <f t="shared" si="34"/>
        <v>2030.175</v>
      </c>
      <c r="AN41" s="25">
        <v>0</v>
      </c>
      <c r="AO41" s="25"/>
      <c r="AP41" s="25"/>
      <c r="AQ41" s="129"/>
      <c r="AR41" s="129"/>
      <c r="AS41" s="96"/>
      <c r="AT41" s="96"/>
      <c r="AU41" s="96">
        <f>AT41*0.18</f>
        <v>0</v>
      </c>
      <c r="AV41" s="130">
        <v>514</v>
      </c>
      <c r="AW41" s="131">
        <v>0.3</v>
      </c>
      <c r="AX41" s="25">
        <f t="shared" si="36"/>
        <v>215.87999999999997</v>
      </c>
      <c r="AY41" s="132"/>
      <c r="AZ41" s="133"/>
      <c r="BA41" s="133">
        <f t="shared" si="37"/>
        <v>0</v>
      </c>
      <c r="BB41" s="133">
        <f t="shared" si="38"/>
        <v>4754.449</v>
      </c>
      <c r="BC41" s="134"/>
      <c r="BD41" s="92"/>
      <c r="BE41" s="135">
        <f t="shared" si="39"/>
        <v>5268.325999999998</v>
      </c>
      <c r="BF41" s="135">
        <f t="shared" si="40"/>
        <v>2217.879999999999</v>
      </c>
    </row>
    <row r="42" spans="1:58" s="24" customFormat="1" ht="12.75" hidden="1">
      <c r="A42" s="19" t="s">
        <v>3</v>
      </c>
      <c r="B42" s="20"/>
      <c r="C42" s="20">
        <f>SUM(C30:C41)</f>
        <v>93658.74</v>
      </c>
      <c r="D42" s="20">
        <f aca="true" t="shared" si="42" ref="D42:BF42">SUM(D30:D41)</f>
        <v>68267.31999999999</v>
      </c>
      <c r="E42" s="20">
        <f t="shared" si="42"/>
        <v>4689.589999999999</v>
      </c>
      <c r="F42" s="20">
        <f t="shared" si="42"/>
        <v>260.94</v>
      </c>
      <c r="G42" s="20">
        <f t="shared" si="42"/>
        <v>6352.870000000002</v>
      </c>
      <c r="H42" s="20">
        <f t="shared" si="42"/>
        <v>353.64</v>
      </c>
      <c r="I42" s="20">
        <f t="shared" si="42"/>
        <v>15262.809999999998</v>
      </c>
      <c r="J42" s="20">
        <f t="shared" si="42"/>
        <v>849.4199999999998</v>
      </c>
      <c r="K42" s="20">
        <f t="shared" si="42"/>
        <v>10573.210000000003</v>
      </c>
      <c r="L42" s="20">
        <f t="shared" si="42"/>
        <v>588.48</v>
      </c>
      <c r="M42" s="20">
        <f t="shared" si="42"/>
        <v>3751.720000000001</v>
      </c>
      <c r="N42" s="20">
        <f t="shared" si="42"/>
        <v>208.73999999999998</v>
      </c>
      <c r="O42" s="20">
        <f t="shared" si="42"/>
        <v>0</v>
      </c>
      <c r="P42" s="20">
        <f t="shared" si="42"/>
        <v>0</v>
      </c>
      <c r="Q42" s="20">
        <f t="shared" si="42"/>
        <v>0</v>
      </c>
      <c r="R42" s="20">
        <f t="shared" si="42"/>
        <v>0</v>
      </c>
      <c r="S42" s="20">
        <f t="shared" si="42"/>
        <v>40630.20000000001</v>
      </c>
      <c r="T42" s="20">
        <f t="shared" si="42"/>
        <v>2261.22</v>
      </c>
      <c r="U42" s="20">
        <f t="shared" si="42"/>
        <v>3467.8199999999997</v>
      </c>
      <c r="V42" s="20">
        <f t="shared" si="42"/>
        <v>4695.87</v>
      </c>
      <c r="W42" s="20">
        <f t="shared" si="42"/>
        <v>16700.460000000003</v>
      </c>
      <c r="X42" s="20">
        <f t="shared" si="42"/>
        <v>7816.7699999999995</v>
      </c>
      <c r="Y42" s="20">
        <f t="shared" si="42"/>
        <v>2774.3499999999995</v>
      </c>
      <c r="Z42" s="20">
        <f t="shared" si="42"/>
        <v>0</v>
      </c>
      <c r="AA42" s="20">
        <f t="shared" si="42"/>
        <v>0</v>
      </c>
      <c r="AB42" s="20">
        <f t="shared" si="42"/>
        <v>35455.27</v>
      </c>
      <c r="AC42" s="20">
        <f t="shared" si="42"/>
        <v>105983.81</v>
      </c>
      <c r="AD42" s="20">
        <f t="shared" si="42"/>
        <v>0</v>
      </c>
      <c r="AE42" s="20">
        <f t="shared" si="42"/>
        <v>0</v>
      </c>
      <c r="AF42" s="20">
        <f t="shared" si="42"/>
        <v>0</v>
      </c>
      <c r="AG42" s="20">
        <f t="shared" si="42"/>
        <v>6496.56</v>
      </c>
      <c r="AH42" s="20">
        <f t="shared" si="42"/>
        <v>2165.52</v>
      </c>
      <c r="AI42" s="20">
        <f t="shared" si="42"/>
        <v>10827.599999999999</v>
      </c>
      <c r="AJ42" s="20">
        <f t="shared" si="42"/>
        <v>0</v>
      </c>
      <c r="AK42" s="20">
        <f t="shared" si="42"/>
        <v>10611.047999999999</v>
      </c>
      <c r="AL42" s="20">
        <f t="shared" si="42"/>
        <v>0</v>
      </c>
      <c r="AM42" s="20">
        <f t="shared" si="42"/>
        <v>24362.099999999995</v>
      </c>
      <c r="AN42" s="20">
        <f t="shared" si="42"/>
        <v>0</v>
      </c>
      <c r="AO42" s="20">
        <f t="shared" si="42"/>
        <v>0</v>
      </c>
      <c r="AP42" s="20">
        <f t="shared" si="42"/>
        <v>0</v>
      </c>
      <c r="AQ42" s="175">
        <f t="shared" si="42"/>
        <v>0</v>
      </c>
      <c r="AR42" s="175">
        <f t="shared" si="42"/>
        <v>0</v>
      </c>
      <c r="AS42" s="21">
        <f t="shared" si="42"/>
        <v>26920</v>
      </c>
      <c r="AT42" s="21">
        <f t="shared" si="42"/>
        <v>40829.380000000005</v>
      </c>
      <c r="AU42" s="21">
        <f t="shared" si="42"/>
        <v>80.847</v>
      </c>
      <c r="AV42" s="20">
        <f t="shared" si="42"/>
        <v>4400</v>
      </c>
      <c r="AW42" s="20">
        <f t="shared" si="42"/>
        <v>3.599999999999999</v>
      </c>
      <c r="AX42" s="20">
        <f t="shared" si="42"/>
        <v>1847.9999999999998</v>
      </c>
      <c r="AY42" s="20">
        <f t="shared" si="42"/>
        <v>0</v>
      </c>
      <c r="AZ42" s="20">
        <f t="shared" si="42"/>
        <v>0</v>
      </c>
      <c r="BA42" s="20">
        <f t="shared" si="42"/>
        <v>0</v>
      </c>
      <c r="BB42" s="20">
        <f t="shared" si="42"/>
        <v>124141.05500000001</v>
      </c>
      <c r="BC42" s="20">
        <f t="shared" si="42"/>
        <v>0</v>
      </c>
      <c r="BD42" s="20">
        <f t="shared" si="42"/>
        <v>0</v>
      </c>
      <c r="BE42" s="20">
        <f t="shared" si="42"/>
        <v>-18157.245000000003</v>
      </c>
      <c r="BF42" s="176">
        <f t="shared" si="42"/>
        <v>-5174.930000000004</v>
      </c>
    </row>
    <row r="43" spans="1:58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6"/>
      <c r="AE43" s="106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88"/>
      <c r="AQ43" s="177"/>
      <c r="AR43" s="177"/>
      <c r="AS43" s="88"/>
      <c r="AT43" s="88"/>
      <c r="AU43" s="88"/>
      <c r="AV43" s="23"/>
      <c r="AW43" s="23"/>
      <c r="AX43" s="99"/>
      <c r="AY43" s="61"/>
      <c r="AZ43" s="61"/>
      <c r="BA43" s="61"/>
      <c r="BB43" s="61"/>
      <c r="BC43" s="61"/>
      <c r="BD43" s="61"/>
      <c r="BE43" s="61"/>
      <c r="BF43" s="178"/>
    </row>
    <row r="44" spans="1:58" s="24" customFormat="1" ht="13.5" thickBot="1">
      <c r="A44" s="27" t="s">
        <v>52</v>
      </c>
      <c r="B44" s="28"/>
      <c r="C44" s="28">
        <f>C28+C42</f>
        <v>210732.165</v>
      </c>
      <c r="D44" s="28">
        <f aca="true" t="shared" si="43" ref="D44:BF44">D28+D42</f>
        <v>111611.78022844999</v>
      </c>
      <c r="E44" s="28">
        <f t="shared" si="43"/>
        <v>10031.7</v>
      </c>
      <c r="F44" s="28">
        <f t="shared" si="43"/>
        <v>845.1500000000001</v>
      </c>
      <c r="G44" s="28">
        <f t="shared" si="43"/>
        <v>13578.260000000002</v>
      </c>
      <c r="H44" s="28">
        <f t="shared" si="43"/>
        <v>1144.1399999999999</v>
      </c>
      <c r="I44" s="28">
        <f t="shared" si="43"/>
        <v>32637.959999999995</v>
      </c>
      <c r="J44" s="28">
        <f t="shared" si="43"/>
        <v>2749.99</v>
      </c>
      <c r="K44" s="28">
        <f t="shared" si="43"/>
        <v>22605.250000000004</v>
      </c>
      <c r="L44" s="28">
        <f t="shared" si="43"/>
        <v>1904.8200000000002</v>
      </c>
      <c r="M44" s="28">
        <f t="shared" si="43"/>
        <v>8025.260000000002</v>
      </c>
      <c r="N44" s="28">
        <f t="shared" si="43"/>
        <v>676.1700000000001</v>
      </c>
      <c r="O44" s="28">
        <f t="shared" si="43"/>
        <v>0</v>
      </c>
      <c r="P44" s="28">
        <f t="shared" si="43"/>
        <v>0</v>
      </c>
      <c r="Q44" s="28">
        <f t="shared" si="43"/>
        <v>0</v>
      </c>
      <c r="R44" s="28">
        <f t="shared" si="43"/>
        <v>0</v>
      </c>
      <c r="S44" s="28">
        <f t="shared" si="43"/>
        <v>86878.43000000001</v>
      </c>
      <c r="T44" s="28">
        <f t="shared" si="43"/>
        <v>7320.269999999999</v>
      </c>
      <c r="U44" s="28">
        <f t="shared" si="43"/>
        <v>7418.9400000000005</v>
      </c>
      <c r="V44" s="28">
        <f t="shared" si="43"/>
        <v>10038.46</v>
      </c>
      <c r="W44" s="28">
        <f t="shared" si="43"/>
        <v>29550.04</v>
      </c>
      <c r="X44" s="28">
        <f t="shared" si="43"/>
        <v>16715.17</v>
      </c>
      <c r="Y44" s="28">
        <f t="shared" si="43"/>
        <v>5935.11</v>
      </c>
      <c r="Z44" s="28">
        <f t="shared" si="43"/>
        <v>0</v>
      </c>
      <c r="AA44" s="28">
        <f t="shared" si="43"/>
        <v>0</v>
      </c>
      <c r="AB44" s="28">
        <f t="shared" si="43"/>
        <v>69657.72</v>
      </c>
      <c r="AC44" s="28">
        <f t="shared" si="43"/>
        <v>188589.77022845</v>
      </c>
      <c r="AD44" s="28">
        <f t="shared" si="43"/>
        <v>0</v>
      </c>
      <c r="AE44" s="28">
        <f t="shared" si="43"/>
        <v>0</v>
      </c>
      <c r="AF44" s="28">
        <f t="shared" si="43"/>
        <v>0</v>
      </c>
      <c r="AG44" s="28">
        <f t="shared" si="43"/>
        <v>14400.708000000002</v>
      </c>
      <c r="AH44" s="28">
        <f t="shared" si="43"/>
        <v>4825.392951600001</v>
      </c>
      <c r="AI44" s="28">
        <f t="shared" si="43"/>
        <v>21909.733792649997</v>
      </c>
      <c r="AJ44" s="28">
        <f t="shared" si="43"/>
        <v>1994.7840826769998</v>
      </c>
      <c r="AK44" s="28">
        <f t="shared" si="43"/>
        <v>21825.568225649993</v>
      </c>
      <c r="AL44" s="28">
        <f t="shared" si="43"/>
        <v>2018.6136406169994</v>
      </c>
      <c r="AM44" s="28">
        <f t="shared" si="43"/>
        <v>48920.02622405559</v>
      </c>
      <c r="AN44" s="28">
        <f t="shared" si="43"/>
        <v>4420.426720330006</v>
      </c>
      <c r="AO44" s="28">
        <f t="shared" si="43"/>
        <v>0</v>
      </c>
      <c r="AP44" s="28">
        <f t="shared" si="43"/>
        <v>0</v>
      </c>
      <c r="AQ44" s="179">
        <f t="shared" si="43"/>
        <v>0</v>
      </c>
      <c r="AR44" s="179">
        <f t="shared" si="43"/>
        <v>0</v>
      </c>
      <c r="AS44" s="180">
        <f t="shared" si="43"/>
        <v>38089.83</v>
      </c>
      <c r="AT44" s="180">
        <f t="shared" si="43"/>
        <v>40829.380000000005</v>
      </c>
      <c r="AU44" s="180">
        <f t="shared" si="43"/>
        <v>2091.4164</v>
      </c>
      <c r="AV44" s="28"/>
      <c r="AW44" s="28"/>
      <c r="AX44" s="28">
        <f t="shared" si="43"/>
        <v>3592.5116</v>
      </c>
      <c r="AY44" s="28">
        <f t="shared" si="43"/>
        <v>0</v>
      </c>
      <c r="AZ44" s="28">
        <f t="shared" si="43"/>
        <v>0</v>
      </c>
      <c r="BA44" s="28">
        <f t="shared" si="43"/>
        <v>0</v>
      </c>
      <c r="BB44" s="28">
        <f t="shared" si="43"/>
        <v>204918.3916375796</v>
      </c>
      <c r="BC44" s="28">
        <f t="shared" si="43"/>
        <v>0</v>
      </c>
      <c r="BD44" s="28">
        <f t="shared" si="43"/>
        <v>74120.06777572358</v>
      </c>
      <c r="BE44" s="28">
        <f t="shared" si="43"/>
        <v>-16328.621409129597</v>
      </c>
      <c r="BF44" s="28">
        <f t="shared" si="43"/>
        <v>-17220.710000000003</v>
      </c>
    </row>
  </sheetData>
  <sheetProtection/>
  <mergeCells count="67">
    <mergeCell ref="BE3:BE6"/>
    <mergeCell ref="AG5:AG6"/>
    <mergeCell ref="AH5:AH6"/>
    <mergeCell ref="AI5:AI6"/>
    <mergeCell ref="AJ5:AJ6"/>
    <mergeCell ref="AK5:AK6"/>
    <mergeCell ref="AL5:AL6"/>
    <mergeCell ref="AS5:AS6"/>
    <mergeCell ref="AT5:AT6"/>
    <mergeCell ref="AO5:AO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Q3:R4"/>
    <mergeCell ref="AF3:AF6"/>
    <mergeCell ref="S3:T4"/>
    <mergeCell ref="U3:AB4"/>
    <mergeCell ref="AC3:AC6"/>
    <mergeCell ref="AD3:AD6"/>
    <mergeCell ref="T5:T6"/>
    <mergeCell ref="U5:U6"/>
    <mergeCell ref="E3:F4"/>
    <mergeCell ref="G3:H4"/>
    <mergeCell ref="I3:J4"/>
    <mergeCell ref="K3:L4"/>
    <mergeCell ref="M3:N4"/>
    <mergeCell ref="O3:P4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J5:J6"/>
    <mergeCell ref="K5:K6"/>
    <mergeCell ref="L5:L6"/>
    <mergeCell ref="M5:M6"/>
    <mergeCell ref="R5:R6"/>
    <mergeCell ref="S5:S6"/>
    <mergeCell ref="Z5:Z6"/>
    <mergeCell ref="AA5:AA6"/>
    <mergeCell ref="V5:V6"/>
    <mergeCell ref="W5:W6"/>
    <mergeCell ref="X5:X6"/>
    <mergeCell ref="Y5:Y6"/>
    <mergeCell ref="AP5:AP6"/>
    <mergeCell ref="AQ5:AQ6"/>
    <mergeCell ref="AR5:AR6"/>
    <mergeCell ref="AB5:AB6"/>
    <mergeCell ref="AE3:AE6"/>
    <mergeCell ref="AM5:AM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5">
      <selection activeCell="E67" sqref="E67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289" t="s">
        <v>76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1:15" ht="12.75">
      <c r="A7" s="311" t="s">
        <v>93</v>
      </c>
      <c r="B7" s="311"/>
      <c r="C7" s="311"/>
      <c r="D7" s="311"/>
      <c r="E7" s="311"/>
      <c r="F7" s="311"/>
      <c r="G7" s="311"/>
      <c r="H7" s="105"/>
      <c r="I7" s="105"/>
      <c r="J7" s="105"/>
      <c r="K7" s="105"/>
      <c r="L7" s="105"/>
      <c r="M7" s="105"/>
      <c r="N7" s="105"/>
      <c r="O7" s="105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290" t="s">
        <v>56</v>
      </c>
      <c r="B10" s="293" t="s">
        <v>0</v>
      </c>
      <c r="C10" s="296" t="s">
        <v>57</v>
      </c>
      <c r="D10" s="299" t="s">
        <v>2</v>
      </c>
      <c r="E10" s="302" t="s">
        <v>58</v>
      </c>
      <c r="F10" s="230"/>
      <c r="G10" s="282" t="s">
        <v>73</v>
      </c>
      <c r="H10" s="282"/>
      <c r="I10" s="305" t="s">
        <v>8</v>
      </c>
      <c r="J10" s="306"/>
      <c r="K10" s="306"/>
      <c r="L10" s="306"/>
      <c r="M10" s="306"/>
      <c r="N10" s="307"/>
      <c r="O10" s="272" t="s">
        <v>59</v>
      </c>
      <c r="P10" s="272" t="s">
        <v>10</v>
      </c>
    </row>
    <row r="11" spans="1:16" ht="12.75">
      <c r="A11" s="291"/>
      <c r="B11" s="294"/>
      <c r="C11" s="297"/>
      <c r="D11" s="300"/>
      <c r="E11" s="303"/>
      <c r="F11" s="304"/>
      <c r="G11" s="283"/>
      <c r="H11" s="283"/>
      <c r="I11" s="308"/>
      <c r="J11" s="309"/>
      <c r="K11" s="309"/>
      <c r="L11" s="309"/>
      <c r="M11" s="309"/>
      <c r="N11" s="310"/>
      <c r="O11" s="273"/>
      <c r="P11" s="273"/>
    </row>
    <row r="12" spans="1:16" ht="26.25" customHeight="1">
      <c r="A12" s="291"/>
      <c r="B12" s="294"/>
      <c r="C12" s="297"/>
      <c r="D12" s="300"/>
      <c r="E12" s="275" t="s">
        <v>60</v>
      </c>
      <c r="F12" s="235"/>
      <c r="G12" s="33" t="s">
        <v>61</v>
      </c>
      <c r="H12" s="276" t="s">
        <v>5</v>
      </c>
      <c r="I12" s="278" t="s">
        <v>62</v>
      </c>
      <c r="J12" s="280" t="s">
        <v>30</v>
      </c>
      <c r="K12" s="280" t="s">
        <v>63</v>
      </c>
      <c r="L12" s="280" t="s">
        <v>35</v>
      </c>
      <c r="M12" s="280" t="s">
        <v>64</v>
      </c>
      <c r="N12" s="287" t="s">
        <v>37</v>
      </c>
      <c r="O12" s="273"/>
      <c r="P12" s="273"/>
    </row>
    <row r="13" spans="1:16" ht="66.75" customHeight="1" thickBot="1">
      <c r="A13" s="292"/>
      <c r="B13" s="295"/>
      <c r="C13" s="298"/>
      <c r="D13" s="301"/>
      <c r="E13" s="34" t="s">
        <v>65</v>
      </c>
      <c r="F13" s="35" t="s">
        <v>19</v>
      </c>
      <c r="G13" s="36" t="s">
        <v>74</v>
      </c>
      <c r="H13" s="277"/>
      <c r="I13" s="279"/>
      <c r="J13" s="281"/>
      <c r="K13" s="281"/>
      <c r="L13" s="281"/>
      <c r="M13" s="281"/>
      <c r="N13" s="288"/>
      <c r="O13" s="274"/>
      <c r="P13" s="274"/>
    </row>
    <row r="14" spans="1:16" ht="13.5" thickBot="1">
      <c r="A14" s="37">
        <v>1</v>
      </c>
      <c r="B14" s="38">
        <v>2</v>
      </c>
      <c r="C14" s="39">
        <v>3</v>
      </c>
      <c r="D14" s="37">
        <v>4</v>
      </c>
      <c r="E14" s="38">
        <v>5</v>
      </c>
      <c r="F14" s="40">
        <v>6</v>
      </c>
      <c r="G14" s="41">
        <v>7</v>
      </c>
      <c r="H14" s="39">
        <v>8</v>
      </c>
      <c r="I14" s="37">
        <v>9</v>
      </c>
      <c r="J14" s="38">
        <v>10</v>
      </c>
      <c r="K14" s="38">
        <v>11</v>
      </c>
      <c r="L14" s="38">
        <v>12</v>
      </c>
      <c r="M14" s="38">
        <v>13</v>
      </c>
      <c r="N14" s="40">
        <v>14</v>
      </c>
      <c r="O14" s="42">
        <v>15</v>
      </c>
      <c r="P14" s="42">
        <v>16</v>
      </c>
    </row>
    <row r="15" spans="1:16" ht="12.75" hidden="1">
      <c r="A15" s="8" t="s">
        <v>38</v>
      </c>
      <c r="B15" s="9"/>
      <c r="C15" s="32"/>
      <c r="D15" s="8"/>
      <c r="E15" s="9"/>
      <c r="F15" s="11"/>
      <c r="G15" s="43"/>
      <c r="H15" s="32"/>
      <c r="I15" s="8"/>
      <c r="J15" s="9"/>
      <c r="K15" s="9"/>
      <c r="L15" s="9"/>
      <c r="M15" s="9"/>
      <c r="N15" s="11"/>
      <c r="O15" s="44"/>
      <c r="P15" s="45"/>
    </row>
    <row r="16" spans="1:16" ht="12.75" hidden="1">
      <c r="A16" s="14" t="s">
        <v>39</v>
      </c>
      <c r="B16" s="15">
        <f>Лист1!B9</f>
        <v>902.3</v>
      </c>
      <c r="C16" s="46">
        <f>Лист1!C9</f>
        <v>7804.8949999999995</v>
      </c>
      <c r="D16" s="47">
        <f>Лист1!D9</f>
        <v>1880.0431076</v>
      </c>
      <c r="E16" s="16">
        <f>Лист1!S9</f>
        <v>5934.24</v>
      </c>
      <c r="F16" s="18">
        <f>Лист1!T9</f>
        <v>597.0799999999999</v>
      </c>
      <c r="G16" s="48">
        <f>Лист1!AB9</f>
        <v>0</v>
      </c>
      <c r="H16" s="107">
        <f>Лист1!AC9</f>
        <v>2477.1231076</v>
      </c>
      <c r="I16" s="49">
        <f>Лист1!AG9</f>
        <v>541.38</v>
      </c>
      <c r="J16" s="16">
        <f>Лист1!AI9+Лист1!AJ9</f>
        <v>906.9233852</v>
      </c>
      <c r="K16" s="16">
        <f>Лист1!AH9+Лист1!AK9+Лист1!AL9+Лист1!AM9+Лист1!AN9+Лист1!AO9+Лист1!AP9+Лист1!AQ9+Лист1!AR9</f>
        <v>3184.5713941299996</v>
      </c>
      <c r="L16" s="17">
        <f>Лист1!AS9+Лист1!AT9+Лист1!AU9</f>
        <v>0</v>
      </c>
      <c r="M16" s="17">
        <f>Лист1!AX9</f>
        <v>0</v>
      </c>
      <c r="N16" s="108">
        <f>Лист1!BB9</f>
        <v>4632.87477933</v>
      </c>
      <c r="O16" s="50">
        <f>Лист1!BE9</f>
        <v>-2155.75167173</v>
      </c>
      <c r="P16" s="50">
        <f>Лист1!BF9</f>
        <v>-5934.24</v>
      </c>
    </row>
    <row r="17" spans="1:16" ht="12.75" hidden="1">
      <c r="A17" s="14" t="s">
        <v>40</v>
      </c>
      <c r="B17" s="15">
        <f>Лист1!B10</f>
        <v>902.3</v>
      </c>
      <c r="C17" s="46">
        <f>Лист1!C10</f>
        <v>7804.8949999999995</v>
      </c>
      <c r="D17" s="47">
        <f>Лист1!D10</f>
        <v>1880.0431076</v>
      </c>
      <c r="E17" s="16">
        <f>Лист1!S10</f>
        <v>-4.5200000000000005</v>
      </c>
      <c r="F17" s="18">
        <f>Лист1!T10</f>
        <v>0.019999999999999997</v>
      </c>
      <c r="G17" s="48">
        <f>Лист1!AB10</f>
        <v>3112.2</v>
      </c>
      <c r="H17" s="107">
        <f>Лист1!AC10</f>
        <v>4992.2631076</v>
      </c>
      <c r="I17" s="49">
        <f>Лист1!AG10</f>
        <v>541.38</v>
      </c>
      <c r="J17" s="16">
        <f>Лист1!AI10+Лист1!AJ10</f>
        <v>906.9233852</v>
      </c>
      <c r="K17" s="16">
        <f>Лист1!AH10+Лист1!AK10+Лист1!AL10+Лист1!AM10+Лист1!AN10+Лист1!AO10+Лист1!AP10+Лист1!AQ10+Лист1!AR10</f>
        <v>3174.9600945299994</v>
      </c>
      <c r="L17" s="17">
        <f>Лист1!AS10+Лист1!AT10+Лист1!AU10</f>
        <v>555.78</v>
      </c>
      <c r="M17" s="17">
        <f>Лист1!AX10</f>
        <v>0</v>
      </c>
      <c r="N17" s="108">
        <f>Лист1!BB10</f>
        <v>5179.0434797299995</v>
      </c>
      <c r="O17" s="50">
        <f>Лист1!BE10</f>
        <v>-186.7803721299997</v>
      </c>
      <c r="P17" s="50">
        <f>Лист1!BF10</f>
        <v>3116.72</v>
      </c>
    </row>
    <row r="18" spans="1:18" ht="13.5" hidden="1" thickBot="1">
      <c r="A18" s="51" t="s">
        <v>41</v>
      </c>
      <c r="B18" s="76">
        <f>Лист1!B11</f>
        <v>902.3</v>
      </c>
      <c r="C18" s="52">
        <f>Лист1!C11</f>
        <v>7804.8949999999995</v>
      </c>
      <c r="D18" s="77">
        <f>Лист1!D11</f>
        <v>1875.90651325</v>
      </c>
      <c r="E18" s="78">
        <f>Лист1!S11</f>
        <v>2947.05</v>
      </c>
      <c r="F18" s="80">
        <f>Лист1!T11</f>
        <v>298.54999999999995</v>
      </c>
      <c r="G18" s="79">
        <f>Лист1!AB11</f>
        <v>1700.66</v>
      </c>
      <c r="H18" s="109">
        <f>Лист1!AC11</f>
        <v>3875.11651325</v>
      </c>
      <c r="I18" s="49">
        <f>Лист1!AG11</f>
        <v>541.38</v>
      </c>
      <c r="J18" s="16">
        <f>Лист1!AI11+Лист1!AJ11</f>
        <v>904.2828944799999</v>
      </c>
      <c r="K18" s="16">
        <f>Лист1!AH11+Лист1!AK11+Лист1!AL11+Лист1!AM11+Лист1!AN11+Лист1!AO11+Лист1!AP11+Лист1!AQ11+Лист1!AR11</f>
        <v>3169.9122944789992</v>
      </c>
      <c r="L18" s="17">
        <f>Лист1!AS11+Лист1!AT11+Лист1!AU11</f>
        <v>0</v>
      </c>
      <c r="M18" s="17">
        <f>Лист1!AX11</f>
        <v>0</v>
      </c>
      <c r="N18" s="108">
        <f>Лист1!BB11</f>
        <v>4615.575188959</v>
      </c>
      <c r="O18" s="50">
        <f>Лист1!BE11</f>
        <v>-740.4586757090001</v>
      </c>
      <c r="P18" s="50">
        <f>Лист1!BF11</f>
        <v>-1246.39</v>
      </c>
      <c r="Q18" s="1"/>
      <c r="R18" s="1"/>
    </row>
    <row r="19" spans="1:18" s="24" customFormat="1" ht="13.5" hidden="1" thickBot="1">
      <c r="A19" s="53" t="s">
        <v>3</v>
      </c>
      <c r="B19" s="84"/>
      <c r="C19" s="85">
        <f>SUM(C16:C18)</f>
        <v>23414.684999999998</v>
      </c>
      <c r="D19" s="91">
        <f aca="true" t="shared" si="0" ref="D19:P19">SUM(D16:D18)</f>
        <v>5635.99272845</v>
      </c>
      <c r="E19" s="85">
        <f t="shared" si="0"/>
        <v>8876.77</v>
      </c>
      <c r="F19" s="86">
        <f t="shared" si="0"/>
        <v>895.6499999999999</v>
      </c>
      <c r="G19" s="90">
        <f t="shared" si="0"/>
        <v>4812.86</v>
      </c>
      <c r="H19" s="85">
        <f t="shared" si="0"/>
        <v>11344.50272845</v>
      </c>
      <c r="I19" s="85">
        <f t="shared" si="0"/>
        <v>1624.1399999999999</v>
      </c>
      <c r="J19" s="85">
        <f t="shared" si="0"/>
        <v>2718.12966488</v>
      </c>
      <c r="K19" s="85">
        <f t="shared" si="0"/>
        <v>9529.443783138999</v>
      </c>
      <c r="L19" s="85">
        <f t="shared" si="0"/>
        <v>555.78</v>
      </c>
      <c r="M19" s="85">
        <f t="shared" si="0"/>
        <v>0</v>
      </c>
      <c r="N19" s="85">
        <f t="shared" si="0"/>
        <v>14427.493448018999</v>
      </c>
      <c r="O19" s="85">
        <f t="shared" si="0"/>
        <v>-3082.990719569</v>
      </c>
      <c r="P19" s="86">
        <f t="shared" si="0"/>
        <v>-4063.91</v>
      </c>
      <c r="Q19" s="60"/>
      <c r="R19" s="61"/>
    </row>
    <row r="20" spans="1:18" ht="12.75" hidden="1">
      <c r="A20" s="8" t="s">
        <v>42</v>
      </c>
      <c r="B20" s="81"/>
      <c r="C20" s="62"/>
      <c r="D20" s="63"/>
      <c r="E20" s="64"/>
      <c r="F20" s="65"/>
      <c r="G20" s="66"/>
      <c r="H20" s="110"/>
      <c r="I20" s="67"/>
      <c r="J20" s="64"/>
      <c r="K20" s="64"/>
      <c r="L20" s="82"/>
      <c r="M20" s="82"/>
      <c r="N20" s="111"/>
      <c r="O20" s="83"/>
      <c r="P20" s="83"/>
      <c r="Q20" s="1"/>
      <c r="R20" s="1"/>
    </row>
    <row r="21" spans="1:18" ht="12.75" hidden="1">
      <c r="A21" s="14" t="s">
        <v>43</v>
      </c>
      <c r="B21" s="15">
        <f>Лист1!B14</f>
        <v>902.3</v>
      </c>
      <c r="C21" s="46">
        <f>Лист1!C14</f>
        <v>7804.8949999999995</v>
      </c>
      <c r="D21" s="47">
        <f>Лист1!D14</f>
        <v>975.6118749999999</v>
      </c>
      <c r="E21" s="16">
        <f>Лист1!S14</f>
        <v>2947.05</v>
      </c>
      <c r="F21" s="18">
        <f>Лист1!T14</f>
        <v>298.54999999999995</v>
      </c>
      <c r="G21" s="48">
        <f>Лист1!AB14</f>
        <v>1435.96</v>
      </c>
      <c r="H21" s="107">
        <f>Лист1!AC14</f>
        <v>2710.121875</v>
      </c>
      <c r="I21" s="49">
        <f>Лист1!AG14</f>
        <v>487.242</v>
      </c>
      <c r="J21" s="16">
        <f>Лист1!AI14+Лист1!AJ14</f>
        <v>784.6173822999999</v>
      </c>
      <c r="K21" s="16">
        <f>Лист1!AH14+Лист1!AK14+Лист1!AL14+Лист1!AM14+Лист1!AN14+Лист1!AO14+Лист1!AP14+Лист1!AQ14+Лист1!AR14</f>
        <v>2694.770850296</v>
      </c>
      <c r="L21" s="17">
        <f>Лист1!AS14+Лист1!AT14+Лист1!AU14</f>
        <v>0</v>
      </c>
      <c r="M21" s="17">
        <f>Лист1!AX14</f>
        <v>0</v>
      </c>
      <c r="N21" s="108">
        <f>Лист1!BB14</f>
        <v>3966.630232596</v>
      </c>
      <c r="O21" s="50">
        <f>Лист1!BE14</f>
        <v>-1256.5083575960002</v>
      </c>
      <c r="P21" s="50">
        <f>Лист1!BF14</f>
        <v>-1511.0900000000001</v>
      </c>
      <c r="Q21" s="1"/>
      <c r="R21" s="1"/>
    </row>
    <row r="22" spans="1:18" ht="12.75" hidden="1">
      <c r="A22" s="14" t="s">
        <v>44</v>
      </c>
      <c r="B22" s="15">
        <f>Лист1!B15</f>
        <v>902.3</v>
      </c>
      <c r="C22" s="46">
        <f>Лист1!C15</f>
        <v>7804.8949999999995</v>
      </c>
      <c r="D22" s="47">
        <f>Лист1!D15</f>
        <v>975.6118749999999</v>
      </c>
      <c r="E22" s="16">
        <f>Лист1!S15</f>
        <v>2867.37</v>
      </c>
      <c r="F22" s="18">
        <f>Лист1!T15</f>
        <v>298.54999999999995</v>
      </c>
      <c r="G22" s="48">
        <f>Лист1!AB15</f>
        <v>1734.25</v>
      </c>
      <c r="H22" s="107">
        <f>Лист1!AC15</f>
        <v>3008.411875</v>
      </c>
      <c r="I22" s="49">
        <f>Лист1!AG15</f>
        <v>487.242</v>
      </c>
      <c r="J22" s="16">
        <f>Лист1!AI15+Лист1!AJ15</f>
        <v>783.7359753999999</v>
      </c>
      <c r="K22" s="16">
        <f>Лист1!AH15+Лист1!AK15+Лист1!AL15+Лист1!AM15+Лист1!AN15+Лист1!AO15+Лист1!AP15+Лист1!AQ15+Лист1!AR15</f>
        <v>2698.6609362859995</v>
      </c>
      <c r="L22" s="17">
        <f>Лист1!AS15+Лист1!AT15+Лист1!AU15</f>
        <v>0</v>
      </c>
      <c r="M22" s="17">
        <f>Лист1!AX15</f>
        <v>0</v>
      </c>
      <c r="N22" s="108">
        <f>Лист1!BB15</f>
        <v>3969.638911685999</v>
      </c>
      <c r="O22" s="50">
        <f>Лист1!BE15</f>
        <v>-961.2270366859993</v>
      </c>
      <c r="P22" s="50">
        <f>Лист1!BF15</f>
        <v>-1133.12</v>
      </c>
      <c r="Q22" s="1"/>
      <c r="R22" s="1"/>
    </row>
    <row r="23" spans="1:18" ht="12.75" hidden="1">
      <c r="A23" s="14" t="s">
        <v>45</v>
      </c>
      <c r="B23" s="15">
        <f>Лист1!B16</f>
        <v>902.3</v>
      </c>
      <c r="C23" s="46">
        <f>Лист1!C16</f>
        <v>7804.8949999999995</v>
      </c>
      <c r="D23" s="47">
        <f>Лист1!D16</f>
        <v>975.6118749999999</v>
      </c>
      <c r="E23" s="16">
        <f>Лист1!S16</f>
        <v>2947.05</v>
      </c>
      <c r="F23" s="18">
        <f>Лист1!T16</f>
        <v>298.54999999999995</v>
      </c>
      <c r="G23" s="48">
        <f>Лист1!AB16</f>
        <v>3878.42</v>
      </c>
      <c r="H23" s="107">
        <f>Лист1!AC16</f>
        <v>5152.581875</v>
      </c>
      <c r="I23" s="49">
        <f>Лист1!AG16</f>
        <v>487.242</v>
      </c>
      <c r="J23" s="16">
        <f>Лист1!AI16+Лист1!AJ16</f>
        <v>785.10528575</v>
      </c>
      <c r="K23" s="16">
        <f>Лист1!AH16+Лист1!AK16+Лист1!AL16+Лист1!AM16+Лист1!AN16+Лист1!AO16+Лист1!AP16+Лист1!AQ16+Лист1!AR16</f>
        <v>2608.5948816799996</v>
      </c>
      <c r="L23" s="17">
        <f>Лист1!AS16+Лист1!AT16+Лист1!AU16</f>
        <v>0</v>
      </c>
      <c r="M23" s="17">
        <f>Лист1!AX16</f>
        <v>0</v>
      </c>
      <c r="N23" s="108">
        <f>Лист1!BB16</f>
        <v>3880.9421674299997</v>
      </c>
      <c r="O23" s="50">
        <f>Лист1!BE16</f>
        <v>1271.6397075700002</v>
      </c>
      <c r="P23" s="50">
        <f>Лист1!BF16</f>
        <v>931.3699999999999</v>
      </c>
      <c r="Q23" s="1"/>
      <c r="R23" s="1"/>
    </row>
    <row r="24" spans="1:18" ht="12.75" hidden="1">
      <c r="A24" s="14" t="s">
        <v>46</v>
      </c>
      <c r="B24" s="15">
        <f>Лист1!B17</f>
        <v>902.3</v>
      </c>
      <c r="C24" s="46">
        <f>Лист1!C17</f>
        <v>7804.8949999999995</v>
      </c>
      <c r="D24" s="47">
        <f>Лист1!D17</f>
        <v>975.6118749999999</v>
      </c>
      <c r="E24" s="16">
        <f>Лист1!S17</f>
        <v>2946.05</v>
      </c>
      <c r="F24" s="18">
        <f>Лист1!T17</f>
        <v>298.54999999999995</v>
      </c>
      <c r="G24" s="48">
        <f>Лист1!AB17</f>
        <v>1955.2399999999998</v>
      </c>
      <c r="H24" s="107">
        <f>Лист1!AC17</f>
        <v>3229.4018749999996</v>
      </c>
      <c r="I24" s="49">
        <f>Лист1!AG17</f>
        <v>487.242</v>
      </c>
      <c r="J24" s="16">
        <f>Лист1!AI17+Лист1!AJ17</f>
        <v>808.1711617</v>
      </c>
      <c r="K24" s="16">
        <f>Лист1!AH17+Лист1!AK17+Лист1!AL17+Лист1!AM17+Лист1!AN17+Лист1!AO17+Лист1!AP17+Лист1!AQ17+Лист1!AR17</f>
        <v>2645.7722067279997</v>
      </c>
      <c r="L24" s="17">
        <f>Лист1!AS17+Лист1!AT17+Лист1!AU17</f>
        <v>365.8</v>
      </c>
      <c r="M24" s="17">
        <f>Лист1!AX17</f>
        <v>636.35</v>
      </c>
      <c r="N24" s="108">
        <f>Лист1!BB17</f>
        <v>4943.335368428</v>
      </c>
      <c r="O24" s="50">
        <f>Лист1!BE17</f>
        <v>-1713.9334934280005</v>
      </c>
      <c r="P24" s="50">
        <f>Лист1!BF17</f>
        <v>-990.8100000000004</v>
      </c>
      <c r="Q24" s="1"/>
      <c r="R24" s="1"/>
    </row>
    <row r="25" spans="1:18" ht="12.75" hidden="1">
      <c r="A25" s="14" t="s">
        <v>47</v>
      </c>
      <c r="B25" s="15">
        <f>Лист1!B18</f>
        <v>902.3</v>
      </c>
      <c r="C25" s="46">
        <f>Лист1!C18</f>
        <v>7804.8949999999995</v>
      </c>
      <c r="D25" s="47">
        <f>Лист1!D18</f>
        <v>4225.135</v>
      </c>
      <c r="E25" s="16">
        <f>Лист1!S18</f>
        <v>3243.2599999999993</v>
      </c>
      <c r="F25" s="18">
        <f>Лист1!T18</f>
        <v>336.5</v>
      </c>
      <c r="G25" s="48">
        <f>Лист1!AB18</f>
        <v>2299.9499999999994</v>
      </c>
      <c r="H25" s="107">
        <f>Лист1!AC18</f>
        <v>6861.584999999999</v>
      </c>
      <c r="I25" s="49">
        <f>Лист1!AG18</f>
        <v>541.38</v>
      </c>
      <c r="J25" s="16">
        <f>Лист1!AI18+Лист1!AJ18</f>
        <v>905.0068999999999</v>
      </c>
      <c r="K25" s="16">
        <f>Лист1!AH18+Лист1!AK18+Лист1!AL18+Лист1!AM18+Лист1!AN18+Лист1!AO18+Лист1!AP18+Лист1!AQ18+Лист1!AR18</f>
        <v>3099.58096</v>
      </c>
      <c r="L25" s="17">
        <f>Лист1!AS18+Лист1!AT18+Лист1!AU18</f>
        <v>0</v>
      </c>
      <c r="M25" s="17">
        <f>Лист1!AX18</f>
        <v>104.27423999999999</v>
      </c>
      <c r="N25" s="108">
        <f>Лист1!BB18</f>
        <v>4650.242099999999</v>
      </c>
      <c r="O25" s="50">
        <f>Лист1!BE18</f>
        <v>2211.3429000000006</v>
      </c>
      <c r="P25" s="50">
        <f>Лист1!BF18</f>
        <v>-943.31</v>
      </c>
      <c r="Q25" s="1"/>
      <c r="R25" s="1"/>
    </row>
    <row r="26" spans="1:18" ht="12.75" hidden="1">
      <c r="A26" s="14" t="s">
        <v>48</v>
      </c>
      <c r="B26" s="15">
        <f>Лист1!B19</f>
        <v>902.3</v>
      </c>
      <c r="C26" s="46">
        <f>Лист1!C19</f>
        <v>7804.8949999999995</v>
      </c>
      <c r="D26" s="47">
        <f>Лист1!D19</f>
        <v>4225.384999999999</v>
      </c>
      <c r="E26" s="16">
        <f>Лист1!S19</f>
        <v>3208.0299999999997</v>
      </c>
      <c r="F26" s="18">
        <f>Лист1!T19</f>
        <v>371.48</v>
      </c>
      <c r="G26" s="48">
        <f>Лист1!AB19</f>
        <v>2656.61</v>
      </c>
      <c r="H26" s="107">
        <f>Лист1!AC19</f>
        <v>7253.475</v>
      </c>
      <c r="I26" s="49">
        <f>Лист1!AG19</f>
        <v>541.38</v>
      </c>
      <c r="J26" s="16">
        <f>Лист1!AI19+Лист1!AJ19</f>
        <v>905.0068999999999</v>
      </c>
      <c r="K26" s="16">
        <f>Лист1!AH19+Лист1!AK19+Лист1!AL19+Лист1!AM19+Лист1!AN19+Лист1!AO19+Лист1!AP19+Лист1!AQ19+Лист1!AR19</f>
        <v>3099.662167</v>
      </c>
      <c r="L26" s="17">
        <f>Лист1!AS19+Лист1!AT19+Лист1!AU19</f>
        <v>0</v>
      </c>
      <c r="M26" s="17">
        <f>Лист1!AX19</f>
        <v>92.37983999999999</v>
      </c>
      <c r="N26" s="108">
        <f>Лист1!BB19</f>
        <v>4638.428906999999</v>
      </c>
      <c r="O26" s="50">
        <f>Лист1!BE19</f>
        <v>2615.0460930000017</v>
      </c>
      <c r="P26" s="50">
        <f>Лист1!BF19</f>
        <v>-551.4199999999996</v>
      </c>
      <c r="Q26" s="1"/>
      <c r="R26" s="1"/>
    </row>
    <row r="27" spans="1:18" ht="12.75" hidden="1">
      <c r="A27" s="14" t="s">
        <v>49</v>
      </c>
      <c r="B27" s="15">
        <f>Лист1!B20</f>
        <v>902.3</v>
      </c>
      <c r="C27" s="46">
        <f>Лист1!C20</f>
        <v>7804.8949999999995</v>
      </c>
      <c r="D27" s="47">
        <f>Лист1!D20</f>
        <v>4225.425</v>
      </c>
      <c r="E27" s="16">
        <f>Лист1!S20</f>
        <v>3202.6</v>
      </c>
      <c r="F27" s="18">
        <f>Лист1!T20</f>
        <v>376.87</v>
      </c>
      <c r="G27" s="48">
        <f>Лист1!AB20</f>
        <v>3029.47</v>
      </c>
      <c r="H27" s="107">
        <f>Лист1!AC20</f>
        <v>7631.764999999999</v>
      </c>
      <c r="I27" s="49">
        <f>Лист1!AG20</f>
        <v>541.38</v>
      </c>
      <c r="J27" s="16">
        <f>Лист1!AI20+Лист1!AJ20</f>
        <v>892.1558020199999</v>
      </c>
      <c r="K27" s="16">
        <f>Лист1!AH20+Лист1!AK20+Лист1!AL20+Лист1!AM20+Лист1!AN20+Лист1!AO20+Лист1!AP20+Лист1!AQ20+Лист1!AR20</f>
        <v>3068.8208492059994</v>
      </c>
      <c r="L27" s="17">
        <f>Лист1!AS20+Лист1!AT20+Лист1!AU20</f>
        <v>8558.54</v>
      </c>
      <c r="M27" s="17">
        <f>Лист1!AX20</f>
        <v>98.32704</v>
      </c>
      <c r="N27" s="108">
        <f>Лист1!BB20</f>
        <v>13159.223691226001</v>
      </c>
      <c r="O27" s="50">
        <f>Лист1!BE20</f>
        <v>-5527.458691226002</v>
      </c>
      <c r="P27" s="50">
        <f>Лист1!BF20</f>
        <v>-173.1300000000001</v>
      </c>
      <c r="Q27" s="1"/>
      <c r="R27" s="1"/>
    </row>
    <row r="28" spans="1:18" ht="12.75" hidden="1">
      <c r="A28" s="14" t="s">
        <v>50</v>
      </c>
      <c r="B28" s="15">
        <f>Лист1!B21</f>
        <v>902.3</v>
      </c>
      <c r="C28" s="46">
        <f>Лист1!C21</f>
        <v>7804.8949999999995</v>
      </c>
      <c r="D28" s="47">
        <f>Лист1!D21</f>
        <v>4225.425</v>
      </c>
      <c r="E28" s="16">
        <f>Лист1!S21</f>
        <v>3202.6</v>
      </c>
      <c r="F28" s="18">
        <f>Лист1!T21</f>
        <v>376.87</v>
      </c>
      <c r="G28" s="48">
        <f>Лист1!AB21</f>
        <v>2500.2200000000003</v>
      </c>
      <c r="H28" s="107">
        <f>Лист1!AC21</f>
        <v>7102.515</v>
      </c>
      <c r="I28" s="49">
        <f>Лист1!AG21</f>
        <v>541.38</v>
      </c>
      <c r="J28" s="16">
        <f>Лист1!AI21+Лист1!AJ21</f>
        <v>891.6580482249999</v>
      </c>
      <c r="K28" s="16">
        <f>Лист1!AH21+Лист1!AK21+Лист1!AL21+Лист1!AM21+Лист1!AN21+Лист1!AO21+Лист1!AP21+Лист1!AQ21+Лист1!AR21</f>
        <v>3068.176065626</v>
      </c>
      <c r="L28" s="17">
        <f>Лист1!AS21+Лист1!AT21+Лист1!AU21</f>
        <v>0</v>
      </c>
      <c r="M28" s="17">
        <f>Лист1!AX21</f>
        <v>116.16863999999998</v>
      </c>
      <c r="N28" s="108">
        <f>Лист1!BB21</f>
        <v>4617.3827538509995</v>
      </c>
      <c r="O28" s="50">
        <f>Лист1!BE21</f>
        <v>2485.132246149001</v>
      </c>
      <c r="P28" s="50">
        <f>Лист1!BF21</f>
        <v>-702.3799999999997</v>
      </c>
      <c r="Q28" s="1"/>
      <c r="R28" s="1"/>
    </row>
    <row r="29" spans="1:18" ht="12.75" hidden="1">
      <c r="A29" s="14" t="s">
        <v>51</v>
      </c>
      <c r="B29" s="15">
        <f>Лист1!B22</f>
        <v>902.3</v>
      </c>
      <c r="C29" s="46">
        <f>Лист1!C22</f>
        <v>7804.8949999999995</v>
      </c>
      <c r="D29" s="47">
        <f>Лист1!D22</f>
        <v>4225.425</v>
      </c>
      <c r="E29" s="16">
        <f>Лист1!S22</f>
        <v>3202.6</v>
      </c>
      <c r="F29" s="18">
        <f>Лист1!T22</f>
        <v>376.87</v>
      </c>
      <c r="G29" s="48">
        <f>Лист1!AB22</f>
        <v>2844.57</v>
      </c>
      <c r="H29" s="107">
        <f>Лист1!AC22</f>
        <v>7446.865</v>
      </c>
      <c r="I29" s="49">
        <f>Лист1!AG22</f>
        <v>541.38</v>
      </c>
      <c r="J29" s="16">
        <f>Лист1!AI22+Лист1!AJ22</f>
        <v>891.5041970519998</v>
      </c>
      <c r="K29" s="16">
        <f>Лист1!AH22+Лист1!AK22+Лист1!AL22+Лист1!AM22+Лист1!AN22+Лист1!AO22+Лист1!AP22+Лист1!AQ22+Лист1!AR22</f>
        <v>3067.9767222915993</v>
      </c>
      <c r="L29" s="17">
        <f>Лист1!AS22+Лист1!AT22+Лист1!AU22</f>
        <v>0</v>
      </c>
      <c r="M29" s="17">
        <f>Лист1!AX22</f>
        <v>138.37152</v>
      </c>
      <c r="N29" s="108">
        <f>Лист1!BB22</f>
        <v>4639.232439343598</v>
      </c>
      <c r="O29" s="50">
        <f>Лист1!BE22</f>
        <v>2807.6325606564014</v>
      </c>
      <c r="P29" s="50">
        <f>Лист1!BF22</f>
        <v>-358.02999999999975</v>
      </c>
      <c r="Q29" s="1"/>
      <c r="R29" s="1"/>
    </row>
    <row r="30" spans="1:18" ht="12.75" hidden="1">
      <c r="A30" s="14" t="s">
        <v>39</v>
      </c>
      <c r="B30" s="15">
        <f>Лист1!B23</f>
        <v>902.3</v>
      </c>
      <c r="C30" s="46">
        <f>Лист1!C23</f>
        <v>7804.8949999999995</v>
      </c>
      <c r="D30" s="47">
        <f>Лист1!D23</f>
        <v>4226.175000000001</v>
      </c>
      <c r="E30" s="16">
        <f>Лист1!S23</f>
        <v>3201.8500000000004</v>
      </c>
      <c r="F30" s="18">
        <f>Лист1!T23</f>
        <v>376.87</v>
      </c>
      <c r="G30" s="48">
        <f>Лист1!AB23</f>
        <v>2375.8100000000004</v>
      </c>
      <c r="H30" s="107">
        <f>Лист1!AC23</f>
        <v>6978.855000000001</v>
      </c>
      <c r="I30" s="49">
        <f>Лист1!AG23</f>
        <v>541.38</v>
      </c>
      <c r="J30" s="16">
        <f>Лист1!AI23+Лист1!AJ23</f>
        <v>901.8127579999999</v>
      </c>
      <c r="K30" s="16">
        <f>Лист1!AH23+Лист1!AK23+Лист1!AL23+Лист1!AM23+Лист1!AN23+Лист1!AO23+Лист1!AP23+Лист1!AQ23+Лист1!AR23</f>
        <v>3094.3476199999996</v>
      </c>
      <c r="L30" s="17">
        <f>Лист1!AS23+Лист1!AT23+Лист1!AU23</f>
        <v>3700.2794</v>
      </c>
      <c r="M30" s="17">
        <f>Лист1!AX23</f>
        <v>168.504</v>
      </c>
      <c r="N30" s="108">
        <f>Лист1!BB23</f>
        <v>8406.323778000002</v>
      </c>
      <c r="O30" s="50">
        <f>Лист1!BE23</f>
        <v>-1427.4687780000004</v>
      </c>
      <c r="P30" s="50">
        <f>Лист1!BF23</f>
        <v>-826.04</v>
      </c>
      <c r="Q30" s="1"/>
      <c r="R30" s="1"/>
    </row>
    <row r="31" spans="1:18" ht="12.75" hidden="1">
      <c r="A31" s="14" t="s">
        <v>40</v>
      </c>
      <c r="B31" s="15">
        <f>Лист1!B24</f>
        <v>902.3</v>
      </c>
      <c r="C31" s="46">
        <f>Лист1!C24</f>
        <v>7804.8949999999995</v>
      </c>
      <c r="D31" s="47">
        <f>Лист1!D24</f>
        <v>4226.525000000001</v>
      </c>
      <c r="E31" s="16">
        <f>Лист1!S24</f>
        <v>3201.5</v>
      </c>
      <c r="F31" s="18">
        <f>Лист1!T24</f>
        <v>376.87</v>
      </c>
      <c r="G31" s="48">
        <f>Лист1!AB24</f>
        <v>1958.76</v>
      </c>
      <c r="H31" s="107">
        <f>Лист1!AC24</f>
        <v>6562.155000000001</v>
      </c>
      <c r="I31" s="49">
        <f>Лист1!AG24</f>
        <v>541.38</v>
      </c>
      <c r="J31" s="16">
        <f>Лист1!AI24+Лист1!AJ24</f>
        <v>905.0068999999999</v>
      </c>
      <c r="K31" s="16">
        <f>Лист1!AH24+Лист1!AK24+Лист1!AL24+Лист1!AM24+Лист1!AN24+Лист1!AO24+Лист1!AP24+Лист1!AQ24+Лист1!AR24</f>
        <v>3097.7763599999994</v>
      </c>
      <c r="L31" s="17">
        <f>Лист1!AS24+Лист1!AT24+Лист1!AU24</f>
        <v>0</v>
      </c>
      <c r="M31" s="17">
        <f>Лист1!AX24</f>
        <v>186.34560000000002</v>
      </c>
      <c r="N31" s="108">
        <f>Лист1!BB24</f>
        <v>4730.508859999999</v>
      </c>
      <c r="O31" s="50">
        <f>Лист1!BE24</f>
        <v>1831.6461400000017</v>
      </c>
      <c r="P31" s="50">
        <f>Лист1!BF24</f>
        <v>-1242.74</v>
      </c>
      <c r="Q31" s="1"/>
      <c r="R31" s="1"/>
    </row>
    <row r="32" spans="1:18" ht="13.5" hidden="1" thickBot="1">
      <c r="A32" s="51" t="s">
        <v>41</v>
      </c>
      <c r="B32" s="15">
        <f>Лист1!B25</f>
        <v>902.3</v>
      </c>
      <c r="C32" s="46">
        <f>Лист1!C25</f>
        <v>7804.8949999999995</v>
      </c>
      <c r="D32" s="47">
        <f>Лист1!D25</f>
        <v>4226.525000000001</v>
      </c>
      <c r="E32" s="16">
        <f>Лист1!S25</f>
        <v>3201.5</v>
      </c>
      <c r="F32" s="18">
        <f>Лист1!T25</f>
        <v>376.87</v>
      </c>
      <c r="G32" s="48">
        <f>Лист1!AB25</f>
        <v>2720.33</v>
      </c>
      <c r="H32" s="107">
        <f>Лист1!AC25</f>
        <v>7323.725</v>
      </c>
      <c r="I32" s="49">
        <f>Лист1!AG25</f>
        <v>541.38</v>
      </c>
      <c r="J32" s="16">
        <f>Лист1!AI25+Лист1!AJ25</f>
        <v>905.0068999999999</v>
      </c>
      <c r="K32" s="16">
        <f>Лист1!AH25+Лист1!AK25+Лист1!AL25+Лист1!AM25+Лист1!AN25+Лист1!AO25+Лист1!AP25+Лист1!AQ25+Лист1!AR25</f>
        <v>3097.7763599999994</v>
      </c>
      <c r="L32" s="17">
        <f>Лист1!AS25+Лист1!AT25+Лист1!AU25</f>
        <v>0</v>
      </c>
      <c r="M32" s="17">
        <f>Лист1!AX25</f>
        <v>203.79072</v>
      </c>
      <c r="N32" s="108">
        <f>Лист1!BB25</f>
        <v>4747.953979999999</v>
      </c>
      <c r="O32" s="50">
        <f>Лист1!BE25</f>
        <v>2575.771020000001</v>
      </c>
      <c r="P32" s="50">
        <f>Лист1!BF25</f>
        <v>-481.1700000000001</v>
      </c>
      <c r="Q32" s="1"/>
      <c r="R32" s="1"/>
    </row>
    <row r="33" spans="1:18" s="24" customFormat="1" ht="13.5" hidden="1" thickBot="1">
      <c r="A33" s="53" t="s">
        <v>3</v>
      </c>
      <c r="B33" s="54"/>
      <c r="C33" s="55">
        <f aca="true" t="shared" si="1" ref="C33:P33">SUM(C21:C32)</f>
        <v>93658.74</v>
      </c>
      <c r="D33" s="56">
        <f t="shared" si="1"/>
        <v>37708.4675</v>
      </c>
      <c r="E33" s="55">
        <f t="shared" si="1"/>
        <v>37371.45999999999</v>
      </c>
      <c r="F33" s="57">
        <f t="shared" si="1"/>
        <v>4163.4</v>
      </c>
      <c r="G33" s="58">
        <f t="shared" si="1"/>
        <v>29389.589999999997</v>
      </c>
      <c r="H33" s="55">
        <f t="shared" si="1"/>
        <v>71261.4575</v>
      </c>
      <c r="I33" s="56">
        <f t="shared" si="1"/>
        <v>6280.008000000001</v>
      </c>
      <c r="J33" s="55">
        <f t="shared" si="1"/>
        <v>10358.788210446999</v>
      </c>
      <c r="K33" s="55">
        <f t="shared" si="1"/>
        <v>35341.9159791136</v>
      </c>
      <c r="L33" s="55">
        <f t="shared" si="1"/>
        <v>12624.6194</v>
      </c>
      <c r="M33" s="55">
        <f t="shared" si="1"/>
        <v>1744.5115999999998</v>
      </c>
      <c r="N33" s="57">
        <f t="shared" si="1"/>
        <v>66349.8431895606</v>
      </c>
      <c r="O33" s="59">
        <f t="shared" si="1"/>
        <v>4911.614310439405</v>
      </c>
      <c r="P33" s="59">
        <f t="shared" si="1"/>
        <v>-7981.869999999999</v>
      </c>
      <c r="Q33" s="61"/>
      <c r="R33" s="61"/>
    </row>
    <row r="34" spans="1:18" ht="13.5" thickBot="1">
      <c r="A34" s="100" t="s">
        <v>94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68"/>
      <c r="Q34" s="1"/>
      <c r="R34" s="1"/>
    </row>
    <row r="35" spans="1:18" s="24" customFormat="1" ht="13.5" thickBot="1">
      <c r="A35" s="69" t="s">
        <v>52</v>
      </c>
      <c r="B35" s="70"/>
      <c r="C35" s="71">
        <f>C19+C33</f>
        <v>117073.425</v>
      </c>
      <c r="D35" s="72">
        <f aca="true" t="shared" si="2" ref="D35:P35">D19+D33</f>
        <v>43344.46022845</v>
      </c>
      <c r="E35" s="70">
        <f t="shared" si="2"/>
        <v>46248.229999999996</v>
      </c>
      <c r="F35" s="71">
        <f t="shared" si="2"/>
        <v>5059.049999999999</v>
      </c>
      <c r="G35" s="72">
        <f t="shared" si="2"/>
        <v>34202.45</v>
      </c>
      <c r="H35" s="71">
        <f t="shared" si="2"/>
        <v>82605.96022845</v>
      </c>
      <c r="I35" s="72">
        <f t="shared" si="2"/>
        <v>7904.148000000001</v>
      </c>
      <c r="J35" s="70">
        <f t="shared" si="2"/>
        <v>13076.917875326999</v>
      </c>
      <c r="K35" s="70">
        <f t="shared" si="2"/>
        <v>44871.3597622526</v>
      </c>
      <c r="L35" s="70">
        <f t="shared" si="2"/>
        <v>13180.3994</v>
      </c>
      <c r="M35" s="70">
        <f t="shared" si="2"/>
        <v>1744.5115999999998</v>
      </c>
      <c r="N35" s="112">
        <f t="shared" si="2"/>
        <v>80777.3366375796</v>
      </c>
      <c r="O35" s="73">
        <f t="shared" si="2"/>
        <v>1828.6235908704052</v>
      </c>
      <c r="P35" s="73">
        <f t="shared" si="2"/>
        <v>-12045.779999999999</v>
      </c>
      <c r="Q35" s="74"/>
      <c r="R35" s="61"/>
    </row>
    <row r="36" spans="1:18" ht="12.75">
      <c r="A36" s="8" t="s">
        <v>91</v>
      </c>
      <c r="B36" s="81"/>
      <c r="C36" s="62"/>
      <c r="D36" s="63"/>
      <c r="E36" s="64"/>
      <c r="F36" s="65"/>
      <c r="G36" s="66"/>
      <c r="H36" s="110"/>
      <c r="I36" s="67"/>
      <c r="J36" s="64"/>
      <c r="K36" s="64"/>
      <c r="L36" s="82"/>
      <c r="M36" s="82"/>
      <c r="N36" s="111"/>
      <c r="O36" s="83"/>
      <c r="P36" s="83"/>
      <c r="Q36" s="1"/>
      <c r="R36" s="1"/>
    </row>
    <row r="37" spans="1:18" ht="12.75">
      <c r="A37" s="14" t="s">
        <v>43</v>
      </c>
      <c r="B37" s="15">
        <f>Лист1!B30</f>
        <v>902.3</v>
      </c>
      <c r="C37" s="46">
        <f>Лист1!C30</f>
        <v>7804.8949999999995</v>
      </c>
      <c r="D37" s="47">
        <f>Лист1!D30</f>
        <v>4226.525000000001</v>
      </c>
      <c r="E37" s="16">
        <f>Лист1!S30</f>
        <v>3201.5</v>
      </c>
      <c r="F37" s="18">
        <f>Лист1!T30</f>
        <v>376.87</v>
      </c>
      <c r="G37" s="48">
        <f>Лист1!AB30</f>
        <v>3812.47</v>
      </c>
      <c r="H37" s="107">
        <f>Лист1!AC30</f>
        <v>8415.865</v>
      </c>
      <c r="I37" s="49">
        <f>Лист1!AG30</f>
        <v>541.38</v>
      </c>
      <c r="J37" s="16">
        <f>Лист1!AI30+Лист1!AJ30</f>
        <v>902.3</v>
      </c>
      <c r="K37" s="16">
        <f>Лист1!AH30+Лист1!AK30+Лист1!AL30+Лист1!AM30+Лист1!AN30+Лист1!AO30+Лист1!AP30+Лист1!AQ30+Лист1!AR30</f>
        <v>3094.889</v>
      </c>
      <c r="L37" s="17">
        <f>Лист1!AS30+Лист1!AT30+Лист1!AU30</f>
        <v>6397</v>
      </c>
      <c r="M37" s="17">
        <f>Лист1!AX30</f>
        <v>213.35999999999999</v>
      </c>
      <c r="N37" s="108">
        <f>Лист1!BB30</f>
        <v>11148.929</v>
      </c>
      <c r="O37" s="50">
        <f>Лист1!BE30</f>
        <v>-2733.0640000000003</v>
      </c>
      <c r="P37" s="50">
        <f>Лист1!BF30</f>
        <v>610.9699999999998</v>
      </c>
      <c r="Q37" s="1"/>
      <c r="R37" s="1"/>
    </row>
    <row r="38" spans="1:18" ht="12.75">
      <c r="A38" s="14" t="s">
        <v>44</v>
      </c>
      <c r="B38" s="15">
        <f>Лист1!B31</f>
        <v>902.3</v>
      </c>
      <c r="C38" s="46">
        <f>Лист1!C31</f>
        <v>7804.8949999999995</v>
      </c>
      <c r="D38" s="47">
        <f>Лист1!D31</f>
        <v>4226.525000000001</v>
      </c>
      <c r="E38" s="16">
        <f>Лист1!S31</f>
        <v>3201.5</v>
      </c>
      <c r="F38" s="18">
        <f>Лист1!T31</f>
        <v>376.87</v>
      </c>
      <c r="G38" s="48">
        <f>Лист1!AB31</f>
        <v>2273.23</v>
      </c>
      <c r="H38" s="107">
        <f>Лист1!AC31</f>
        <v>6876.625</v>
      </c>
      <c r="I38" s="49">
        <f>Лист1!AG31</f>
        <v>541.38</v>
      </c>
      <c r="J38" s="16">
        <f>Лист1!AI31+Лист1!AJ31</f>
        <v>902.3</v>
      </c>
      <c r="K38" s="16">
        <f>Лист1!AH31+Лист1!AK31+Лист1!AL31+Лист1!AM31+Лист1!AN31+Лист1!AO31+Лист1!AP31+Лист1!AQ31+Лист1!AR31</f>
        <v>3094.889</v>
      </c>
      <c r="L38" s="17">
        <f>Лист1!AS31+Лист1!AT31+Лист1!AU31</f>
        <v>3049</v>
      </c>
      <c r="M38" s="17">
        <f>Лист1!AX31</f>
        <v>170.93999999999997</v>
      </c>
      <c r="N38" s="108">
        <f>Лист1!BB31</f>
        <v>7758.508999999999</v>
      </c>
      <c r="O38" s="50">
        <f>Лист1!BE31</f>
        <v>-881.8839999999991</v>
      </c>
      <c r="P38" s="50">
        <f>Лист1!BF31</f>
        <v>-928.27</v>
      </c>
      <c r="Q38" s="1"/>
      <c r="R38" s="1"/>
    </row>
    <row r="39" spans="1:18" ht="12.75">
      <c r="A39" s="14" t="s">
        <v>45</v>
      </c>
      <c r="B39" s="15">
        <f>Лист1!B32</f>
        <v>902.3</v>
      </c>
      <c r="C39" s="46">
        <f>Лист1!C32</f>
        <v>7804.8949999999995</v>
      </c>
      <c r="D39" s="47">
        <f>Лист1!D32</f>
        <v>4226.525000000001</v>
      </c>
      <c r="E39" s="16">
        <f>Лист1!S32</f>
        <v>3201.5</v>
      </c>
      <c r="F39" s="18">
        <f>Лист1!T32</f>
        <v>376.87</v>
      </c>
      <c r="G39" s="48">
        <f>Лист1!AB32</f>
        <v>2003.86</v>
      </c>
      <c r="H39" s="107">
        <f>Лист1!AC32</f>
        <v>6607.255</v>
      </c>
      <c r="I39" s="49">
        <f>Лист1!AG32</f>
        <v>541.38</v>
      </c>
      <c r="J39" s="16">
        <f>Лист1!AI32+Лист1!AJ32</f>
        <v>902.3</v>
      </c>
      <c r="K39" s="16">
        <f>Лист1!AH32+Лист1!AK32+Лист1!AL32+Лист1!AM32+Лист1!AN32+Лист1!AO32+Лист1!AP32+Лист1!AQ32+Лист1!AR32</f>
        <v>3094.889</v>
      </c>
      <c r="L39" s="17">
        <f>Лист1!AS32+Лист1!AT32+Лист1!AU32</f>
        <v>7949</v>
      </c>
      <c r="M39" s="17">
        <f>Лист1!AX32</f>
        <v>160.85999999999999</v>
      </c>
      <c r="N39" s="108">
        <f>Лист1!BB32</f>
        <v>12648.429</v>
      </c>
      <c r="O39" s="50">
        <f>Лист1!BE32</f>
        <v>-6041.174</v>
      </c>
      <c r="P39" s="50">
        <f>Лист1!BF32</f>
        <v>-1197.64</v>
      </c>
      <c r="Q39" s="1"/>
      <c r="R39" s="1"/>
    </row>
    <row r="40" spans="1:18" ht="12.75">
      <c r="A40" s="14" t="s">
        <v>46</v>
      </c>
      <c r="B40" s="15">
        <f>Лист1!B33</f>
        <v>902.3</v>
      </c>
      <c r="C40" s="46">
        <f>Лист1!C33</f>
        <v>7804.8949999999995</v>
      </c>
      <c r="D40" s="47">
        <f>Лист1!D33</f>
        <v>4229.365</v>
      </c>
      <c r="E40" s="16">
        <f>Лист1!S33</f>
        <v>3198.66</v>
      </c>
      <c r="F40" s="18">
        <f>Лист1!T33</f>
        <v>376.87</v>
      </c>
      <c r="G40" s="48">
        <f>Лист1!AB33</f>
        <v>1955.2399999999998</v>
      </c>
      <c r="H40" s="107">
        <f>Лист1!AC33</f>
        <v>6561.474999999999</v>
      </c>
      <c r="I40" s="49">
        <f>Лист1!AG33</f>
        <v>541.38</v>
      </c>
      <c r="J40" s="16">
        <f>Лист1!AI33+Лист1!AJ33</f>
        <v>902.3</v>
      </c>
      <c r="K40" s="16">
        <f>Лист1!AH33+Лист1!AK33+Лист1!AL33+Лист1!AM33+Лист1!AN33+Лист1!AO33+Лист1!AP33+Лист1!AQ33+Лист1!AR33</f>
        <v>3094.889</v>
      </c>
      <c r="L40" s="17">
        <f>Лист1!AS33+Лист1!AT33+Лист1!AU33</f>
        <v>0</v>
      </c>
      <c r="M40" s="17">
        <f>Лист1!AX33</f>
        <v>128.94</v>
      </c>
      <c r="N40" s="108">
        <f>Лист1!BB33</f>
        <v>4667.508999999999</v>
      </c>
      <c r="O40" s="50">
        <f>Лист1!BE33</f>
        <v>1893.9660000000003</v>
      </c>
      <c r="P40" s="50">
        <f>Лист1!BF33</f>
        <v>-1243.42</v>
      </c>
      <c r="Q40" s="1"/>
      <c r="R40" s="1"/>
    </row>
    <row r="41" spans="1:18" ht="12.75">
      <c r="A41" s="14" t="s">
        <v>47</v>
      </c>
      <c r="B41" s="15">
        <f>Лист1!B34</f>
        <v>902.3</v>
      </c>
      <c r="C41" s="46">
        <f>Лист1!C34</f>
        <v>7804.8949999999995</v>
      </c>
      <c r="D41" s="47">
        <f>Лист1!D34</f>
        <v>4235.055000000001</v>
      </c>
      <c r="E41" s="16">
        <f>Лист1!S34</f>
        <v>3192.97</v>
      </c>
      <c r="F41" s="18">
        <f>Лист1!T34</f>
        <v>376.87</v>
      </c>
      <c r="G41" s="48">
        <f>Лист1!AB34</f>
        <v>2102.97</v>
      </c>
      <c r="H41" s="107">
        <f>Лист1!AC34</f>
        <v>6714.895</v>
      </c>
      <c r="I41" s="49">
        <f>Лист1!AG34</f>
        <v>541.38</v>
      </c>
      <c r="J41" s="16">
        <f>Лист1!AI34+Лист1!AJ34</f>
        <v>902.3</v>
      </c>
      <c r="K41" s="16">
        <f>Лист1!AH34+Лист1!AK34+Лист1!AL34+Лист1!AM34+Лист1!AN34+Лист1!AO34+Лист1!AP34+Лист1!AQ34+Лист1!AR34</f>
        <v>3094.889</v>
      </c>
      <c r="L41" s="17">
        <f>Лист1!AS34+Лист1!AT34+Лист1!AU34</f>
        <v>0</v>
      </c>
      <c r="M41" s="17">
        <f>Лист1!AX34</f>
        <v>110.45999999999998</v>
      </c>
      <c r="N41" s="108">
        <f>Лист1!BB34</f>
        <v>4649.0289999999995</v>
      </c>
      <c r="O41" s="50">
        <f>Лист1!BE34</f>
        <v>2065.866000000001</v>
      </c>
      <c r="P41" s="50">
        <f>Лист1!BF34</f>
        <v>-1090</v>
      </c>
      <c r="Q41" s="1"/>
      <c r="R41" s="1"/>
    </row>
    <row r="42" spans="1:18" ht="12.75">
      <c r="A42" s="14" t="s">
        <v>48</v>
      </c>
      <c r="B42" s="15">
        <f>Лист1!B35</f>
        <v>902.3</v>
      </c>
      <c r="C42" s="46">
        <f>Лист1!C35</f>
        <v>7804.8949999999995</v>
      </c>
      <c r="D42" s="47">
        <f>Лист1!D35</f>
        <v>4235.055000000001</v>
      </c>
      <c r="E42" s="16">
        <f>Лист1!S35</f>
        <v>3192.97</v>
      </c>
      <c r="F42" s="18">
        <f>Лист1!T35</f>
        <v>376.87</v>
      </c>
      <c r="G42" s="48">
        <f>Лист1!AB35</f>
        <v>2329.78</v>
      </c>
      <c r="H42" s="107">
        <f>Лист1!AC35</f>
        <v>6941.705000000002</v>
      </c>
      <c r="I42" s="49">
        <f>Лист1!AG35</f>
        <v>541.38</v>
      </c>
      <c r="J42" s="16">
        <f>Лист1!AI35+Лист1!AJ35</f>
        <v>902.3</v>
      </c>
      <c r="K42" s="16">
        <f>Лист1!AH35+Лист1!AK35+Лист1!AL35+Лист1!AM35+Лист1!AN35+Лист1!AO35+Лист1!AP35+Лист1!AQ35+Лист1!AR35</f>
        <v>3094.889</v>
      </c>
      <c r="L42" s="17">
        <f>Лист1!AS35+Лист1!AT35+Лист1!AU35</f>
        <v>9525</v>
      </c>
      <c r="M42" s="17">
        <f>Лист1!AX35</f>
        <v>97.85999999999999</v>
      </c>
      <c r="N42" s="108">
        <f>Лист1!BB35</f>
        <v>14161.429</v>
      </c>
      <c r="O42" s="50">
        <f>Лист1!BE35</f>
        <v>-7219.723999999998</v>
      </c>
      <c r="P42" s="50">
        <f>Лист1!BF35</f>
        <v>-863.1899999999996</v>
      </c>
      <c r="Q42" s="1"/>
      <c r="R42" s="1"/>
    </row>
    <row r="43" spans="1:18" ht="12.75">
      <c r="A43" s="14" t="s">
        <v>49</v>
      </c>
      <c r="B43" s="15">
        <f>Лист1!B36</f>
        <v>902.3</v>
      </c>
      <c r="C43" s="46">
        <f>Лист1!C36</f>
        <v>7804.8949999999995</v>
      </c>
      <c r="D43" s="47">
        <f>Лист1!D36</f>
        <v>4231.374999999999</v>
      </c>
      <c r="E43" s="16">
        <f>Лист1!S36</f>
        <v>3573.5200000000004</v>
      </c>
      <c r="F43" s="18">
        <f>Лист1!T36</f>
        <v>0</v>
      </c>
      <c r="G43" s="48">
        <f>Лист1!AB36</f>
        <v>1438.58</v>
      </c>
      <c r="H43" s="107">
        <f>Лист1!AC36</f>
        <v>5669.954999999999</v>
      </c>
      <c r="I43" s="49">
        <f>Лист1!AG36</f>
        <v>541.38</v>
      </c>
      <c r="J43" s="16">
        <f>Лист1!AI36+Лист1!AJ36</f>
        <v>902.3</v>
      </c>
      <c r="K43" s="16">
        <f>Лист1!AH36+Лист1!AK36+Лист1!AL36+Лист1!AM36+Лист1!AN36+Лист1!AO36+Лист1!AP36+Лист1!AQ36+Лист1!AR36</f>
        <v>3094.889</v>
      </c>
      <c r="L43" s="17">
        <f>Лист1!AS36+Лист1!AT36+Лист1!AU36</f>
        <v>577.427</v>
      </c>
      <c r="M43" s="17">
        <f>Лист1!AX36</f>
        <v>104.15999999999998</v>
      </c>
      <c r="N43" s="108">
        <f>Лист1!BB36</f>
        <v>5220.155999999999</v>
      </c>
      <c r="O43" s="50">
        <f>Лист1!BE36</f>
        <v>449.799</v>
      </c>
      <c r="P43" s="50">
        <f>Лист1!BF36</f>
        <v>-2134.9400000000005</v>
      </c>
      <c r="Q43" s="1"/>
      <c r="R43" s="1"/>
    </row>
    <row r="44" spans="1:18" ht="12.75">
      <c r="A44" s="14" t="s">
        <v>50</v>
      </c>
      <c r="B44" s="15">
        <f>Лист1!B37</f>
        <v>902.3</v>
      </c>
      <c r="C44" s="46">
        <f>Лист1!C37</f>
        <v>7804.8949999999995</v>
      </c>
      <c r="D44" s="47">
        <f>Лист1!D37</f>
        <v>21731.375</v>
      </c>
      <c r="E44" s="16">
        <f>Лист1!S37</f>
        <v>3573.5200000000004</v>
      </c>
      <c r="F44" s="18">
        <f>Лист1!T37</f>
        <v>0</v>
      </c>
      <c r="G44" s="48">
        <f>Лист1!AB37</f>
        <v>2344.61</v>
      </c>
      <c r="H44" s="107">
        <f>Лист1!AC37</f>
        <v>24075.985</v>
      </c>
      <c r="I44" s="49">
        <f>Лист1!AG37</f>
        <v>541.38</v>
      </c>
      <c r="J44" s="16">
        <f>Лист1!AI37+Лист1!AJ37</f>
        <v>902.3</v>
      </c>
      <c r="K44" s="16">
        <f>Лист1!AH37+Лист1!AK37+Лист1!AL37+Лист1!AM37+Лист1!AN37+Лист1!AO37+Лист1!AP37+Лист1!AQ37+Лист1!AR37</f>
        <v>3094.889</v>
      </c>
      <c r="L44" s="17">
        <f>Лист1!AS37+Лист1!AT37+Лист1!AU37</f>
        <v>40332.8</v>
      </c>
      <c r="M44" s="17">
        <f>Лист1!AX37</f>
        <v>123.05999999999997</v>
      </c>
      <c r="N44" s="108">
        <f>Лист1!BB37</f>
        <v>44994.429000000004</v>
      </c>
      <c r="O44" s="50">
        <f>Лист1!BE37</f>
        <v>-20918.444000000003</v>
      </c>
      <c r="P44" s="50">
        <f>Лист1!BF37</f>
        <v>-1228.9100000000003</v>
      </c>
      <c r="Q44" s="1"/>
      <c r="R44" s="1"/>
    </row>
    <row r="45" spans="1:18" ht="12.75">
      <c r="A45" s="14" t="s">
        <v>51</v>
      </c>
      <c r="B45" s="15">
        <f>Лист1!B38</f>
        <v>902.3</v>
      </c>
      <c r="C45" s="46">
        <f>Лист1!C38</f>
        <v>7804.8949999999995</v>
      </c>
      <c r="D45" s="47">
        <f>Лист1!D38</f>
        <v>4231.374999999999</v>
      </c>
      <c r="E45" s="16">
        <f>Лист1!S38</f>
        <v>3573.5200000000004</v>
      </c>
      <c r="F45" s="18">
        <f>Лист1!T38</f>
        <v>0</v>
      </c>
      <c r="G45" s="48">
        <f>Лист1!AB38</f>
        <v>2538.87</v>
      </c>
      <c r="H45" s="107">
        <f>Лист1!AC38</f>
        <v>6770.244999999999</v>
      </c>
      <c r="I45" s="49">
        <f>Лист1!AG38</f>
        <v>541.38</v>
      </c>
      <c r="J45" s="16">
        <f>Лист1!AI38+Лист1!AJ38</f>
        <v>902.3</v>
      </c>
      <c r="K45" s="16">
        <f>Лист1!AH38+Лист1!AK38+Лист1!AL38+Лист1!AM38+Лист1!AN38+Лист1!AO38+Лист1!AP38+Лист1!AQ38+Лист1!AR38</f>
        <v>3094.889</v>
      </c>
      <c r="L45" s="17">
        <f>Лист1!AS38+Лист1!AT38+Лист1!AU38</f>
        <v>0</v>
      </c>
      <c r="M45" s="17">
        <f>Лист1!AX38</f>
        <v>146.57999999999998</v>
      </c>
      <c r="N45" s="108">
        <f>Лист1!BB38</f>
        <v>4685.148999999999</v>
      </c>
      <c r="O45" s="50">
        <f>Лист1!BE38</f>
        <v>2085.0959999999995</v>
      </c>
      <c r="P45" s="50">
        <f>Лист1!BF38</f>
        <v>-1034.6500000000005</v>
      </c>
      <c r="Q45" s="1"/>
      <c r="R45" s="1"/>
    </row>
    <row r="46" spans="1:18" ht="12.75">
      <c r="A46" s="14" t="s">
        <v>39</v>
      </c>
      <c r="B46" s="15">
        <f>Лист1!B39</f>
        <v>902.3</v>
      </c>
      <c r="C46" s="46">
        <f>Лист1!C39</f>
        <v>7804.8949999999995</v>
      </c>
      <c r="D46" s="47">
        <f>Лист1!D39</f>
        <v>4231.3949999999995</v>
      </c>
      <c r="E46" s="16">
        <f>Лист1!S39</f>
        <v>3573.5</v>
      </c>
      <c r="F46" s="18">
        <f>Лист1!T39</f>
        <v>0</v>
      </c>
      <c r="G46" s="48">
        <f>Лист1!AB39</f>
        <v>5722.36</v>
      </c>
      <c r="H46" s="107">
        <f>Лист1!AC39</f>
        <v>9953.755</v>
      </c>
      <c r="I46" s="49">
        <f>Лист1!AG39</f>
        <v>541.38</v>
      </c>
      <c r="J46" s="16">
        <f>Лист1!AI39+Лист1!AJ39</f>
        <v>902.3</v>
      </c>
      <c r="K46" s="16">
        <f>Лист1!AH39+Лист1!AK39+Лист1!AL39+Лист1!AM39+Лист1!AN39+Лист1!AO39+Лист1!AP39+Лист1!AQ39+Лист1!AR39</f>
        <v>3094.889</v>
      </c>
      <c r="L46" s="17">
        <f>Лист1!AS39+Лист1!AT39+Лист1!AU39</f>
        <v>0</v>
      </c>
      <c r="M46" s="17">
        <f>Лист1!AX39</f>
        <v>178.5</v>
      </c>
      <c r="N46" s="108">
        <f>Лист1!BB39</f>
        <v>4717.0689999999995</v>
      </c>
      <c r="O46" s="50">
        <f>Лист1!BE39</f>
        <v>5236.686</v>
      </c>
      <c r="P46" s="50">
        <f>Лист1!BF39</f>
        <v>2148.8599999999997</v>
      </c>
      <c r="Q46" s="1"/>
      <c r="R46" s="1"/>
    </row>
    <row r="47" spans="1:18" ht="12.75">
      <c r="A47" s="14" t="s">
        <v>40</v>
      </c>
      <c r="B47" s="15">
        <f>Лист1!B40</f>
        <v>902.3</v>
      </c>
      <c r="C47" s="46">
        <f>Лист1!C40</f>
        <v>7804.8949999999995</v>
      </c>
      <c r="D47" s="47">
        <f>Лист1!D40</f>
        <v>4231.374999999999</v>
      </c>
      <c r="E47" s="16">
        <f>Лист1!S40</f>
        <v>3573.5200000000004</v>
      </c>
      <c r="F47" s="18">
        <f>Лист1!T40</f>
        <v>0</v>
      </c>
      <c r="G47" s="48">
        <f>Лист1!AB40</f>
        <v>3141.9</v>
      </c>
      <c r="H47" s="107">
        <f>Лист1!AC40</f>
        <v>7373.275</v>
      </c>
      <c r="I47" s="49">
        <f>Лист1!AG40</f>
        <v>541.38</v>
      </c>
      <c r="J47" s="16">
        <f>Лист1!AI40+Лист1!AJ40</f>
        <v>902.3</v>
      </c>
      <c r="K47" s="16">
        <f>Лист1!AH40+Лист1!AK40+Лист1!AL40+Лист1!AM40+Лист1!AN40+Лист1!AO40+Лист1!AP40+Лист1!AQ40+Лист1!AR40</f>
        <v>3094.889</v>
      </c>
      <c r="L47" s="17">
        <f>Лист1!AS40+Лист1!AT40+Лист1!AU40</f>
        <v>0</v>
      </c>
      <c r="M47" s="17">
        <f>Лист1!AX40</f>
        <v>197.39999999999998</v>
      </c>
      <c r="N47" s="108">
        <f>Лист1!BB40</f>
        <v>4735.968999999999</v>
      </c>
      <c r="O47" s="50">
        <f>Лист1!BE40</f>
        <v>2637.3060000000005</v>
      </c>
      <c r="P47" s="50">
        <f>Лист1!BF40</f>
        <v>-431.62000000000035</v>
      </c>
      <c r="Q47" s="1"/>
      <c r="R47" s="1"/>
    </row>
    <row r="48" spans="1:18" ht="13.5" thickBot="1">
      <c r="A48" s="51" t="s">
        <v>41</v>
      </c>
      <c r="B48" s="15">
        <f>Лист1!B41</f>
        <v>902.3</v>
      </c>
      <c r="C48" s="46">
        <f>Лист1!C41</f>
        <v>7804.8949999999995</v>
      </c>
      <c r="D48" s="47">
        <f>Лист1!D41</f>
        <v>4231.374999999999</v>
      </c>
      <c r="E48" s="16">
        <f>Лист1!S41</f>
        <v>3573.5200000000004</v>
      </c>
      <c r="F48" s="18">
        <f>Лист1!T41</f>
        <v>0</v>
      </c>
      <c r="G48" s="48">
        <f>Лист1!AB41</f>
        <v>5791.4</v>
      </c>
      <c r="H48" s="107">
        <f>Лист1!AC41</f>
        <v>10022.774999999998</v>
      </c>
      <c r="I48" s="49">
        <f>Лист1!AG41</f>
        <v>541.38</v>
      </c>
      <c r="J48" s="16">
        <f>Лист1!AI41+Лист1!AJ41</f>
        <v>902.3</v>
      </c>
      <c r="K48" s="16">
        <f>Лист1!AH41+Лист1!AK41+Лист1!AL41+Лист1!AM41+Лист1!AN41+Лист1!AO41+Лист1!AP41+Лист1!AQ41+Лист1!AR41</f>
        <v>3094.889</v>
      </c>
      <c r="L48" s="17">
        <f>Лист1!AS41+Лист1!AT41+Лист1!AU41</f>
        <v>0</v>
      </c>
      <c r="M48" s="17">
        <f>Лист1!AX41</f>
        <v>215.87999999999997</v>
      </c>
      <c r="N48" s="108">
        <f>Лист1!BB41</f>
        <v>4754.449</v>
      </c>
      <c r="O48" s="50">
        <f>Лист1!BE41</f>
        <v>5268.325999999998</v>
      </c>
      <c r="P48" s="50">
        <f>Лист1!BF41</f>
        <v>2217.879999999999</v>
      </c>
      <c r="Q48" s="1"/>
      <c r="R48" s="1"/>
    </row>
    <row r="49" spans="1:18" s="24" customFormat="1" ht="13.5" thickBot="1">
      <c r="A49" s="53" t="s">
        <v>3</v>
      </c>
      <c r="B49" s="54"/>
      <c r="C49" s="55">
        <f aca="true" t="shared" si="3" ref="C49:P49">SUM(C37:C48)</f>
        <v>93658.74</v>
      </c>
      <c r="D49" s="56">
        <f t="shared" si="3"/>
        <v>68267.31999999999</v>
      </c>
      <c r="E49" s="55">
        <f t="shared" si="3"/>
        <v>40630.20000000001</v>
      </c>
      <c r="F49" s="57">
        <f t="shared" si="3"/>
        <v>2261.22</v>
      </c>
      <c r="G49" s="58">
        <f t="shared" si="3"/>
        <v>35455.27</v>
      </c>
      <c r="H49" s="55">
        <f t="shared" si="3"/>
        <v>105983.81</v>
      </c>
      <c r="I49" s="56">
        <f t="shared" si="3"/>
        <v>6496.56</v>
      </c>
      <c r="J49" s="55">
        <f t="shared" si="3"/>
        <v>10827.599999999999</v>
      </c>
      <c r="K49" s="55">
        <f t="shared" si="3"/>
        <v>37138.668</v>
      </c>
      <c r="L49" s="55">
        <f t="shared" si="3"/>
        <v>67830.227</v>
      </c>
      <c r="M49" s="55">
        <f t="shared" si="3"/>
        <v>1847.9999999999998</v>
      </c>
      <c r="N49" s="57">
        <f t="shared" si="3"/>
        <v>124141.05500000001</v>
      </c>
      <c r="O49" s="59">
        <f t="shared" si="3"/>
        <v>-18157.245000000003</v>
      </c>
      <c r="P49" s="59">
        <f t="shared" si="3"/>
        <v>-5174.930000000004</v>
      </c>
      <c r="Q49" s="61"/>
      <c r="R49" s="61"/>
    </row>
    <row r="50" spans="1:18" ht="13.5" thickBot="1">
      <c r="A50" s="100" t="s">
        <v>66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2"/>
      <c r="P50" s="68"/>
      <c r="Q50" s="1"/>
      <c r="R50" s="1"/>
    </row>
    <row r="51" spans="1:18" s="24" customFormat="1" ht="13.5" thickBot="1">
      <c r="A51" s="69" t="s">
        <v>52</v>
      </c>
      <c r="B51" s="70"/>
      <c r="C51" s="71">
        <f>C35+C49</f>
        <v>210732.165</v>
      </c>
      <c r="D51" s="72">
        <f aca="true" t="shared" si="4" ref="D51:P51">D35+D49</f>
        <v>111611.78022844999</v>
      </c>
      <c r="E51" s="70">
        <f t="shared" si="4"/>
        <v>86878.43000000001</v>
      </c>
      <c r="F51" s="71">
        <f t="shared" si="4"/>
        <v>7320.269999999999</v>
      </c>
      <c r="G51" s="72">
        <f t="shared" si="4"/>
        <v>69657.72</v>
      </c>
      <c r="H51" s="71">
        <f t="shared" si="4"/>
        <v>188589.77022845</v>
      </c>
      <c r="I51" s="72">
        <f t="shared" si="4"/>
        <v>14400.708000000002</v>
      </c>
      <c r="J51" s="70">
        <f t="shared" si="4"/>
        <v>23904.517875326997</v>
      </c>
      <c r="K51" s="70">
        <f t="shared" si="4"/>
        <v>82010.0277622526</v>
      </c>
      <c r="L51" s="70">
        <f t="shared" si="4"/>
        <v>81010.6264</v>
      </c>
      <c r="M51" s="70">
        <f t="shared" si="4"/>
        <v>3592.5116</v>
      </c>
      <c r="N51" s="112">
        <f t="shared" si="4"/>
        <v>204918.3916375796</v>
      </c>
      <c r="O51" s="73">
        <f t="shared" si="4"/>
        <v>-16328.621409129597</v>
      </c>
      <c r="P51" s="73">
        <f t="shared" si="4"/>
        <v>-17220.710000000003</v>
      </c>
      <c r="Q51" s="74"/>
      <c r="R51" s="61"/>
    </row>
    <row r="54" spans="1:18" ht="12.75">
      <c r="A54" s="24" t="s">
        <v>77</v>
      </c>
      <c r="D54" s="2" t="s">
        <v>92</v>
      </c>
      <c r="Q54" s="1"/>
      <c r="R54" s="1"/>
    </row>
    <row r="55" spans="1:18" ht="12.75">
      <c r="A55" s="26" t="s">
        <v>67</v>
      </c>
      <c r="B55" s="26" t="s">
        <v>68</v>
      </c>
      <c r="C55" s="284" t="s">
        <v>69</v>
      </c>
      <c r="D55" s="284"/>
      <c r="Q55" s="1"/>
      <c r="R55" s="1"/>
    </row>
    <row r="56" spans="1:18" ht="12.75">
      <c r="A56" s="87">
        <v>19786.87</v>
      </c>
      <c r="B56" s="89">
        <v>0</v>
      </c>
      <c r="C56" s="285">
        <f>A56-B56</f>
        <v>19786.87</v>
      </c>
      <c r="D56" s="286"/>
      <c r="Q56" s="1"/>
      <c r="R56" s="1"/>
    </row>
    <row r="57" spans="1:18" ht="12.75">
      <c r="A57" s="75"/>
      <c r="Q57" s="1"/>
      <c r="R57" s="1"/>
    </row>
    <row r="58" spans="1:18" ht="12.75">
      <c r="A58" s="2" t="s">
        <v>70</v>
      </c>
      <c r="G58" s="2" t="s">
        <v>71</v>
      </c>
      <c r="Q58" s="1"/>
      <c r="R58" s="1"/>
    </row>
    <row r="59" ht="12.75">
      <c r="A59" s="1"/>
    </row>
    <row r="60" ht="12.75">
      <c r="A60" s="1" t="s">
        <v>95</v>
      </c>
    </row>
    <row r="61" ht="12.75">
      <c r="A61" s="2" t="s">
        <v>72</v>
      </c>
    </row>
  </sheetData>
  <sheetProtection/>
  <mergeCells count="21">
    <mergeCell ref="A7:G7"/>
    <mergeCell ref="C55:D55"/>
    <mergeCell ref="C56:D56"/>
    <mergeCell ref="N12:N13"/>
    <mergeCell ref="M12:M13"/>
    <mergeCell ref="A6:O6"/>
    <mergeCell ref="A10:A13"/>
    <mergeCell ref="B10:B13"/>
    <mergeCell ref="C10:C13"/>
    <mergeCell ref="D10:D13"/>
    <mergeCell ref="E10:F11"/>
    <mergeCell ref="P10:P13"/>
    <mergeCell ref="E12:F12"/>
    <mergeCell ref="H12:H13"/>
    <mergeCell ref="I12:I13"/>
    <mergeCell ref="J12:J13"/>
    <mergeCell ref="K12:K13"/>
    <mergeCell ref="L12:L13"/>
    <mergeCell ref="G10:H11"/>
    <mergeCell ref="I10:N11"/>
    <mergeCell ref="O10:O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" sqref="C21"/>
    </sheetView>
  </sheetViews>
  <sheetFormatPr defaultColWidth="9.00390625" defaultRowHeight="12.75"/>
  <cols>
    <col min="1" max="1" width="8.75390625" style="331" bestFit="1" customWidth="1"/>
    <col min="2" max="2" width="9.125" style="331" customWidth="1"/>
    <col min="3" max="3" width="11.375" style="331" customWidth="1"/>
    <col min="4" max="4" width="10.375" style="331" customWidth="1"/>
    <col min="5" max="5" width="10.125" style="331" bestFit="1" customWidth="1"/>
    <col min="6" max="6" width="9.125" style="331" customWidth="1"/>
    <col min="7" max="7" width="10.25390625" style="331" customWidth="1"/>
    <col min="8" max="8" width="9.125" style="331" customWidth="1"/>
    <col min="9" max="9" width="9.875" style="331" customWidth="1"/>
    <col min="10" max="10" width="9.125" style="331" customWidth="1"/>
    <col min="11" max="11" width="10.375" style="331" customWidth="1"/>
    <col min="12" max="12" width="9.125" style="331" customWidth="1"/>
    <col min="13" max="13" width="10.125" style="331" bestFit="1" customWidth="1"/>
    <col min="14" max="14" width="9.125" style="331" customWidth="1"/>
    <col min="15" max="15" width="10.125" style="331" bestFit="1" customWidth="1"/>
    <col min="16" max="18" width="9.125" style="331" customWidth="1"/>
    <col min="19" max="19" width="10.125" style="331" bestFit="1" customWidth="1"/>
    <col min="20" max="20" width="10.125" style="331" customWidth="1"/>
    <col min="21" max="21" width="10.125" style="331" bestFit="1" customWidth="1"/>
    <col min="22" max="22" width="10.25390625" style="331" customWidth="1"/>
    <col min="23" max="23" width="10.625" style="331" customWidth="1"/>
    <col min="24" max="24" width="10.125" style="331" customWidth="1"/>
    <col min="25" max="28" width="10.125" style="331" bestFit="1" customWidth="1"/>
    <col min="29" max="30" width="11.375" style="331" customWidth="1"/>
    <col min="31" max="31" width="9.25390625" style="331" bestFit="1" customWidth="1"/>
    <col min="32" max="32" width="10.125" style="331" bestFit="1" customWidth="1"/>
    <col min="33" max="33" width="12.00390625" style="331" customWidth="1"/>
    <col min="34" max="34" width="14.25390625" style="331" customWidth="1"/>
    <col min="35" max="35" width="9.25390625" style="331" bestFit="1" customWidth="1"/>
    <col min="36" max="36" width="12.625" style="331" customWidth="1"/>
    <col min="37" max="38" width="9.25390625" style="331" bestFit="1" customWidth="1"/>
    <col min="39" max="39" width="10.125" style="331" bestFit="1" customWidth="1"/>
    <col min="40" max="40" width="9.25390625" style="331" bestFit="1" customWidth="1"/>
    <col min="41" max="42" width="10.125" style="331" bestFit="1" customWidth="1"/>
    <col min="43" max="44" width="9.25390625" style="331" customWidth="1"/>
    <col min="45" max="45" width="10.125" style="331" bestFit="1" customWidth="1"/>
    <col min="46" max="46" width="11.625" style="331" customWidth="1"/>
    <col min="47" max="47" width="10.875" style="331" customWidth="1"/>
    <col min="48" max="48" width="10.625" style="331" customWidth="1"/>
    <col min="49" max="49" width="10.25390625" style="331" customWidth="1"/>
    <col min="50" max="50" width="10.625" style="331" customWidth="1"/>
    <col min="51" max="53" width="10.125" style="331" bestFit="1" customWidth="1"/>
    <col min="54" max="54" width="11.625" style="331" customWidth="1"/>
    <col min="55" max="55" width="11.75390625" style="331" customWidth="1"/>
    <col min="56" max="56" width="12.125" style="331" customWidth="1"/>
    <col min="57" max="57" width="13.625" style="331" customWidth="1"/>
    <col min="58" max="58" width="11.00390625" style="331" customWidth="1"/>
    <col min="59" max="59" width="11.375" style="331" customWidth="1"/>
    <col min="60" max="16384" width="9.125" style="331" customWidth="1"/>
  </cols>
  <sheetData>
    <row r="1" spans="1:18" ht="21" customHeight="1">
      <c r="A1" s="216" t="s">
        <v>96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330"/>
      <c r="P1" s="330"/>
      <c r="Q1" s="330"/>
      <c r="R1" s="330"/>
    </row>
    <row r="2" spans="1:18" ht="13.5" thickBot="1">
      <c r="A2" s="330"/>
      <c r="B2" s="332"/>
      <c r="C2" s="333"/>
      <c r="D2" s="333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59" ht="29.25" customHeight="1" thickBot="1">
      <c r="A3" s="217" t="s">
        <v>97</v>
      </c>
      <c r="B3" s="219" t="s">
        <v>0</v>
      </c>
      <c r="C3" s="221" t="s">
        <v>1</v>
      </c>
      <c r="D3" s="223" t="s">
        <v>2</v>
      </c>
      <c r="E3" s="217" t="s">
        <v>98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0"/>
      <c r="S3" s="217"/>
      <c r="T3" s="233"/>
      <c r="U3" s="217" t="s">
        <v>3</v>
      </c>
      <c r="V3" s="233"/>
      <c r="W3" s="240" t="s">
        <v>4</v>
      </c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334"/>
      <c r="AJ3" s="335" t="s">
        <v>80</v>
      </c>
      <c r="AK3" s="207" t="s">
        <v>8</v>
      </c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7"/>
      <c r="BF3" s="338" t="s">
        <v>9</v>
      </c>
      <c r="BG3" s="339" t="s">
        <v>10</v>
      </c>
    </row>
    <row r="4" spans="1:59" ht="51.75" customHeight="1" hidden="1" thickBot="1">
      <c r="A4" s="218"/>
      <c r="B4" s="220"/>
      <c r="C4" s="222"/>
      <c r="D4" s="224"/>
      <c r="E4" s="218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5"/>
      <c r="S4" s="231"/>
      <c r="T4" s="239"/>
      <c r="U4" s="231"/>
      <c r="V4" s="239"/>
      <c r="W4" s="242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340"/>
      <c r="AJ4" s="341"/>
      <c r="AK4" s="208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5"/>
      <c r="BF4" s="342"/>
      <c r="BG4" s="343"/>
    </row>
    <row r="5" spans="1:61" ht="19.5" customHeight="1">
      <c r="A5" s="218"/>
      <c r="B5" s="220"/>
      <c r="C5" s="222"/>
      <c r="D5" s="224"/>
      <c r="E5" s="344" t="s">
        <v>11</v>
      </c>
      <c r="F5" s="345"/>
      <c r="G5" s="344" t="s">
        <v>99</v>
      </c>
      <c r="H5" s="345"/>
      <c r="I5" s="344" t="s">
        <v>12</v>
      </c>
      <c r="J5" s="345"/>
      <c r="K5" s="344" t="s">
        <v>14</v>
      </c>
      <c r="L5" s="345"/>
      <c r="M5" s="344" t="s">
        <v>13</v>
      </c>
      <c r="N5" s="345"/>
      <c r="O5" s="346" t="s">
        <v>15</v>
      </c>
      <c r="P5" s="346"/>
      <c r="Q5" s="344" t="s">
        <v>100</v>
      </c>
      <c r="R5" s="345"/>
      <c r="S5" s="346" t="s">
        <v>16</v>
      </c>
      <c r="T5" s="345"/>
      <c r="U5" s="212" t="s">
        <v>18</v>
      </c>
      <c r="V5" s="247" t="s">
        <v>19</v>
      </c>
      <c r="W5" s="347" t="s">
        <v>20</v>
      </c>
      <c r="X5" s="347" t="s">
        <v>101</v>
      </c>
      <c r="Y5" s="347" t="s">
        <v>21</v>
      </c>
      <c r="Z5" s="347" t="s">
        <v>23</v>
      </c>
      <c r="AA5" s="347" t="s">
        <v>22</v>
      </c>
      <c r="AB5" s="347" t="s">
        <v>24</v>
      </c>
      <c r="AC5" s="347" t="s">
        <v>25</v>
      </c>
      <c r="AD5" s="348" t="s">
        <v>26</v>
      </c>
      <c r="AE5" s="348" t="s">
        <v>102</v>
      </c>
      <c r="AF5" s="349" t="s">
        <v>27</v>
      </c>
      <c r="AG5" s="350" t="s">
        <v>79</v>
      </c>
      <c r="AH5" s="351" t="s">
        <v>6</v>
      </c>
      <c r="AI5" s="352" t="s">
        <v>7</v>
      </c>
      <c r="AJ5" s="341"/>
      <c r="AK5" s="353" t="s">
        <v>103</v>
      </c>
      <c r="AL5" s="354" t="s">
        <v>104</v>
      </c>
      <c r="AM5" s="354" t="s">
        <v>105</v>
      </c>
      <c r="AN5" s="255" t="s">
        <v>106</v>
      </c>
      <c r="AO5" s="354" t="s">
        <v>107</v>
      </c>
      <c r="AP5" s="255" t="s">
        <v>108</v>
      </c>
      <c r="AQ5" s="255" t="s">
        <v>109</v>
      </c>
      <c r="AR5" s="255" t="s">
        <v>110</v>
      </c>
      <c r="AS5" s="255" t="s">
        <v>111</v>
      </c>
      <c r="AT5" s="255" t="s">
        <v>34</v>
      </c>
      <c r="AU5" s="355" t="s">
        <v>112</v>
      </c>
      <c r="AV5" s="205" t="s">
        <v>113</v>
      </c>
      <c r="AW5" s="355" t="s">
        <v>114</v>
      </c>
      <c r="AX5" s="356" t="s">
        <v>115</v>
      </c>
      <c r="AY5" s="357"/>
      <c r="AZ5" s="259" t="s">
        <v>17</v>
      </c>
      <c r="BA5" s="255" t="s">
        <v>36</v>
      </c>
      <c r="BB5" s="255" t="s">
        <v>31</v>
      </c>
      <c r="BC5" s="358" t="s">
        <v>37</v>
      </c>
      <c r="BD5" s="252" t="s">
        <v>82</v>
      </c>
      <c r="BE5" s="255" t="s">
        <v>83</v>
      </c>
      <c r="BF5" s="342"/>
      <c r="BG5" s="343"/>
      <c r="BH5" s="199"/>
      <c r="BI5" s="198"/>
    </row>
    <row r="6" spans="1:61" ht="56.25" customHeight="1" thickBot="1">
      <c r="A6" s="218"/>
      <c r="B6" s="220"/>
      <c r="C6" s="222"/>
      <c r="D6" s="224"/>
      <c r="E6" s="359"/>
      <c r="F6" s="360"/>
      <c r="G6" s="359"/>
      <c r="H6" s="360"/>
      <c r="I6" s="359"/>
      <c r="J6" s="360"/>
      <c r="K6" s="359"/>
      <c r="L6" s="360"/>
      <c r="M6" s="359"/>
      <c r="N6" s="360"/>
      <c r="O6" s="361"/>
      <c r="P6" s="361"/>
      <c r="Q6" s="359"/>
      <c r="R6" s="360"/>
      <c r="S6" s="362"/>
      <c r="T6" s="360"/>
      <c r="U6" s="363"/>
      <c r="V6" s="364"/>
      <c r="W6" s="365"/>
      <c r="X6" s="365"/>
      <c r="Y6" s="365"/>
      <c r="Z6" s="365"/>
      <c r="AA6" s="365"/>
      <c r="AB6" s="365"/>
      <c r="AC6" s="365"/>
      <c r="AD6" s="366"/>
      <c r="AE6" s="366"/>
      <c r="AF6" s="367"/>
      <c r="AG6" s="368"/>
      <c r="AH6" s="369"/>
      <c r="AI6" s="370"/>
      <c r="AJ6" s="371"/>
      <c r="AK6" s="267"/>
      <c r="AL6" s="269"/>
      <c r="AM6" s="269"/>
      <c r="AN6" s="202"/>
      <c r="AO6" s="269"/>
      <c r="AP6" s="202"/>
      <c r="AQ6" s="202"/>
      <c r="AR6" s="202"/>
      <c r="AS6" s="202"/>
      <c r="AT6" s="202"/>
      <c r="AU6" s="271"/>
      <c r="AV6" s="206"/>
      <c r="AW6" s="271"/>
      <c r="AX6" s="372"/>
      <c r="AY6" s="115" t="s">
        <v>116</v>
      </c>
      <c r="AZ6" s="260"/>
      <c r="BA6" s="202"/>
      <c r="BB6" s="202"/>
      <c r="BC6" s="373"/>
      <c r="BD6" s="254"/>
      <c r="BE6" s="202"/>
      <c r="BF6" s="374"/>
      <c r="BG6" s="375"/>
      <c r="BH6" s="199"/>
      <c r="BI6" s="198"/>
    </row>
    <row r="7" spans="1:61" ht="19.5" customHeight="1" thickBot="1">
      <c r="A7" s="376">
        <v>1</v>
      </c>
      <c r="B7" s="42">
        <v>2</v>
      </c>
      <c r="C7" s="42">
        <v>3</v>
      </c>
      <c r="D7" s="376">
        <v>4</v>
      </c>
      <c r="E7" s="42">
        <v>5</v>
      </c>
      <c r="F7" s="42">
        <v>6</v>
      </c>
      <c r="G7" s="376">
        <v>7</v>
      </c>
      <c r="H7" s="42">
        <v>8</v>
      </c>
      <c r="I7" s="42">
        <v>9</v>
      </c>
      <c r="J7" s="376">
        <v>10</v>
      </c>
      <c r="K7" s="42">
        <v>11</v>
      </c>
      <c r="L7" s="42">
        <v>12</v>
      </c>
      <c r="M7" s="376">
        <v>13</v>
      </c>
      <c r="N7" s="42">
        <v>14</v>
      </c>
      <c r="O7" s="42">
        <v>15</v>
      </c>
      <c r="P7" s="376">
        <v>16</v>
      </c>
      <c r="Q7" s="42">
        <v>17</v>
      </c>
      <c r="R7" s="42">
        <v>18</v>
      </c>
      <c r="S7" s="376">
        <v>19</v>
      </c>
      <c r="T7" s="42">
        <v>20</v>
      </c>
      <c r="U7" s="42">
        <v>21</v>
      </c>
      <c r="V7" s="376">
        <v>22</v>
      </c>
      <c r="W7" s="42">
        <v>23</v>
      </c>
      <c r="X7" s="376">
        <v>24</v>
      </c>
      <c r="Y7" s="42">
        <v>25</v>
      </c>
      <c r="Z7" s="376">
        <v>26</v>
      </c>
      <c r="AA7" s="42">
        <v>27</v>
      </c>
      <c r="AB7" s="376">
        <v>28</v>
      </c>
      <c r="AC7" s="42">
        <v>29</v>
      </c>
      <c r="AD7" s="376">
        <v>30</v>
      </c>
      <c r="AE7" s="376">
        <v>31</v>
      </c>
      <c r="AF7" s="42">
        <v>32</v>
      </c>
      <c r="AG7" s="376">
        <v>33</v>
      </c>
      <c r="AH7" s="42">
        <v>34</v>
      </c>
      <c r="AI7" s="376">
        <v>35</v>
      </c>
      <c r="AJ7" s="42">
        <v>36</v>
      </c>
      <c r="AK7" s="376">
        <v>37</v>
      </c>
      <c r="AL7" s="42">
        <v>38</v>
      </c>
      <c r="AM7" s="376">
        <v>39</v>
      </c>
      <c r="AN7" s="376">
        <v>40</v>
      </c>
      <c r="AO7" s="42">
        <v>41</v>
      </c>
      <c r="AP7" s="376">
        <v>42</v>
      </c>
      <c r="AQ7" s="42">
        <v>43</v>
      </c>
      <c r="AR7" s="376"/>
      <c r="AS7" s="376">
        <v>44</v>
      </c>
      <c r="AT7" s="42">
        <v>45</v>
      </c>
      <c r="AU7" s="376">
        <v>46</v>
      </c>
      <c r="AV7" s="42">
        <v>47</v>
      </c>
      <c r="AW7" s="376">
        <v>48</v>
      </c>
      <c r="AX7" s="376">
        <v>49</v>
      </c>
      <c r="AY7" s="42"/>
      <c r="AZ7" s="42">
        <v>50</v>
      </c>
      <c r="BA7" s="42">
        <v>51</v>
      </c>
      <c r="BB7" s="42">
        <v>52</v>
      </c>
      <c r="BC7" s="42">
        <v>53</v>
      </c>
      <c r="BD7" s="42">
        <v>54</v>
      </c>
      <c r="BE7" s="42"/>
      <c r="BF7" s="42">
        <v>55</v>
      </c>
      <c r="BG7" s="42">
        <v>56</v>
      </c>
      <c r="BH7" s="198"/>
      <c r="BI7" s="198"/>
    </row>
    <row r="8" spans="1:59" s="24" customFormat="1" ht="13.5" thickBot="1">
      <c r="A8" s="27" t="s">
        <v>52</v>
      </c>
      <c r="B8" s="377">
        <f>'[1]ЛИЦ.СЧЕТ'!B42</f>
        <v>0</v>
      </c>
      <c r="C8" s="377">
        <f>Лист1!C44</f>
        <v>210732.165</v>
      </c>
      <c r="D8" s="377">
        <f>Лист1!D44</f>
        <v>111611.78022844999</v>
      </c>
      <c r="E8" s="377">
        <f>Лист1!E44</f>
        <v>10031.7</v>
      </c>
      <c r="F8" s="377">
        <f>Лист1!F44</f>
        <v>845.1500000000001</v>
      </c>
      <c r="G8" s="377"/>
      <c r="H8" s="377"/>
      <c r="I8" s="377">
        <f>Лист1!G44</f>
        <v>13578.260000000002</v>
      </c>
      <c r="J8" s="377">
        <f>Лист1!H44</f>
        <v>1144.1399999999999</v>
      </c>
      <c r="K8" s="377">
        <f>Лист1!K44</f>
        <v>22605.250000000004</v>
      </c>
      <c r="L8" s="377">
        <f>Лист1!L44</f>
        <v>1904.8200000000002</v>
      </c>
      <c r="M8" s="377">
        <f>Лист1!I44</f>
        <v>32637.959999999995</v>
      </c>
      <c r="N8" s="377">
        <f>Лист1!J44</f>
        <v>2749.99</v>
      </c>
      <c r="O8" s="377">
        <f>Лист1!M44</f>
        <v>8025.260000000002</v>
      </c>
      <c r="P8" s="377">
        <f>Лист1!N44</f>
        <v>676.1700000000001</v>
      </c>
      <c r="Q8" s="377">
        <f>'[3]Лист1'!O44</f>
        <v>0</v>
      </c>
      <c r="R8" s="377"/>
      <c r="S8" s="377">
        <f>'[3]Лист1'!O44</f>
        <v>0</v>
      </c>
      <c r="T8" s="377">
        <f>'[3]Лист1'!P44</f>
        <v>0</v>
      </c>
      <c r="U8" s="377">
        <f>Лист1!S44</f>
        <v>86878.43000000001</v>
      </c>
      <c r="V8" s="377">
        <f>Лист1!T44</f>
        <v>7320.269999999999</v>
      </c>
      <c r="W8" s="377">
        <f>Лист1!U44</f>
        <v>7418.9400000000005</v>
      </c>
      <c r="X8" s="377"/>
      <c r="Y8" s="377">
        <f>Лист1!V44</f>
        <v>10038.46</v>
      </c>
      <c r="Z8" s="377">
        <f>Лист1!X44</f>
        <v>16715.17</v>
      </c>
      <c r="AA8" s="377">
        <f>Лист1!W44</f>
        <v>29550.04</v>
      </c>
      <c r="AB8" s="377">
        <f>Лист1!Y44</f>
        <v>5935.11</v>
      </c>
      <c r="AC8" s="377">
        <f>'[4]Лист1'!Z44</f>
        <v>0</v>
      </c>
      <c r="AD8" s="377"/>
      <c r="AE8" s="377"/>
      <c r="AF8" s="377">
        <f>Лист1!AB44</f>
        <v>69657.72</v>
      </c>
      <c r="AG8" s="377">
        <f>Лист1!AC44</f>
        <v>188589.77022845</v>
      </c>
      <c r="AH8" s="377"/>
      <c r="AI8" s="377"/>
      <c r="AJ8" s="377">
        <f>'[2]Лист1'!AF44</f>
        <v>0</v>
      </c>
      <c r="AK8" s="377">
        <f>Лист1!AG44</f>
        <v>14400.708000000002</v>
      </c>
      <c r="AL8" s="377">
        <f>Лист1!AH44</f>
        <v>4825.392951600001</v>
      </c>
      <c r="AM8" s="377">
        <f>Лист1!AI44+Лист1!AJ44</f>
        <v>23904.517875326997</v>
      </c>
      <c r="AN8" s="377">
        <f>0</f>
        <v>0</v>
      </c>
      <c r="AO8" s="377">
        <f>Лист1!AK44+Лист1!AL44</f>
        <v>23844.181866266994</v>
      </c>
      <c r="AP8" s="377">
        <f>Лист1!AM44+Лист1!AN44</f>
        <v>53340.45294438559</v>
      </c>
      <c r="AQ8" s="377">
        <f>0</f>
        <v>0</v>
      </c>
      <c r="AR8" s="377">
        <f>0</f>
        <v>0</v>
      </c>
      <c r="AS8" s="377">
        <f>0</f>
        <v>0</v>
      </c>
      <c r="AT8" s="377">
        <f>'[5]Лист1'!AO44</f>
        <v>0</v>
      </c>
      <c r="AU8" s="377">
        <f>Лист1!AS44+Лист1!AU44</f>
        <v>40181.2464</v>
      </c>
      <c r="AV8" s="377">
        <f>0</f>
        <v>0</v>
      </c>
      <c r="AW8" s="377">
        <f>Лист1!AT44</f>
        <v>40829.380000000005</v>
      </c>
      <c r="AX8" s="377">
        <f>'[6]Лист1'!AQ44</f>
        <v>0</v>
      </c>
      <c r="AY8" s="378">
        <f>Лист1!AX44</f>
        <v>3592.5116</v>
      </c>
      <c r="AZ8" s="378"/>
      <c r="BA8" s="378"/>
      <c r="BB8" s="378"/>
      <c r="BC8" s="378">
        <f>Лист1!BB44</f>
        <v>204918.3916375796</v>
      </c>
      <c r="BD8" s="377">
        <f>0</f>
        <v>0</v>
      </c>
      <c r="BE8" s="377">
        <f>BC8</f>
        <v>204918.3916375796</v>
      </c>
      <c r="BF8" s="379">
        <f>Лист1!BE44</f>
        <v>-16328.621409129597</v>
      </c>
      <c r="BG8" s="379">
        <f>Лист1!BF44</f>
        <v>-17220.710000000003</v>
      </c>
    </row>
    <row r="9" spans="1:59" ht="12.75">
      <c r="A9" s="5" t="s">
        <v>117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22"/>
      <c r="BD9" s="380"/>
      <c r="BE9" s="381"/>
      <c r="BF9" s="379"/>
      <c r="BG9" s="382"/>
    </row>
    <row r="10" spans="1:135" ht="12.75">
      <c r="A10" s="383" t="s">
        <v>43</v>
      </c>
      <c r="B10" s="312">
        <v>902.3</v>
      </c>
      <c r="C10" s="172">
        <f>(B10*0.87)*0.5+((B10*5.17)*0.5+(B10*2.51)*0.5)</f>
        <v>3857.3324999999995</v>
      </c>
      <c r="D10" s="123">
        <v>554.5342</v>
      </c>
      <c r="E10" s="314">
        <v>0</v>
      </c>
      <c r="F10" s="315">
        <v>0</v>
      </c>
      <c r="G10" s="314">
        <v>4735.92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1149.83</v>
      </c>
      <c r="N10" s="314">
        <v>0</v>
      </c>
      <c r="O10" s="314">
        <v>398.72</v>
      </c>
      <c r="P10" s="315">
        <v>0</v>
      </c>
      <c r="Q10" s="384">
        <v>0</v>
      </c>
      <c r="R10" s="385">
        <v>0</v>
      </c>
      <c r="S10" s="386">
        <v>0</v>
      </c>
      <c r="T10" s="385">
        <v>0</v>
      </c>
      <c r="U10" s="387">
        <f aca="true" t="shared" si="0" ref="U10:V21">E10+G10+I10+K10+M10+O10+Q10+S10</f>
        <v>6284.47</v>
      </c>
      <c r="V10" s="388">
        <f t="shared" si="0"/>
        <v>0</v>
      </c>
      <c r="W10" s="316">
        <v>137.05</v>
      </c>
      <c r="X10" s="316"/>
      <c r="Y10" s="316">
        <v>185.72</v>
      </c>
      <c r="Z10" s="316">
        <v>309.09</v>
      </c>
      <c r="AA10" s="316">
        <v>446.14</v>
      </c>
      <c r="AB10" s="316">
        <v>109.66</v>
      </c>
      <c r="AC10" s="319">
        <v>0</v>
      </c>
      <c r="AD10" s="319">
        <v>0</v>
      </c>
      <c r="AE10" s="389">
        <v>0</v>
      </c>
      <c r="AF10" s="389">
        <f>SUM(W10:AE10)</f>
        <v>1187.66</v>
      </c>
      <c r="AG10" s="390">
        <f>AF10+V10+D10</f>
        <v>1742.1942000000001</v>
      </c>
      <c r="AH10" s="391">
        <f aca="true" t="shared" si="1" ref="AH10:AI21">AC10</f>
        <v>0</v>
      </c>
      <c r="AI10" s="391">
        <f t="shared" si="1"/>
        <v>0</v>
      </c>
      <c r="AJ10" s="321"/>
      <c r="AK10" s="322">
        <f aca="true" t="shared" si="2" ref="AK10:AK21">0.67*B10</f>
        <v>604.541</v>
      </c>
      <c r="AL10" s="322">
        <f aca="true" t="shared" si="3" ref="AL10:AL21">B10*0.2</f>
        <v>180.46</v>
      </c>
      <c r="AM10" s="322">
        <f>B10*1</f>
        <v>902.3</v>
      </c>
      <c r="AN10" s="322">
        <f>B10*0.21</f>
        <v>189.48299999999998</v>
      </c>
      <c r="AO10" s="322">
        <f>2.02*B10</f>
        <v>1822.646</v>
      </c>
      <c r="AP10" s="322">
        <f>B10*1.03</f>
        <v>929.369</v>
      </c>
      <c r="AQ10" s="322">
        <f>B10*0.75</f>
        <v>676.7249999999999</v>
      </c>
      <c r="AR10" s="322">
        <f>B10*0.75</f>
        <v>676.7249999999999</v>
      </c>
      <c r="AS10" s="322">
        <f>B10*1.15</f>
        <v>1037.6449999999998</v>
      </c>
      <c r="AT10" s="322"/>
      <c r="AU10" s="324"/>
      <c r="AV10" s="323"/>
      <c r="AW10" s="324"/>
      <c r="AX10" s="324"/>
      <c r="AY10" s="324"/>
      <c r="AZ10" s="132"/>
      <c r="BA10" s="327"/>
      <c r="BB10" s="327">
        <f>BA10*0.18</f>
        <v>0</v>
      </c>
      <c r="BC10" s="327">
        <f>SUM(AK10:BB10)</f>
        <v>7019.893999999999</v>
      </c>
      <c r="BD10" s="328"/>
      <c r="BE10" s="328">
        <f>BC10</f>
        <v>7019.893999999999</v>
      </c>
      <c r="BF10" s="328">
        <f>AG10-BE10</f>
        <v>-5277.699799999999</v>
      </c>
      <c r="BG10" s="328">
        <f aca="true" t="shared" si="4" ref="BG10:BG21">AF10-U10</f>
        <v>-5096.81</v>
      </c>
      <c r="BH10" s="392"/>
      <c r="BI10" s="393"/>
      <c r="BJ10" s="393"/>
      <c r="BK10" s="393"/>
      <c r="BL10" s="393"/>
      <c r="BM10" s="393"/>
      <c r="BN10" s="393"/>
      <c r="BO10" s="394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5"/>
      <c r="CD10" s="395"/>
      <c r="CE10" s="396"/>
      <c r="CF10" s="328"/>
      <c r="CG10" s="397"/>
      <c r="CH10" s="328"/>
      <c r="CI10" s="328"/>
      <c r="CJ10" s="328"/>
      <c r="CK10" s="328"/>
      <c r="CL10" s="328"/>
      <c r="CM10" s="328"/>
      <c r="CN10" s="328"/>
      <c r="CO10" s="397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97"/>
      <c r="DL10" s="397"/>
      <c r="DM10" s="397"/>
      <c r="DN10" s="397"/>
      <c r="DO10" s="397"/>
      <c r="DP10" s="397"/>
      <c r="DQ10" s="328"/>
      <c r="DR10" s="328"/>
      <c r="DS10" s="328"/>
      <c r="DT10" s="328"/>
      <c r="DU10" s="328"/>
      <c r="DV10" s="392"/>
      <c r="DW10" s="392"/>
      <c r="DX10" s="327"/>
      <c r="DY10" s="379"/>
      <c r="DZ10" s="379"/>
      <c r="EA10" s="382"/>
      <c r="EB10" s="398"/>
      <c r="EC10" s="399"/>
      <c r="ED10" s="400"/>
      <c r="EE10" s="401"/>
    </row>
    <row r="11" spans="1:133" ht="14.25">
      <c r="A11" s="383" t="s">
        <v>44</v>
      </c>
      <c r="B11" s="312">
        <v>902.3</v>
      </c>
      <c r="C11" s="172">
        <f>(B11*0.87)*0.5+((B11*5.17)*0.5+(B11*2.51)*0.5)</f>
        <v>3857.3324999999995</v>
      </c>
      <c r="D11" s="123">
        <v>554.5342</v>
      </c>
      <c r="E11" s="314">
        <v>0</v>
      </c>
      <c r="F11" s="315">
        <v>0</v>
      </c>
      <c r="G11" s="314">
        <v>2.12</v>
      </c>
      <c r="H11" s="314">
        <v>0</v>
      </c>
      <c r="I11" s="314">
        <v>0</v>
      </c>
      <c r="J11" s="314">
        <v>0</v>
      </c>
      <c r="K11" s="314">
        <v>0</v>
      </c>
      <c r="L11" s="314">
        <v>0</v>
      </c>
      <c r="M11" s="314">
        <v>1150.35</v>
      </c>
      <c r="N11" s="314">
        <v>0</v>
      </c>
      <c r="O11" s="314">
        <v>398.9</v>
      </c>
      <c r="P11" s="314">
        <v>0</v>
      </c>
      <c r="Q11" s="315">
        <v>0</v>
      </c>
      <c r="R11" s="315">
        <v>0</v>
      </c>
      <c r="S11" s="319">
        <v>0</v>
      </c>
      <c r="T11" s="316">
        <v>0</v>
      </c>
      <c r="U11" s="402">
        <f t="shared" si="0"/>
        <v>1551.37</v>
      </c>
      <c r="V11" s="388">
        <f t="shared" si="0"/>
        <v>0</v>
      </c>
      <c r="W11" s="403">
        <v>35.79</v>
      </c>
      <c r="X11" s="404">
        <v>975.28</v>
      </c>
      <c r="Y11" s="403">
        <v>48.44</v>
      </c>
      <c r="Z11" s="403">
        <v>80.64</v>
      </c>
      <c r="AA11" s="403">
        <v>589.97</v>
      </c>
      <c r="AB11" s="403">
        <v>192.84</v>
      </c>
      <c r="AC11" s="404">
        <v>0</v>
      </c>
      <c r="AD11" s="404">
        <v>0</v>
      </c>
      <c r="AE11" s="404">
        <v>0</v>
      </c>
      <c r="AF11" s="389">
        <f>SUM(W11:AE11)</f>
        <v>1922.96</v>
      </c>
      <c r="AG11" s="390">
        <f>AF11+V11+D11</f>
        <v>2477.4942</v>
      </c>
      <c r="AH11" s="391">
        <f t="shared" si="1"/>
        <v>0</v>
      </c>
      <c r="AI11" s="391">
        <f t="shared" si="1"/>
        <v>0</v>
      </c>
      <c r="AJ11" s="321"/>
      <c r="AK11" s="322">
        <f t="shared" si="2"/>
        <v>604.541</v>
      </c>
      <c r="AL11" s="322">
        <f t="shared" si="3"/>
        <v>180.46</v>
      </c>
      <c r="AM11" s="322">
        <f>B11*1</f>
        <v>902.3</v>
      </c>
      <c r="AN11" s="322">
        <f>B11*0.21</f>
        <v>189.48299999999998</v>
      </c>
      <c r="AO11" s="322">
        <f>2.02*B11</f>
        <v>1822.646</v>
      </c>
      <c r="AP11" s="322">
        <f>B11*1.03</f>
        <v>929.369</v>
      </c>
      <c r="AQ11" s="322">
        <f>B11*0.75</f>
        <v>676.7249999999999</v>
      </c>
      <c r="AR11" s="322">
        <f>B11*0.75</f>
        <v>676.7249999999999</v>
      </c>
      <c r="AS11" s="322">
        <f>B11*1.15</f>
        <v>1037.6449999999998</v>
      </c>
      <c r="AT11" s="322"/>
      <c r="AU11" s="324"/>
      <c r="AV11" s="323"/>
      <c r="AW11" s="324"/>
      <c r="AX11" s="324">
        <f>80</f>
        <v>80</v>
      </c>
      <c r="AY11" s="324"/>
      <c r="AZ11" s="132"/>
      <c r="BA11" s="327"/>
      <c r="BB11" s="327">
        <f>BA11*0.18</f>
        <v>0</v>
      </c>
      <c r="BC11" s="327">
        <f>SUM(AK11:BB11)</f>
        <v>7099.893999999999</v>
      </c>
      <c r="BD11" s="328"/>
      <c r="BE11" s="328">
        <f aca="true" t="shared" si="5" ref="BE11:BE21">BC11</f>
        <v>7099.893999999999</v>
      </c>
      <c r="BF11" s="328">
        <f>AG11-BE11</f>
        <v>-4622.399799999999</v>
      </c>
      <c r="BG11" s="328">
        <f t="shared" si="4"/>
        <v>371.59000000000015</v>
      </c>
      <c r="BH11" s="392"/>
      <c r="BI11" s="393"/>
      <c r="BJ11" s="393"/>
      <c r="BK11" s="393"/>
      <c r="BL11" s="393"/>
      <c r="BM11" s="393"/>
      <c r="BN11" s="393"/>
      <c r="BO11" s="394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5"/>
      <c r="CD11" s="395"/>
      <c r="CE11" s="396"/>
      <c r="CF11" s="328"/>
      <c r="CG11" s="397"/>
      <c r="CH11" s="328"/>
      <c r="CI11" s="328"/>
      <c r="CJ11" s="328"/>
      <c r="CK11" s="328"/>
      <c r="CL11" s="328"/>
      <c r="CM11" s="328"/>
      <c r="CN11" s="328"/>
      <c r="CO11" s="397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97"/>
      <c r="DL11" s="397"/>
      <c r="DM11" s="397"/>
      <c r="DN11" s="397"/>
      <c r="DO11" s="397"/>
      <c r="DP11" s="397"/>
      <c r="DQ11" s="328"/>
      <c r="DR11" s="328"/>
      <c r="DS11" s="328"/>
      <c r="DT11" s="328"/>
      <c r="DU11" s="328"/>
      <c r="DV11" s="392"/>
      <c r="DW11" s="392"/>
      <c r="DX11" s="327"/>
      <c r="DY11" s="379"/>
      <c r="DZ11" s="379"/>
      <c r="EA11" s="382"/>
      <c r="EB11" s="399"/>
      <c r="EC11" s="405"/>
    </row>
    <row r="12" spans="1:134" ht="12.75">
      <c r="A12" s="383" t="s">
        <v>45</v>
      </c>
      <c r="B12" s="312">
        <v>902.3</v>
      </c>
      <c r="C12" s="172">
        <f>(B12*0.87)*0.5+((B12*5.17)*0.5+(B12*2.51)*0.5)</f>
        <v>3857.3324999999995</v>
      </c>
      <c r="D12" s="123">
        <v>554.5342</v>
      </c>
      <c r="E12" s="314">
        <v>0</v>
      </c>
      <c r="F12" s="315">
        <v>0</v>
      </c>
      <c r="G12" s="314">
        <v>2369.02</v>
      </c>
      <c r="H12" s="314">
        <v>0</v>
      </c>
      <c r="I12" s="314">
        <v>0</v>
      </c>
      <c r="J12" s="314">
        <v>0</v>
      </c>
      <c r="K12" s="314">
        <v>0</v>
      </c>
      <c r="L12" s="314">
        <v>0</v>
      </c>
      <c r="M12" s="314">
        <v>1150.35</v>
      </c>
      <c r="N12" s="314">
        <v>0</v>
      </c>
      <c r="O12" s="314">
        <v>398.9</v>
      </c>
      <c r="P12" s="314">
        <v>0</v>
      </c>
      <c r="Q12" s="314">
        <v>0</v>
      </c>
      <c r="R12" s="314">
        <v>0</v>
      </c>
      <c r="S12" s="314">
        <v>0</v>
      </c>
      <c r="T12" s="316">
        <v>0</v>
      </c>
      <c r="U12" s="316">
        <f t="shared" si="0"/>
        <v>3918.27</v>
      </c>
      <c r="V12" s="317">
        <f t="shared" si="0"/>
        <v>0</v>
      </c>
      <c r="W12" s="318">
        <v>2592.17</v>
      </c>
      <c r="X12" s="319">
        <v>1409.61</v>
      </c>
      <c r="Y12" s="316">
        <v>151.95</v>
      </c>
      <c r="Z12" s="316">
        <v>252.91</v>
      </c>
      <c r="AA12" s="316">
        <v>938.34</v>
      </c>
      <c r="AB12" s="316">
        <v>299.81</v>
      </c>
      <c r="AC12" s="319">
        <v>0</v>
      </c>
      <c r="AD12" s="319">
        <v>0</v>
      </c>
      <c r="AE12" s="316">
        <v>0</v>
      </c>
      <c r="AF12" s="406">
        <f>SUM(W12:AE12)</f>
        <v>5644.79</v>
      </c>
      <c r="AG12" s="390">
        <f>AF12+V12+D12</f>
        <v>6199.3242</v>
      </c>
      <c r="AH12" s="391">
        <f t="shared" si="1"/>
        <v>0</v>
      </c>
      <c r="AI12" s="391">
        <f t="shared" si="1"/>
        <v>0</v>
      </c>
      <c r="AJ12" s="321"/>
      <c r="AK12" s="322">
        <f t="shared" si="2"/>
        <v>604.541</v>
      </c>
      <c r="AL12" s="322">
        <f t="shared" si="3"/>
        <v>180.46</v>
      </c>
      <c r="AM12" s="322">
        <f>B12*1</f>
        <v>902.3</v>
      </c>
      <c r="AN12" s="322">
        <f>B12*0.21</f>
        <v>189.48299999999998</v>
      </c>
      <c r="AO12" s="322">
        <f>2.02*B12</f>
        <v>1822.646</v>
      </c>
      <c r="AP12" s="322">
        <f>B12*1.03</f>
        <v>929.369</v>
      </c>
      <c r="AQ12" s="322">
        <f>B12*0.75</f>
        <v>676.7249999999999</v>
      </c>
      <c r="AR12" s="322">
        <f>B12*0.75</f>
        <v>676.7249999999999</v>
      </c>
      <c r="AS12" s="322">
        <f>B12*1.15</f>
        <v>1037.6449999999998</v>
      </c>
      <c r="AT12" s="322"/>
      <c r="AU12" s="324"/>
      <c r="AV12" s="323"/>
      <c r="AW12" s="324"/>
      <c r="AX12" s="324"/>
      <c r="AY12" s="324"/>
      <c r="AZ12" s="132"/>
      <c r="BA12" s="327"/>
      <c r="BB12" s="327">
        <f>BA12*0.18</f>
        <v>0</v>
      </c>
      <c r="BC12" s="327">
        <f>SUM(AK12:BB12)</f>
        <v>7019.893999999999</v>
      </c>
      <c r="BD12" s="328"/>
      <c r="BE12" s="328">
        <f t="shared" si="5"/>
        <v>7019.893999999999</v>
      </c>
      <c r="BF12" s="328">
        <f>AG12-BE12</f>
        <v>-820.5697999999993</v>
      </c>
      <c r="BG12" s="328">
        <f t="shared" si="4"/>
        <v>1726.52</v>
      </c>
      <c r="BH12" s="392"/>
      <c r="BI12" s="393"/>
      <c r="BJ12" s="393"/>
      <c r="BK12" s="393"/>
      <c r="BL12" s="393"/>
      <c r="BM12" s="393"/>
      <c r="BN12" s="393"/>
      <c r="BO12" s="393"/>
      <c r="BP12" s="393"/>
      <c r="BQ12" s="394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5"/>
      <c r="CD12" s="395"/>
      <c r="CE12" s="396"/>
      <c r="CF12" s="328"/>
      <c r="CG12" s="328"/>
      <c r="CH12" s="328"/>
      <c r="CI12" s="397"/>
      <c r="CJ12" s="328"/>
      <c r="CK12" s="328"/>
      <c r="CL12" s="328"/>
      <c r="CM12" s="328"/>
      <c r="CN12" s="328"/>
      <c r="CO12" s="328"/>
      <c r="CP12" s="328"/>
      <c r="CQ12" s="397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97"/>
      <c r="DN12" s="397"/>
      <c r="DO12" s="397"/>
      <c r="DP12" s="397"/>
      <c r="DQ12" s="397"/>
      <c r="DR12" s="397"/>
      <c r="DS12" s="328"/>
      <c r="DT12" s="328"/>
      <c r="DU12" s="328"/>
      <c r="DV12" s="328"/>
      <c r="DW12" s="328"/>
      <c r="DX12" s="392"/>
      <c r="DY12" s="392"/>
      <c r="DZ12" s="327"/>
      <c r="EA12" s="379"/>
      <c r="EB12" s="379"/>
      <c r="EC12" s="399"/>
      <c r="ED12" s="405"/>
    </row>
    <row r="13" spans="1:134" ht="12.75">
      <c r="A13" s="383" t="s">
        <v>46</v>
      </c>
      <c r="B13" s="312">
        <v>902.3</v>
      </c>
      <c r="C13" s="172">
        <f>(B13*0.87)*0.5+((B13*5.17)*0.5+(B13*2.51)*0.5)</f>
        <v>3857.3324999999995</v>
      </c>
      <c r="D13" s="407">
        <v>554.5342</v>
      </c>
      <c r="E13" s="384">
        <v>0</v>
      </c>
      <c r="F13" s="315">
        <v>0</v>
      </c>
      <c r="G13" s="314">
        <v>2369.02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1150.35</v>
      </c>
      <c r="N13" s="314">
        <v>0</v>
      </c>
      <c r="O13" s="314">
        <v>398.9</v>
      </c>
      <c r="P13" s="314">
        <v>0</v>
      </c>
      <c r="Q13" s="315">
        <v>0</v>
      </c>
      <c r="R13" s="315">
        <v>0</v>
      </c>
      <c r="S13" s="408">
        <v>0</v>
      </c>
      <c r="T13" s="409">
        <v>0</v>
      </c>
      <c r="U13" s="402">
        <f t="shared" si="0"/>
        <v>3918.27</v>
      </c>
      <c r="V13" s="317">
        <f t="shared" si="0"/>
        <v>0</v>
      </c>
      <c r="W13" s="316">
        <v>0</v>
      </c>
      <c r="X13" s="319">
        <v>1582.72</v>
      </c>
      <c r="Y13" s="316">
        <v>0</v>
      </c>
      <c r="Z13" s="316">
        <v>0</v>
      </c>
      <c r="AA13" s="316">
        <v>768.54</v>
      </c>
      <c r="AB13" s="319">
        <v>2951.5</v>
      </c>
      <c r="AC13" s="316">
        <v>0</v>
      </c>
      <c r="AD13" s="319">
        <v>0</v>
      </c>
      <c r="AE13" s="319">
        <v>0</v>
      </c>
      <c r="AF13" s="389">
        <f>SUM(W13:AD13)</f>
        <v>5302.76</v>
      </c>
      <c r="AG13" s="410">
        <f>AF13+V13+D13</f>
        <v>5857.2942</v>
      </c>
      <c r="AH13" s="411">
        <f t="shared" si="1"/>
        <v>0</v>
      </c>
      <c r="AI13" s="411">
        <f t="shared" si="1"/>
        <v>0</v>
      </c>
      <c r="AJ13" s="412"/>
      <c r="AK13" s="322">
        <f t="shared" si="2"/>
        <v>604.541</v>
      </c>
      <c r="AL13" s="322">
        <f t="shared" si="3"/>
        <v>180.46</v>
      </c>
      <c r="AM13" s="322">
        <f>B13*1</f>
        <v>902.3</v>
      </c>
      <c r="AN13" s="322">
        <f>B13*0.21</f>
        <v>189.48299999999998</v>
      </c>
      <c r="AO13" s="322">
        <f>2.02*B13</f>
        <v>1822.646</v>
      </c>
      <c r="AP13" s="322">
        <f>B13*1.03</f>
        <v>929.369</v>
      </c>
      <c r="AQ13" s="322">
        <f>B13*0.75</f>
        <v>676.7249999999999</v>
      </c>
      <c r="AR13" s="322">
        <f>B13*0.75</f>
        <v>676.7249999999999</v>
      </c>
      <c r="AS13" s="322"/>
      <c r="AT13" s="413"/>
      <c r="AU13" s="414"/>
      <c r="AV13" s="414"/>
      <c r="AW13" s="414"/>
      <c r="AX13" s="414">
        <f>45</f>
        <v>45</v>
      </c>
      <c r="AY13" s="414"/>
      <c r="AZ13" s="132"/>
      <c r="BA13" s="413"/>
      <c r="BB13" s="413"/>
      <c r="BC13" s="314">
        <f>SUM(AK13:BB13)</f>
        <v>6027.249</v>
      </c>
      <c r="BD13" s="415"/>
      <c r="BE13" s="328">
        <f t="shared" si="5"/>
        <v>6027.249</v>
      </c>
      <c r="BF13" s="328">
        <f>AG13-BE13</f>
        <v>-169.95479999999952</v>
      </c>
      <c r="BG13" s="328">
        <f t="shared" si="4"/>
        <v>1384.4900000000002</v>
      </c>
      <c r="BH13" s="392"/>
      <c r="BI13" s="393"/>
      <c r="BJ13" s="393"/>
      <c r="BK13" s="393"/>
      <c r="BL13" s="393"/>
      <c r="BM13" s="393"/>
      <c r="BN13" s="393"/>
      <c r="BO13" s="394"/>
      <c r="BP13" s="393"/>
      <c r="BQ13" s="393"/>
      <c r="BR13" s="393"/>
      <c r="BS13" s="393"/>
      <c r="BT13" s="393"/>
      <c r="BU13" s="393"/>
      <c r="BV13" s="393"/>
      <c r="BW13" s="393"/>
      <c r="BX13" s="393"/>
      <c r="BY13" s="393"/>
      <c r="BZ13" s="393"/>
      <c r="CA13" s="393"/>
      <c r="CB13" s="393"/>
      <c r="CC13" s="395"/>
      <c r="CD13" s="395"/>
      <c r="CE13" s="396"/>
      <c r="CF13" s="328"/>
      <c r="CG13" s="397"/>
      <c r="CH13" s="328"/>
      <c r="CI13" s="328"/>
      <c r="CJ13" s="328"/>
      <c r="CK13" s="328"/>
      <c r="CL13" s="328"/>
      <c r="CM13" s="328"/>
      <c r="CN13" s="328"/>
      <c r="CO13" s="397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97"/>
      <c r="DL13" s="397"/>
      <c r="DM13" s="397"/>
      <c r="DN13" s="397"/>
      <c r="DO13" s="397"/>
      <c r="DP13" s="397"/>
      <c r="DQ13" s="328"/>
      <c r="DR13" s="328"/>
      <c r="DS13" s="328"/>
      <c r="DT13" s="328"/>
      <c r="DU13" s="328"/>
      <c r="DV13" s="392"/>
      <c r="DW13" s="392"/>
      <c r="DX13" s="327"/>
      <c r="DY13" s="379"/>
      <c r="DZ13" s="379"/>
      <c r="EA13" s="379"/>
      <c r="EB13" s="382"/>
      <c r="EC13" s="399"/>
      <c r="ED13" s="405"/>
    </row>
    <row r="14" spans="1:133" ht="12.75">
      <c r="A14" s="383" t="s">
        <v>47</v>
      </c>
      <c r="B14" s="511">
        <v>902.3</v>
      </c>
      <c r="C14" s="172">
        <f>(B14*0.87)+((B14*5.17)+(B14*2.51))</f>
        <v>7714.664999999999</v>
      </c>
      <c r="D14" s="407">
        <v>554.5342</v>
      </c>
      <c r="E14" s="313">
        <v>0</v>
      </c>
      <c r="F14" s="315">
        <v>0</v>
      </c>
      <c r="G14" s="314">
        <v>4738.03</v>
      </c>
      <c r="H14" s="314">
        <v>0</v>
      </c>
      <c r="I14" s="314">
        <v>0</v>
      </c>
      <c r="J14" s="314">
        <v>0</v>
      </c>
      <c r="K14" s="314">
        <v>0</v>
      </c>
      <c r="L14" s="314">
        <v>0</v>
      </c>
      <c r="M14" s="314">
        <v>2300.7</v>
      </c>
      <c r="N14" s="314">
        <v>0</v>
      </c>
      <c r="O14" s="314">
        <v>797.84</v>
      </c>
      <c r="P14" s="314">
        <v>0</v>
      </c>
      <c r="Q14" s="315">
        <v>0</v>
      </c>
      <c r="R14" s="315">
        <v>0</v>
      </c>
      <c r="S14" s="314">
        <v>0</v>
      </c>
      <c r="T14" s="319">
        <v>0</v>
      </c>
      <c r="U14" s="416">
        <f t="shared" si="0"/>
        <v>7836.57</v>
      </c>
      <c r="V14" s="417">
        <f>F14+H14+J14+L14+N14++R14+T14</f>
        <v>0</v>
      </c>
      <c r="W14" s="316">
        <v>298</v>
      </c>
      <c r="X14" s="319">
        <v>1522.42</v>
      </c>
      <c r="Y14" s="316">
        <v>403.66</v>
      </c>
      <c r="Z14" s="316">
        <v>671.83</v>
      </c>
      <c r="AA14" s="316">
        <v>1708.98</v>
      </c>
      <c r="AB14" s="316">
        <v>494.6</v>
      </c>
      <c r="AC14" s="319">
        <v>0</v>
      </c>
      <c r="AD14" s="319">
        <v>0</v>
      </c>
      <c r="AE14" s="389">
        <v>0</v>
      </c>
      <c r="AF14" s="418">
        <f>SUM(W14:AE14)</f>
        <v>5099.49</v>
      </c>
      <c r="AG14" s="410">
        <f aca="true" t="shared" si="6" ref="AG14:AG21">D14+V14+AF14</f>
        <v>5654.0242</v>
      </c>
      <c r="AH14" s="411">
        <f t="shared" si="1"/>
        <v>0</v>
      </c>
      <c r="AI14" s="411">
        <f t="shared" si="1"/>
        <v>0</v>
      </c>
      <c r="AJ14" s="412"/>
      <c r="AK14" s="322">
        <f t="shared" si="2"/>
        <v>604.541</v>
      </c>
      <c r="AL14" s="322">
        <f t="shared" si="3"/>
        <v>180.46</v>
      </c>
      <c r="AM14" s="322">
        <f>B14*1</f>
        <v>902.3</v>
      </c>
      <c r="AN14" s="322">
        <f>B14*0.21</f>
        <v>189.48299999999998</v>
      </c>
      <c r="AO14" s="322">
        <f>2.02*B14</f>
        <v>1822.646</v>
      </c>
      <c r="AP14" s="322">
        <f>B14*1.03</f>
        <v>929.369</v>
      </c>
      <c r="AQ14" s="322">
        <f>B14*0.75</f>
        <v>676.7249999999999</v>
      </c>
      <c r="AR14" s="322">
        <f>B14*0.75</f>
        <v>676.7249999999999</v>
      </c>
      <c r="AS14" s="322"/>
      <c r="AT14" s="413"/>
      <c r="AU14" s="414"/>
      <c r="AV14" s="414"/>
      <c r="AW14" s="414"/>
      <c r="AX14" s="419">
        <v>10</v>
      </c>
      <c r="AY14" s="419"/>
      <c r="AZ14" s="132"/>
      <c r="BA14" s="413"/>
      <c r="BB14" s="413"/>
      <c r="BC14" s="314">
        <f>SUM(AK14:BB14)</f>
        <v>5992.249</v>
      </c>
      <c r="BD14" s="415"/>
      <c r="BE14" s="328">
        <f t="shared" si="5"/>
        <v>5992.249</v>
      </c>
      <c r="BF14" s="328">
        <f>AG14-BE14</f>
        <v>-338.22479999999996</v>
      </c>
      <c r="BG14" s="328">
        <f t="shared" si="4"/>
        <v>-2737.08</v>
      </c>
      <c r="BH14" s="392"/>
      <c r="BI14" s="393"/>
      <c r="BJ14" s="393"/>
      <c r="BK14" s="393"/>
      <c r="BL14" s="393"/>
      <c r="BM14" s="393"/>
      <c r="BN14" s="393"/>
      <c r="BO14" s="394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5"/>
      <c r="CD14" s="395"/>
      <c r="CE14" s="396"/>
      <c r="CF14" s="328"/>
      <c r="CG14" s="397"/>
      <c r="CH14" s="328"/>
      <c r="CI14" s="328"/>
      <c r="CJ14" s="328"/>
      <c r="CK14" s="328"/>
      <c r="CL14" s="328"/>
      <c r="CM14" s="328"/>
      <c r="CN14" s="328"/>
      <c r="CO14" s="397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97"/>
      <c r="DL14" s="397"/>
      <c r="DM14" s="397"/>
      <c r="DN14" s="397"/>
      <c r="DO14" s="397"/>
      <c r="DP14" s="397"/>
      <c r="DQ14" s="328"/>
      <c r="DR14" s="328"/>
      <c r="DS14" s="328"/>
      <c r="DT14" s="328"/>
      <c r="DU14" s="328"/>
      <c r="DV14" s="392"/>
      <c r="DW14" s="392"/>
      <c r="DX14" s="327"/>
      <c r="DY14" s="379"/>
      <c r="DZ14" s="379"/>
      <c r="EA14" s="382"/>
      <c r="EB14" s="399"/>
      <c r="EC14" s="405"/>
    </row>
    <row r="15" spans="1:133" ht="13.5" thickBot="1">
      <c r="A15" s="383" t="s">
        <v>48</v>
      </c>
      <c r="B15" s="312">
        <v>902.3</v>
      </c>
      <c r="C15" s="172">
        <f>(B15*0.87)+((B15*5.17)+(B15*2.51))</f>
        <v>7714.664999999999</v>
      </c>
      <c r="D15" s="407">
        <v>554.5342</v>
      </c>
      <c r="E15" s="420">
        <v>0</v>
      </c>
      <c r="F15" s="420"/>
      <c r="G15" s="420">
        <v>4738.03</v>
      </c>
      <c r="H15" s="420"/>
      <c r="I15" s="421">
        <v>0</v>
      </c>
      <c r="J15" s="421"/>
      <c r="K15" s="421">
        <v>0</v>
      </c>
      <c r="L15" s="421"/>
      <c r="M15" s="421">
        <v>2300.7</v>
      </c>
      <c r="N15" s="421"/>
      <c r="O15" s="421">
        <v>797.84</v>
      </c>
      <c r="P15" s="421"/>
      <c r="Q15" s="421">
        <v>0</v>
      </c>
      <c r="R15" s="422"/>
      <c r="S15" s="422">
        <v>0</v>
      </c>
      <c r="T15" s="421"/>
      <c r="U15" s="423">
        <f t="shared" si="0"/>
        <v>7836.57</v>
      </c>
      <c r="V15" s="424">
        <f t="shared" si="0"/>
        <v>0</v>
      </c>
      <c r="W15" s="425">
        <v>0</v>
      </c>
      <c r="X15" s="420">
        <v>2564.33</v>
      </c>
      <c r="Y15" s="420">
        <v>2750</v>
      </c>
      <c r="Z15" s="420">
        <v>0</v>
      </c>
      <c r="AA15" s="420">
        <v>1245.3</v>
      </c>
      <c r="AB15" s="420">
        <v>431.91</v>
      </c>
      <c r="AC15" s="420">
        <v>0</v>
      </c>
      <c r="AD15" s="420">
        <v>0</v>
      </c>
      <c r="AE15" s="426">
        <v>0</v>
      </c>
      <c r="AF15" s="427">
        <f aca="true" t="shared" si="7" ref="AF15:AF21">SUM(W15:AE15)</f>
        <v>6991.54</v>
      </c>
      <c r="AG15" s="410">
        <f t="shared" si="6"/>
        <v>7546.0742</v>
      </c>
      <c r="AH15" s="411">
        <f t="shared" si="1"/>
        <v>0</v>
      </c>
      <c r="AI15" s="411">
        <f t="shared" si="1"/>
        <v>0</v>
      </c>
      <c r="AJ15" s="412"/>
      <c r="AK15" s="322">
        <f t="shared" si="2"/>
        <v>604.541</v>
      </c>
      <c r="AL15" s="322">
        <f t="shared" si="3"/>
        <v>180.46</v>
      </c>
      <c r="AM15" s="322">
        <f>B15*1</f>
        <v>902.3</v>
      </c>
      <c r="AN15" s="322">
        <f>B15*0.21</f>
        <v>189.48299999999998</v>
      </c>
      <c r="AO15" s="322">
        <f>2.02*B15</f>
        <v>1822.646</v>
      </c>
      <c r="AP15" s="322">
        <f>B15*1.03</f>
        <v>929.369</v>
      </c>
      <c r="AQ15" s="322">
        <f>B15*0.75</f>
        <v>676.7249999999999</v>
      </c>
      <c r="AR15" s="322">
        <f>B15*0.75</f>
        <v>676.7249999999999</v>
      </c>
      <c r="AS15" s="322"/>
      <c r="AT15" s="413"/>
      <c r="AU15" s="414"/>
      <c r="AV15" s="414"/>
      <c r="AW15" s="414"/>
      <c r="AX15" s="414"/>
      <c r="AY15" s="414"/>
      <c r="AZ15" s="322"/>
      <c r="BA15" s="413"/>
      <c r="BB15" s="413"/>
      <c r="BC15" s="428">
        <f>SUM(AK15:BB15)</f>
        <v>5982.249</v>
      </c>
      <c r="BD15" s="415"/>
      <c r="BE15" s="328">
        <f t="shared" si="5"/>
        <v>5982.249</v>
      </c>
      <c r="BF15" s="328">
        <f>AG15-BE15</f>
        <v>1563.8252000000002</v>
      </c>
      <c r="BG15" s="328">
        <f t="shared" si="4"/>
        <v>-845.0299999999997</v>
      </c>
      <c r="BH15" s="392"/>
      <c r="BI15" s="393"/>
      <c r="BJ15" s="393"/>
      <c r="BK15" s="393"/>
      <c r="BL15" s="393"/>
      <c r="BM15" s="393"/>
      <c r="BN15" s="393"/>
      <c r="BO15" s="394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5"/>
      <c r="CD15" s="395"/>
      <c r="CE15" s="396"/>
      <c r="CF15" s="328"/>
      <c r="CG15" s="397"/>
      <c r="CH15" s="328"/>
      <c r="CI15" s="328"/>
      <c r="CJ15" s="328"/>
      <c r="CK15" s="328"/>
      <c r="CL15" s="328"/>
      <c r="CM15" s="328"/>
      <c r="CN15" s="328"/>
      <c r="CO15" s="397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97"/>
      <c r="DL15" s="397"/>
      <c r="DM15" s="397"/>
      <c r="DN15" s="397"/>
      <c r="DO15" s="397"/>
      <c r="DP15" s="397"/>
      <c r="DQ15" s="328"/>
      <c r="DR15" s="328"/>
      <c r="DS15" s="328"/>
      <c r="DT15" s="328"/>
      <c r="DU15" s="328"/>
      <c r="DV15" s="392"/>
      <c r="DW15" s="392"/>
      <c r="DX15" s="327"/>
      <c r="DY15" s="379"/>
      <c r="DZ15" s="379"/>
      <c r="EA15" s="382"/>
      <c r="EB15" s="429"/>
      <c r="EC15" s="405"/>
    </row>
    <row r="16" spans="1:130" ht="12.75">
      <c r="A16" s="383" t="s">
        <v>49</v>
      </c>
      <c r="B16" s="512">
        <v>902.3</v>
      </c>
      <c r="C16" s="513">
        <f>B16*14.05</f>
        <v>12677.315</v>
      </c>
      <c r="D16" s="514">
        <v>554.5342</v>
      </c>
      <c r="E16" s="430"/>
      <c r="F16" s="430"/>
      <c r="G16" s="430">
        <v>8887.67</v>
      </c>
      <c r="H16" s="430"/>
      <c r="I16" s="430"/>
      <c r="J16" s="430"/>
      <c r="K16" s="430"/>
      <c r="L16" s="430"/>
      <c r="M16" s="430">
        <v>2706.9</v>
      </c>
      <c r="N16" s="430"/>
      <c r="O16" s="430">
        <v>1082.76</v>
      </c>
      <c r="P16" s="430"/>
      <c r="Q16" s="430"/>
      <c r="R16" s="430"/>
      <c r="S16" s="431"/>
      <c r="T16" s="515"/>
      <c r="U16" s="432">
        <f t="shared" si="0"/>
        <v>12677.33</v>
      </c>
      <c r="V16" s="516">
        <f t="shared" si="0"/>
        <v>0</v>
      </c>
      <c r="W16" s="433">
        <v>-1554.34</v>
      </c>
      <c r="X16" s="430">
        <v>6724.88</v>
      </c>
      <c r="Y16" s="430">
        <v>-1495.86</v>
      </c>
      <c r="Z16" s="430">
        <v>2087.18</v>
      </c>
      <c r="AA16" s="430">
        <v>925.64</v>
      </c>
      <c r="AB16" s="430">
        <v>-796.85</v>
      </c>
      <c r="AC16" s="517"/>
      <c r="AD16" s="430"/>
      <c r="AE16" s="431"/>
      <c r="AF16" s="518">
        <f t="shared" si="7"/>
        <v>5890.650000000001</v>
      </c>
      <c r="AG16" s="434">
        <f t="shared" si="6"/>
        <v>6445.184200000001</v>
      </c>
      <c r="AH16" s="519">
        <f t="shared" si="1"/>
        <v>0</v>
      </c>
      <c r="AI16" s="519">
        <f t="shared" si="1"/>
        <v>0</v>
      </c>
      <c r="AJ16" s="520"/>
      <c r="AK16" s="322">
        <f t="shared" si="2"/>
        <v>604.541</v>
      </c>
      <c r="AL16" s="322">
        <f t="shared" si="3"/>
        <v>180.46</v>
      </c>
      <c r="AM16" s="322">
        <f>B16*1</f>
        <v>902.3</v>
      </c>
      <c r="AN16" s="322">
        <f>B16*0.21</f>
        <v>189.48299999999998</v>
      </c>
      <c r="AO16" s="322">
        <f>2.02*B16</f>
        <v>1822.646</v>
      </c>
      <c r="AP16" s="322">
        <f>B16*1.03</f>
        <v>929.369</v>
      </c>
      <c r="AQ16" s="322">
        <f>B16*0.75</f>
        <v>676.7249999999999</v>
      </c>
      <c r="AR16" s="322">
        <f>B16*0.75</f>
        <v>676.7249999999999</v>
      </c>
      <c r="AS16" s="521"/>
      <c r="AT16" s="413"/>
      <c r="AU16" s="419"/>
      <c r="AV16" s="419"/>
      <c r="AW16" s="419"/>
      <c r="AX16" s="414">
        <f>9.43+18.86</f>
        <v>28.29</v>
      </c>
      <c r="AY16" s="414"/>
      <c r="AZ16" s="521"/>
      <c r="BA16" s="522">
        <v>6355.8</v>
      </c>
      <c r="BB16" s="522"/>
      <c r="BC16" s="523">
        <f>SUM(AK16:BB16)</f>
        <v>12366.339</v>
      </c>
      <c r="BD16" s="524"/>
      <c r="BE16" s="328">
        <f t="shared" si="5"/>
        <v>12366.339</v>
      </c>
      <c r="BF16" s="328">
        <f>AG16-BE16</f>
        <v>-5921.154799999999</v>
      </c>
      <c r="BG16" s="328">
        <f t="shared" si="4"/>
        <v>-6786.679999999999</v>
      </c>
      <c r="BH16" s="392"/>
      <c r="BI16" s="393"/>
      <c r="BJ16" s="393"/>
      <c r="BK16" s="393"/>
      <c r="BL16" s="393"/>
      <c r="BM16" s="393"/>
      <c r="BN16" s="393"/>
      <c r="BO16" s="394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5"/>
      <c r="CD16" s="395"/>
      <c r="CE16" s="396"/>
      <c r="CF16" s="328"/>
      <c r="CG16" s="397"/>
      <c r="CH16" s="328"/>
      <c r="CI16" s="328"/>
      <c r="CJ16" s="328"/>
      <c r="CK16" s="328"/>
      <c r="CL16" s="328"/>
      <c r="CM16" s="328"/>
      <c r="CN16" s="328"/>
      <c r="CO16" s="397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97"/>
      <c r="DL16" s="397"/>
      <c r="DM16" s="397"/>
      <c r="DN16" s="397"/>
      <c r="DO16" s="397"/>
      <c r="DP16" s="397"/>
      <c r="DQ16" s="328"/>
      <c r="DR16" s="328"/>
      <c r="DS16" s="328"/>
      <c r="DT16" s="328"/>
      <c r="DU16" s="328"/>
      <c r="DV16" s="392"/>
      <c r="DW16" s="392"/>
      <c r="DX16" s="327"/>
      <c r="DY16" s="379"/>
      <c r="DZ16" s="379"/>
    </row>
    <row r="17" spans="1:130" ht="12.75">
      <c r="A17" s="383" t="s">
        <v>50</v>
      </c>
      <c r="B17" s="512">
        <v>902.3</v>
      </c>
      <c r="C17" s="513">
        <f>B17*14.05</f>
        <v>12677.315</v>
      </c>
      <c r="D17" s="514">
        <v>554.5342</v>
      </c>
      <c r="E17" s="435"/>
      <c r="F17" s="435"/>
      <c r="G17" s="435">
        <v>8887.67</v>
      </c>
      <c r="H17" s="435"/>
      <c r="I17" s="435"/>
      <c r="J17" s="435"/>
      <c r="K17" s="435"/>
      <c r="L17" s="435"/>
      <c r="M17" s="435">
        <v>2706.9</v>
      </c>
      <c r="N17" s="435"/>
      <c r="O17" s="435">
        <v>1082.76</v>
      </c>
      <c r="P17" s="435"/>
      <c r="Q17" s="435"/>
      <c r="R17" s="435"/>
      <c r="S17" s="436"/>
      <c r="T17" s="525"/>
      <c r="U17" s="526">
        <f t="shared" si="0"/>
        <v>12677.33</v>
      </c>
      <c r="V17" s="527">
        <f t="shared" si="0"/>
        <v>0</v>
      </c>
      <c r="W17" s="430">
        <v>0</v>
      </c>
      <c r="X17" s="430">
        <v>5030.76</v>
      </c>
      <c r="Y17" s="430">
        <v>0</v>
      </c>
      <c r="Z17" s="430">
        <v>0</v>
      </c>
      <c r="AA17" s="430">
        <v>1554.93</v>
      </c>
      <c r="AB17" s="430">
        <v>618.71</v>
      </c>
      <c r="AC17" s="430"/>
      <c r="AD17" s="430"/>
      <c r="AE17" s="431"/>
      <c r="AF17" s="518">
        <f t="shared" si="7"/>
        <v>7204.400000000001</v>
      </c>
      <c r="AG17" s="434">
        <f t="shared" si="6"/>
        <v>7758.934200000001</v>
      </c>
      <c r="AH17" s="519">
        <f t="shared" si="1"/>
        <v>0</v>
      </c>
      <c r="AI17" s="519">
        <f t="shared" si="1"/>
        <v>0</v>
      </c>
      <c r="AJ17" s="520"/>
      <c r="AK17" s="322">
        <f t="shared" si="2"/>
        <v>604.541</v>
      </c>
      <c r="AL17" s="322">
        <f t="shared" si="3"/>
        <v>180.46</v>
      </c>
      <c r="AM17" s="322">
        <f>B17*1</f>
        <v>902.3</v>
      </c>
      <c r="AN17" s="322">
        <f>B17*0.21</f>
        <v>189.48299999999998</v>
      </c>
      <c r="AO17" s="322">
        <f>2.02*B17</f>
        <v>1822.646</v>
      </c>
      <c r="AP17" s="322">
        <f>B17*1.03</f>
        <v>929.369</v>
      </c>
      <c r="AQ17" s="322">
        <f>B17*0.75</f>
        <v>676.7249999999999</v>
      </c>
      <c r="AR17" s="322">
        <f>B17*0.75</f>
        <v>676.7249999999999</v>
      </c>
      <c r="AS17" s="521"/>
      <c r="AT17" s="413"/>
      <c r="AU17" s="419"/>
      <c r="AV17" s="419"/>
      <c r="AW17" s="419"/>
      <c r="AX17" s="419"/>
      <c r="AY17" s="419"/>
      <c r="AZ17" s="521"/>
      <c r="BA17" s="522"/>
      <c r="BB17" s="522"/>
      <c r="BC17" s="523">
        <f>SUM(AK17:BB17)</f>
        <v>5982.249</v>
      </c>
      <c r="BD17" s="524"/>
      <c r="BE17" s="328">
        <f t="shared" si="5"/>
        <v>5982.249</v>
      </c>
      <c r="BF17" s="328">
        <f>AG17-BE17</f>
        <v>1776.6852000000008</v>
      </c>
      <c r="BG17" s="328">
        <f t="shared" si="4"/>
        <v>-5472.929999999999</v>
      </c>
      <c r="BH17" s="392"/>
      <c r="BI17" s="393"/>
      <c r="BJ17" s="393"/>
      <c r="BK17" s="393"/>
      <c r="BL17" s="393"/>
      <c r="BM17" s="393"/>
      <c r="BN17" s="393"/>
      <c r="BO17" s="394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5"/>
      <c r="CD17" s="395"/>
      <c r="CE17" s="396"/>
      <c r="CF17" s="328"/>
      <c r="CG17" s="397"/>
      <c r="CH17" s="328"/>
      <c r="CI17" s="328"/>
      <c r="CJ17" s="328"/>
      <c r="CK17" s="328"/>
      <c r="CL17" s="328"/>
      <c r="CM17" s="328"/>
      <c r="CN17" s="328"/>
      <c r="CO17" s="397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97"/>
      <c r="DL17" s="397"/>
      <c r="DM17" s="397"/>
      <c r="DN17" s="397"/>
      <c r="DO17" s="397"/>
      <c r="DP17" s="397"/>
      <c r="DQ17" s="328"/>
      <c r="DR17" s="328"/>
      <c r="DS17" s="328"/>
      <c r="DT17" s="328"/>
      <c r="DU17" s="328"/>
      <c r="DV17" s="392"/>
      <c r="DW17" s="392"/>
      <c r="DX17" s="327"/>
      <c r="DY17" s="379"/>
      <c r="DZ17" s="379"/>
    </row>
    <row r="18" spans="1:130" ht="12.75">
      <c r="A18" s="383" t="s">
        <v>51</v>
      </c>
      <c r="B18" s="312">
        <v>902.3</v>
      </c>
      <c r="C18" s="513">
        <f>B18*14.05</f>
        <v>12677.315</v>
      </c>
      <c r="D18" s="514">
        <v>554.5342</v>
      </c>
      <c r="E18" s="430"/>
      <c r="F18" s="430"/>
      <c r="G18" s="430">
        <v>8887.7</v>
      </c>
      <c r="H18" s="430"/>
      <c r="I18" s="430"/>
      <c r="J18" s="430"/>
      <c r="K18" s="430"/>
      <c r="L18" s="430"/>
      <c r="M18" s="430">
        <v>2706.9</v>
      </c>
      <c r="N18" s="430"/>
      <c r="O18" s="430">
        <v>1082.76</v>
      </c>
      <c r="P18" s="430"/>
      <c r="Q18" s="430"/>
      <c r="R18" s="430"/>
      <c r="S18" s="431"/>
      <c r="T18" s="437"/>
      <c r="U18" s="437">
        <f t="shared" si="0"/>
        <v>12677.36</v>
      </c>
      <c r="V18" s="438">
        <f t="shared" si="0"/>
        <v>0</v>
      </c>
      <c r="W18" s="430">
        <v>0</v>
      </c>
      <c r="X18" s="430">
        <v>3623.94</v>
      </c>
      <c r="Y18" s="430">
        <v>0</v>
      </c>
      <c r="Z18" s="430">
        <v>0</v>
      </c>
      <c r="AA18" s="430">
        <v>1103.79</v>
      </c>
      <c r="AB18" s="430">
        <v>441.51</v>
      </c>
      <c r="AC18" s="430"/>
      <c r="AD18" s="430"/>
      <c r="AE18" s="431"/>
      <c r="AF18" s="518">
        <f t="shared" si="7"/>
        <v>5169.24</v>
      </c>
      <c r="AG18" s="434">
        <f t="shared" si="6"/>
        <v>5723.7742</v>
      </c>
      <c r="AH18" s="519">
        <f t="shared" si="1"/>
        <v>0</v>
      </c>
      <c r="AI18" s="519">
        <f t="shared" si="1"/>
        <v>0</v>
      </c>
      <c r="AJ18" s="520"/>
      <c r="AK18" s="322">
        <f t="shared" si="2"/>
        <v>604.541</v>
      </c>
      <c r="AL18" s="322">
        <f t="shared" si="3"/>
        <v>180.46</v>
      </c>
      <c r="AM18" s="322">
        <f>B18*1</f>
        <v>902.3</v>
      </c>
      <c r="AN18" s="322">
        <f>B18*0.21</f>
        <v>189.48299999999998</v>
      </c>
      <c r="AO18" s="322">
        <f>2.02*B18</f>
        <v>1822.646</v>
      </c>
      <c r="AP18" s="322">
        <f>B18*1.03</f>
        <v>929.369</v>
      </c>
      <c r="AQ18" s="322">
        <f>B18*0.75</f>
        <v>676.7249999999999</v>
      </c>
      <c r="AR18" s="322">
        <f>B18*0.75</f>
        <v>676.7249999999999</v>
      </c>
      <c r="AS18" s="521"/>
      <c r="AT18" s="413"/>
      <c r="AU18" s="419"/>
      <c r="AV18" s="419"/>
      <c r="AW18" s="419"/>
      <c r="AX18" s="419"/>
      <c r="AY18" s="419"/>
      <c r="AZ18" s="521"/>
      <c r="BA18" s="522"/>
      <c r="BB18" s="522"/>
      <c r="BC18" s="523">
        <f>SUM(AK18:BB18)</f>
        <v>5982.249</v>
      </c>
      <c r="BD18" s="524"/>
      <c r="BE18" s="328">
        <f t="shared" si="5"/>
        <v>5982.249</v>
      </c>
      <c r="BF18" s="328">
        <f>AG18-BE18</f>
        <v>-258.47479999999996</v>
      </c>
      <c r="BG18" s="328">
        <f t="shared" si="4"/>
        <v>-7508.120000000001</v>
      </c>
      <c r="BH18" s="392"/>
      <c r="BI18" s="393"/>
      <c r="BJ18" s="393"/>
      <c r="BK18" s="393"/>
      <c r="BL18" s="393"/>
      <c r="BM18" s="393"/>
      <c r="BN18" s="393"/>
      <c r="BO18" s="394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5"/>
      <c r="CD18" s="395"/>
      <c r="CE18" s="396"/>
      <c r="CF18" s="328"/>
      <c r="CG18" s="397"/>
      <c r="CH18" s="328"/>
      <c r="CI18" s="328"/>
      <c r="CJ18" s="328"/>
      <c r="CK18" s="328"/>
      <c r="CL18" s="328"/>
      <c r="CM18" s="328"/>
      <c r="CN18" s="328"/>
      <c r="CO18" s="397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97"/>
      <c r="DL18" s="397"/>
      <c r="DM18" s="397"/>
      <c r="DN18" s="397"/>
      <c r="DO18" s="397"/>
      <c r="DP18" s="397"/>
      <c r="DQ18" s="328"/>
      <c r="DR18" s="328"/>
      <c r="DS18" s="328"/>
      <c r="DT18" s="328"/>
      <c r="DU18" s="328"/>
      <c r="DV18" s="392"/>
      <c r="DW18" s="392"/>
      <c r="DX18" s="327"/>
      <c r="DY18" s="439"/>
      <c r="DZ18" s="74"/>
    </row>
    <row r="19" spans="1:128" ht="12.75">
      <c r="A19" s="383" t="s">
        <v>39</v>
      </c>
      <c r="B19" s="312">
        <v>902.3</v>
      </c>
      <c r="C19" s="513">
        <f>B19*14.05</f>
        <v>12677.315</v>
      </c>
      <c r="D19" s="440">
        <v>554.5342</v>
      </c>
      <c r="E19" s="420"/>
      <c r="F19" s="420"/>
      <c r="G19" s="420">
        <v>8887.7</v>
      </c>
      <c r="H19" s="420"/>
      <c r="I19" s="420"/>
      <c r="J19" s="420"/>
      <c r="K19" s="420"/>
      <c r="L19" s="420"/>
      <c r="M19" s="420">
        <v>2706.9</v>
      </c>
      <c r="N19" s="420"/>
      <c r="O19" s="420">
        <v>1082.76</v>
      </c>
      <c r="P19" s="420"/>
      <c r="Q19" s="420"/>
      <c r="R19" s="420"/>
      <c r="S19" s="426"/>
      <c r="T19" s="441"/>
      <c r="U19" s="442">
        <f t="shared" si="0"/>
        <v>12677.36</v>
      </c>
      <c r="V19" s="443">
        <f t="shared" si="0"/>
        <v>0</v>
      </c>
      <c r="W19" s="420">
        <v>0</v>
      </c>
      <c r="X19" s="420">
        <v>6083.91</v>
      </c>
      <c r="Y19" s="420">
        <v>0</v>
      </c>
      <c r="Z19" s="420">
        <v>0</v>
      </c>
      <c r="AA19" s="420">
        <v>1939.89</v>
      </c>
      <c r="AB19" s="420">
        <v>850.98</v>
      </c>
      <c r="AC19" s="420"/>
      <c r="AD19" s="420"/>
      <c r="AE19" s="426"/>
      <c r="AF19" s="518">
        <f t="shared" si="7"/>
        <v>8874.78</v>
      </c>
      <c r="AG19" s="434">
        <f t="shared" si="6"/>
        <v>9429.3142</v>
      </c>
      <c r="AH19" s="519">
        <f t="shared" si="1"/>
        <v>0</v>
      </c>
      <c r="AI19" s="519">
        <f t="shared" si="1"/>
        <v>0</v>
      </c>
      <c r="AJ19" s="520"/>
      <c r="AK19" s="322">
        <f t="shared" si="2"/>
        <v>604.541</v>
      </c>
      <c r="AL19" s="322">
        <f t="shared" si="3"/>
        <v>180.46</v>
      </c>
      <c r="AM19" s="322">
        <f>B19*1</f>
        <v>902.3</v>
      </c>
      <c r="AN19" s="322">
        <f>B19*0.21</f>
        <v>189.48299999999998</v>
      </c>
      <c r="AO19" s="322">
        <f>2.02*B19</f>
        <v>1822.646</v>
      </c>
      <c r="AP19" s="322">
        <f>B19*1.03</f>
        <v>929.369</v>
      </c>
      <c r="AQ19" s="322">
        <f>B19*0.75</f>
        <v>676.7249999999999</v>
      </c>
      <c r="AR19" s="322">
        <f>B19*0.75</f>
        <v>676.7249999999999</v>
      </c>
      <c r="AS19" s="528">
        <v>0</v>
      </c>
      <c r="AT19" s="413"/>
      <c r="AU19" s="419"/>
      <c r="AV19" s="419"/>
      <c r="AW19" s="419"/>
      <c r="AX19" s="419"/>
      <c r="AY19" s="419"/>
      <c r="AZ19" s="521"/>
      <c r="BA19" s="522"/>
      <c r="BB19" s="522"/>
      <c r="BC19" s="428">
        <f>SUM(AK19:BB19)</f>
        <v>5982.249</v>
      </c>
      <c r="BD19" s="524"/>
      <c r="BE19" s="328">
        <f t="shared" si="5"/>
        <v>5982.249</v>
      </c>
      <c r="BF19" s="328">
        <f>AG19-BE19</f>
        <v>3447.065200000001</v>
      </c>
      <c r="BG19" s="328">
        <f>AF19-U19</f>
        <v>-3802.58</v>
      </c>
      <c r="BH19" s="392"/>
      <c r="BI19" s="393"/>
      <c r="BJ19" s="393"/>
      <c r="BK19" s="393"/>
      <c r="BL19" s="393"/>
      <c r="BM19" s="393"/>
      <c r="BN19" s="393"/>
      <c r="BO19" s="394"/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5"/>
      <c r="CD19" s="395"/>
      <c r="CE19" s="396"/>
      <c r="CF19" s="328"/>
      <c r="CG19" s="397"/>
      <c r="CH19" s="328"/>
      <c r="CI19" s="328"/>
      <c r="CJ19" s="328"/>
      <c r="CK19" s="328"/>
      <c r="CL19" s="328"/>
      <c r="CM19" s="328"/>
      <c r="CN19" s="328"/>
      <c r="CO19" s="397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97"/>
      <c r="DM19" s="397"/>
      <c r="DN19" s="397"/>
      <c r="DO19" s="397"/>
      <c r="DP19" s="397"/>
      <c r="DQ19" s="397"/>
      <c r="DR19" s="328"/>
      <c r="DS19" s="328"/>
      <c r="DT19" s="328"/>
      <c r="DU19" s="328"/>
      <c r="DV19" s="328"/>
      <c r="DW19" s="392"/>
      <c r="DX19" s="444"/>
    </row>
    <row r="20" spans="1:127" ht="12.75">
      <c r="A20" s="383" t="s">
        <v>40</v>
      </c>
      <c r="B20" s="312">
        <v>902.3</v>
      </c>
      <c r="C20" s="172">
        <f>B20*14.05</f>
        <v>12677.315</v>
      </c>
      <c r="D20" s="445">
        <v>554.5342</v>
      </c>
      <c r="E20" s="420"/>
      <c r="F20" s="420"/>
      <c r="G20" s="420">
        <v>8887.7</v>
      </c>
      <c r="H20" s="420"/>
      <c r="I20" s="420"/>
      <c r="J20" s="420"/>
      <c r="K20" s="420"/>
      <c r="L20" s="420"/>
      <c r="M20" s="420">
        <v>2706.9</v>
      </c>
      <c r="N20" s="420"/>
      <c r="O20" s="420">
        <v>1082.76</v>
      </c>
      <c r="P20" s="420"/>
      <c r="Q20" s="420"/>
      <c r="R20" s="420"/>
      <c r="S20" s="426"/>
      <c r="T20" s="441"/>
      <c r="U20" s="442">
        <f t="shared" si="0"/>
        <v>12677.36</v>
      </c>
      <c r="V20" s="443">
        <f t="shared" si="0"/>
        <v>0</v>
      </c>
      <c r="W20" s="420">
        <v>0</v>
      </c>
      <c r="X20" s="420">
        <v>4963.29</v>
      </c>
      <c r="Y20" s="420">
        <v>0</v>
      </c>
      <c r="Z20" s="420">
        <v>0</v>
      </c>
      <c r="AA20" s="420">
        <v>1511.61</v>
      </c>
      <c r="AB20" s="420">
        <v>604.67</v>
      </c>
      <c r="AC20" s="420"/>
      <c r="AD20" s="420"/>
      <c r="AE20" s="426"/>
      <c r="AF20" s="518">
        <f t="shared" si="7"/>
        <v>7079.57</v>
      </c>
      <c r="AG20" s="434">
        <f t="shared" si="6"/>
        <v>7634.1042</v>
      </c>
      <c r="AH20" s="519">
        <f t="shared" si="1"/>
        <v>0</v>
      </c>
      <c r="AI20" s="519">
        <f t="shared" si="1"/>
        <v>0</v>
      </c>
      <c r="AJ20" s="520"/>
      <c r="AK20" s="322">
        <f t="shared" si="2"/>
        <v>604.541</v>
      </c>
      <c r="AL20" s="322">
        <f t="shared" si="3"/>
        <v>180.46</v>
      </c>
      <c r="AM20" s="322">
        <f>B20*1</f>
        <v>902.3</v>
      </c>
      <c r="AN20" s="322">
        <f>B20*0.21</f>
        <v>189.48299999999998</v>
      </c>
      <c r="AO20" s="322">
        <f>2.02*B20</f>
        <v>1822.646</v>
      </c>
      <c r="AP20" s="322">
        <f>B20*1.03</f>
        <v>929.369</v>
      </c>
      <c r="AQ20" s="322">
        <f>B20*0.75</f>
        <v>676.7249999999999</v>
      </c>
      <c r="AR20" s="322">
        <f>B20*0.75</f>
        <v>676.7249999999999</v>
      </c>
      <c r="AS20" s="528">
        <v>0</v>
      </c>
      <c r="AT20" s="413"/>
      <c r="AU20" s="419">
        <v>654</v>
      </c>
      <c r="AV20" s="419"/>
      <c r="AW20" s="419"/>
      <c r="AX20" s="419">
        <f>358</f>
        <v>358</v>
      </c>
      <c r="AY20" s="419"/>
      <c r="AZ20" s="521"/>
      <c r="BA20" s="522"/>
      <c r="BB20" s="522"/>
      <c r="BC20" s="523">
        <f>SUM(AK20:BB20)</f>
        <v>6994.249</v>
      </c>
      <c r="BD20" s="524"/>
      <c r="BE20" s="328">
        <f t="shared" si="5"/>
        <v>6994.249</v>
      </c>
      <c r="BF20" s="328">
        <f>AG20-BE20</f>
        <v>639.8552</v>
      </c>
      <c r="BG20" s="328">
        <f t="shared" si="4"/>
        <v>-5597.790000000001</v>
      </c>
      <c r="BH20" s="392"/>
      <c r="BI20" s="393"/>
      <c r="BJ20" s="393"/>
      <c r="BK20" s="393"/>
      <c r="BL20" s="393"/>
      <c r="BM20" s="393"/>
      <c r="BN20" s="393"/>
      <c r="BO20" s="394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5"/>
      <c r="CD20" s="395"/>
      <c r="CE20" s="396"/>
      <c r="CF20" s="328"/>
      <c r="CG20" s="397"/>
      <c r="CH20" s="328"/>
      <c r="CI20" s="328"/>
      <c r="CJ20" s="328"/>
      <c r="CK20" s="328"/>
      <c r="CL20" s="328"/>
      <c r="CM20" s="328"/>
      <c r="CN20" s="328"/>
      <c r="CO20" s="397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97"/>
      <c r="DL20" s="397"/>
      <c r="DM20" s="397"/>
      <c r="DN20" s="397"/>
      <c r="DO20" s="397"/>
      <c r="DP20" s="397"/>
      <c r="DQ20" s="328"/>
      <c r="DR20" s="328"/>
      <c r="DS20" s="328"/>
      <c r="DT20" s="328"/>
      <c r="DU20" s="328"/>
      <c r="DV20" s="446"/>
      <c r="DW20" s="444"/>
    </row>
    <row r="21" spans="1:127" ht="13.5" thickBot="1">
      <c r="A21" s="383" t="s">
        <v>41</v>
      </c>
      <c r="B21" s="312">
        <v>902.3</v>
      </c>
      <c r="C21" s="172">
        <f>B21*14.05</f>
        <v>12677.315</v>
      </c>
      <c r="D21" s="445">
        <v>554.5342</v>
      </c>
      <c r="E21" s="447"/>
      <c r="F21" s="447"/>
      <c r="G21" s="447">
        <v>6404.53</v>
      </c>
      <c r="H21" s="447"/>
      <c r="I21" s="447"/>
      <c r="J21" s="447"/>
      <c r="K21" s="447"/>
      <c r="L21" s="447"/>
      <c r="M21" s="447">
        <v>2457.26</v>
      </c>
      <c r="N21" s="447"/>
      <c r="O21" s="447">
        <v>910.48</v>
      </c>
      <c r="P21" s="447"/>
      <c r="Q21" s="447"/>
      <c r="R21" s="447"/>
      <c r="S21" s="448"/>
      <c r="T21" s="449"/>
      <c r="U21" s="442">
        <f t="shared" si="0"/>
        <v>9772.27</v>
      </c>
      <c r="V21" s="443">
        <f t="shared" si="0"/>
        <v>0</v>
      </c>
      <c r="W21" s="420">
        <v>0</v>
      </c>
      <c r="X21" s="420">
        <v>7025.53</v>
      </c>
      <c r="Y21" s="420">
        <v>0</v>
      </c>
      <c r="Z21" s="420">
        <v>0</v>
      </c>
      <c r="AA21" s="420">
        <v>2330.81</v>
      </c>
      <c r="AB21" s="420">
        <v>922.12</v>
      </c>
      <c r="AC21" s="420"/>
      <c r="AD21" s="420"/>
      <c r="AE21" s="426"/>
      <c r="AF21" s="518">
        <f t="shared" si="7"/>
        <v>10278.460000000001</v>
      </c>
      <c r="AG21" s="434">
        <f t="shared" si="6"/>
        <v>10832.994200000001</v>
      </c>
      <c r="AH21" s="519">
        <f t="shared" si="1"/>
        <v>0</v>
      </c>
      <c r="AI21" s="519">
        <f t="shared" si="1"/>
        <v>0</v>
      </c>
      <c r="AJ21" s="520"/>
      <c r="AK21" s="322">
        <f t="shared" si="2"/>
        <v>604.541</v>
      </c>
      <c r="AL21" s="322">
        <f t="shared" si="3"/>
        <v>180.46</v>
      </c>
      <c r="AM21" s="322">
        <f>B21*1</f>
        <v>902.3</v>
      </c>
      <c r="AN21" s="322">
        <f>B21*0.21</f>
        <v>189.48299999999998</v>
      </c>
      <c r="AO21" s="322">
        <f>2.02*B21</f>
        <v>1822.646</v>
      </c>
      <c r="AP21" s="322">
        <f>B21*1.03</f>
        <v>929.369</v>
      </c>
      <c r="AQ21" s="322">
        <f>B21*0.75</f>
        <v>676.7249999999999</v>
      </c>
      <c r="AR21" s="322">
        <f>B21*0.75</f>
        <v>676.7249999999999</v>
      </c>
      <c r="AS21" s="528">
        <v>0</v>
      </c>
      <c r="AT21" s="413"/>
      <c r="AU21" s="419"/>
      <c r="AV21" s="419"/>
      <c r="AW21" s="419"/>
      <c r="AX21" s="419"/>
      <c r="AY21" s="419"/>
      <c r="AZ21" s="521"/>
      <c r="BA21" s="522"/>
      <c r="BB21" s="522"/>
      <c r="BC21" s="523">
        <f>SUM(AK21:BB21)</f>
        <v>5982.249</v>
      </c>
      <c r="BD21" s="524"/>
      <c r="BE21" s="328">
        <f t="shared" si="5"/>
        <v>5982.249</v>
      </c>
      <c r="BF21" s="328">
        <f>AG21-BE21</f>
        <v>4850.745200000001</v>
      </c>
      <c r="BG21" s="328">
        <f t="shared" si="4"/>
        <v>506.1900000000005</v>
      </c>
      <c r="BH21" s="392"/>
      <c r="BI21" s="393"/>
      <c r="BJ21" s="393"/>
      <c r="BK21" s="393"/>
      <c r="BL21" s="393"/>
      <c r="BM21" s="393"/>
      <c r="BN21" s="393"/>
      <c r="BO21" s="394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5"/>
      <c r="CD21" s="395"/>
      <c r="CE21" s="396"/>
      <c r="CF21" s="328"/>
      <c r="CG21" s="397"/>
      <c r="CH21" s="328"/>
      <c r="CI21" s="328"/>
      <c r="CJ21" s="328"/>
      <c r="CK21" s="328"/>
      <c r="CL21" s="328"/>
      <c r="CM21" s="328"/>
      <c r="CN21" s="328"/>
      <c r="CO21" s="397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97"/>
      <c r="DL21" s="397"/>
      <c r="DM21" s="397"/>
      <c r="DN21" s="397"/>
      <c r="DO21" s="397"/>
      <c r="DP21" s="397"/>
      <c r="DQ21" s="328"/>
      <c r="DR21" s="328"/>
      <c r="DS21" s="328"/>
      <c r="DT21" s="328"/>
      <c r="DU21" s="328"/>
      <c r="DV21" s="446"/>
      <c r="DW21" s="444"/>
    </row>
    <row r="22" spans="1:82" s="24" customFormat="1" ht="13.5" thickBot="1">
      <c r="A22" s="450" t="s">
        <v>3</v>
      </c>
      <c r="B22" s="451"/>
      <c r="C22" s="451">
        <f aca="true" t="shared" si="8" ref="C22:AX22">SUM(C10:C21)</f>
        <v>106922.55</v>
      </c>
      <c r="D22" s="451">
        <f t="shared" si="8"/>
        <v>6654.410400000001</v>
      </c>
      <c r="E22" s="451">
        <f t="shared" si="8"/>
        <v>0</v>
      </c>
      <c r="F22" s="451">
        <f t="shared" si="8"/>
        <v>0</v>
      </c>
      <c r="G22" s="451">
        <f t="shared" si="8"/>
        <v>69795.10999999999</v>
      </c>
      <c r="H22" s="451">
        <f t="shared" si="8"/>
        <v>0</v>
      </c>
      <c r="I22" s="451">
        <f t="shared" si="8"/>
        <v>0</v>
      </c>
      <c r="J22" s="451">
        <f t="shared" si="8"/>
        <v>0</v>
      </c>
      <c r="K22" s="451">
        <f t="shared" si="8"/>
        <v>0</v>
      </c>
      <c r="L22" s="451">
        <f t="shared" si="8"/>
        <v>0</v>
      </c>
      <c r="M22" s="451">
        <f t="shared" si="8"/>
        <v>25194.04</v>
      </c>
      <c r="N22" s="451">
        <f t="shared" si="8"/>
        <v>0</v>
      </c>
      <c r="O22" s="451">
        <f t="shared" si="8"/>
        <v>9515.380000000001</v>
      </c>
      <c r="P22" s="451">
        <f t="shared" si="8"/>
        <v>0</v>
      </c>
      <c r="Q22" s="451">
        <f t="shared" si="8"/>
        <v>0</v>
      </c>
      <c r="R22" s="451">
        <f t="shared" si="8"/>
        <v>0</v>
      </c>
      <c r="S22" s="451">
        <f t="shared" si="8"/>
        <v>0</v>
      </c>
      <c r="T22" s="451">
        <f t="shared" si="8"/>
        <v>0</v>
      </c>
      <c r="U22" s="451">
        <f t="shared" si="8"/>
        <v>104504.53000000001</v>
      </c>
      <c r="V22" s="451">
        <f t="shared" si="8"/>
        <v>0</v>
      </c>
      <c r="W22" s="451">
        <f t="shared" si="8"/>
        <v>1508.6700000000003</v>
      </c>
      <c r="X22" s="451">
        <f t="shared" si="8"/>
        <v>41506.67</v>
      </c>
      <c r="Y22" s="451">
        <f t="shared" si="8"/>
        <v>2043.91</v>
      </c>
      <c r="Z22" s="451">
        <f t="shared" si="8"/>
        <v>3401.6499999999996</v>
      </c>
      <c r="AA22" s="451">
        <f t="shared" si="8"/>
        <v>15063.94</v>
      </c>
      <c r="AB22" s="451">
        <f t="shared" si="8"/>
        <v>7121.46</v>
      </c>
      <c r="AC22" s="451">
        <f t="shared" si="8"/>
        <v>0</v>
      </c>
      <c r="AD22" s="451">
        <f t="shared" si="8"/>
        <v>0</v>
      </c>
      <c r="AE22" s="451">
        <f t="shared" si="8"/>
        <v>0</v>
      </c>
      <c r="AF22" s="451">
        <f t="shared" si="8"/>
        <v>70646.3</v>
      </c>
      <c r="AG22" s="451">
        <f t="shared" si="8"/>
        <v>77300.7104</v>
      </c>
      <c r="AH22" s="451">
        <f t="shared" si="8"/>
        <v>0</v>
      </c>
      <c r="AI22" s="451">
        <f t="shared" si="8"/>
        <v>0</v>
      </c>
      <c r="AJ22" s="451">
        <f t="shared" si="8"/>
        <v>0</v>
      </c>
      <c r="AK22" s="451">
        <f t="shared" si="8"/>
        <v>7254.492000000001</v>
      </c>
      <c r="AL22" s="451">
        <f t="shared" si="8"/>
        <v>2165.52</v>
      </c>
      <c r="AM22" s="451">
        <f t="shared" si="8"/>
        <v>10827.599999999999</v>
      </c>
      <c r="AN22" s="451">
        <f t="shared" si="8"/>
        <v>2273.796</v>
      </c>
      <c r="AO22" s="451">
        <f t="shared" si="8"/>
        <v>21871.752000000004</v>
      </c>
      <c r="AP22" s="451">
        <f t="shared" si="8"/>
        <v>11152.428000000002</v>
      </c>
      <c r="AQ22" s="451">
        <f t="shared" si="8"/>
        <v>8120.700000000001</v>
      </c>
      <c r="AR22" s="451">
        <f t="shared" si="8"/>
        <v>8120.700000000001</v>
      </c>
      <c r="AS22" s="451">
        <f t="shared" si="8"/>
        <v>3112.9349999999995</v>
      </c>
      <c r="AT22" s="451">
        <f t="shared" si="8"/>
        <v>0</v>
      </c>
      <c r="AU22" s="451">
        <f t="shared" si="8"/>
        <v>654</v>
      </c>
      <c r="AV22" s="451">
        <f t="shared" si="8"/>
        <v>0</v>
      </c>
      <c r="AW22" s="451">
        <f t="shared" si="8"/>
        <v>0</v>
      </c>
      <c r="AX22" s="451">
        <f t="shared" si="8"/>
        <v>521.29</v>
      </c>
      <c r="AY22" s="451">
        <f>SUM(AZ10:AZ21)</f>
        <v>0</v>
      </c>
      <c r="AZ22" s="451">
        <f>SUM(BA10:BA21)</f>
        <v>6355.8</v>
      </c>
      <c r="BA22" s="451">
        <f>SUM(BB10:BB21)</f>
        <v>0</v>
      </c>
      <c r="BB22" s="451">
        <f>SUM(BB10:BB21)</f>
        <v>0</v>
      </c>
      <c r="BC22" s="451">
        <f>SUM(BC10:BC21)</f>
        <v>82431.01299999998</v>
      </c>
      <c r="BD22" s="451">
        <f>SUM(BD10:BD21)</f>
        <v>0</v>
      </c>
      <c r="BE22" s="451">
        <f>SUM(BE10:BE21)</f>
        <v>82431.01299999998</v>
      </c>
      <c r="BF22" s="451">
        <f>SUM(BF10:BF21)</f>
        <v>-5130.302599999994</v>
      </c>
      <c r="BG22" s="451">
        <f>SUM(BG10:BG21)</f>
        <v>-33858.23</v>
      </c>
      <c r="BH22" s="452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3"/>
      <c r="BY22" s="453"/>
      <c r="BZ22" s="453"/>
      <c r="CA22" s="453"/>
      <c r="CB22" s="453"/>
      <c r="CC22" s="61"/>
      <c r="CD22" s="61"/>
    </row>
    <row r="23" spans="1:61" s="24" customFormat="1" ht="13.5" thickBot="1">
      <c r="A23" s="454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6"/>
      <c r="BF23" s="455"/>
      <c r="BG23" s="457"/>
      <c r="BI23" s="61"/>
    </row>
    <row r="24" spans="1:59" s="24" customFormat="1" ht="13.5" thickBot="1">
      <c r="A24" s="27" t="s">
        <v>52</v>
      </c>
      <c r="B24" s="455"/>
      <c r="C24" s="458">
        <f aca="true" t="shared" si="9" ref="C24:L24">C22+C8</f>
        <v>317654.715</v>
      </c>
      <c r="D24" s="458">
        <f t="shared" si="9"/>
        <v>118266.19062844999</v>
      </c>
      <c r="E24" s="458">
        <f t="shared" si="9"/>
        <v>10031.7</v>
      </c>
      <c r="F24" s="458">
        <f t="shared" si="9"/>
        <v>845.1500000000001</v>
      </c>
      <c r="G24" s="458">
        <f t="shared" si="9"/>
        <v>69795.10999999999</v>
      </c>
      <c r="H24" s="458">
        <f t="shared" si="9"/>
        <v>0</v>
      </c>
      <c r="I24" s="458">
        <f t="shared" si="9"/>
        <v>13578.260000000002</v>
      </c>
      <c r="J24" s="458">
        <f t="shared" si="9"/>
        <v>1144.1399999999999</v>
      </c>
      <c r="K24" s="458">
        <f t="shared" si="9"/>
        <v>22605.250000000004</v>
      </c>
      <c r="L24" s="458">
        <f t="shared" si="9"/>
        <v>1904.8200000000002</v>
      </c>
      <c r="M24" s="458" t="e">
        <f>#REF!</f>
        <v>#REF!</v>
      </c>
      <c r="N24" s="458">
        <f aca="true" t="shared" si="10" ref="N24:BG24">N22+N8</f>
        <v>2749.99</v>
      </c>
      <c r="O24" s="458">
        <f t="shared" si="10"/>
        <v>17540.640000000003</v>
      </c>
      <c r="P24" s="458">
        <f t="shared" si="10"/>
        <v>676.1700000000001</v>
      </c>
      <c r="Q24" s="458">
        <f t="shared" si="10"/>
        <v>0</v>
      </c>
      <c r="R24" s="458">
        <f t="shared" si="10"/>
        <v>0</v>
      </c>
      <c r="S24" s="458">
        <f t="shared" si="10"/>
        <v>0</v>
      </c>
      <c r="T24" s="458">
        <f t="shared" si="10"/>
        <v>0</v>
      </c>
      <c r="U24" s="458">
        <f t="shared" si="10"/>
        <v>191382.96000000002</v>
      </c>
      <c r="V24" s="458">
        <f t="shared" si="10"/>
        <v>7320.269999999999</v>
      </c>
      <c r="W24" s="458">
        <f t="shared" si="10"/>
        <v>8927.61</v>
      </c>
      <c r="X24" s="458">
        <f t="shared" si="10"/>
        <v>41506.67</v>
      </c>
      <c r="Y24" s="458">
        <f t="shared" si="10"/>
        <v>12082.369999999999</v>
      </c>
      <c r="Z24" s="458">
        <f t="shared" si="10"/>
        <v>20116.82</v>
      </c>
      <c r="AA24" s="458">
        <f t="shared" si="10"/>
        <v>44613.98</v>
      </c>
      <c r="AB24" s="458">
        <f t="shared" si="10"/>
        <v>13056.57</v>
      </c>
      <c r="AC24" s="458">
        <f t="shared" si="10"/>
        <v>0</v>
      </c>
      <c r="AD24" s="458">
        <f t="shared" si="10"/>
        <v>0</v>
      </c>
      <c r="AE24" s="458">
        <f t="shared" si="10"/>
        <v>0</v>
      </c>
      <c r="AF24" s="458">
        <f t="shared" si="10"/>
        <v>140304.02000000002</v>
      </c>
      <c r="AG24" s="458">
        <f t="shared" si="10"/>
        <v>265890.48062845</v>
      </c>
      <c r="AH24" s="458">
        <f t="shared" si="10"/>
        <v>0</v>
      </c>
      <c r="AI24" s="458">
        <f t="shared" si="10"/>
        <v>0</v>
      </c>
      <c r="AJ24" s="458">
        <f t="shared" si="10"/>
        <v>0</v>
      </c>
      <c r="AK24" s="458">
        <f t="shared" si="10"/>
        <v>21655.200000000004</v>
      </c>
      <c r="AL24" s="458">
        <f t="shared" si="10"/>
        <v>6990.912951600001</v>
      </c>
      <c r="AM24" s="458">
        <f t="shared" si="10"/>
        <v>34732.11787532699</v>
      </c>
      <c r="AN24" s="458">
        <f t="shared" si="10"/>
        <v>2273.796</v>
      </c>
      <c r="AO24" s="458">
        <f t="shared" si="10"/>
        <v>45715.933866267</v>
      </c>
      <c r="AP24" s="458">
        <f t="shared" si="10"/>
        <v>64492.88094438559</v>
      </c>
      <c r="AQ24" s="458">
        <f t="shared" si="10"/>
        <v>8120.700000000001</v>
      </c>
      <c r="AR24" s="458">
        <f t="shared" si="10"/>
        <v>8120.700000000001</v>
      </c>
      <c r="AS24" s="458">
        <f t="shared" si="10"/>
        <v>3112.9349999999995</v>
      </c>
      <c r="AT24" s="458">
        <f t="shared" si="10"/>
        <v>0</v>
      </c>
      <c r="AU24" s="458">
        <f t="shared" si="10"/>
        <v>40835.2464</v>
      </c>
      <c r="AV24" s="458">
        <f t="shared" si="10"/>
        <v>0</v>
      </c>
      <c r="AW24" s="459">
        <f t="shared" si="10"/>
        <v>40829.380000000005</v>
      </c>
      <c r="AX24" s="459">
        <f t="shared" si="10"/>
        <v>521.29</v>
      </c>
      <c r="AY24" s="459">
        <f t="shared" si="10"/>
        <v>3592.5116</v>
      </c>
      <c r="AZ24" s="459">
        <f t="shared" si="10"/>
        <v>6355.8</v>
      </c>
      <c r="BA24" s="459">
        <f t="shared" si="10"/>
        <v>0</v>
      </c>
      <c r="BB24" s="459">
        <f t="shared" si="10"/>
        <v>0</v>
      </c>
      <c r="BC24" s="459">
        <f t="shared" si="10"/>
        <v>287349.4046375796</v>
      </c>
      <c r="BD24" s="459">
        <f t="shared" si="10"/>
        <v>0</v>
      </c>
      <c r="BE24" s="459">
        <f t="shared" si="10"/>
        <v>287349.4046375796</v>
      </c>
      <c r="BF24" s="459">
        <f>BF22+BF8</f>
        <v>-21458.92400912959</v>
      </c>
      <c r="BG24" s="459">
        <f t="shared" si="10"/>
        <v>-51078.94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0">
      <selection activeCell="I30" sqref="I30:L30"/>
    </sheetView>
  </sheetViews>
  <sheetFormatPr defaultColWidth="9.00390625" defaultRowHeight="12.75"/>
  <cols>
    <col min="1" max="1" width="10.00390625" style="331" customWidth="1"/>
    <col min="2" max="2" width="10.625" style="331" customWidth="1"/>
    <col min="3" max="3" width="11.875" style="331" customWidth="1"/>
    <col min="4" max="4" width="10.00390625" style="331" customWidth="1"/>
    <col min="5" max="5" width="10.875" style="331" customWidth="1"/>
    <col min="6" max="6" width="11.75390625" style="331" customWidth="1"/>
    <col min="7" max="7" width="11.00390625" style="331" customWidth="1"/>
    <col min="8" max="8" width="11.25390625" style="331" customWidth="1"/>
    <col min="9" max="9" width="10.625" style="331" customWidth="1"/>
    <col min="10" max="10" width="9.25390625" style="331" customWidth="1"/>
    <col min="11" max="11" width="11.25390625" style="331" customWidth="1"/>
    <col min="12" max="12" width="9.625" style="331" customWidth="1"/>
    <col min="13" max="13" width="11.25390625" style="331" customWidth="1"/>
    <col min="14" max="14" width="11.625" style="331" customWidth="1"/>
    <col min="15" max="15" width="13.625" style="331" customWidth="1"/>
    <col min="16" max="16384" width="9.125" style="331" customWidth="1"/>
  </cols>
  <sheetData>
    <row r="1" spans="2:8" ht="20.25" customHeight="1">
      <c r="B1" s="460" t="s">
        <v>53</v>
      </c>
      <c r="C1" s="460"/>
      <c r="D1" s="460"/>
      <c r="E1" s="460"/>
      <c r="F1" s="460"/>
      <c r="G1" s="460"/>
      <c r="H1" s="460"/>
    </row>
    <row r="2" spans="2:11" ht="21" customHeight="1">
      <c r="B2" s="460" t="s">
        <v>54</v>
      </c>
      <c r="C2" s="460"/>
      <c r="D2" s="460"/>
      <c r="E2" s="460"/>
      <c r="F2" s="460"/>
      <c r="G2" s="460"/>
      <c r="H2" s="460"/>
      <c r="J2" s="330"/>
      <c r="K2" s="330"/>
    </row>
    <row r="5" spans="1:12" ht="12.75">
      <c r="A5" s="289" t="s">
        <v>124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12.75">
      <c r="A6" s="461" t="s">
        <v>118</v>
      </c>
      <c r="B6" s="461"/>
      <c r="C6" s="461"/>
      <c r="D6" s="461"/>
      <c r="E6" s="461"/>
      <c r="F6" s="461"/>
      <c r="G6" s="461"/>
      <c r="H6" s="105"/>
      <c r="I6" s="105"/>
      <c r="J6" s="105"/>
      <c r="K6" s="105"/>
      <c r="L6" s="105"/>
    </row>
    <row r="7" spans="1:13" ht="13.5" thickBot="1">
      <c r="A7" s="462" t="s">
        <v>55</v>
      </c>
      <c r="B7" s="462"/>
      <c r="C7" s="462"/>
      <c r="D7" s="462"/>
      <c r="E7" s="463">
        <v>14.05</v>
      </c>
      <c r="F7" s="462"/>
      <c r="I7" s="464"/>
      <c r="J7" s="464"/>
      <c r="K7" s="464"/>
      <c r="L7" s="464"/>
      <c r="M7" s="464"/>
    </row>
    <row r="8" spans="1:15" ht="12.75" customHeight="1">
      <c r="A8" s="290" t="s">
        <v>56</v>
      </c>
      <c r="B8" s="293" t="s">
        <v>0</v>
      </c>
      <c r="C8" s="296" t="s">
        <v>126</v>
      </c>
      <c r="D8" s="299" t="s">
        <v>2</v>
      </c>
      <c r="E8" s="302" t="s">
        <v>58</v>
      </c>
      <c r="F8" s="230"/>
      <c r="G8" s="465" t="s">
        <v>119</v>
      </c>
      <c r="H8" s="466"/>
      <c r="I8" s="467" t="s">
        <v>8</v>
      </c>
      <c r="J8" s="468"/>
      <c r="K8" s="468"/>
      <c r="L8" s="468"/>
      <c r="M8" s="469"/>
      <c r="N8" s="470" t="s">
        <v>59</v>
      </c>
      <c r="O8" s="470" t="s">
        <v>10</v>
      </c>
    </row>
    <row r="9" spans="1:15" ht="12.75">
      <c r="A9" s="291"/>
      <c r="B9" s="294"/>
      <c r="C9" s="297"/>
      <c r="D9" s="300"/>
      <c r="E9" s="303"/>
      <c r="F9" s="304"/>
      <c r="G9" s="471"/>
      <c r="H9" s="472"/>
      <c r="I9" s="473"/>
      <c r="J9" s="474"/>
      <c r="K9" s="474"/>
      <c r="L9" s="474"/>
      <c r="M9" s="268"/>
      <c r="N9" s="475"/>
      <c r="O9" s="475"/>
    </row>
    <row r="10" spans="1:15" ht="26.25" customHeight="1">
      <c r="A10" s="291"/>
      <c r="B10" s="294"/>
      <c r="C10" s="297"/>
      <c r="D10" s="300"/>
      <c r="E10" s="275" t="s">
        <v>60</v>
      </c>
      <c r="F10" s="235"/>
      <c r="G10" s="476" t="s">
        <v>61</v>
      </c>
      <c r="H10" s="287" t="s">
        <v>5</v>
      </c>
      <c r="I10" s="278" t="s">
        <v>62</v>
      </c>
      <c r="J10" s="280" t="s">
        <v>120</v>
      </c>
      <c r="K10" s="280" t="s">
        <v>63</v>
      </c>
      <c r="L10" s="280" t="s">
        <v>35</v>
      </c>
      <c r="M10" s="288" t="s">
        <v>37</v>
      </c>
      <c r="N10" s="475"/>
      <c r="O10" s="475"/>
    </row>
    <row r="11" spans="1:15" ht="66.75" customHeight="1" thickBot="1">
      <c r="A11" s="292"/>
      <c r="B11" s="295"/>
      <c r="C11" s="298"/>
      <c r="D11" s="301"/>
      <c r="E11" s="34" t="s">
        <v>65</v>
      </c>
      <c r="F11" s="35" t="s">
        <v>19</v>
      </c>
      <c r="G11" s="200" t="s">
        <v>121</v>
      </c>
      <c r="H11" s="288"/>
      <c r="I11" s="279"/>
      <c r="J11" s="281"/>
      <c r="K11" s="281"/>
      <c r="L11" s="281"/>
      <c r="M11" s="477"/>
      <c r="N11" s="478"/>
      <c r="O11" s="478"/>
    </row>
    <row r="12" spans="1:15" ht="13.5" thickBot="1">
      <c r="A12" s="479">
        <v>1</v>
      </c>
      <c r="B12" s="480">
        <v>2</v>
      </c>
      <c r="C12" s="479">
        <v>3</v>
      </c>
      <c r="D12" s="480">
        <v>4</v>
      </c>
      <c r="E12" s="479">
        <v>5</v>
      </c>
      <c r="F12" s="480">
        <v>6</v>
      </c>
      <c r="G12" s="480">
        <v>7</v>
      </c>
      <c r="H12" s="479">
        <v>8</v>
      </c>
      <c r="I12" s="480">
        <v>9</v>
      </c>
      <c r="J12" s="480">
        <v>10</v>
      </c>
      <c r="K12" s="479">
        <v>11</v>
      </c>
      <c r="L12" s="480">
        <v>12</v>
      </c>
      <c r="M12" s="480">
        <v>13</v>
      </c>
      <c r="N12" s="479">
        <v>14</v>
      </c>
      <c r="O12" s="480">
        <v>15</v>
      </c>
    </row>
    <row r="13" spans="1:15" ht="13.5" thickBot="1">
      <c r="A13" s="37" t="s">
        <v>3</v>
      </c>
      <c r="B13" s="481"/>
      <c r="C13" s="481">
        <f>'2011 полн'!C8</f>
        <v>210732.165</v>
      </c>
      <c r="D13" s="481">
        <f>'2011 полн'!D8</f>
        <v>111611.78022844999</v>
      </c>
      <c r="E13" s="481">
        <f>Лист1!S44</f>
        <v>86878.43000000001</v>
      </c>
      <c r="F13" s="481">
        <f>Лист1!T44</f>
        <v>7320.269999999999</v>
      </c>
      <c r="G13" s="481">
        <f>'2011 полн'!AF8</f>
        <v>69657.72</v>
      </c>
      <c r="H13" s="481">
        <f>'2011 полн'!AG8</f>
        <v>188589.77022845</v>
      </c>
      <c r="I13" s="481">
        <f>'2011 полн'!AK8</f>
        <v>14400.708000000002</v>
      </c>
      <c r="J13" s="481">
        <f>'2011 полн'!AL8</f>
        <v>4825.392951600001</v>
      </c>
      <c r="K13" s="481">
        <f>'2011 полн'!AM8+'2011 полн'!AO8+'2011 полн'!AP8++'2011 полн'!AY8+'2011 полн'!BA16</f>
        <v>111037.46428597959</v>
      </c>
      <c r="L13" s="481">
        <f>'2011 полн'!AU8+'2011 полн'!AW8</f>
        <v>81010.62640000001</v>
      </c>
      <c r="M13" s="481">
        <f>I13+J13+K13+L13</f>
        <v>211274.19163757958</v>
      </c>
      <c r="N13" s="481">
        <f>H13-M13</f>
        <v>-22684.421409129573</v>
      </c>
      <c r="O13" s="481">
        <f>'2011 полн'!BG8</f>
        <v>-17220.710000000003</v>
      </c>
    </row>
    <row r="14" spans="1:15" ht="13.5" thickBot="1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</row>
    <row r="15" spans="1:17" ht="13.5" thickBot="1">
      <c r="A15" s="37" t="s">
        <v>117</v>
      </c>
      <c r="B15" s="483"/>
      <c r="C15" s="484"/>
      <c r="D15" s="484"/>
      <c r="E15" s="485"/>
      <c r="F15" s="485"/>
      <c r="G15" s="485"/>
      <c r="H15" s="485"/>
      <c r="I15" s="485"/>
      <c r="J15" s="485"/>
      <c r="K15" s="485"/>
      <c r="L15" s="486"/>
      <c r="M15" s="485"/>
      <c r="N15" s="485"/>
      <c r="O15" s="487"/>
      <c r="P15" s="330"/>
      <c r="Q15" s="330"/>
    </row>
    <row r="16" spans="1:17" ht="12.75">
      <c r="A16" s="488" t="s">
        <v>43</v>
      </c>
      <c r="B16" s="489">
        <f>'2011 полн'!B10</f>
        <v>902.3</v>
      </c>
      <c r="C16" s="489">
        <f>'2011 полн'!C10</f>
        <v>3857.3324999999995</v>
      </c>
      <c r="D16" s="489">
        <f>'2011 полн'!D10</f>
        <v>554.5342</v>
      </c>
      <c r="E16" s="490">
        <f>'2011 полн'!U10</f>
        <v>6284.47</v>
      </c>
      <c r="F16" s="490">
        <f>'2011 полн'!V10</f>
        <v>0</v>
      </c>
      <c r="G16" s="491">
        <f>'2011 полн'!AF10</f>
        <v>1187.66</v>
      </c>
      <c r="H16" s="491">
        <f>'2011 полн'!AG10</f>
        <v>1742.1942000000001</v>
      </c>
      <c r="I16" s="491">
        <f>'2011 полн'!AK10</f>
        <v>604.541</v>
      </c>
      <c r="J16" s="491">
        <f>'2011 полн'!AL10</f>
        <v>180.46</v>
      </c>
      <c r="K16" s="490">
        <f>'2011 полн'!AM10+'2011 полн'!AN10+'2011 полн'!AO10+'2011 полн'!AP10+'2011 полн'!AQ10+'2011 полн'!AR10+'2011 полн'!AS10+'2011 полн'!AX10</f>
        <v>6234.892999999999</v>
      </c>
      <c r="L16" s="492">
        <f>'2011 полн'!AU10+'2011 полн'!AV10+'2011 полн'!AW10</f>
        <v>0</v>
      </c>
      <c r="M16" s="493">
        <f>SUM(I16:L16)</f>
        <v>7019.893999999999</v>
      </c>
      <c r="N16" s="493">
        <f>H16-M16</f>
        <v>-5277.699799999999</v>
      </c>
      <c r="O16" s="493">
        <f>'2011 полн'!BG10</f>
        <v>-5096.81</v>
      </c>
      <c r="P16" s="330"/>
      <c r="Q16" s="330"/>
    </row>
    <row r="17" spans="1:17" ht="12.75">
      <c r="A17" s="383" t="s">
        <v>44</v>
      </c>
      <c r="B17" s="489">
        <f>'2011 полн'!B11</f>
        <v>902.3</v>
      </c>
      <c r="C17" s="489">
        <f>'2011 полн'!C11</f>
        <v>3857.3324999999995</v>
      </c>
      <c r="D17" s="489">
        <f>'2011 полн'!D11</f>
        <v>554.5342</v>
      </c>
      <c r="E17" s="490">
        <f>'2011 полн'!U11</f>
        <v>1551.37</v>
      </c>
      <c r="F17" s="490">
        <f>'2011 полн'!V11</f>
        <v>0</v>
      </c>
      <c r="G17" s="491">
        <f>'2011 полн'!AF11</f>
        <v>1922.96</v>
      </c>
      <c r="H17" s="491">
        <f>'2011 полн'!AG11</f>
        <v>2477.4942</v>
      </c>
      <c r="I17" s="491">
        <f>'2011 полн'!AK11</f>
        <v>604.541</v>
      </c>
      <c r="J17" s="491">
        <f>'2011 полн'!AL11</f>
        <v>180.46</v>
      </c>
      <c r="K17" s="490">
        <f>'2011 полн'!AM11+'2011 полн'!AN11+'2011 полн'!AO11+'2011 полн'!AP11+'2011 полн'!AQ11+'2011 полн'!AR11+'2011 полн'!AS11+'2011 полн'!AX11</f>
        <v>6314.892999999999</v>
      </c>
      <c r="L17" s="492">
        <f>'2011 полн'!AU11+'2011 полн'!AV11+'2011 полн'!AW11</f>
        <v>0</v>
      </c>
      <c r="M17" s="493">
        <f aca="true" t="shared" si="0" ref="M17:M27">SUM(I17:L17)</f>
        <v>7099.893999999999</v>
      </c>
      <c r="N17" s="493">
        <f aca="true" t="shared" si="1" ref="N17:N27">H17-M17</f>
        <v>-4622.399799999999</v>
      </c>
      <c r="O17" s="493">
        <f>'2011 полн'!BG11</f>
        <v>371.59000000000015</v>
      </c>
      <c r="P17" s="330"/>
      <c r="Q17" s="330"/>
    </row>
    <row r="18" spans="1:17" ht="12.75">
      <c r="A18" s="383" t="s">
        <v>45</v>
      </c>
      <c r="B18" s="489">
        <f>'2011 полн'!B12</f>
        <v>902.3</v>
      </c>
      <c r="C18" s="489">
        <f>'2011 полн'!C12</f>
        <v>3857.3324999999995</v>
      </c>
      <c r="D18" s="489">
        <f>'2011 полн'!D12</f>
        <v>554.5342</v>
      </c>
      <c r="E18" s="490">
        <f>'2011 полн'!U12</f>
        <v>3918.27</v>
      </c>
      <c r="F18" s="490">
        <f>'2011 полн'!V12</f>
        <v>0</v>
      </c>
      <c r="G18" s="491">
        <f>'2011 полн'!AF12</f>
        <v>5644.79</v>
      </c>
      <c r="H18" s="491">
        <f>'2011 полн'!AG12</f>
        <v>6199.3242</v>
      </c>
      <c r="I18" s="491">
        <f>'2011 полн'!AK12</f>
        <v>604.541</v>
      </c>
      <c r="J18" s="491">
        <f>'2011 полн'!AL12</f>
        <v>180.46</v>
      </c>
      <c r="K18" s="490">
        <f>'2011 полн'!AM12+'2011 полн'!AN12+'2011 полн'!AO12+'2011 полн'!AP12+'2011 полн'!AQ12+'2011 полн'!AR12+'2011 полн'!AS12+'2011 полн'!AX12</f>
        <v>6234.892999999999</v>
      </c>
      <c r="L18" s="492">
        <f>'2011 полн'!AU12+'2011 полн'!AV12+'2011 полн'!AW12</f>
        <v>0</v>
      </c>
      <c r="M18" s="493">
        <f t="shared" si="0"/>
        <v>7019.893999999999</v>
      </c>
      <c r="N18" s="493">
        <f t="shared" si="1"/>
        <v>-820.5697999999993</v>
      </c>
      <c r="O18" s="493">
        <f>'2011 полн'!BG12</f>
        <v>1726.52</v>
      </c>
      <c r="P18" s="330"/>
      <c r="Q18" s="330"/>
    </row>
    <row r="19" spans="1:17" ht="12.75">
      <c r="A19" s="383" t="s">
        <v>46</v>
      </c>
      <c r="B19" s="489">
        <f>'2011 полн'!B13</f>
        <v>902.3</v>
      </c>
      <c r="C19" s="489">
        <f>'2011 полн'!C13</f>
        <v>3857.3324999999995</v>
      </c>
      <c r="D19" s="489">
        <f>'2011 полн'!D13</f>
        <v>554.5342</v>
      </c>
      <c r="E19" s="490">
        <f>'2011 полн'!U13</f>
        <v>3918.27</v>
      </c>
      <c r="F19" s="490">
        <f>'2011 полн'!V13</f>
        <v>0</v>
      </c>
      <c r="G19" s="491">
        <f>'2011 полн'!AF13</f>
        <v>5302.76</v>
      </c>
      <c r="H19" s="491">
        <f>'2011 полн'!AG13</f>
        <v>5857.2942</v>
      </c>
      <c r="I19" s="491">
        <f>'2011 полн'!AK13</f>
        <v>604.541</v>
      </c>
      <c r="J19" s="491">
        <f>'2011 полн'!AL13</f>
        <v>180.46</v>
      </c>
      <c r="K19" s="490">
        <f>'2011 полн'!AM13+'2011 полн'!AN13+'2011 полн'!AO13+'2011 полн'!AP13+'2011 полн'!AQ13+'2011 полн'!AR13+'2011 полн'!AS13+'2011 полн'!AX13</f>
        <v>5242.248</v>
      </c>
      <c r="L19" s="492">
        <f>'2011 полн'!AU13+'2011 полн'!AV13+'2011 полн'!AW13</f>
        <v>0</v>
      </c>
      <c r="M19" s="493">
        <f t="shared" si="0"/>
        <v>6027.249</v>
      </c>
      <c r="N19" s="493">
        <f t="shared" si="1"/>
        <v>-169.95479999999952</v>
      </c>
      <c r="O19" s="493">
        <f>'2011 полн'!BG13</f>
        <v>1384.4900000000002</v>
      </c>
      <c r="P19" s="330"/>
      <c r="Q19" s="330"/>
    </row>
    <row r="20" spans="1:17" ht="12.75">
      <c r="A20" s="383" t="s">
        <v>47</v>
      </c>
      <c r="B20" s="489">
        <f>'2011 полн'!B14</f>
        <v>902.3</v>
      </c>
      <c r="C20" s="489">
        <f>'2011 полн'!C14</f>
        <v>7714.664999999999</v>
      </c>
      <c r="D20" s="489">
        <f>'2011 полн'!D14</f>
        <v>554.5342</v>
      </c>
      <c r="E20" s="490">
        <f>'2011 полн'!U14</f>
        <v>7836.57</v>
      </c>
      <c r="F20" s="490">
        <f>'2011 полн'!V14</f>
        <v>0</v>
      </c>
      <c r="G20" s="491">
        <f>'2011 полн'!AF14</f>
        <v>5099.49</v>
      </c>
      <c r="H20" s="491">
        <f>'2011 полн'!AG14</f>
        <v>5654.0242</v>
      </c>
      <c r="I20" s="491">
        <f>'2011 полн'!AK14</f>
        <v>604.541</v>
      </c>
      <c r="J20" s="491">
        <f>'2011 полн'!AL14</f>
        <v>180.46</v>
      </c>
      <c r="K20" s="490">
        <f>'2011 полн'!AM14+'2011 полн'!AN14+'2011 полн'!AO14+'2011 полн'!AP14+'2011 полн'!AQ14+'2011 полн'!AR14+'2011 полн'!AS14+'2011 полн'!AX14</f>
        <v>5207.248</v>
      </c>
      <c r="L20" s="492">
        <f>'2011 полн'!AU14+'2011 полн'!AV14+'2011 полн'!AW14</f>
        <v>0</v>
      </c>
      <c r="M20" s="493">
        <f t="shared" si="0"/>
        <v>5992.249</v>
      </c>
      <c r="N20" s="493">
        <f t="shared" si="1"/>
        <v>-338.22479999999996</v>
      </c>
      <c r="O20" s="493">
        <f>'2011 полн'!BG14</f>
        <v>-2737.08</v>
      </c>
      <c r="P20" s="330"/>
      <c r="Q20" s="330"/>
    </row>
    <row r="21" spans="1:17" ht="12.75">
      <c r="A21" s="383" t="s">
        <v>48</v>
      </c>
      <c r="B21" s="489">
        <f>'2011 полн'!B15</f>
        <v>902.3</v>
      </c>
      <c r="C21" s="489">
        <f>'2011 полн'!C15</f>
        <v>7714.664999999999</v>
      </c>
      <c r="D21" s="489">
        <f>'2011 полн'!D15</f>
        <v>554.5342</v>
      </c>
      <c r="E21" s="490">
        <f>'2011 полн'!U15</f>
        <v>7836.57</v>
      </c>
      <c r="F21" s="490">
        <f>'2011 полн'!V15</f>
        <v>0</v>
      </c>
      <c r="G21" s="491">
        <f>'2011 полн'!AF15</f>
        <v>6991.54</v>
      </c>
      <c r="H21" s="491">
        <f>'2011 полн'!AG15</f>
        <v>7546.0742</v>
      </c>
      <c r="I21" s="491">
        <f>'2011 полн'!AK15</f>
        <v>604.541</v>
      </c>
      <c r="J21" s="491">
        <f>'2011 полн'!AL15</f>
        <v>180.46</v>
      </c>
      <c r="K21" s="490">
        <f>'2011 полн'!AM15+'2011 полн'!AN15+'2011 полн'!AO15+'2011 полн'!AP15+'2011 полн'!AQ15+'2011 полн'!AR15+'2011 полн'!AS15+'2011 полн'!AX15</f>
        <v>5197.248</v>
      </c>
      <c r="L21" s="492">
        <f>'2011 полн'!AU15+'2011 полн'!AV15+'2011 полн'!AW15</f>
        <v>0</v>
      </c>
      <c r="M21" s="493">
        <f t="shared" si="0"/>
        <v>5982.249</v>
      </c>
      <c r="N21" s="493">
        <f t="shared" si="1"/>
        <v>1563.8252000000002</v>
      </c>
      <c r="O21" s="493">
        <f>'2011 полн'!BG15</f>
        <v>-845.0299999999997</v>
      </c>
      <c r="P21" s="330"/>
      <c r="Q21" s="330"/>
    </row>
    <row r="22" spans="1:15" ht="12.75">
      <c r="A22" s="383" t="s">
        <v>49</v>
      </c>
      <c r="B22" s="489">
        <f>'2011 полн'!B16</f>
        <v>902.3</v>
      </c>
      <c r="C22" s="489">
        <f>'2011 полн'!C16</f>
        <v>12677.315</v>
      </c>
      <c r="D22" s="489">
        <f>'2011 полн'!D16</f>
        <v>554.5342</v>
      </c>
      <c r="E22" s="490">
        <f>'2011 полн'!U16</f>
        <v>12677.33</v>
      </c>
      <c r="F22" s="490">
        <f>'2011 полн'!V16</f>
        <v>0</v>
      </c>
      <c r="G22" s="491">
        <f>'2011 полн'!AF16</f>
        <v>5890.650000000001</v>
      </c>
      <c r="H22" s="491">
        <f>'2011 полн'!AG16</f>
        <v>6445.184200000001</v>
      </c>
      <c r="I22" s="491">
        <f>'2011 полн'!AK16</f>
        <v>604.541</v>
      </c>
      <c r="J22" s="491">
        <f>'2011 полн'!AL16</f>
        <v>180.46</v>
      </c>
      <c r="K22" s="490">
        <f>'2011 полн'!AM16+'2011 полн'!AN16+'2011 полн'!AO16+'2011 полн'!AP16+'2011 полн'!AQ16+'2011 полн'!AR16+'2011 полн'!AS16+'2011 полн'!AX16</f>
        <v>5225.538</v>
      </c>
      <c r="L22" s="492">
        <f>'2011 полн'!AU16+'2011 полн'!AV16+'2011 полн'!AW16</f>
        <v>0</v>
      </c>
      <c r="M22" s="493">
        <f t="shared" si="0"/>
        <v>6010.539</v>
      </c>
      <c r="N22" s="493">
        <f t="shared" si="1"/>
        <v>434.64520000000084</v>
      </c>
      <c r="O22" s="493">
        <f>'2011 полн'!BG16</f>
        <v>-6786.679999999999</v>
      </c>
    </row>
    <row r="23" spans="1:15" ht="12.75">
      <c r="A23" s="383" t="s">
        <v>50</v>
      </c>
      <c r="B23" s="489">
        <f>'2011 полн'!B17</f>
        <v>902.3</v>
      </c>
      <c r="C23" s="489">
        <f>'2011 полн'!C17</f>
        <v>12677.315</v>
      </c>
      <c r="D23" s="489">
        <f>'2011 полн'!D17</f>
        <v>554.5342</v>
      </c>
      <c r="E23" s="490">
        <f>'2011 полн'!U17</f>
        <v>12677.33</v>
      </c>
      <c r="F23" s="490">
        <f>'2011 полн'!V17</f>
        <v>0</v>
      </c>
      <c r="G23" s="491">
        <f>'2011 полн'!AF17</f>
        <v>7204.400000000001</v>
      </c>
      <c r="H23" s="491">
        <f>'2011 полн'!AG17</f>
        <v>7758.934200000001</v>
      </c>
      <c r="I23" s="491">
        <f>'2011 полн'!AK17</f>
        <v>604.541</v>
      </c>
      <c r="J23" s="491">
        <f>'2011 полн'!AL17</f>
        <v>180.46</v>
      </c>
      <c r="K23" s="490">
        <f>'2011 полн'!AM17+'2011 полн'!AN17+'2011 полн'!AO17+'2011 полн'!AP17+'2011 полн'!AQ17+'2011 полн'!AR17+'2011 полн'!AS17+'2011 полн'!AX17</f>
        <v>5197.248</v>
      </c>
      <c r="L23" s="492">
        <f>'2011 полн'!AU17+'2011 полн'!AV17+'2011 полн'!AW17</f>
        <v>0</v>
      </c>
      <c r="M23" s="493">
        <f t="shared" si="0"/>
        <v>5982.249</v>
      </c>
      <c r="N23" s="493">
        <f t="shared" si="1"/>
        <v>1776.6852000000008</v>
      </c>
      <c r="O23" s="493">
        <f>'2011 полн'!BG17</f>
        <v>-5472.929999999999</v>
      </c>
    </row>
    <row r="24" spans="1:15" ht="12.75">
      <c r="A24" s="383" t="s">
        <v>51</v>
      </c>
      <c r="B24" s="489">
        <f>'2011 полн'!B18</f>
        <v>902.3</v>
      </c>
      <c r="C24" s="489">
        <f>'2011 полн'!C18</f>
        <v>12677.315</v>
      </c>
      <c r="D24" s="489">
        <f>'2011 полн'!D18</f>
        <v>554.5342</v>
      </c>
      <c r="E24" s="490">
        <f>'2011 полн'!U18</f>
        <v>12677.36</v>
      </c>
      <c r="F24" s="490">
        <f>'2011 полн'!V18</f>
        <v>0</v>
      </c>
      <c r="G24" s="491">
        <f>'2011 полн'!AF18</f>
        <v>5169.24</v>
      </c>
      <c r="H24" s="491">
        <f>'2011 полн'!AG18</f>
        <v>5723.7742</v>
      </c>
      <c r="I24" s="491">
        <f>'2011 полн'!AK18</f>
        <v>604.541</v>
      </c>
      <c r="J24" s="491">
        <f>'2011 полн'!AL18</f>
        <v>180.46</v>
      </c>
      <c r="K24" s="490">
        <f>'2011 полн'!AM18+'2011 полн'!AN18+'2011 полн'!AO18+'2011 полн'!AP18+'2011 полн'!AQ18+'2011 полн'!AR18+'2011 полн'!AS18+'2011 полн'!AX18</f>
        <v>5197.248</v>
      </c>
      <c r="L24" s="492">
        <f>'2011 полн'!AU18+'2011 полн'!AV18+'2011 полн'!AW18</f>
        <v>0</v>
      </c>
      <c r="M24" s="493">
        <f t="shared" si="0"/>
        <v>5982.249</v>
      </c>
      <c r="N24" s="493">
        <f t="shared" si="1"/>
        <v>-258.47479999999996</v>
      </c>
      <c r="O24" s="493">
        <f>'2011 полн'!BG18</f>
        <v>-7508.120000000001</v>
      </c>
    </row>
    <row r="25" spans="1:15" ht="12.75">
      <c r="A25" s="383" t="s">
        <v>39</v>
      </c>
      <c r="B25" s="489">
        <f>'2011 полн'!B19</f>
        <v>902.3</v>
      </c>
      <c r="C25" s="489">
        <f>'2011 полн'!C19</f>
        <v>12677.315</v>
      </c>
      <c r="D25" s="489">
        <f>'2011 полн'!D19</f>
        <v>554.5342</v>
      </c>
      <c r="E25" s="490">
        <f>'2011 полн'!U19</f>
        <v>12677.36</v>
      </c>
      <c r="F25" s="490">
        <f>'2011 полн'!V19</f>
        <v>0</v>
      </c>
      <c r="G25" s="491">
        <f>'2011 полн'!AF19</f>
        <v>8874.78</v>
      </c>
      <c r="H25" s="491">
        <f>'2011 полн'!AG19</f>
        <v>9429.3142</v>
      </c>
      <c r="I25" s="491">
        <f>'2011 полн'!AK19</f>
        <v>604.541</v>
      </c>
      <c r="J25" s="491">
        <f>'2011 полн'!AL19</f>
        <v>180.46</v>
      </c>
      <c r="K25" s="490">
        <f>'2011 полн'!AM19+'2011 полн'!AN19+'2011 полн'!AO19+'2011 полн'!AP19+'2011 полн'!AQ19+'2011 полн'!AR19+'2011 полн'!AS19+'2011 полн'!AX19</f>
        <v>5197.248</v>
      </c>
      <c r="L25" s="492">
        <f>'2011 полн'!AU19+'2011 полн'!AV19+'2011 полн'!AW19</f>
        <v>0</v>
      </c>
      <c r="M25" s="493">
        <f t="shared" si="0"/>
        <v>5982.249</v>
      </c>
      <c r="N25" s="493">
        <f t="shared" si="1"/>
        <v>3447.065200000001</v>
      </c>
      <c r="O25" s="493">
        <f>'2011 полн'!BG19</f>
        <v>-3802.58</v>
      </c>
    </row>
    <row r="26" spans="1:15" ht="12.75">
      <c r="A26" s="383" t="s">
        <v>40</v>
      </c>
      <c r="B26" s="489">
        <f>'2011 полн'!B20</f>
        <v>902.3</v>
      </c>
      <c r="C26" s="489">
        <f>'2011 полн'!C20</f>
        <v>12677.315</v>
      </c>
      <c r="D26" s="489">
        <f>'2011 полн'!D20</f>
        <v>554.5342</v>
      </c>
      <c r="E26" s="490">
        <f>'2011 полн'!U20</f>
        <v>12677.36</v>
      </c>
      <c r="F26" s="490">
        <f>'2011 полн'!V20</f>
        <v>0</v>
      </c>
      <c r="G26" s="491">
        <f>'2011 полн'!AF20</f>
        <v>7079.57</v>
      </c>
      <c r="H26" s="491">
        <f>'2011 полн'!AG20</f>
        <v>7634.1042</v>
      </c>
      <c r="I26" s="491">
        <f>'2011 полн'!AK20</f>
        <v>604.541</v>
      </c>
      <c r="J26" s="491">
        <f>'2011 полн'!AL20</f>
        <v>180.46</v>
      </c>
      <c r="K26" s="490">
        <f>'2011 полн'!AM20+'2011 полн'!AN20+'2011 полн'!AO20+'2011 полн'!AP20+'2011 полн'!AQ20+'2011 полн'!AR20+'2011 полн'!AS20+'2011 полн'!AX20</f>
        <v>5555.248</v>
      </c>
      <c r="L26" s="492">
        <f>'2011 полн'!AU20+'2011 полн'!AV20+'2011 полн'!AW20</f>
        <v>654</v>
      </c>
      <c r="M26" s="493">
        <f t="shared" si="0"/>
        <v>6994.249</v>
      </c>
      <c r="N26" s="493">
        <f t="shared" si="1"/>
        <v>639.8552</v>
      </c>
      <c r="O26" s="493">
        <f>'2011 полн'!BG20</f>
        <v>-5597.790000000001</v>
      </c>
    </row>
    <row r="27" spans="1:15" ht="13.5" thickBot="1">
      <c r="A27" s="494" t="s">
        <v>41</v>
      </c>
      <c r="B27" s="489">
        <f>'2011 полн'!B21</f>
        <v>902.3</v>
      </c>
      <c r="C27" s="489">
        <f>'2011 полн'!C21</f>
        <v>12677.315</v>
      </c>
      <c r="D27" s="489">
        <f>'2011 полн'!D21</f>
        <v>554.5342</v>
      </c>
      <c r="E27" s="490">
        <f>'2011 полн'!U21</f>
        <v>9772.27</v>
      </c>
      <c r="F27" s="490">
        <f>'2011 полн'!V21</f>
        <v>0</v>
      </c>
      <c r="G27" s="491">
        <f>'2011 полн'!AF21</f>
        <v>10278.460000000001</v>
      </c>
      <c r="H27" s="491">
        <f>'2011 полн'!AG21</f>
        <v>10832.994200000001</v>
      </c>
      <c r="I27" s="491">
        <f>'2011 полн'!AK21</f>
        <v>604.541</v>
      </c>
      <c r="J27" s="491">
        <f>'2011 полн'!AL21</f>
        <v>180.46</v>
      </c>
      <c r="K27" s="490">
        <f>'2011 полн'!AM21+'2011 полн'!AN21+'2011 полн'!AO21+'2011 полн'!AP21+'2011 полн'!AQ21+'2011 полн'!AR21+'2011 полн'!AS21+'2011 полн'!AX21</f>
        <v>5197.248</v>
      </c>
      <c r="L27" s="492">
        <f>'2011 полн'!AU21+'2011 полн'!AV21+'2011 полн'!AW21</f>
        <v>0</v>
      </c>
      <c r="M27" s="493">
        <f t="shared" si="0"/>
        <v>5982.249</v>
      </c>
      <c r="N27" s="493">
        <f t="shared" si="1"/>
        <v>4850.745200000001</v>
      </c>
      <c r="O27" s="493">
        <f>'2011 полн'!BG21</f>
        <v>506.1900000000005</v>
      </c>
    </row>
    <row r="28" spans="1:15" ht="13.5" thickBot="1">
      <c r="A28" s="100" t="s">
        <v>3</v>
      </c>
      <c r="B28" s="495"/>
      <c r="C28" s="496">
        <f>SUM(C16:C27)</f>
        <v>106922.55</v>
      </c>
      <c r="D28" s="496">
        <f aca="true" t="shared" si="2" ref="D28:O28">SUM(D16:D27)</f>
        <v>6654.410400000001</v>
      </c>
      <c r="E28" s="496">
        <f t="shared" si="2"/>
        <v>104504.53000000001</v>
      </c>
      <c r="F28" s="496">
        <f t="shared" si="2"/>
        <v>0</v>
      </c>
      <c r="G28" s="496">
        <f t="shared" si="2"/>
        <v>70646.3</v>
      </c>
      <c r="H28" s="496">
        <f t="shared" si="2"/>
        <v>77300.7104</v>
      </c>
      <c r="I28" s="496">
        <f t="shared" si="2"/>
        <v>7254.492000000001</v>
      </c>
      <c r="J28" s="496">
        <f t="shared" si="2"/>
        <v>2165.52</v>
      </c>
      <c r="K28" s="496">
        <f t="shared" si="2"/>
        <v>66001.201</v>
      </c>
      <c r="L28" s="496">
        <f t="shared" si="2"/>
        <v>654</v>
      </c>
      <c r="M28" s="496">
        <f t="shared" si="2"/>
        <v>76075.21299999997</v>
      </c>
      <c r="N28" s="496">
        <f t="shared" si="2"/>
        <v>1225.4974000000084</v>
      </c>
      <c r="O28" s="496">
        <f t="shared" si="2"/>
        <v>-33858.23</v>
      </c>
    </row>
    <row r="29" spans="1:15" ht="13.5" thickBot="1">
      <c r="A29" s="497" t="s">
        <v>66</v>
      </c>
      <c r="B29" s="498"/>
      <c r="C29" s="498"/>
      <c r="D29" s="498"/>
      <c r="E29" s="101"/>
      <c r="F29" s="101"/>
      <c r="G29" s="499"/>
      <c r="H29" s="101"/>
      <c r="I29" s="499"/>
      <c r="J29" s="101"/>
      <c r="K29" s="101"/>
      <c r="L29" s="101"/>
      <c r="M29" s="500"/>
      <c r="N29" s="501"/>
      <c r="O29" s="502"/>
    </row>
    <row r="30" spans="1:17" s="24" customFormat="1" ht="13.5" thickBot="1">
      <c r="A30" s="503" t="s">
        <v>52</v>
      </c>
      <c r="B30" s="504"/>
      <c r="C30" s="505">
        <f aca="true" t="shared" si="3" ref="C30:N30">C28+C13</f>
        <v>317654.715</v>
      </c>
      <c r="D30" s="505">
        <f t="shared" si="3"/>
        <v>118266.19062844999</v>
      </c>
      <c r="E30" s="505">
        <f t="shared" si="3"/>
        <v>191382.96000000002</v>
      </c>
      <c r="F30" s="505">
        <f t="shared" si="3"/>
        <v>7320.269999999999</v>
      </c>
      <c r="G30" s="505">
        <f t="shared" si="3"/>
        <v>140304.02000000002</v>
      </c>
      <c r="H30" s="505">
        <f t="shared" si="3"/>
        <v>265890.48062845</v>
      </c>
      <c r="I30" s="505">
        <f t="shared" si="3"/>
        <v>21655.200000000004</v>
      </c>
      <c r="J30" s="505">
        <f t="shared" si="3"/>
        <v>6990.912951600001</v>
      </c>
      <c r="K30" s="505">
        <f t="shared" si="3"/>
        <v>177038.66528597957</v>
      </c>
      <c r="L30" s="505">
        <f t="shared" si="3"/>
        <v>81664.62640000001</v>
      </c>
      <c r="M30" s="505">
        <f t="shared" si="3"/>
        <v>287349.4046375796</v>
      </c>
      <c r="N30" s="505">
        <f t="shared" si="3"/>
        <v>-21458.924009129565</v>
      </c>
      <c r="O30" s="505">
        <f>O28+O13</f>
        <v>-51078.94</v>
      </c>
      <c r="P30" s="74"/>
      <c r="Q30" s="61"/>
    </row>
    <row r="32" spans="1:16" ht="12.75">
      <c r="A32" s="24" t="s">
        <v>125</v>
      </c>
      <c r="D32" s="506" t="s">
        <v>122</v>
      </c>
      <c r="O32" s="330"/>
      <c r="P32" s="330"/>
    </row>
    <row r="33" spans="1:16" ht="12.75">
      <c r="A33" s="380" t="s">
        <v>67</v>
      </c>
      <c r="B33" s="380" t="s">
        <v>68</v>
      </c>
      <c r="C33" s="507" t="s">
        <v>69</v>
      </c>
      <c r="D33" s="507"/>
      <c r="O33" s="330"/>
      <c r="P33" s="330"/>
    </row>
    <row r="34" spans="1:16" ht="12.75">
      <c r="A34" s="508">
        <v>30305.54</v>
      </c>
      <c r="B34" s="508">
        <v>0</v>
      </c>
      <c r="C34" s="509">
        <f>A34-B34</f>
        <v>30305.54</v>
      </c>
      <c r="D34" s="510"/>
      <c r="O34" s="330"/>
      <c r="P34" s="330"/>
    </row>
    <row r="35" spans="1:16" ht="12.75">
      <c r="A35" s="75"/>
      <c r="O35" s="330"/>
      <c r="P35" s="330"/>
    </row>
    <row r="36" spans="1:16" ht="12.75">
      <c r="A36" s="331" t="s">
        <v>70</v>
      </c>
      <c r="G36" s="331" t="s">
        <v>71</v>
      </c>
      <c r="O36" s="330"/>
      <c r="P36" s="330"/>
    </row>
    <row r="37" ht="12.75">
      <c r="A37" s="330"/>
    </row>
    <row r="38" ht="12.75">
      <c r="A38" s="506" t="s">
        <v>123</v>
      </c>
    </row>
    <row r="39" ht="12.75">
      <c r="A39" s="331" t="s">
        <v>72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2010-07-02T11:42:08Z</cp:lastPrinted>
  <dcterms:created xsi:type="dcterms:W3CDTF">2010-04-03T04:08:20Z</dcterms:created>
  <dcterms:modified xsi:type="dcterms:W3CDTF">2012-05-29T04:04:27Z</dcterms:modified>
  <cp:category/>
  <cp:version/>
  <cp:contentType/>
  <cp:contentStatus/>
</cp:coreProperties>
</file>