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<sst xmlns="http://schemas.openxmlformats.org/spreadsheetml/2006/main" count="177" uniqueCount="94">
  <si>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</si>
  <si>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</si>
  <si>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</si>
  <si>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</si>
  <si>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</si>
  <si>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</si>
  <si>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</si>
  <si>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</si>
  <si>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</si>
  <si>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</si>
  <si>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</si>
  <si>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</si>
  <si>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</si>
  <si>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</si>
  <si>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</si>
  <si>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</si>
  <si>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</si>
  <si>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</si>
  <si>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</si>
  <si>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</si>
  <si>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</si>
  <si>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</si>
  <si>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</si>
  <si>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</si>
  <si>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</si>
  <si>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</si>
  <si>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</si>
  <si>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</si>
  <si>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</si>
  <si>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</si>
  <si>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</si>
  <si>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</si>
  <si>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</si>
  <si>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</si>
  <si>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</si>
  <si>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</si>
  <si>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</si>
  <si>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</si>
  <si>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</si>
  <si>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</si>
  <si>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</si>
  <si>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</si>
  <si>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</si>
  <si>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</si>
  <si>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</si>
  <si>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</si>
  <si>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</si>
  <si>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</si>
  <si>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</si>
  <si>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</si>
  <si>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</si>
  <si>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</si>
  <si>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</si>
  <si>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</si>
  <si>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</si>
  <si>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</si>
  <si>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</si>
  <si>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</si>
  <si>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</si>
  <si>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</si>
  <si>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</si>
  <si>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</si>
  <si>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</si>
  <si>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</si>
  <si>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</si>
  <si>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</si>
  <si>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</si>
  <si>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</si>
  <si>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</si>
  <si>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</si>
  <si>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</si>
  <si>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</si>
  <si>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</si>
  <si>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</si>
  <si>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</si>
  <si>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</si>
  <si>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</si>
  <si>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</si>
  <si>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</si>
  <si>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</si>
  <si>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</si>
  <si>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</si>
  <si>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</si>
  <si>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</si>
  <si>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</si>
  <si>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</si>
  <si>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</si>
  <si>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</si>
  <si>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Социальный найм</t>
  </si>
  <si>
    <t>Лицевой счет по адресу г. Таштагол, ул. Суворова, д.9</t>
  </si>
  <si>
    <t>Выписка по лицевому счету по адресу г. Таштагол ул. Суворова, д.9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</si>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</sst>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7" borderId="11" xfId="0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0" sqref="BE30:BE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53" t="s">
        <v>0</v>
      </c>
      <c r="B3" s="156" t="s">
        <v>1</v>
      </c>
      <c r="C3" s="156" t="s">
        <v>2</v>
      </c>
      <c r="D3" s="156" t="s">
        <v>3</v>
      </c>
      <c r="E3" s="159" t="s">
        <v>4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6" t="s">
        <v>5</v>
      </c>
      <c r="T3" s="176"/>
      <c r="U3" s="177" t="s">
        <v>6</v>
      </c>
      <c r="V3" s="177"/>
      <c r="W3" s="177"/>
      <c r="X3" s="177"/>
      <c r="Y3" s="177"/>
      <c r="Z3" s="177"/>
      <c r="AA3" s="177"/>
      <c r="AB3" s="177"/>
      <c r="AC3" s="179" t="s">
        <v>86</v>
      </c>
      <c r="AD3" s="179" t="s">
        <v>8</v>
      </c>
      <c r="AE3" s="182" t="s">
        <v>9</v>
      </c>
      <c r="AF3" s="189" t="s">
        <v>74</v>
      </c>
      <c r="AG3" s="192" t="s">
        <v>10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68" t="s">
        <v>75</v>
      </c>
      <c r="BD3" s="173" t="s">
        <v>11</v>
      </c>
      <c r="BE3" s="161" t="s">
        <v>12</v>
      </c>
    </row>
    <row r="4" spans="1:57" ht="36" customHeight="1" thickBot="1">
      <c r="A4" s="154"/>
      <c r="B4" s="157"/>
      <c r="C4" s="157"/>
      <c r="D4" s="157"/>
      <c r="E4" s="160" t="s">
        <v>13</v>
      </c>
      <c r="F4" s="160"/>
      <c r="G4" s="160" t="s">
        <v>14</v>
      </c>
      <c r="H4" s="160"/>
      <c r="I4" s="160" t="s">
        <v>15</v>
      </c>
      <c r="J4" s="160"/>
      <c r="K4" s="160" t="s">
        <v>16</v>
      </c>
      <c r="L4" s="160"/>
      <c r="M4" s="160" t="s">
        <v>17</v>
      </c>
      <c r="N4" s="160"/>
      <c r="O4" s="160" t="s">
        <v>18</v>
      </c>
      <c r="P4" s="160"/>
      <c r="Q4" s="160" t="s">
        <v>19</v>
      </c>
      <c r="R4" s="160"/>
      <c r="S4" s="160"/>
      <c r="T4" s="160"/>
      <c r="U4" s="178"/>
      <c r="V4" s="178"/>
      <c r="W4" s="178"/>
      <c r="X4" s="178"/>
      <c r="Y4" s="178"/>
      <c r="Z4" s="178"/>
      <c r="AA4" s="178"/>
      <c r="AB4" s="178"/>
      <c r="AC4" s="180"/>
      <c r="AD4" s="180"/>
      <c r="AE4" s="183"/>
      <c r="AF4" s="190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9"/>
      <c r="BD4" s="174"/>
      <c r="BE4" s="162"/>
    </row>
    <row r="5" spans="1:57" ht="29.25" customHeight="1" thickBot="1">
      <c r="A5" s="154"/>
      <c r="B5" s="157"/>
      <c r="C5" s="157"/>
      <c r="D5" s="157"/>
      <c r="E5" s="171" t="s">
        <v>20</v>
      </c>
      <c r="F5" s="171" t="s">
        <v>21</v>
      </c>
      <c r="G5" s="171" t="s">
        <v>20</v>
      </c>
      <c r="H5" s="171" t="s">
        <v>21</v>
      </c>
      <c r="I5" s="171" t="s">
        <v>20</v>
      </c>
      <c r="J5" s="171" t="s">
        <v>21</v>
      </c>
      <c r="K5" s="171" t="s">
        <v>20</v>
      </c>
      <c r="L5" s="171" t="s">
        <v>21</v>
      </c>
      <c r="M5" s="171" t="s">
        <v>20</v>
      </c>
      <c r="N5" s="171" t="s">
        <v>21</v>
      </c>
      <c r="O5" s="171" t="s">
        <v>20</v>
      </c>
      <c r="P5" s="171" t="s">
        <v>21</v>
      </c>
      <c r="Q5" s="171" t="s">
        <v>20</v>
      </c>
      <c r="R5" s="171" t="s">
        <v>21</v>
      </c>
      <c r="S5" s="171" t="s">
        <v>20</v>
      </c>
      <c r="T5" s="171" t="s">
        <v>21</v>
      </c>
      <c r="U5" s="185" t="s">
        <v>22</v>
      </c>
      <c r="V5" s="185" t="s">
        <v>23</v>
      </c>
      <c r="W5" s="185" t="s">
        <v>24</v>
      </c>
      <c r="X5" s="185" t="s">
        <v>25</v>
      </c>
      <c r="Y5" s="185" t="s">
        <v>26</v>
      </c>
      <c r="Z5" s="185" t="s">
        <v>27</v>
      </c>
      <c r="AA5" s="185" t="s">
        <v>28</v>
      </c>
      <c r="AB5" s="185" t="s">
        <v>29</v>
      </c>
      <c r="AC5" s="180"/>
      <c r="AD5" s="180"/>
      <c r="AE5" s="183"/>
      <c r="AF5" s="190"/>
      <c r="AG5" s="164" t="s">
        <v>30</v>
      </c>
      <c r="AH5" s="164" t="s">
        <v>31</v>
      </c>
      <c r="AI5" s="164" t="s">
        <v>32</v>
      </c>
      <c r="AJ5" s="164" t="s">
        <v>33</v>
      </c>
      <c r="AK5" s="164" t="s">
        <v>34</v>
      </c>
      <c r="AL5" s="164" t="s">
        <v>33</v>
      </c>
      <c r="AM5" s="164" t="s">
        <v>35</v>
      </c>
      <c r="AN5" s="164" t="s">
        <v>33</v>
      </c>
      <c r="AO5" s="164" t="s">
        <v>36</v>
      </c>
      <c r="AP5" s="164" t="s">
        <v>33</v>
      </c>
      <c r="AQ5" s="196" t="s">
        <v>79</v>
      </c>
      <c r="AR5" s="198" t="s">
        <v>33</v>
      </c>
      <c r="AS5" s="166" t="s">
        <v>80</v>
      </c>
      <c r="AT5" s="187" t="s">
        <v>81</v>
      </c>
      <c r="AU5" s="187" t="s">
        <v>33</v>
      </c>
      <c r="AV5" s="193" t="s">
        <v>82</v>
      </c>
      <c r="AW5" s="194"/>
      <c r="AX5" s="195"/>
      <c r="AY5" s="164" t="s">
        <v>19</v>
      </c>
      <c r="AZ5" s="164" t="s">
        <v>38</v>
      </c>
      <c r="BA5" s="164" t="s">
        <v>33</v>
      </c>
      <c r="BB5" s="164" t="s">
        <v>39</v>
      </c>
      <c r="BC5" s="169"/>
      <c r="BD5" s="174"/>
      <c r="BE5" s="162"/>
    </row>
    <row r="6" spans="1:57" ht="54" customHeight="1" thickBot="1">
      <c r="A6" s="155"/>
      <c r="B6" s="158"/>
      <c r="C6" s="158"/>
      <c r="D6" s="158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86"/>
      <c r="V6" s="186"/>
      <c r="W6" s="186"/>
      <c r="X6" s="186"/>
      <c r="Y6" s="186"/>
      <c r="Z6" s="186"/>
      <c r="AA6" s="186"/>
      <c r="AB6" s="186"/>
      <c r="AC6" s="181"/>
      <c r="AD6" s="181"/>
      <c r="AE6" s="184"/>
      <c r="AF6" s="191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97"/>
      <c r="AR6" s="199"/>
      <c r="AS6" s="167"/>
      <c r="AT6" s="188"/>
      <c r="AU6" s="188"/>
      <c r="AV6" s="113" t="s">
        <v>83</v>
      </c>
      <c r="AW6" s="113" t="s">
        <v>84</v>
      </c>
      <c r="AX6" s="113" t="s">
        <v>85</v>
      </c>
      <c r="AY6" s="165"/>
      <c r="AZ6" s="165"/>
      <c r="BA6" s="165"/>
      <c r="BB6" s="165"/>
      <c r="BC6" s="170"/>
      <c r="BD6" s="175"/>
      <c r="BE6" s="163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8">
        <v>394.8</v>
      </c>
      <c r="C9" s="99">
        <f>B9*8.65</f>
        <v>3415.0200000000004</v>
      </c>
      <c r="D9" s="100">
        <f>C9*0.24088</f>
        <v>822.6100176000001</v>
      </c>
      <c r="E9" s="101">
        <v>151</v>
      </c>
      <c r="F9" s="101">
        <v>6.92</v>
      </c>
      <c r="G9" s="101">
        <v>203.87</v>
      </c>
      <c r="H9" s="101">
        <v>9.34</v>
      </c>
      <c r="I9" s="101">
        <v>490.78</v>
      </c>
      <c r="J9" s="101">
        <v>22.5</v>
      </c>
      <c r="K9" s="101">
        <v>339.78</v>
      </c>
      <c r="L9" s="101">
        <v>15.58</v>
      </c>
      <c r="M9" s="101">
        <v>120.79</v>
      </c>
      <c r="N9" s="101">
        <v>5.53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1306.2199999999998</v>
      </c>
      <c r="T9" s="102">
        <f>P9+N9+L9+J9+H9+F9+R9</f>
        <v>59.870000000000005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882.4800176000001</v>
      </c>
      <c r="AD9" s="105">
        <f>P9+Z9</f>
        <v>0</v>
      </c>
      <c r="AE9" s="96">
        <f>R9+AA9</f>
        <v>0</v>
      </c>
      <c r="AF9" s="127"/>
      <c r="AG9" s="16">
        <f>0.6*B9</f>
        <v>236.88</v>
      </c>
      <c r="AH9" s="16">
        <f>B9*0.2*1.05826</f>
        <v>83.56020960000001</v>
      </c>
      <c r="AI9" s="16">
        <f>0.8518*B9</f>
        <v>336.29064</v>
      </c>
      <c r="AJ9" s="16">
        <f>AI9*0.18</f>
        <v>60.5323152</v>
      </c>
      <c r="AK9" s="16">
        <f>1.04*B9*0.9531</f>
        <v>391.3352352</v>
      </c>
      <c r="AL9" s="16">
        <f>AK9*0.18</f>
        <v>70.440342336</v>
      </c>
      <c r="AM9" s="16">
        <f>(1.91)*B9*0.9531</f>
        <v>718.7022108</v>
      </c>
      <c r="AN9" s="16">
        <f>AM9*0.18</f>
        <v>129.366397944</v>
      </c>
      <c r="AO9" s="128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9"/>
      <c r="AX9" s="16">
        <f>AV9*AW9*1.12*1.18</f>
        <v>0</v>
      </c>
      <c r="AY9" s="128"/>
      <c r="AZ9" s="130"/>
      <c r="BA9" s="130">
        <f>AZ9*0.18</f>
        <v>0</v>
      </c>
      <c r="BB9" s="115">
        <f>SUM(AG9:BA9)-AV9-AW9</f>
        <v>2027.10735108</v>
      </c>
      <c r="BC9" s="131"/>
      <c r="BD9" s="14">
        <f>AC9-BB9</f>
        <v>-1144.6273334799998</v>
      </c>
      <c r="BE9" s="30">
        <f>AB9-S9</f>
        <v>-1306.2199999999998</v>
      </c>
    </row>
    <row r="10" spans="1:57" ht="12.75">
      <c r="A10" s="11" t="s">
        <v>42</v>
      </c>
      <c r="B10" s="98">
        <v>394.8</v>
      </c>
      <c r="C10" s="99">
        <f>B10*8.65</f>
        <v>3415.0200000000004</v>
      </c>
      <c r="D10" s="100">
        <f>C10*0.24088</f>
        <v>822.6100176000001</v>
      </c>
      <c r="E10" s="101">
        <v>151</v>
      </c>
      <c r="F10" s="101">
        <v>6.92</v>
      </c>
      <c r="G10" s="101">
        <v>203.87</v>
      </c>
      <c r="H10" s="101">
        <v>9.34</v>
      </c>
      <c r="I10" s="101">
        <v>490.78</v>
      </c>
      <c r="J10" s="101">
        <v>22.5</v>
      </c>
      <c r="K10" s="101">
        <v>339.78</v>
      </c>
      <c r="L10" s="101">
        <v>15.58</v>
      </c>
      <c r="M10" s="101">
        <v>120.79</v>
      </c>
      <c r="N10" s="101">
        <v>5.53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1306.2199999999998</v>
      </c>
      <c r="T10" s="102">
        <f>P10+N10+L10+J10+H10+F10+R10</f>
        <v>59.870000000000005</v>
      </c>
      <c r="U10" s="85">
        <v>64.67</v>
      </c>
      <c r="V10" s="85">
        <v>87.3</v>
      </c>
      <c r="W10" s="85">
        <v>299.93</v>
      </c>
      <c r="X10" s="85">
        <v>145.49</v>
      </c>
      <c r="Y10" s="85">
        <v>51.73</v>
      </c>
      <c r="Z10" s="103">
        <v>0</v>
      </c>
      <c r="AA10" s="103">
        <v>0</v>
      </c>
      <c r="AB10" s="106">
        <f>SUM(U10:AA10)</f>
        <v>649.12</v>
      </c>
      <c r="AC10" s="107">
        <f>D10+T10+AB10</f>
        <v>1531.6000176000002</v>
      </c>
      <c r="AD10" s="96">
        <f>P10+Z10</f>
        <v>0</v>
      </c>
      <c r="AE10" s="96">
        <f>R10+AA10</f>
        <v>0</v>
      </c>
      <c r="AF10" s="96"/>
      <c r="AG10" s="16">
        <f>0.6*B10</f>
        <v>236.88</v>
      </c>
      <c r="AH10" s="16">
        <f>B10*0.201</f>
        <v>79.35480000000001</v>
      </c>
      <c r="AI10" s="16">
        <f>0.8518*B10</f>
        <v>336.29064</v>
      </c>
      <c r="AJ10" s="16">
        <f>AI10*0.18</f>
        <v>60.5323152</v>
      </c>
      <c r="AK10" s="16">
        <f>1.04*B10*0.9531</f>
        <v>391.3352352</v>
      </c>
      <c r="AL10" s="16">
        <f>AK10*0.18</f>
        <v>70.440342336</v>
      </c>
      <c r="AM10" s="16">
        <f>(1.91)*B10*0.9531</f>
        <v>718.7022108</v>
      </c>
      <c r="AN10" s="16">
        <f>AM10*0.18</f>
        <v>129.366397944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9"/>
      <c r="AX10" s="16">
        <f>AV10*AW10*1.12*1.18</f>
        <v>0</v>
      </c>
      <c r="AY10" s="16"/>
      <c r="AZ10" s="115"/>
      <c r="BA10" s="115">
        <f>AZ10*0.18</f>
        <v>0</v>
      </c>
      <c r="BB10" s="115">
        <f>SUM(AG10:BA10)-AV10-AW10</f>
        <v>2022.9019414799998</v>
      </c>
      <c r="BC10" s="125"/>
      <c r="BD10" s="14">
        <f>AC10-BB10</f>
        <v>-491.30192387999955</v>
      </c>
      <c r="BE10" s="30">
        <f>AB10-S10</f>
        <v>-657.0999999999998</v>
      </c>
    </row>
    <row r="11" spans="1:57" ht="12.75">
      <c r="A11" s="11" t="s">
        <v>43</v>
      </c>
      <c r="B11" s="98">
        <v>394.8</v>
      </c>
      <c r="C11" s="99">
        <f>B11*8.65</f>
        <v>3415.0200000000004</v>
      </c>
      <c r="D11" s="100">
        <f>C11*0.24035</f>
        <v>820.8000570000002</v>
      </c>
      <c r="E11" s="101">
        <v>220.84</v>
      </c>
      <c r="F11" s="101">
        <v>10.38</v>
      </c>
      <c r="G11" s="101">
        <v>298.13</v>
      </c>
      <c r="H11" s="101">
        <v>14.01</v>
      </c>
      <c r="I11" s="101">
        <v>717.72</v>
      </c>
      <c r="J11" s="101">
        <v>33.74</v>
      </c>
      <c r="K11" s="101">
        <v>496.9</v>
      </c>
      <c r="L11" s="101">
        <v>23.36</v>
      </c>
      <c r="M11" s="101">
        <v>176.66</v>
      </c>
      <c r="N11" s="101">
        <v>8.3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1910.2500000000002</v>
      </c>
      <c r="T11" s="102">
        <f>P11+N11+L11+J11+H11+F11+R11</f>
        <v>89.79</v>
      </c>
      <c r="U11" s="85">
        <v>158.03</v>
      </c>
      <c r="V11" s="85">
        <v>213.33</v>
      </c>
      <c r="W11" s="85">
        <v>513.55</v>
      </c>
      <c r="X11" s="85">
        <v>355.55</v>
      </c>
      <c r="Y11" s="85">
        <v>126.41</v>
      </c>
      <c r="Z11" s="103">
        <v>0</v>
      </c>
      <c r="AA11" s="103">
        <v>0</v>
      </c>
      <c r="AB11" s="106">
        <f>SUM(U11:AA11)</f>
        <v>1366.8700000000001</v>
      </c>
      <c r="AC11" s="107">
        <f>D11+T11+AB11</f>
        <v>2277.4600570000002</v>
      </c>
      <c r="AD11" s="96">
        <f>P11+Z11</f>
        <v>0</v>
      </c>
      <c r="AE11" s="96">
        <f>R11+AA11</f>
        <v>0</v>
      </c>
      <c r="AF11" s="96"/>
      <c r="AG11" s="16">
        <f>0.6*B11</f>
        <v>236.88</v>
      </c>
      <c r="AH11" s="16">
        <f>B11*0.2*1.02524</f>
        <v>80.9529504</v>
      </c>
      <c r="AI11" s="16">
        <f>0.84932*B11</f>
        <v>335.311536</v>
      </c>
      <c r="AJ11" s="16">
        <f>AI11*0.18</f>
        <v>60.35607648</v>
      </c>
      <c r="AK11" s="16">
        <f>1.04*B11*0.95033</f>
        <v>390.19789536</v>
      </c>
      <c r="AL11" s="16">
        <f>AK11*0.18</f>
        <v>70.2356211648</v>
      </c>
      <c r="AM11" s="16">
        <f>(1.91)*B11*0.95033</f>
        <v>716.61344244</v>
      </c>
      <c r="AN11" s="16">
        <f>AM11*0.18</f>
        <v>128.99041963919998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9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2019.537941484</v>
      </c>
      <c r="BC11" s="125"/>
      <c r="BD11" s="14">
        <f>AC11-BB11</f>
        <v>257.9221155160003</v>
      </c>
      <c r="BE11" s="30">
        <f>AB11-S11</f>
        <v>-543.3800000000001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10245.060000000001</v>
      </c>
      <c r="D12" s="60">
        <f t="shared" si="0"/>
        <v>2466.0200922000004</v>
      </c>
      <c r="E12" s="57">
        <f>SUM(E9:E11)</f>
        <v>522.84</v>
      </c>
      <c r="F12" s="57">
        <f t="shared" si="0"/>
        <v>24.22</v>
      </c>
      <c r="G12" s="57">
        <f t="shared" si="0"/>
        <v>705.87</v>
      </c>
      <c r="H12" s="57">
        <f t="shared" si="0"/>
        <v>32.69</v>
      </c>
      <c r="I12" s="57">
        <f t="shared" si="0"/>
        <v>1699.28</v>
      </c>
      <c r="J12" s="57">
        <f t="shared" si="0"/>
        <v>78.74000000000001</v>
      </c>
      <c r="K12" s="57">
        <f t="shared" si="0"/>
        <v>1176.46</v>
      </c>
      <c r="L12" s="57">
        <f t="shared" si="0"/>
        <v>54.519999999999996</v>
      </c>
      <c r="M12" s="57">
        <f t="shared" si="0"/>
        <v>418.24</v>
      </c>
      <c r="N12" s="57">
        <f t="shared" si="0"/>
        <v>19.36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4522.69</v>
      </c>
      <c r="T12" s="57">
        <f t="shared" si="0"/>
        <v>209.53000000000003</v>
      </c>
      <c r="U12" s="61">
        <f t="shared" si="0"/>
        <v>222.7</v>
      </c>
      <c r="V12" s="61">
        <f t="shared" si="0"/>
        <v>300.63</v>
      </c>
      <c r="W12" s="61">
        <f t="shared" si="0"/>
        <v>813.48</v>
      </c>
      <c r="X12" s="61">
        <f t="shared" si="0"/>
        <v>501.04</v>
      </c>
      <c r="Y12" s="61">
        <f t="shared" si="0"/>
        <v>178.14</v>
      </c>
      <c r="Z12" s="61">
        <f t="shared" si="0"/>
        <v>0</v>
      </c>
      <c r="AA12" s="61">
        <f t="shared" si="0"/>
        <v>0</v>
      </c>
      <c r="AB12" s="61">
        <f t="shared" si="0"/>
        <v>2015.9900000000002</v>
      </c>
      <c r="AC12" s="61">
        <f t="shared" si="0"/>
        <v>4691.540092200001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710.64</v>
      </c>
      <c r="AH12" s="18">
        <f t="shared" si="0"/>
        <v>243.86796000000004</v>
      </c>
      <c r="AI12" s="18">
        <f t="shared" si="0"/>
        <v>1007.892816</v>
      </c>
      <c r="AJ12" s="18">
        <f t="shared" si="0"/>
        <v>181.42070688</v>
      </c>
      <c r="AK12" s="18">
        <f t="shared" si="0"/>
        <v>1172.86836576</v>
      </c>
      <c r="AL12" s="18">
        <f t="shared" si="0"/>
        <v>211.1163058368</v>
      </c>
      <c r="AM12" s="18">
        <f>SUM(AM9:AM11)</f>
        <v>2154.01786404</v>
      </c>
      <c r="AN12" s="18">
        <f>SUM(AN9:AN11)</f>
        <v>387.72321552719995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6069.547234043999</v>
      </c>
      <c r="BC12" s="18">
        <f t="shared" si="0"/>
        <v>0</v>
      </c>
      <c r="BD12" s="18">
        <f t="shared" si="0"/>
        <v>-1378.007141843999</v>
      </c>
      <c r="BE12" s="19">
        <f t="shared" si="0"/>
        <v>-2506.7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09">
        <v>394.8</v>
      </c>
      <c r="C14" s="99">
        <f aca="true" t="shared" si="1" ref="C14:C25">B14*8.65</f>
        <v>3415.0200000000004</v>
      </c>
      <c r="D14" s="100">
        <f>C14*0.125</f>
        <v>426.87750000000005</v>
      </c>
      <c r="E14" s="101">
        <v>225.34</v>
      </c>
      <c r="F14" s="101">
        <v>10.38</v>
      </c>
      <c r="G14" s="101">
        <v>304.21</v>
      </c>
      <c r="H14" s="101">
        <v>14.01</v>
      </c>
      <c r="I14" s="101">
        <v>732.35</v>
      </c>
      <c r="J14" s="101">
        <v>33.74</v>
      </c>
      <c r="K14" s="101">
        <v>507.02</v>
      </c>
      <c r="L14" s="101">
        <v>23.36</v>
      </c>
      <c r="M14" s="101">
        <v>180.26</v>
      </c>
      <c r="N14" s="101">
        <v>8.3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1949.18</v>
      </c>
      <c r="T14" s="132">
        <f aca="true" t="shared" si="3" ref="T14:T25">P14+N14+L14+J14+H14+F14+R14</f>
        <v>89.79</v>
      </c>
      <c r="U14" s="85">
        <v>80.32</v>
      </c>
      <c r="V14" s="85">
        <v>108.46</v>
      </c>
      <c r="W14" s="85">
        <v>261.07</v>
      </c>
      <c r="X14" s="85">
        <v>180.74</v>
      </c>
      <c r="Y14" s="85">
        <v>64.26</v>
      </c>
      <c r="Z14" s="103">
        <v>0</v>
      </c>
      <c r="AA14" s="103">
        <v>0</v>
      </c>
      <c r="AB14" s="110">
        <f aca="true" t="shared" si="4" ref="AB14:AB25">SUM(U14:AA14)</f>
        <v>694.8499999999999</v>
      </c>
      <c r="AC14" s="133">
        <f aca="true" t="shared" si="5" ref="AC14:AC22">D14+T14+AB14</f>
        <v>1211.5175</v>
      </c>
      <c r="AD14" s="134">
        <f>P15+Z14</f>
        <v>0</v>
      </c>
      <c r="AE14" s="134">
        <f>R15+AA14</f>
        <v>0</v>
      </c>
      <c r="AF14" s="134"/>
      <c r="AG14" s="16">
        <f>0.6*B14*0.9</f>
        <v>213.192</v>
      </c>
      <c r="AH14" s="16">
        <f>B14*0.2*0.891</f>
        <v>70.35336000000001</v>
      </c>
      <c r="AI14" s="16">
        <f>0.85*B14*0.867-0.02</f>
        <v>290.92786</v>
      </c>
      <c r="AJ14" s="117">
        <f aca="true" t="shared" si="6" ref="AJ14:AJ25">AI14*0.18</f>
        <v>52.3670148</v>
      </c>
      <c r="AK14" s="16">
        <f>0.83*B14*0.8686</f>
        <v>284.6263224</v>
      </c>
      <c r="AL14" s="117">
        <f aca="true" t="shared" si="7" ref="AL14:AL25">AK14*0.18</f>
        <v>51.23273803199999</v>
      </c>
      <c r="AM14" s="16">
        <f>1.91*B14*0.8686</f>
        <v>654.9834648</v>
      </c>
      <c r="AN14" s="117">
        <f aca="true" t="shared" si="8" ref="AN14:AN25">AM14*0.18</f>
        <v>117.89702366399999</v>
      </c>
      <c r="AO14" s="117"/>
      <c r="AP14" s="117">
        <f aca="true" t="shared" si="9" ref="AP14:AP25">AO14*0.18</f>
        <v>0</v>
      </c>
      <c r="AQ14" s="111"/>
      <c r="AR14" s="111">
        <f aca="true" t="shared" si="10" ref="AR14:AR25">AQ14*0.18</f>
        <v>0</v>
      </c>
      <c r="AS14" s="136"/>
      <c r="AT14" s="136"/>
      <c r="AU14" s="91">
        <f>(AS14+AT14)*0.18</f>
        <v>0</v>
      </c>
      <c r="AV14" s="137">
        <v>508</v>
      </c>
      <c r="AW14" s="138">
        <v>0.15</v>
      </c>
      <c r="AX14" s="117">
        <f aca="true" t="shared" si="11" ref="AX14:AX25">AV14*AW14*1.12*1.18</f>
        <v>100.70592</v>
      </c>
      <c r="AY14" s="117"/>
      <c r="AZ14" s="139"/>
      <c r="BA14" s="139">
        <f aca="true" t="shared" si="12" ref="BA14:BA25">AZ14*0.18</f>
        <v>0</v>
      </c>
      <c r="BB14" s="115">
        <f>SUM(AG14:AU14)</f>
        <v>1735.5797836960003</v>
      </c>
      <c r="BC14" s="140"/>
      <c r="BD14" s="14">
        <f>AC14+AF14-BB14-BC14</f>
        <v>-524.0622836960003</v>
      </c>
      <c r="BE14" s="30">
        <f>AB14-S14</f>
        <v>-1254.3300000000002</v>
      </c>
    </row>
    <row r="15" spans="1:57" ht="12.75">
      <c r="A15" s="11" t="s">
        <v>46</v>
      </c>
      <c r="B15" s="109">
        <v>394.8</v>
      </c>
      <c r="C15" s="99">
        <f t="shared" si="1"/>
        <v>3415.0200000000004</v>
      </c>
      <c r="D15" s="100">
        <f>C15*0.125</f>
        <v>426.87750000000005</v>
      </c>
      <c r="E15" s="101">
        <v>226.48</v>
      </c>
      <c r="F15" s="101">
        <v>10.38</v>
      </c>
      <c r="G15" s="101">
        <v>305.75</v>
      </c>
      <c r="H15" s="101">
        <v>14.01</v>
      </c>
      <c r="I15" s="101">
        <v>736.06</v>
      </c>
      <c r="J15" s="101">
        <v>33.74</v>
      </c>
      <c r="K15" s="101">
        <v>509.6</v>
      </c>
      <c r="L15" s="101">
        <v>23.36</v>
      </c>
      <c r="M15" s="101">
        <v>181.18</v>
      </c>
      <c r="N15" s="101">
        <v>8.3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1959.07</v>
      </c>
      <c r="T15" s="102">
        <f t="shared" si="3"/>
        <v>89.79</v>
      </c>
      <c r="U15" s="85">
        <v>128.5</v>
      </c>
      <c r="V15" s="85">
        <v>173.46</v>
      </c>
      <c r="W15" s="85">
        <v>389.4</v>
      </c>
      <c r="X15" s="85">
        <v>289.1</v>
      </c>
      <c r="Y15" s="85">
        <v>102.79</v>
      </c>
      <c r="Z15" s="103">
        <v>0</v>
      </c>
      <c r="AA15" s="103">
        <v>0</v>
      </c>
      <c r="AB15" s="106">
        <f t="shared" si="4"/>
        <v>1083.25</v>
      </c>
      <c r="AC15" s="107">
        <f t="shared" si="5"/>
        <v>1599.9175</v>
      </c>
      <c r="AD15" s="96">
        <f aca="true" t="shared" si="13" ref="AD15:AD25">P15+Z15</f>
        <v>0</v>
      </c>
      <c r="AE15" s="96">
        <f aca="true" t="shared" si="14" ref="AE15:AE25">R15+AA15</f>
        <v>0</v>
      </c>
      <c r="AF15" s="96"/>
      <c r="AG15" s="16">
        <f>0.6*B15*0.9</f>
        <v>213.192</v>
      </c>
      <c r="AH15" s="16">
        <f>B15*0.2*0.9153</f>
        <v>72.27208800000001</v>
      </c>
      <c r="AI15" s="16">
        <f>0.85*B15*0.866</f>
        <v>290.61228</v>
      </c>
      <c r="AJ15" s="16">
        <f t="shared" si="6"/>
        <v>52.310210399999995</v>
      </c>
      <c r="AK15" s="16">
        <f>0.83*B15*0.8685</f>
        <v>284.593554</v>
      </c>
      <c r="AL15" s="16">
        <f t="shared" si="7"/>
        <v>51.226839719999994</v>
      </c>
      <c r="AM15" s="16">
        <f>(1.91)*B15*0.8684</f>
        <v>654.8326512</v>
      </c>
      <c r="AN15" s="16">
        <f t="shared" si="8"/>
        <v>117.86987721599999</v>
      </c>
      <c r="AO15" s="16"/>
      <c r="AP15" s="16">
        <f t="shared" si="9"/>
        <v>0</v>
      </c>
      <c r="AQ15" s="111"/>
      <c r="AR15" s="111">
        <f t="shared" si="10"/>
        <v>0</v>
      </c>
      <c r="AS15" s="91"/>
      <c r="AT15" s="136"/>
      <c r="AU15" s="91">
        <f aca="true" t="shared" si="15" ref="AU15:AU25">(AS15+AT15)*0.18</f>
        <v>0</v>
      </c>
      <c r="AV15" s="112">
        <v>407</v>
      </c>
      <c r="AW15" s="141">
        <v>0.15</v>
      </c>
      <c r="AX15" s="16">
        <f t="shared" si="11"/>
        <v>80.68368</v>
      </c>
      <c r="AY15" s="16"/>
      <c r="AZ15" s="115"/>
      <c r="BA15" s="115">
        <f t="shared" si="12"/>
        <v>0</v>
      </c>
      <c r="BB15" s="115">
        <f>SUM(AG15:AU15)+AY15</f>
        <v>1736.909500536</v>
      </c>
      <c r="BC15" s="121"/>
      <c r="BD15" s="14">
        <f aca="true" t="shared" si="16" ref="BD15:BD22">AC15+AF15-BB15-BC15</f>
        <v>-136.99200053599998</v>
      </c>
      <c r="BE15" s="30">
        <f aca="true" t="shared" si="17" ref="BE15:BE20">AB15-S15</f>
        <v>-875.8199999999999</v>
      </c>
    </row>
    <row r="16" spans="1:57" ht="12.75">
      <c r="A16" s="11" t="s">
        <v>47</v>
      </c>
      <c r="B16" s="122">
        <v>394.8</v>
      </c>
      <c r="C16" s="99">
        <f t="shared" si="1"/>
        <v>3415.0200000000004</v>
      </c>
      <c r="D16" s="100">
        <f>C16*0.125</f>
        <v>426.87750000000005</v>
      </c>
      <c r="E16" s="119">
        <v>226.5</v>
      </c>
      <c r="F16" s="119">
        <v>10.38</v>
      </c>
      <c r="G16" s="119">
        <v>305.78</v>
      </c>
      <c r="H16" s="119">
        <v>14.01</v>
      </c>
      <c r="I16" s="119">
        <v>736.14</v>
      </c>
      <c r="J16" s="119">
        <v>33.74</v>
      </c>
      <c r="K16" s="119">
        <v>509.64</v>
      </c>
      <c r="L16" s="119">
        <v>23.36</v>
      </c>
      <c r="M16" s="119">
        <v>181.19</v>
      </c>
      <c r="N16" s="119">
        <v>8.3</v>
      </c>
      <c r="O16" s="101">
        <v>0</v>
      </c>
      <c r="P16" s="108">
        <v>0</v>
      </c>
      <c r="Q16" s="101">
        <v>0</v>
      </c>
      <c r="R16" s="108">
        <v>0</v>
      </c>
      <c r="S16" s="86">
        <f t="shared" si="2"/>
        <v>1959.25</v>
      </c>
      <c r="T16" s="132">
        <f t="shared" si="3"/>
        <v>89.79</v>
      </c>
      <c r="U16" s="86">
        <v>146.66</v>
      </c>
      <c r="V16" s="86">
        <v>197.99</v>
      </c>
      <c r="W16" s="86">
        <v>473.47</v>
      </c>
      <c r="X16" s="86">
        <v>330.02</v>
      </c>
      <c r="Y16" s="86">
        <v>117.32</v>
      </c>
      <c r="Z16" s="116">
        <v>0</v>
      </c>
      <c r="AA16" s="116">
        <v>0</v>
      </c>
      <c r="AB16" s="110">
        <f t="shared" si="4"/>
        <v>1265.4599999999998</v>
      </c>
      <c r="AC16" s="133">
        <f t="shared" si="5"/>
        <v>1782.1274999999998</v>
      </c>
      <c r="AD16" s="134">
        <f t="shared" si="13"/>
        <v>0</v>
      </c>
      <c r="AE16" s="134">
        <f t="shared" si="14"/>
        <v>0</v>
      </c>
      <c r="AF16" s="143"/>
      <c r="AG16" s="117">
        <f>0.6*B16*0.9</f>
        <v>213.192</v>
      </c>
      <c r="AH16" s="117">
        <f>B16*0.2*0.9082-0.01</f>
        <v>71.70147200000001</v>
      </c>
      <c r="AI16" s="16">
        <f>0.85*B16*0.8675+0.01</f>
        <v>291.12565</v>
      </c>
      <c r="AJ16" s="117">
        <f t="shared" si="6"/>
        <v>52.402617</v>
      </c>
      <c r="AK16" s="117">
        <f>0.83*B16*0.838</f>
        <v>274.59919199999996</v>
      </c>
      <c r="AL16" s="16">
        <f t="shared" si="7"/>
        <v>49.42785455999999</v>
      </c>
      <c r="AM16" s="16">
        <f>1.91*B16*0.838</f>
        <v>631.9089839999999</v>
      </c>
      <c r="AN16" s="16">
        <f t="shared" si="8"/>
        <v>113.74361711999998</v>
      </c>
      <c r="AO16" s="16"/>
      <c r="AP16" s="16">
        <f t="shared" si="9"/>
        <v>0</v>
      </c>
      <c r="AQ16" s="111"/>
      <c r="AR16" s="111">
        <f t="shared" si="10"/>
        <v>0</v>
      </c>
      <c r="AS16" s="91"/>
      <c r="AT16" s="136"/>
      <c r="AU16" s="91">
        <f t="shared" si="15"/>
        <v>0</v>
      </c>
      <c r="AV16" s="112">
        <v>383</v>
      </c>
      <c r="AW16" s="141">
        <v>0.15</v>
      </c>
      <c r="AX16" s="16">
        <f t="shared" si="11"/>
        <v>75.92592</v>
      </c>
      <c r="AY16" s="114"/>
      <c r="AZ16" s="115"/>
      <c r="BA16" s="115">
        <f t="shared" si="12"/>
        <v>0</v>
      </c>
      <c r="BB16" s="115">
        <f>SUM(AG16:AU16)</f>
        <v>1698.10138668</v>
      </c>
      <c r="BC16" s="144"/>
      <c r="BD16" s="14">
        <f t="shared" si="16"/>
        <v>84.02611331999992</v>
      </c>
      <c r="BE16" s="30">
        <f t="shared" si="17"/>
        <v>-693.7900000000002</v>
      </c>
    </row>
    <row r="17" spans="1:57" ht="12.75">
      <c r="A17" s="11" t="s">
        <v>48</v>
      </c>
      <c r="B17" s="118">
        <v>394.8</v>
      </c>
      <c r="C17" s="99">
        <f t="shared" si="1"/>
        <v>3415.0200000000004</v>
      </c>
      <c r="D17" s="100">
        <f>C17*0.125</f>
        <v>426.87750000000005</v>
      </c>
      <c r="E17" s="119">
        <v>246.81</v>
      </c>
      <c r="F17" s="119">
        <v>10.38</v>
      </c>
      <c r="G17" s="119">
        <v>333.2</v>
      </c>
      <c r="H17" s="119">
        <v>14.01</v>
      </c>
      <c r="I17" s="119">
        <v>802.16</v>
      </c>
      <c r="J17" s="119">
        <v>33.74</v>
      </c>
      <c r="K17" s="119">
        <v>555.35</v>
      </c>
      <c r="L17" s="119">
        <v>23.36</v>
      </c>
      <c r="M17" s="119">
        <v>197.44</v>
      </c>
      <c r="N17" s="119">
        <v>8.3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2134.96</v>
      </c>
      <c r="T17" s="132">
        <f t="shared" si="3"/>
        <v>89.79</v>
      </c>
      <c r="U17" s="85">
        <v>88.69</v>
      </c>
      <c r="V17" s="85">
        <v>119.73</v>
      </c>
      <c r="W17" s="85">
        <v>288.2</v>
      </c>
      <c r="X17" s="85">
        <v>199.52</v>
      </c>
      <c r="Y17" s="85">
        <v>70.96</v>
      </c>
      <c r="Z17" s="85">
        <v>0</v>
      </c>
      <c r="AA17" s="85">
        <v>0</v>
      </c>
      <c r="AB17" s="110">
        <f t="shared" si="4"/>
        <v>767.1</v>
      </c>
      <c r="AC17" s="133">
        <f t="shared" si="5"/>
        <v>1283.7675</v>
      </c>
      <c r="AD17" s="134">
        <f t="shared" si="13"/>
        <v>0</v>
      </c>
      <c r="AE17" s="134">
        <f t="shared" si="14"/>
        <v>0</v>
      </c>
      <c r="AF17" s="143"/>
      <c r="AG17" s="16">
        <f>0.6*B17*0.9</f>
        <v>213.192</v>
      </c>
      <c r="AH17" s="117">
        <f>B17*0.2*0.9234</f>
        <v>72.911664</v>
      </c>
      <c r="AI17" s="16">
        <f>0.85*B17*0.8934</f>
        <v>299.807172</v>
      </c>
      <c r="AJ17" s="16">
        <f t="shared" si="6"/>
        <v>53.96529096</v>
      </c>
      <c r="AK17" s="16">
        <f>0.83*B17*0.8498</f>
        <v>278.4658632</v>
      </c>
      <c r="AL17" s="16">
        <f t="shared" si="7"/>
        <v>50.123855376</v>
      </c>
      <c r="AM17" s="16">
        <f>(1.91)*B17*0.8498</f>
        <v>640.8069864</v>
      </c>
      <c r="AN17" s="16">
        <f t="shared" si="8"/>
        <v>115.345257552</v>
      </c>
      <c r="AO17" s="16"/>
      <c r="AP17" s="16">
        <f t="shared" si="9"/>
        <v>0</v>
      </c>
      <c r="AQ17" s="111"/>
      <c r="AR17" s="111">
        <f t="shared" si="10"/>
        <v>0</v>
      </c>
      <c r="AS17" s="91">
        <v>307</v>
      </c>
      <c r="AT17" s="91"/>
      <c r="AU17" s="91">
        <f t="shared" si="15"/>
        <v>55.26</v>
      </c>
      <c r="AV17" s="112">
        <v>307</v>
      </c>
      <c r="AW17" s="141">
        <v>0.15</v>
      </c>
      <c r="AX17" s="16">
        <f t="shared" si="11"/>
        <v>60.85968</v>
      </c>
      <c r="AY17"/>
      <c r="AZ17" s="115"/>
      <c r="BA17" s="115">
        <f t="shared" si="12"/>
        <v>0</v>
      </c>
      <c r="BB17" s="115">
        <f>SUM(AG17:BA17)-AV17-AW17+AX14+AX15+AX16</f>
        <v>2405.0532894880002</v>
      </c>
      <c r="BC17" s="121"/>
      <c r="BD17" s="14">
        <f t="shared" si="16"/>
        <v>-1121.2857894880003</v>
      </c>
      <c r="BE17" s="30">
        <f t="shared" si="17"/>
        <v>-1367.8600000000001</v>
      </c>
    </row>
    <row r="18" spans="1:57" ht="12.75">
      <c r="A18" s="11" t="s">
        <v>49</v>
      </c>
      <c r="B18" s="122">
        <v>394.8</v>
      </c>
      <c r="C18" s="99">
        <f t="shared" si="1"/>
        <v>3415.0200000000004</v>
      </c>
      <c r="D18" s="123">
        <f aca="true" t="shared" si="18" ref="D18:D25">C18-E18-F18-G18-H18-I18-J18-K18-L18-M18-N18</f>
        <v>1105.400000000001</v>
      </c>
      <c r="E18" s="119">
        <v>254.82</v>
      </c>
      <c r="F18" s="119">
        <v>11.68</v>
      </c>
      <c r="G18" s="119">
        <v>345.43</v>
      </c>
      <c r="H18" s="119">
        <v>15.83</v>
      </c>
      <c r="I18" s="119">
        <v>829.56</v>
      </c>
      <c r="J18" s="119">
        <v>38.02</v>
      </c>
      <c r="K18" s="119">
        <v>574.76</v>
      </c>
      <c r="L18" s="119">
        <v>26.34</v>
      </c>
      <c r="M18" s="119">
        <v>203.84</v>
      </c>
      <c r="N18" s="119">
        <v>9.34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2208.41</v>
      </c>
      <c r="T18" s="132">
        <f t="shared" si="3"/>
        <v>101.21000000000001</v>
      </c>
      <c r="U18" s="86">
        <v>150.15</v>
      </c>
      <c r="V18" s="86">
        <v>202.7</v>
      </c>
      <c r="W18" s="86">
        <v>485.77</v>
      </c>
      <c r="X18" s="86">
        <v>337.88</v>
      </c>
      <c r="Y18" s="86">
        <v>120.11</v>
      </c>
      <c r="Z18" s="116">
        <v>0</v>
      </c>
      <c r="AA18" s="116">
        <v>0</v>
      </c>
      <c r="AB18" s="110">
        <f t="shared" si="4"/>
        <v>1296.61</v>
      </c>
      <c r="AC18" s="133">
        <f t="shared" si="5"/>
        <v>2503.220000000001</v>
      </c>
      <c r="AD18" s="134">
        <f t="shared" si="13"/>
        <v>0</v>
      </c>
      <c r="AE18" s="134">
        <f t="shared" si="14"/>
        <v>0</v>
      </c>
      <c r="AF18" s="143"/>
      <c r="AG18" s="16">
        <f aca="true" t="shared" si="19" ref="AG18:AG25">0.6*B18</f>
        <v>236.88</v>
      </c>
      <c r="AH18" s="16">
        <f>B18*0.2*1.01</f>
        <v>79.74960000000002</v>
      </c>
      <c r="AI18" s="16">
        <f>0.85*B18</f>
        <v>335.58</v>
      </c>
      <c r="AJ18" s="117">
        <f t="shared" si="6"/>
        <v>60.404399999999995</v>
      </c>
      <c r="AK18" s="117">
        <f>0.83*B18</f>
        <v>327.68399999999997</v>
      </c>
      <c r="AL18" s="117">
        <f t="shared" si="7"/>
        <v>58.98311999999999</v>
      </c>
      <c r="AM18" s="16">
        <f>(1.91)*B18</f>
        <v>754.068</v>
      </c>
      <c r="AN18" s="117">
        <f t="shared" si="8"/>
        <v>135.73224</v>
      </c>
      <c r="AO18" s="117"/>
      <c r="AP18" s="117">
        <f t="shared" si="9"/>
        <v>0</v>
      </c>
      <c r="AQ18" s="111"/>
      <c r="AR18" s="111">
        <f t="shared" si="10"/>
        <v>0</v>
      </c>
      <c r="AS18" s="136"/>
      <c r="AT18" s="136"/>
      <c r="AU18" s="91">
        <f t="shared" si="15"/>
        <v>0</v>
      </c>
      <c r="AV18" s="137">
        <v>263</v>
      </c>
      <c r="AW18" s="138">
        <v>0.15</v>
      </c>
      <c r="AX18" s="117">
        <f t="shared" si="11"/>
        <v>52.137119999999996</v>
      </c>
      <c r="AY18" s="117"/>
      <c r="AZ18" s="139"/>
      <c r="BA18" s="139">
        <f t="shared" si="12"/>
        <v>0</v>
      </c>
      <c r="BB18" s="139">
        <f>SUM(AG18:BA18)-AV18-AW18</f>
        <v>2041.21848</v>
      </c>
      <c r="BC18" s="142"/>
      <c r="BD18" s="14">
        <f t="shared" si="16"/>
        <v>462.00152000000116</v>
      </c>
      <c r="BE18" s="30">
        <f t="shared" si="17"/>
        <v>-911.8</v>
      </c>
    </row>
    <row r="19" spans="1:57" ht="12.75">
      <c r="A19" s="11" t="s">
        <v>50</v>
      </c>
      <c r="B19" s="122">
        <v>394.8</v>
      </c>
      <c r="C19" s="99">
        <f t="shared" si="1"/>
        <v>3415.0200000000004</v>
      </c>
      <c r="D19" s="123">
        <f t="shared" si="18"/>
        <v>1105.4100000000012</v>
      </c>
      <c r="E19" s="119">
        <v>254.81</v>
      </c>
      <c r="F19" s="119">
        <v>11.68</v>
      </c>
      <c r="G19" s="119">
        <v>345.43</v>
      </c>
      <c r="H19" s="119">
        <v>15.83</v>
      </c>
      <c r="I19" s="119">
        <v>829.56</v>
      </c>
      <c r="J19" s="119">
        <v>38.02</v>
      </c>
      <c r="K19" s="119">
        <v>574.76</v>
      </c>
      <c r="L19" s="119">
        <v>26.34</v>
      </c>
      <c r="M19" s="119">
        <v>203.84</v>
      </c>
      <c r="N19" s="119">
        <v>9.34</v>
      </c>
      <c r="O19" s="119">
        <v>0</v>
      </c>
      <c r="P19" s="120">
        <v>0</v>
      </c>
      <c r="Q19" s="119">
        <v>0</v>
      </c>
      <c r="R19" s="120">
        <v>0</v>
      </c>
      <c r="S19" s="86">
        <f t="shared" si="2"/>
        <v>2208.4</v>
      </c>
      <c r="T19" s="132">
        <f t="shared" si="3"/>
        <v>101.21000000000001</v>
      </c>
      <c r="U19" s="86">
        <v>163.4</v>
      </c>
      <c r="V19" s="86">
        <v>221.01</v>
      </c>
      <c r="W19" s="86">
        <v>529.61</v>
      </c>
      <c r="X19" s="86">
        <v>368.1</v>
      </c>
      <c r="Y19" s="86">
        <v>130.72</v>
      </c>
      <c r="Z19" s="116">
        <v>0</v>
      </c>
      <c r="AA19" s="116">
        <v>0</v>
      </c>
      <c r="AB19" s="110">
        <f t="shared" si="4"/>
        <v>1412.84</v>
      </c>
      <c r="AC19" s="133">
        <f t="shared" si="5"/>
        <v>2619.460000000001</v>
      </c>
      <c r="AD19" s="134">
        <f t="shared" si="13"/>
        <v>0</v>
      </c>
      <c r="AE19" s="134">
        <f t="shared" si="14"/>
        <v>0</v>
      </c>
      <c r="AF19" s="143"/>
      <c r="AG19" s="16">
        <f t="shared" si="19"/>
        <v>236.88</v>
      </c>
      <c r="AH19" s="16">
        <f>B19*0.2*1.01045</f>
        <v>79.78513200000002</v>
      </c>
      <c r="AI19" s="16">
        <f>0.85*B19</f>
        <v>335.58</v>
      </c>
      <c r="AJ19" s="16">
        <f t="shared" si="6"/>
        <v>60.404399999999995</v>
      </c>
      <c r="AK19" s="16">
        <f>0.83*B19</f>
        <v>327.68399999999997</v>
      </c>
      <c r="AL19" s="16">
        <f t="shared" si="7"/>
        <v>58.98311999999999</v>
      </c>
      <c r="AM19" s="16">
        <f>(1.91)*B19</f>
        <v>754.068</v>
      </c>
      <c r="AN19" s="117">
        <f t="shared" si="8"/>
        <v>135.73224</v>
      </c>
      <c r="AO19" s="117"/>
      <c r="AP19" s="117">
        <f t="shared" si="9"/>
        <v>0</v>
      </c>
      <c r="AQ19" s="111"/>
      <c r="AR19" s="135">
        <f t="shared" si="10"/>
        <v>0</v>
      </c>
      <c r="AS19" s="136">
        <v>7258.78</v>
      </c>
      <c r="AT19" s="136"/>
      <c r="AU19" s="91">
        <f t="shared" si="15"/>
        <v>1306.5803999999998</v>
      </c>
      <c r="AV19" s="137">
        <v>233</v>
      </c>
      <c r="AW19" s="138">
        <v>0.15</v>
      </c>
      <c r="AX19" s="117">
        <f t="shared" si="11"/>
        <v>46.189919999999994</v>
      </c>
      <c r="AY19" s="114"/>
      <c r="AZ19" s="115"/>
      <c r="BA19" s="115">
        <f t="shared" si="12"/>
        <v>0</v>
      </c>
      <c r="BB19" s="115">
        <f>SUM(AG19:BA19)-AV19-AW19</f>
        <v>10600.667212</v>
      </c>
      <c r="BC19" s="142"/>
      <c r="BD19" s="14">
        <f t="shared" si="16"/>
        <v>-7981.207211999999</v>
      </c>
      <c r="BE19" s="30">
        <f t="shared" si="17"/>
        <v>-795.5600000000002</v>
      </c>
    </row>
    <row r="20" spans="1:57" ht="12.75">
      <c r="A20" s="11" t="s">
        <v>51</v>
      </c>
      <c r="B20" s="145">
        <v>394.8</v>
      </c>
      <c r="C20" s="99">
        <f t="shared" si="1"/>
        <v>3415.0200000000004</v>
      </c>
      <c r="D20" s="123">
        <f t="shared" si="18"/>
        <v>1105.400000000001</v>
      </c>
      <c r="E20" s="119">
        <v>254.82</v>
      </c>
      <c r="F20" s="119">
        <v>11.68</v>
      </c>
      <c r="G20" s="119">
        <v>345.43</v>
      </c>
      <c r="H20" s="119">
        <v>15.83</v>
      </c>
      <c r="I20" s="119">
        <v>829.56</v>
      </c>
      <c r="J20" s="119">
        <v>38.02</v>
      </c>
      <c r="K20" s="119">
        <v>574.76</v>
      </c>
      <c r="L20" s="119">
        <v>26.34</v>
      </c>
      <c r="M20" s="119">
        <v>203.84</v>
      </c>
      <c r="N20" s="119">
        <v>9.34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2208.41</v>
      </c>
      <c r="T20" s="132">
        <f t="shared" si="3"/>
        <v>101.21000000000001</v>
      </c>
      <c r="U20" s="86">
        <v>244.97</v>
      </c>
      <c r="V20" s="86">
        <v>331.43</v>
      </c>
      <c r="W20" s="86">
        <v>792.43</v>
      </c>
      <c r="X20" s="86">
        <v>551.86</v>
      </c>
      <c r="Y20" s="86">
        <v>195.96</v>
      </c>
      <c r="Z20" s="116">
        <v>0</v>
      </c>
      <c r="AA20" s="116">
        <v>0</v>
      </c>
      <c r="AB20" s="110">
        <f t="shared" si="4"/>
        <v>2116.65</v>
      </c>
      <c r="AC20" s="133">
        <f t="shared" si="5"/>
        <v>3323.260000000001</v>
      </c>
      <c r="AD20" s="134">
        <f t="shared" si="13"/>
        <v>0</v>
      </c>
      <c r="AE20" s="134">
        <f t="shared" si="14"/>
        <v>0</v>
      </c>
      <c r="AF20" s="134"/>
      <c r="AG20" s="117">
        <f t="shared" si="19"/>
        <v>236.88</v>
      </c>
      <c r="AH20" s="16">
        <f>B20*0.2*0.99425</f>
        <v>78.50598000000001</v>
      </c>
      <c r="AI20" s="16">
        <f>0.85*B20*0.9858</f>
        <v>330.81476399999997</v>
      </c>
      <c r="AJ20" s="117">
        <f t="shared" si="6"/>
        <v>59.54665751999999</v>
      </c>
      <c r="AK20" s="16">
        <f>0.83*B20*0.9905</f>
        <v>324.57100199999996</v>
      </c>
      <c r="AL20" s="117">
        <f t="shared" si="7"/>
        <v>58.42278035999999</v>
      </c>
      <c r="AM20" s="16">
        <f>(1.91)*B20*0.9904</f>
        <v>746.8289471999999</v>
      </c>
      <c r="AN20" s="117">
        <f t="shared" si="8"/>
        <v>134.42921049599997</v>
      </c>
      <c r="AO20" s="117"/>
      <c r="AP20" s="117">
        <f t="shared" si="9"/>
        <v>0</v>
      </c>
      <c r="AQ20" s="111"/>
      <c r="AR20" s="111">
        <f t="shared" si="10"/>
        <v>0</v>
      </c>
      <c r="AS20" s="136">
        <v>4242</v>
      </c>
      <c r="AT20" s="91">
        <f>463.56*2</f>
        <v>927.12</v>
      </c>
      <c r="AU20" s="91">
        <f t="shared" si="15"/>
        <v>930.4416</v>
      </c>
      <c r="AV20" s="137">
        <v>248</v>
      </c>
      <c r="AW20" s="138">
        <v>0.15</v>
      </c>
      <c r="AX20" s="117">
        <f t="shared" si="11"/>
        <v>49.16352</v>
      </c>
      <c r="AY20" s="117"/>
      <c r="AZ20" s="139"/>
      <c r="BA20" s="139">
        <f t="shared" si="12"/>
        <v>0</v>
      </c>
      <c r="BB20" s="139">
        <f>SUM(AG20:BA20)-AV20-AW20</f>
        <v>8118.724461576001</v>
      </c>
      <c r="BC20" s="142"/>
      <c r="BD20" s="14">
        <f t="shared" si="16"/>
        <v>-4795.464461576</v>
      </c>
      <c r="BE20" s="30">
        <f t="shared" si="17"/>
        <v>-91.75999999999976</v>
      </c>
    </row>
    <row r="21" spans="1:57" ht="12.75">
      <c r="A21" s="11" t="s">
        <v>52</v>
      </c>
      <c r="B21" s="109">
        <v>394.8</v>
      </c>
      <c r="C21" s="99">
        <f t="shared" si="1"/>
        <v>3415.0200000000004</v>
      </c>
      <c r="D21" s="123">
        <f t="shared" si="18"/>
        <v>1105.400000000001</v>
      </c>
      <c r="E21" s="101">
        <v>254.82</v>
      </c>
      <c r="F21" s="101">
        <v>11.68</v>
      </c>
      <c r="G21" s="101">
        <v>345.43</v>
      </c>
      <c r="H21" s="101">
        <v>15.83</v>
      </c>
      <c r="I21" s="101">
        <v>829.56</v>
      </c>
      <c r="J21" s="101">
        <v>38.02</v>
      </c>
      <c r="K21" s="101">
        <v>574.76</v>
      </c>
      <c r="L21" s="101">
        <v>26.34</v>
      </c>
      <c r="M21" s="101">
        <v>203.84</v>
      </c>
      <c r="N21" s="101">
        <v>9.34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2208.41</v>
      </c>
      <c r="T21" s="102">
        <f t="shared" si="3"/>
        <v>101.21000000000001</v>
      </c>
      <c r="U21" s="86">
        <v>202.53</v>
      </c>
      <c r="V21" s="86">
        <v>274.41</v>
      </c>
      <c r="W21" s="86">
        <v>659.19</v>
      </c>
      <c r="X21" s="86">
        <v>456.68</v>
      </c>
      <c r="Y21" s="86">
        <v>161.98</v>
      </c>
      <c r="Z21" s="116">
        <v>0</v>
      </c>
      <c r="AA21" s="116">
        <v>0</v>
      </c>
      <c r="AB21" s="110">
        <f t="shared" si="4"/>
        <v>1754.7900000000002</v>
      </c>
      <c r="AC21" s="107">
        <f t="shared" si="5"/>
        <v>2961.4000000000015</v>
      </c>
      <c r="AD21" s="96">
        <f t="shared" si="13"/>
        <v>0</v>
      </c>
      <c r="AE21" s="96">
        <f t="shared" si="14"/>
        <v>0</v>
      </c>
      <c r="AF21" s="134"/>
      <c r="AG21" s="16">
        <f t="shared" si="19"/>
        <v>236.88</v>
      </c>
      <c r="AH21" s="16">
        <f>B21*0.2*0.99876</f>
        <v>78.8620896</v>
      </c>
      <c r="AI21" s="16">
        <f>0.85*B21*0.98525</f>
        <v>330.63019499999996</v>
      </c>
      <c r="AJ21" s="16">
        <f t="shared" si="6"/>
        <v>59.51343509999999</v>
      </c>
      <c r="AK21" s="16">
        <f>0.83*B21*0.99</f>
        <v>324.40716</v>
      </c>
      <c r="AL21" s="16">
        <f t="shared" si="7"/>
        <v>58.39328879999999</v>
      </c>
      <c r="AM21" s="16">
        <f>(1.91)*B21*0.9899</f>
        <v>746.4519132</v>
      </c>
      <c r="AN21" s="117">
        <f t="shared" si="8"/>
        <v>134.361344376</v>
      </c>
      <c r="AO21" s="117"/>
      <c r="AP21" s="117">
        <f t="shared" si="9"/>
        <v>0</v>
      </c>
      <c r="AQ21" s="111"/>
      <c r="AR21" s="111">
        <f t="shared" si="10"/>
        <v>0</v>
      </c>
      <c r="AS21" s="136">
        <v>6099</v>
      </c>
      <c r="AT21" s="91"/>
      <c r="AU21" s="91">
        <f t="shared" si="15"/>
        <v>1097.82</v>
      </c>
      <c r="AV21" s="137">
        <v>293</v>
      </c>
      <c r="AW21" s="138">
        <v>0.15</v>
      </c>
      <c r="AX21" s="117">
        <f t="shared" si="11"/>
        <v>58.08431999999999</v>
      </c>
      <c r="AY21" s="117"/>
      <c r="AZ21" s="139"/>
      <c r="BA21" s="139">
        <f t="shared" si="12"/>
        <v>0</v>
      </c>
      <c r="BB21" s="139">
        <f>SUM(AG21:BA21)-AV21-AW21</f>
        <v>9224.403746076</v>
      </c>
      <c r="BC21" s="142"/>
      <c r="BD21" s="14">
        <f t="shared" si="16"/>
        <v>-6263.003746075998</v>
      </c>
      <c r="BE21" s="30">
        <f>AB21-S21</f>
        <v>-453.61999999999966</v>
      </c>
    </row>
    <row r="22" spans="1:57" ht="12.75">
      <c r="A22" s="11" t="s">
        <v>53</v>
      </c>
      <c r="B22" s="98">
        <v>394.8</v>
      </c>
      <c r="C22" s="99">
        <f t="shared" si="1"/>
        <v>3415.0200000000004</v>
      </c>
      <c r="D22" s="123">
        <f t="shared" si="18"/>
        <v>1102.2100000000007</v>
      </c>
      <c r="E22" s="101">
        <v>255.2</v>
      </c>
      <c r="F22" s="101">
        <v>11.68</v>
      </c>
      <c r="G22" s="101">
        <v>345.92</v>
      </c>
      <c r="H22" s="101">
        <v>15.83</v>
      </c>
      <c r="I22" s="101">
        <v>830.76</v>
      </c>
      <c r="J22" s="101">
        <v>38.02</v>
      </c>
      <c r="K22" s="101">
        <v>575.58</v>
      </c>
      <c r="L22" s="101">
        <v>26.34</v>
      </c>
      <c r="M22" s="101">
        <v>204.14</v>
      </c>
      <c r="N22" s="101">
        <v>9.34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2211.6</v>
      </c>
      <c r="T22" s="102">
        <f t="shared" si="3"/>
        <v>101.21000000000001</v>
      </c>
      <c r="U22" s="85">
        <v>353.81</v>
      </c>
      <c r="V22" s="85">
        <v>478.82</v>
      </c>
      <c r="W22" s="85">
        <v>1151.04</v>
      </c>
      <c r="X22" s="85">
        <v>797.27</v>
      </c>
      <c r="Y22" s="85">
        <v>283.03</v>
      </c>
      <c r="Z22" s="103">
        <v>0</v>
      </c>
      <c r="AA22" s="103">
        <v>0</v>
      </c>
      <c r="AB22" s="110">
        <f t="shared" si="4"/>
        <v>3063.9700000000003</v>
      </c>
      <c r="AC22" s="107">
        <f t="shared" si="5"/>
        <v>4267.390000000001</v>
      </c>
      <c r="AD22" s="96">
        <f t="shared" si="13"/>
        <v>0</v>
      </c>
      <c r="AE22" s="96">
        <f t="shared" si="14"/>
        <v>0</v>
      </c>
      <c r="AF22" s="134"/>
      <c r="AG22" s="16">
        <f t="shared" si="19"/>
        <v>236.88</v>
      </c>
      <c r="AH22" s="16">
        <f>B22*0.2*0.9996</f>
        <v>78.92841600000001</v>
      </c>
      <c r="AI22" s="16">
        <f>0.85*B22*0.98508</f>
        <v>330.5731464</v>
      </c>
      <c r="AJ22" s="16">
        <f t="shared" si="6"/>
        <v>59.503166351999994</v>
      </c>
      <c r="AK22" s="16">
        <f>0.83*B22*0.98981</f>
        <v>324.34490003999997</v>
      </c>
      <c r="AL22" s="16">
        <f t="shared" si="7"/>
        <v>58.38208200719999</v>
      </c>
      <c r="AM22" s="16">
        <f>(1.91)*B22*0.98981</f>
        <v>746.38404708</v>
      </c>
      <c r="AN22" s="117">
        <f t="shared" si="8"/>
        <v>134.34912847439998</v>
      </c>
      <c r="AO22" s="117"/>
      <c r="AP22" s="117">
        <f t="shared" si="9"/>
        <v>0</v>
      </c>
      <c r="AQ22" s="111"/>
      <c r="AR22" s="111">
        <f t="shared" si="10"/>
        <v>0</v>
      </c>
      <c r="AS22" s="136"/>
      <c r="AT22" s="91"/>
      <c r="AU22" s="91">
        <f t="shared" si="15"/>
        <v>0</v>
      </c>
      <c r="AV22" s="137">
        <v>349</v>
      </c>
      <c r="AW22" s="138">
        <v>0.15</v>
      </c>
      <c r="AX22" s="117">
        <f t="shared" si="11"/>
        <v>69.18576</v>
      </c>
      <c r="AY22" s="117"/>
      <c r="AZ22" s="139"/>
      <c r="BA22" s="139">
        <f t="shared" si="12"/>
        <v>0</v>
      </c>
      <c r="BB22" s="139">
        <f>SUM(AG22:BA22)-AV22-AW22</f>
        <v>2038.5306463535999</v>
      </c>
      <c r="BC22" s="142"/>
      <c r="BD22" s="14">
        <f t="shared" si="16"/>
        <v>2228.8593536464014</v>
      </c>
      <c r="BE22" s="30">
        <f>AB22-S22</f>
        <v>852.3700000000003</v>
      </c>
    </row>
    <row r="23" spans="1:57" ht="12.75">
      <c r="A23" s="11" t="s">
        <v>41</v>
      </c>
      <c r="B23" s="98">
        <v>394.8</v>
      </c>
      <c r="C23" s="124">
        <f t="shared" si="1"/>
        <v>3415.0200000000004</v>
      </c>
      <c r="D23" s="123">
        <f t="shared" si="18"/>
        <v>1102.2100000000007</v>
      </c>
      <c r="E23" s="87">
        <v>255.2</v>
      </c>
      <c r="F23" s="85">
        <v>11.68</v>
      </c>
      <c r="G23" s="85">
        <v>345.92</v>
      </c>
      <c r="H23" s="85">
        <v>15.83</v>
      </c>
      <c r="I23" s="85">
        <v>830.76</v>
      </c>
      <c r="J23" s="85">
        <v>38.02</v>
      </c>
      <c r="K23" s="85">
        <v>575.58</v>
      </c>
      <c r="L23" s="85">
        <v>26.34</v>
      </c>
      <c r="M23" s="85">
        <v>204.14</v>
      </c>
      <c r="N23" s="85">
        <v>9.34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2211.6</v>
      </c>
      <c r="T23" s="102">
        <f t="shared" si="3"/>
        <v>101.21000000000001</v>
      </c>
      <c r="U23" s="88">
        <f>56.59+153.06</f>
        <v>209.65</v>
      </c>
      <c r="V23" s="85">
        <f>76.68+207.43</f>
        <v>284.11</v>
      </c>
      <c r="W23" s="85">
        <f>184.18+498.23</f>
        <v>682.4100000000001</v>
      </c>
      <c r="X23" s="85">
        <f>127.6+345.17</f>
        <v>472.77</v>
      </c>
      <c r="Y23" s="85">
        <f>45.27+122.45</f>
        <v>167.72</v>
      </c>
      <c r="Z23" s="103">
        <v>0</v>
      </c>
      <c r="AA23" s="103">
        <v>0</v>
      </c>
      <c r="AB23" s="103">
        <f t="shared" si="4"/>
        <v>1816.66</v>
      </c>
      <c r="AC23" s="107">
        <f>AB23+T23+D23</f>
        <v>3020.080000000001</v>
      </c>
      <c r="AD23" s="96">
        <f t="shared" si="13"/>
        <v>0</v>
      </c>
      <c r="AE23" s="96">
        <f t="shared" si="14"/>
        <v>0</v>
      </c>
      <c r="AF23" s="96"/>
      <c r="AG23" s="16">
        <f t="shared" si="19"/>
        <v>236.88</v>
      </c>
      <c r="AH23" s="16">
        <f>B23*0.2</f>
        <v>78.96000000000001</v>
      </c>
      <c r="AI23" s="16">
        <f>(0.847*B23)</f>
        <v>334.3956</v>
      </c>
      <c r="AJ23" s="16">
        <f t="shared" si="6"/>
        <v>60.191207999999996</v>
      </c>
      <c r="AK23" s="16">
        <f>0.83*B23</f>
        <v>327.68399999999997</v>
      </c>
      <c r="AL23" s="16">
        <f t="shared" si="7"/>
        <v>58.98311999999999</v>
      </c>
      <c r="AM23" s="16">
        <f>(2.25/1.18)*B23</f>
        <v>752.7966101694916</v>
      </c>
      <c r="AN23" s="16">
        <f t="shared" si="8"/>
        <v>135.5033898305085</v>
      </c>
      <c r="AO23" s="16"/>
      <c r="AP23" s="16">
        <f t="shared" si="9"/>
        <v>0</v>
      </c>
      <c r="AQ23" s="111"/>
      <c r="AR23" s="111">
        <f t="shared" si="10"/>
        <v>0</v>
      </c>
      <c r="AS23" s="91">
        <v>0</v>
      </c>
      <c r="AT23" s="136"/>
      <c r="AU23" s="91">
        <f t="shared" si="15"/>
        <v>0</v>
      </c>
      <c r="AV23" s="112">
        <v>425</v>
      </c>
      <c r="AW23" s="129">
        <v>0.15</v>
      </c>
      <c r="AX23" s="16">
        <f t="shared" si="11"/>
        <v>84.252</v>
      </c>
      <c r="AY23" s="114"/>
      <c r="AZ23" s="115"/>
      <c r="BA23" s="115">
        <f t="shared" si="12"/>
        <v>0</v>
      </c>
      <c r="BB23" s="115">
        <f>SUM(AG23:AU23)+AX23+AY23+AZ23+BA23</f>
        <v>2069.6459280000004</v>
      </c>
      <c r="BC23" s="121"/>
      <c r="BD23" s="14">
        <f>AC23+AF23-BB23-BC23</f>
        <v>950.4340720000005</v>
      </c>
      <c r="BE23" s="30">
        <f>AB23-S23</f>
        <v>-394.9399999999998</v>
      </c>
    </row>
    <row r="24" spans="1:57" ht="12.75">
      <c r="A24" s="11" t="s">
        <v>42</v>
      </c>
      <c r="B24" s="109">
        <v>394.8</v>
      </c>
      <c r="C24" s="124">
        <f t="shared" si="1"/>
        <v>3415.0200000000004</v>
      </c>
      <c r="D24" s="123">
        <f t="shared" si="18"/>
        <v>1102.2100000000007</v>
      </c>
      <c r="E24" s="101">
        <v>255.2</v>
      </c>
      <c r="F24" s="101">
        <v>11.68</v>
      </c>
      <c r="G24" s="101">
        <v>345.92</v>
      </c>
      <c r="H24" s="101">
        <v>15.83</v>
      </c>
      <c r="I24" s="101">
        <v>830.76</v>
      </c>
      <c r="J24" s="101">
        <v>38.02</v>
      </c>
      <c r="K24" s="101">
        <v>575.58</v>
      </c>
      <c r="L24" s="101">
        <v>26.34</v>
      </c>
      <c r="M24" s="101">
        <v>204.14</v>
      </c>
      <c r="N24" s="101">
        <v>9.34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2211.6</v>
      </c>
      <c r="T24" s="102">
        <f t="shared" si="3"/>
        <v>101.21000000000001</v>
      </c>
      <c r="U24" s="85">
        <v>203.84</v>
      </c>
      <c r="V24" s="85">
        <v>275.67</v>
      </c>
      <c r="W24" s="85">
        <v>662.96</v>
      </c>
      <c r="X24" s="85">
        <v>459.11</v>
      </c>
      <c r="Y24" s="85">
        <v>163.09</v>
      </c>
      <c r="Z24" s="103">
        <v>0</v>
      </c>
      <c r="AA24" s="103">
        <v>0</v>
      </c>
      <c r="AB24" s="103">
        <f t="shared" si="4"/>
        <v>1764.6699999999998</v>
      </c>
      <c r="AC24" s="107">
        <f>D24+T24+AB24</f>
        <v>2968.0900000000006</v>
      </c>
      <c r="AD24" s="96">
        <f t="shared" si="13"/>
        <v>0</v>
      </c>
      <c r="AE24" s="96">
        <f t="shared" si="14"/>
        <v>0</v>
      </c>
      <c r="AF24" s="96"/>
      <c r="AG24" s="16">
        <f t="shared" si="19"/>
        <v>236.88</v>
      </c>
      <c r="AH24" s="16">
        <f>B24*0.2</f>
        <v>78.96000000000001</v>
      </c>
      <c r="AI24" s="16">
        <f>0.85*B24</f>
        <v>335.58</v>
      </c>
      <c r="AJ24" s="16">
        <f t="shared" si="6"/>
        <v>60.404399999999995</v>
      </c>
      <c r="AK24" s="16">
        <f>0.83*B24</f>
        <v>327.68399999999997</v>
      </c>
      <c r="AL24" s="16">
        <f t="shared" si="7"/>
        <v>58.98311999999999</v>
      </c>
      <c r="AM24" s="16">
        <f>(1.91)*B24</f>
        <v>754.068</v>
      </c>
      <c r="AN24" s="16">
        <f t="shared" si="8"/>
        <v>135.73224</v>
      </c>
      <c r="AO24" s="16"/>
      <c r="AP24" s="16">
        <f t="shared" si="9"/>
        <v>0</v>
      </c>
      <c r="AQ24" s="111"/>
      <c r="AR24" s="111">
        <f t="shared" si="10"/>
        <v>0</v>
      </c>
      <c r="AS24" s="91">
        <v>0</v>
      </c>
      <c r="AT24" s="136"/>
      <c r="AU24" s="91">
        <f t="shared" si="15"/>
        <v>0</v>
      </c>
      <c r="AV24" s="112">
        <v>470</v>
      </c>
      <c r="AW24" s="129">
        <v>0.15</v>
      </c>
      <c r="AX24" s="16">
        <f t="shared" si="11"/>
        <v>93.17280000000001</v>
      </c>
      <c r="AY24" s="114"/>
      <c r="AZ24" s="115"/>
      <c r="BA24" s="115">
        <f t="shared" si="12"/>
        <v>0</v>
      </c>
      <c r="BB24" s="115">
        <f>SUM(AG24:AU24)+AX24+AY24+AZ24+BA24</f>
        <v>2081.4645600000003</v>
      </c>
      <c r="BC24" s="125"/>
      <c r="BD24" s="14">
        <f>AC24+AF24-BB24-BC24</f>
        <v>886.6254400000003</v>
      </c>
      <c r="BE24" s="30">
        <f>AB24-S24</f>
        <v>-446.93000000000006</v>
      </c>
    </row>
    <row r="25" spans="1:57" ht="12.75">
      <c r="A25" s="11" t="s">
        <v>43</v>
      </c>
      <c r="B25" s="98">
        <v>394.8</v>
      </c>
      <c r="C25" s="124">
        <f t="shared" si="1"/>
        <v>3415.0200000000004</v>
      </c>
      <c r="D25" s="123">
        <f t="shared" si="18"/>
        <v>1102.2100000000007</v>
      </c>
      <c r="E25" s="101">
        <v>255.2</v>
      </c>
      <c r="F25" s="101">
        <v>11.68</v>
      </c>
      <c r="G25" s="101">
        <v>345.92</v>
      </c>
      <c r="H25" s="101">
        <v>15.83</v>
      </c>
      <c r="I25" s="101">
        <v>830.76</v>
      </c>
      <c r="J25" s="101">
        <v>38.02</v>
      </c>
      <c r="K25" s="101">
        <v>575.58</v>
      </c>
      <c r="L25" s="101">
        <v>26.34</v>
      </c>
      <c r="M25" s="101">
        <v>204.14</v>
      </c>
      <c r="N25" s="101">
        <v>9.34</v>
      </c>
      <c r="O25" s="101">
        <v>0</v>
      </c>
      <c r="P25" s="108">
        <v>0</v>
      </c>
      <c r="Q25" s="108"/>
      <c r="R25" s="108"/>
      <c r="S25" s="85">
        <f t="shared" si="2"/>
        <v>2211.6</v>
      </c>
      <c r="T25" s="102">
        <f t="shared" si="3"/>
        <v>101.21000000000001</v>
      </c>
      <c r="U25" s="85">
        <v>173.18</v>
      </c>
      <c r="V25" s="85">
        <v>234.47</v>
      </c>
      <c r="W25" s="85">
        <v>563.52</v>
      </c>
      <c r="X25" s="85">
        <v>390.39</v>
      </c>
      <c r="Y25" s="85">
        <v>138.55</v>
      </c>
      <c r="Z25" s="103">
        <v>0</v>
      </c>
      <c r="AA25" s="103">
        <v>0</v>
      </c>
      <c r="AB25" s="103">
        <f t="shared" si="4"/>
        <v>1500.11</v>
      </c>
      <c r="AC25" s="107">
        <f>D25+T25+AB25</f>
        <v>2703.5300000000007</v>
      </c>
      <c r="AD25" s="96">
        <f t="shared" si="13"/>
        <v>0</v>
      </c>
      <c r="AE25" s="96">
        <f t="shared" si="14"/>
        <v>0</v>
      </c>
      <c r="AF25" s="96"/>
      <c r="AG25" s="16">
        <f t="shared" si="19"/>
        <v>236.88</v>
      </c>
      <c r="AH25" s="16">
        <f>B25*0.2</f>
        <v>78.96000000000001</v>
      </c>
      <c r="AI25" s="16">
        <f>0.85*B25</f>
        <v>335.58</v>
      </c>
      <c r="AJ25" s="16">
        <f t="shared" si="6"/>
        <v>60.404399999999995</v>
      </c>
      <c r="AK25" s="16">
        <f>0.83*B25</f>
        <v>327.68399999999997</v>
      </c>
      <c r="AL25" s="16">
        <f t="shared" si="7"/>
        <v>58.98311999999999</v>
      </c>
      <c r="AM25" s="16">
        <f>(1.91)*B25</f>
        <v>754.068</v>
      </c>
      <c r="AN25" s="16">
        <f t="shared" si="8"/>
        <v>135.73224</v>
      </c>
      <c r="AO25" s="16"/>
      <c r="AP25" s="16">
        <f t="shared" si="9"/>
        <v>0</v>
      </c>
      <c r="AQ25" s="111"/>
      <c r="AR25" s="111">
        <f t="shared" si="10"/>
        <v>0</v>
      </c>
      <c r="AS25" s="91">
        <v>0</v>
      </c>
      <c r="AT25" s="136"/>
      <c r="AU25" s="91">
        <f t="shared" si="15"/>
        <v>0</v>
      </c>
      <c r="AV25" s="112">
        <v>514</v>
      </c>
      <c r="AW25" s="129">
        <v>0.15</v>
      </c>
      <c r="AX25" s="16">
        <f t="shared" si="11"/>
        <v>101.89536</v>
      </c>
      <c r="AY25" s="114"/>
      <c r="AZ25" s="115"/>
      <c r="BA25" s="115">
        <f t="shared" si="12"/>
        <v>0</v>
      </c>
      <c r="BB25" s="115">
        <f>SUM(AG25:BA25)-AV25-AW25</f>
        <v>2090.18712</v>
      </c>
      <c r="BC25" s="125"/>
      <c r="BD25" s="14">
        <f>AC25+AF25-BB25-BC25</f>
        <v>613.3428800000006</v>
      </c>
      <c r="BE25" s="30">
        <f>AB25-S25</f>
        <v>-711.49</v>
      </c>
    </row>
    <row r="26" spans="1:57" s="20" customFormat="1" ht="12.75">
      <c r="A26" s="17" t="s">
        <v>5</v>
      </c>
      <c r="B26" s="60"/>
      <c r="C26" s="60">
        <f aca="true" t="shared" si="20" ref="C26:BC26">SUM(C14:C25)</f>
        <v>40980.240000000005</v>
      </c>
      <c r="D26" s="60">
        <f t="shared" si="20"/>
        <v>10537.960000000008</v>
      </c>
      <c r="E26" s="57">
        <f t="shared" si="20"/>
        <v>2965.199999999999</v>
      </c>
      <c r="F26" s="57">
        <f t="shared" si="20"/>
        <v>134.96000000000004</v>
      </c>
      <c r="G26" s="57">
        <f t="shared" si="20"/>
        <v>4014.34</v>
      </c>
      <c r="H26" s="57">
        <f t="shared" si="20"/>
        <v>182.68000000000004</v>
      </c>
      <c r="I26" s="57">
        <f t="shared" si="20"/>
        <v>9647.99</v>
      </c>
      <c r="J26" s="57">
        <f t="shared" si="20"/>
        <v>439.11999999999995</v>
      </c>
      <c r="K26" s="57">
        <f t="shared" si="20"/>
        <v>6682.97</v>
      </c>
      <c r="L26" s="57">
        <f t="shared" si="20"/>
        <v>304.15999999999997</v>
      </c>
      <c r="M26" s="57">
        <f t="shared" si="20"/>
        <v>2371.9899999999993</v>
      </c>
      <c r="N26" s="57">
        <f t="shared" si="20"/>
        <v>107.92000000000003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25682.48999999999</v>
      </c>
      <c r="T26" s="57">
        <f t="shared" si="20"/>
        <v>1168.8400000000001</v>
      </c>
      <c r="U26" s="61">
        <f t="shared" si="20"/>
        <v>2145.7</v>
      </c>
      <c r="V26" s="61">
        <f t="shared" si="20"/>
        <v>2902.26</v>
      </c>
      <c r="W26" s="61">
        <f t="shared" si="20"/>
        <v>6939.07</v>
      </c>
      <c r="X26" s="61">
        <f t="shared" si="20"/>
        <v>4833.4400000000005</v>
      </c>
      <c r="Y26" s="61">
        <f t="shared" si="20"/>
        <v>1716.49</v>
      </c>
      <c r="Z26" s="61">
        <f t="shared" si="20"/>
        <v>0</v>
      </c>
      <c r="AA26" s="61">
        <f t="shared" si="20"/>
        <v>0</v>
      </c>
      <c r="AB26" s="61">
        <f t="shared" si="20"/>
        <v>18536.96</v>
      </c>
      <c r="AC26" s="61">
        <f t="shared" si="20"/>
        <v>30243.76000000001</v>
      </c>
      <c r="AD26" s="61">
        <f t="shared" si="20"/>
        <v>0</v>
      </c>
      <c r="AE26" s="94">
        <f t="shared" si="20"/>
        <v>0</v>
      </c>
      <c r="AF26" s="94">
        <f t="shared" si="20"/>
        <v>0</v>
      </c>
      <c r="AG26" s="18">
        <f t="shared" si="20"/>
        <v>2747.808000000001</v>
      </c>
      <c r="AH26" s="18">
        <f t="shared" si="20"/>
        <v>919.9498016000001</v>
      </c>
      <c r="AI26" s="18">
        <f t="shared" si="20"/>
        <v>3841.2066674</v>
      </c>
      <c r="AJ26" s="18">
        <f t="shared" si="20"/>
        <v>691.417200132</v>
      </c>
      <c r="AK26" s="18">
        <f t="shared" si="20"/>
        <v>3734.02799364</v>
      </c>
      <c r="AL26" s="18">
        <f t="shared" si="20"/>
        <v>672.1250388551999</v>
      </c>
      <c r="AM26" s="18">
        <f t="shared" si="20"/>
        <v>8591.265604049491</v>
      </c>
      <c r="AN26" s="18">
        <f t="shared" si="20"/>
        <v>1546.4278087289085</v>
      </c>
      <c r="AO26" s="18">
        <f t="shared" si="20"/>
        <v>0</v>
      </c>
      <c r="AP26" s="18">
        <f t="shared" si="20"/>
        <v>0</v>
      </c>
      <c r="AQ26" s="18">
        <f>SUM(AQ14:AQ25)</f>
        <v>0</v>
      </c>
      <c r="AR26" s="18">
        <f>SUM(AR14:AR25)</f>
        <v>0</v>
      </c>
      <c r="AS26" s="18">
        <f>SUM(AS14:AS25)</f>
        <v>17906.78</v>
      </c>
      <c r="AT26" s="18">
        <f>SUM(AT14:AT25)</f>
        <v>927.12</v>
      </c>
      <c r="AU26" s="18">
        <f>SUM(AU14:AU25)</f>
        <v>3390.102</v>
      </c>
      <c r="AV26" s="18"/>
      <c r="AW26" s="18"/>
      <c r="AX26" s="18">
        <f t="shared" si="20"/>
        <v>872.256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45840.4861144056</v>
      </c>
      <c r="BC26" s="18">
        <f t="shared" si="20"/>
        <v>0</v>
      </c>
      <c r="BD26" s="18">
        <f>SUM(BD14:BD25)</f>
        <v>-15596.726114405592</v>
      </c>
      <c r="BE26" s="19">
        <f>SUM(BE14:BE25)</f>
        <v>-7145.530000000002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51225.3</v>
      </c>
      <c r="D28" s="23">
        <f>D12+D26</f>
        <v>13003.980092200009</v>
      </c>
      <c r="E28" s="50">
        <f aca="true" t="shared" si="21" ref="E28:BC28">E12+E26</f>
        <v>3488.039999999999</v>
      </c>
      <c r="F28" s="50">
        <f t="shared" si="21"/>
        <v>159.18000000000004</v>
      </c>
      <c r="G28" s="50">
        <f t="shared" si="21"/>
        <v>4720.21</v>
      </c>
      <c r="H28" s="50">
        <f t="shared" si="21"/>
        <v>215.37000000000003</v>
      </c>
      <c r="I28" s="50">
        <f t="shared" si="21"/>
        <v>11347.27</v>
      </c>
      <c r="J28" s="50">
        <f t="shared" si="21"/>
        <v>517.8599999999999</v>
      </c>
      <c r="K28" s="50">
        <f t="shared" si="21"/>
        <v>7859.43</v>
      </c>
      <c r="L28" s="50">
        <f t="shared" si="21"/>
        <v>358.67999999999995</v>
      </c>
      <c r="M28" s="50">
        <f t="shared" si="21"/>
        <v>2790.2299999999996</v>
      </c>
      <c r="N28" s="50">
        <f>N12+N26</f>
        <v>127.28000000000003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30205.17999999999</v>
      </c>
      <c r="T28" s="50">
        <f t="shared" si="21"/>
        <v>1378.3700000000001</v>
      </c>
      <c r="U28" s="53">
        <f t="shared" si="21"/>
        <v>2368.3999999999996</v>
      </c>
      <c r="V28" s="53">
        <f t="shared" si="21"/>
        <v>3202.8900000000003</v>
      </c>
      <c r="W28" s="53">
        <f t="shared" si="21"/>
        <v>7752.549999999999</v>
      </c>
      <c r="X28" s="53">
        <f t="shared" si="21"/>
        <v>5334.4800000000005</v>
      </c>
      <c r="Y28" s="53">
        <f t="shared" si="21"/>
        <v>1894.63</v>
      </c>
      <c r="Z28" s="53">
        <f t="shared" si="21"/>
        <v>0</v>
      </c>
      <c r="AA28" s="53">
        <f t="shared" si="21"/>
        <v>0</v>
      </c>
      <c r="AB28" s="53">
        <f t="shared" si="21"/>
        <v>20552.95</v>
      </c>
      <c r="AC28" s="53">
        <f t="shared" si="21"/>
        <v>34935.30009220001</v>
      </c>
      <c r="AD28" s="53">
        <f t="shared" si="21"/>
        <v>0</v>
      </c>
      <c r="AE28" s="53">
        <f>AE12+AE26</f>
        <v>0</v>
      </c>
      <c r="AF28" s="53">
        <f t="shared" si="21"/>
        <v>0</v>
      </c>
      <c r="AG28" s="23">
        <f t="shared" si="21"/>
        <v>3458.448000000001</v>
      </c>
      <c r="AH28" s="23">
        <f t="shared" si="21"/>
        <v>1163.8177616000003</v>
      </c>
      <c r="AI28" s="23">
        <f t="shared" si="21"/>
        <v>4849.099483399999</v>
      </c>
      <c r="AJ28" s="23">
        <f t="shared" si="21"/>
        <v>872.837907012</v>
      </c>
      <c r="AK28" s="23">
        <f t="shared" si="21"/>
        <v>4906.8963594</v>
      </c>
      <c r="AL28" s="23">
        <f t="shared" si="21"/>
        <v>883.241344692</v>
      </c>
      <c r="AM28" s="23">
        <f t="shared" si="21"/>
        <v>10745.283468089492</v>
      </c>
      <c r="AN28" s="23">
        <f t="shared" si="21"/>
        <v>1934.1510242561085</v>
      </c>
      <c r="AO28" s="23">
        <f t="shared" si="21"/>
        <v>0</v>
      </c>
      <c r="AP28" s="23">
        <f t="shared" si="21"/>
        <v>0</v>
      </c>
      <c r="AQ28" s="23">
        <f t="shared" si="21"/>
        <v>0</v>
      </c>
      <c r="AR28" s="23">
        <f t="shared" si="21"/>
        <v>0</v>
      </c>
      <c r="AS28" s="23">
        <f t="shared" si="21"/>
        <v>17906.78</v>
      </c>
      <c r="AT28" s="23">
        <f t="shared" si="21"/>
        <v>927.12</v>
      </c>
      <c r="AU28" s="23">
        <f t="shared" si="21"/>
        <v>3390.102</v>
      </c>
      <c r="AV28" s="23"/>
      <c r="AW28" s="23"/>
      <c r="AX28" s="23">
        <f t="shared" si="21"/>
        <v>872.256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51910.03334844959</v>
      </c>
      <c r="BC28" s="23">
        <f t="shared" si="21"/>
        <v>0</v>
      </c>
      <c r="BD28" s="23">
        <f>BD12+BD26</f>
        <v>-16974.73325624959</v>
      </c>
      <c r="BE28" s="24">
        <f>BE12+BE26</f>
        <v>-9652.230000000001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8">
        <v>394.8</v>
      </c>
      <c r="C30" s="124">
        <f>B30*8.65</f>
        <v>3415.0200000000004</v>
      </c>
      <c r="D30" s="123">
        <f>C30-E30-F30-G30-H30-I30-J30-K30-L30-M30-N30</f>
        <v>1102.2100000000007</v>
      </c>
      <c r="E30" s="101">
        <v>255.2</v>
      </c>
      <c r="F30" s="101">
        <v>11.68</v>
      </c>
      <c r="G30" s="101">
        <v>345.92</v>
      </c>
      <c r="H30" s="101">
        <v>15.83</v>
      </c>
      <c r="I30" s="101">
        <v>830.76</v>
      </c>
      <c r="J30" s="101">
        <v>38.02</v>
      </c>
      <c r="K30" s="101">
        <v>575.58</v>
      </c>
      <c r="L30" s="101">
        <v>26.34</v>
      </c>
      <c r="M30" s="101">
        <v>204.14</v>
      </c>
      <c r="N30" s="101">
        <v>9.34</v>
      </c>
      <c r="O30" s="101">
        <v>0</v>
      </c>
      <c r="P30" s="108">
        <v>0</v>
      </c>
      <c r="Q30" s="108"/>
      <c r="R30" s="108"/>
      <c r="S30" s="85">
        <f>E30+G30+I30+K30+M30+O30+Q30</f>
        <v>2211.6</v>
      </c>
      <c r="T30" s="102">
        <f>P30+N30+L30+J30+H30+F30+R30</f>
        <v>101.21000000000001</v>
      </c>
      <c r="U30" s="85">
        <v>140.86</v>
      </c>
      <c r="V30" s="85">
        <v>190.94</v>
      </c>
      <c r="W30" s="85">
        <v>458.58</v>
      </c>
      <c r="X30" s="85">
        <v>317.71</v>
      </c>
      <c r="Y30" s="85">
        <v>112.66</v>
      </c>
      <c r="Z30" s="103">
        <v>0</v>
      </c>
      <c r="AA30" s="103">
        <v>0</v>
      </c>
      <c r="AB30" s="103">
        <f>SUM(U30:AA30)</f>
        <v>1220.75</v>
      </c>
      <c r="AC30" s="107">
        <f>D30+T30+AB30</f>
        <v>2424.170000000001</v>
      </c>
      <c r="AD30" s="96">
        <f>P30+Z30</f>
        <v>0</v>
      </c>
      <c r="AE30" s="96">
        <f>R30+AA30</f>
        <v>0</v>
      </c>
      <c r="AF30" s="96"/>
      <c r="AG30" s="16">
        <f>0.6*B30</f>
        <v>236.88</v>
      </c>
      <c r="AH30" s="16">
        <f>B30*0.2</f>
        <v>78.96000000000001</v>
      </c>
      <c r="AI30" s="16">
        <f>1*B30</f>
        <v>394.8</v>
      </c>
      <c r="AJ30" s="16">
        <v>0</v>
      </c>
      <c r="AK30" s="16">
        <f>0.98*B30</f>
        <v>386.904</v>
      </c>
      <c r="AL30" s="16">
        <v>0</v>
      </c>
      <c r="AM30" s="16">
        <f>2.25*B30</f>
        <v>888.3000000000001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>AT30*0.18</f>
        <v>0</v>
      </c>
      <c r="AV30" s="112">
        <v>508</v>
      </c>
      <c r="AW30" s="129">
        <v>0.15</v>
      </c>
      <c r="AX30" s="146">
        <f>AV30*AW30*1.4</f>
        <v>106.67999999999999</v>
      </c>
      <c r="AY30" s="114"/>
      <c r="AZ30" s="115"/>
      <c r="BA30" s="115">
        <f>AZ30*0.18</f>
        <v>0</v>
      </c>
      <c r="BB30" s="115">
        <f aca="true" t="shared" si="22" ref="BB30:BB41">SUM(AG30:BA30)-AV30-AW30</f>
        <v>2092.524</v>
      </c>
      <c r="BC30" s="125"/>
      <c r="BD30" s="14">
        <f>AC30+AF30-BB30-BC30</f>
        <v>331.6460000000011</v>
      </c>
      <c r="BE30" s="30">
        <f>AB30-S30</f>
        <v>-990.8499999999999</v>
      </c>
    </row>
    <row r="31" spans="1:57" ht="12.75">
      <c r="A31" s="11" t="s">
        <v>46</v>
      </c>
      <c r="B31" s="109">
        <v>394.8</v>
      </c>
      <c r="C31" s="124">
        <f>B31*8.65</f>
        <v>3415.0200000000004</v>
      </c>
      <c r="D31" s="123">
        <f>C31-E31-F31-G31-H31-I31-J31-K31-L31-M31-N31</f>
        <v>1102.2100000000007</v>
      </c>
      <c r="E31" s="147">
        <v>255.2</v>
      </c>
      <c r="F31" s="101">
        <v>11.68</v>
      </c>
      <c r="G31" s="101">
        <v>345.92</v>
      </c>
      <c r="H31" s="101">
        <v>15.83</v>
      </c>
      <c r="I31" s="101">
        <v>830.76</v>
      </c>
      <c r="J31" s="101">
        <v>38.02</v>
      </c>
      <c r="K31" s="101">
        <v>575.58</v>
      </c>
      <c r="L31" s="101">
        <v>26.34</v>
      </c>
      <c r="M31" s="101">
        <v>204.14</v>
      </c>
      <c r="N31" s="101">
        <v>9.34</v>
      </c>
      <c r="O31" s="101">
        <v>0</v>
      </c>
      <c r="P31" s="108">
        <v>0</v>
      </c>
      <c r="Q31" s="103">
        <v>0</v>
      </c>
      <c r="R31" s="103">
        <v>0</v>
      </c>
      <c r="S31" s="85">
        <f>E31+G31+I31+K31+M31+O31+Q31</f>
        <v>2211.6</v>
      </c>
      <c r="T31" s="102">
        <f>P31+N31+L31+J31+H31+F31+R31</f>
        <v>101.21000000000001</v>
      </c>
      <c r="U31" s="85">
        <v>100.8</v>
      </c>
      <c r="V31" s="85">
        <v>136.64</v>
      </c>
      <c r="W31" s="85">
        <v>328.17</v>
      </c>
      <c r="X31" s="85">
        <v>227.37</v>
      </c>
      <c r="Y31" s="85">
        <v>80.64</v>
      </c>
      <c r="Z31" s="103">
        <v>0</v>
      </c>
      <c r="AA31" s="103">
        <v>0</v>
      </c>
      <c r="AB31" s="103">
        <f>SUM(U31:AA31)</f>
        <v>873.62</v>
      </c>
      <c r="AC31" s="107">
        <f>D31+T31+AB31</f>
        <v>2077.040000000001</v>
      </c>
      <c r="AD31" s="96">
        <f>P31+Z31</f>
        <v>0</v>
      </c>
      <c r="AE31" s="96">
        <f>R31+AA31</f>
        <v>0</v>
      </c>
      <c r="AF31" s="96"/>
      <c r="AG31" s="16">
        <f>0.6*B31</f>
        <v>236.88</v>
      </c>
      <c r="AH31" s="16">
        <f>B31*0.2</f>
        <v>78.96000000000001</v>
      </c>
      <c r="AI31" s="16">
        <f>1*B31</f>
        <v>394.8</v>
      </c>
      <c r="AJ31" s="16">
        <v>0</v>
      </c>
      <c r="AK31" s="16">
        <f>0.98*B31</f>
        <v>386.904</v>
      </c>
      <c r="AL31" s="16">
        <v>0</v>
      </c>
      <c r="AM31" s="16">
        <f>2.25*B31</f>
        <v>888.3000000000001</v>
      </c>
      <c r="AN31" s="16">
        <v>0</v>
      </c>
      <c r="AO31" s="16"/>
      <c r="AP31" s="16"/>
      <c r="AQ31" s="111"/>
      <c r="AR31" s="111"/>
      <c r="AS31" s="91"/>
      <c r="AT31" s="91"/>
      <c r="AU31" s="91">
        <f>AT31*0.18</f>
        <v>0</v>
      </c>
      <c r="AV31" s="112">
        <v>407</v>
      </c>
      <c r="AW31" s="129">
        <v>0.15</v>
      </c>
      <c r="AX31" s="16">
        <f>AV31*AW31*1.4</f>
        <v>85.46999999999998</v>
      </c>
      <c r="AY31" s="114"/>
      <c r="AZ31" s="115"/>
      <c r="BA31" s="115">
        <f>AZ31*0.18</f>
        <v>0</v>
      </c>
      <c r="BB31" s="115">
        <f t="shared" si="22"/>
        <v>2071.314</v>
      </c>
      <c r="BC31" s="125"/>
      <c r="BD31" s="14">
        <f aca="true" t="shared" si="23" ref="BD31:BD41">AC31+AF31-BB31-BC31</f>
        <v>5.726000000001022</v>
      </c>
      <c r="BE31" s="30">
        <f aca="true" t="shared" si="24" ref="BE31:BE41">AB31-S31</f>
        <v>-1337.98</v>
      </c>
    </row>
    <row r="32" spans="1:57" ht="12.75">
      <c r="A32" s="11" t="s">
        <v>47</v>
      </c>
      <c r="B32" s="98">
        <v>394.8</v>
      </c>
      <c r="C32" s="124">
        <f>B32*8.65</f>
        <v>3415.0200000000004</v>
      </c>
      <c r="D32" s="123">
        <f>C32-E32-F32-G32-H32-I32-J32-K32-L32-M32-N32</f>
        <v>1102.2100000000007</v>
      </c>
      <c r="E32" s="101">
        <v>255.2</v>
      </c>
      <c r="F32" s="101">
        <v>11.68</v>
      </c>
      <c r="G32" s="101">
        <v>345.92</v>
      </c>
      <c r="H32" s="101">
        <v>15.83</v>
      </c>
      <c r="I32" s="101">
        <v>830.76</v>
      </c>
      <c r="J32" s="101">
        <v>38.02</v>
      </c>
      <c r="K32" s="101">
        <v>575.58</v>
      </c>
      <c r="L32" s="101">
        <v>26.34</v>
      </c>
      <c r="M32" s="101">
        <v>204.14</v>
      </c>
      <c r="N32" s="101">
        <v>9.34</v>
      </c>
      <c r="O32" s="101">
        <v>0</v>
      </c>
      <c r="P32" s="108">
        <v>0</v>
      </c>
      <c r="Q32" s="108">
        <v>0</v>
      </c>
      <c r="R32" s="108">
        <v>0</v>
      </c>
      <c r="S32" s="85">
        <f>E32+G32+I32+K32+M32+O32+Q32</f>
        <v>2211.6</v>
      </c>
      <c r="T32" s="102">
        <f>P32+N32+L32+J32+H32+F32+R32</f>
        <v>101.21000000000001</v>
      </c>
      <c r="U32" s="85">
        <v>156.42</v>
      </c>
      <c r="V32" s="85">
        <v>211.79</v>
      </c>
      <c r="W32" s="85">
        <v>508.95</v>
      </c>
      <c r="X32" s="85">
        <v>352.53</v>
      </c>
      <c r="Y32" s="85">
        <v>125.12</v>
      </c>
      <c r="Z32" s="103">
        <v>0</v>
      </c>
      <c r="AA32" s="103">
        <v>0</v>
      </c>
      <c r="AB32" s="103">
        <f>SUM(U32:AA32)</f>
        <v>1354.81</v>
      </c>
      <c r="AC32" s="107">
        <f>D32+T32+AB32</f>
        <v>2558.2300000000005</v>
      </c>
      <c r="AD32" s="96">
        <f>P32+Z32</f>
        <v>0</v>
      </c>
      <c r="AE32" s="96">
        <f>R32+AA32</f>
        <v>0</v>
      </c>
      <c r="AF32" s="96"/>
      <c r="AG32" s="16">
        <f>0.6*B32</f>
        <v>236.88</v>
      </c>
      <c r="AH32" s="16">
        <f>B32*0.2</f>
        <v>78.96000000000001</v>
      </c>
      <c r="AI32" s="16">
        <f>1*B32</f>
        <v>394.8</v>
      </c>
      <c r="AJ32" s="16">
        <v>0</v>
      </c>
      <c r="AK32" s="16">
        <f>0.98*B32</f>
        <v>386.904</v>
      </c>
      <c r="AL32" s="16">
        <v>0</v>
      </c>
      <c r="AM32" s="16">
        <f>2.25*B32</f>
        <v>888.3000000000001</v>
      </c>
      <c r="AN32" s="16">
        <v>0</v>
      </c>
      <c r="AO32" s="16"/>
      <c r="AP32" s="16"/>
      <c r="AQ32" s="111"/>
      <c r="AR32" s="111"/>
      <c r="AS32" s="91"/>
      <c r="AT32" s="91"/>
      <c r="AU32" s="91">
        <f>AT32*0.18</f>
        <v>0</v>
      </c>
      <c r="AV32" s="112">
        <v>383</v>
      </c>
      <c r="AW32" s="129">
        <v>0.15</v>
      </c>
      <c r="AX32" s="16">
        <f>AV32*AW32*1.4</f>
        <v>80.42999999999999</v>
      </c>
      <c r="AY32" s="114"/>
      <c r="AZ32" s="115"/>
      <c r="BA32" s="115">
        <f>AZ32*0.18</f>
        <v>0</v>
      </c>
      <c r="BB32" s="115">
        <f t="shared" si="22"/>
        <v>2066.274</v>
      </c>
      <c r="BC32" s="125"/>
      <c r="BD32" s="14">
        <f t="shared" si="23"/>
        <v>491.9560000000006</v>
      </c>
      <c r="BE32" s="30">
        <f t="shared" si="24"/>
        <v>-856.79</v>
      </c>
    </row>
    <row r="33" spans="1:57" ht="12.75">
      <c r="A33" s="11" t="s">
        <v>48</v>
      </c>
      <c r="B33" s="98">
        <v>394.8</v>
      </c>
      <c r="C33" s="124">
        <f aca="true" t="shared" si="25" ref="C33:C41">B33*8.65</f>
        <v>3415.0200000000004</v>
      </c>
      <c r="D33" s="123">
        <f>C33-E33-F33-G33-H33-I33-J33-K33-L33-M33-N33</f>
        <v>1102.2100000000007</v>
      </c>
      <c r="E33" s="101">
        <v>255.2</v>
      </c>
      <c r="F33" s="101">
        <v>11.68</v>
      </c>
      <c r="G33" s="101">
        <v>345.92</v>
      </c>
      <c r="H33" s="101">
        <v>15.83</v>
      </c>
      <c r="I33" s="101">
        <v>830.76</v>
      </c>
      <c r="J33" s="101">
        <v>38.02</v>
      </c>
      <c r="K33" s="101">
        <v>575.58</v>
      </c>
      <c r="L33" s="101">
        <v>26.34</v>
      </c>
      <c r="M33" s="101">
        <v>204.14</v>
      </c>
      <c r="N33" s="101">
        <v>9.34</v>
      </c>
      <c r="O33" s="101">
        <v>0</v>
      </c>
      <c r="P33" s="108">
        <v>0</v>
      </c>
      <c r="Q33" s="108"/>
      <c r="R33" s="108"/>
      <c r="S33" s="85">
        <f>E33+G33+I33+K33+M33+O33+Q33</f>
        <v>2211.6</v>
      </c>
      <c r="T33" s="102">
        <f>P33+N33+L33+J33+H33+F33+R33</f>
        <v>101.21000000000001</v>
      </c>
      <c r="U33" s="85">
        <v>88.69</v>
      </c>
      <c r="V33" s="85">
        <v>119.73</v>
      </c>
      <c r="W33" s="85">
        <v>288.2</v>
      </c>
      <c r="X33" s="85">
        <v>199.52</v>
      </c>
      <c r="Y33" s="85">
        <v>70.96</v>
      </c>
      <c r="Z33" s="103">
        <v>0</v>
      </c>
      <c r="AA33" s="103">
        <v>0</v>
      </c>
      <c r="AB33" s="103">
        <f>SUM(U33:AA33)</f>
        <v>767.1</v>
      </c>
      <c r="AC33" s="107">
        <f>D33+T33+AB33</f>
        <v>1970.520000000001</v>
      </c>
      <c r="AD33" s="96">
        <f>P33+Z33</f>
        <v>0</v>
      </c>
      <c r="AE33" s="96">
        <f>R33+AA33</f>
        <v>0</v>
      </c>
      <c r="AF33" s="96"/>
      <c r="AG33" s="16">
        <f>0.6*B33</f>
        <v>236.88</v>
      </c>
      <c r="AH33" s="16">
        <f>B33*0.2</f>
        <v>78.96000000000001</v>
      </c>
      <c r="AI33" s="16">
        <f>1*B33</f>
        <v>394.8</v>
      </c>
      <c r="AJ33" s="16">
        <v>0</v>
      </c>
      <c r="AK33" s="16">
        <f>0.98*B33</f>
        <v>386.904</v>
      </c>
      <c r="AL33" s="16">
        <v>0</v>
      </c>
      <c r="AM33" s="16">
        <f>2.25*B33</f>
        <v>888.3000000000001</v>
      </c>
      <c r="AN33" s="16">
        <v>0</v>
      </c>
      <c r="AO33" s="16"/>
      <c r="AP33" s="16"/>
      <c r="AQ33" s="111"/>
      <c r="AR33" s="111"/>
      <c r="AS33" s="91">
        <v>390</v>
      </c>
      <c r="AT33" s="91"/>
      <c r="AU33" s="91">
        <f aca="true" t="shared" si="26" ref="AU33:AU41">AT33*0.18</f>
        <v>0</v>
      </c>
      <c r="AV33" s="112">
        <v>307</v>
      </c>
      <c r="AW33" s="129">
        <v>0.15</v>
      </c>
      <c r="AX33" s="16">
        <f>AV33*AW33*1.4</f>
        <v>64.47</v>
      </c>
      <c r="AY33" s="114"/>
      <c r="AZ33" s="115"/>
      <c r="BA33" s="115">
        <f aca="true" t="shared" si="27" ref="BA33:BA41">AZ33*0.18</f>
        <v>0</v>
      </c>
      <c r="BB33" s="115">
        <f t="shared" si="22"/>
        <v>2440.314</v>
      </c>
      <c r="BC33" s="125"/>
      <c r="BD33" s="14">
        <f t="shared" si="23"/>
        <v>-469.79399999999896</v>
      </c>
      <c r="BE33" s="30">
        <f t="shared" si="24"/>
        <v>-1444.5</v>
      </c>
    </row>
    <row r="34" spans="1:57" ht="12.75">
      <c r="A34" s="11" t="s">
        <v>49</v>
      </c>
      <c r="B34" s="98">
        <v>394.8</v>
      </c>
      <c r="C34" s="124">
        <f t="shared" si="25"/>
        <v>3415.0200000000004</v>
      </c>
      <c r="D34" s="123">
        <f aca="true" t="shared" si="28" ref="D34:D41">C34-E34-F34-G34-H34-I34-J34-K34-L34-M34-N34</f>
        <v>1102.2500000000007</v>
      </c>
      <c r="E34" s="101">
        <v>255.19</v>
      </c>
      <c r="F34" s="101">
        <v>11.68</v>
      </c>
      <c r="G34" s="101">
        <v>345.9</v>
      </c>
      <c r="H34" s="101">
        <v>15.83</v>
      </c>
      <c r="I34" s="101">
        <v>830.76</v>
      </c>
      <c r="J34" s="101">
        <v>38.02</v>
      </c>
      <c r="K34" s="101">
        <v>575.57</v>
      </c>
      <c r="L34" s="101">
        <v>26.34</v>
      </c>
      <c r="M34" s="101">
        <v>204.14</v>
      </c>
      <c r="N34" s="101">
        <v>9.34</v>
      </c>
      <c r="O34" s="101">
        <v>0</v>
      </c>
      <c r="P34" s="108">
        <v>0</v>
      </c>
      <c r="Q34" s="108"/>
      <c r="R34" s="108"/>
      <c r="S34" s="85">
        <f>E34+G34+I34+K34+M34+O34+Q34</f>
        <v>2211.56</v>
      </c>
      <c r="T34" s="102">
        <f>P34+N34+L34+J34+H34+F34+R34</f>
        <v>101.21000000000001</v>
      </c>
      <c r="U34" s="148">
        <v>4060.73</v>
      </c>
      <c r="V34" s="148">
        <v>5473.02</v>
      </c>
      <c r="W34" s="148">
        <v>13173.51</v>
      </c>
      <c r="X34" s="148">
        <v>9152.91</v>
      </c>
      <c r="Y34" s="148">
        <v>3248.48</v>
      </c>
      <c r="Z34" s="149">
        <v>0</v>
      </c>
      <c r="AA34" s="149">
        <v>0</v>
      </c>
      <c r="AB34" s="103">
        <f>SUM(U34:AA34)</f>
        <v>35108.65</v>
      </c>
      <c r="AC34" s="107">
        <f>D34+T34+AB34</f>
        <v>36312.11</v>
      </c>
      <c r="AD34" s="96">
        <f>P34+Z34</f>
        <v>0</v>
      </c>
      <c r="AE34" s="96">
        <f>R34+AA34</f>
        <v>0</v>
      </c>
      <c r="AF34" s="96"/>
      <c r="AG34" s="16">
        <f>0.6*B34</f>
        <v>236.88</v>
      </c>
      <c r="AH34" s="16">
        <f>B34*0.2</f>
        <v>78.96000000000001</v>
      </c>
      <c r="AI34" s="16">
        <f>1*B34</f>
        <v>394.8</v>
      </c>
      <c r="AJ34" s="16">
        <v>0</v>
      </c>
      <c r="AK34" s="16">
        <f>0.98*B34</f>
        <v>386.904</v>
      </c>
      <c r="AL34" s="16">
        <v>0</v>
      </c>
      <c r="AM34" s="16">
        <f>2.25*B34</f>
        <v>888.3000000000001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26"/>
        <v>0</v>
      </c>
      <c r="AV34" s="112">
        <v>263</v>
      </c>
      <c r="AW34" s="129">
        <v>0.15</v>
      </c>
      <c r="AX34" s="16">
        <f>AV34*AW34*1.4</f>
        <v>55.22999999999999</v>
      </c>
      <c r="AY34" s="114"/>
      <c r="AZ34" s="115"/>
      <c r="BA34" s="115">
        <f t="shared" si="27"/>
        <v>0</v>
      </c>
      <c r="BB34" s="115">
        <f t="shared" si="22"/>
        <v>2041.074</v>
      </c>
      <c r="BC34" s="125"/>
      <c r="BD34" s="14">
        <f t="shared" si="23"/>
        <v>34271.036</v>
      </c>
      <c r="BE34" s="30">
        <f t="shared" si="24"/>
        <v>32897.090000000004</v>
      </c>
    </row>
    <row r="35" spans="1:57" ht="12.75">
      <c r="A35" s="11" t="s">
        <v>50</v>
      </c>
      <c r="B35" s="98">
        <v>394.8</v>
      </c>
      <c r="C35" s="124">
        <f t="shared" si="25"/>
        <v>3415.0200000000004</v>
      </c>
      <c r="D35" s="123">
        <f t="shared" si="28"/>
        <v>1102.2500000000007</v>
      </c>
      <c r="E35" s="101">
        <v>255.19</v>
      </c>
      <c r="F35" s="101">
        <v>11.68</v>
      </c>
      <c r="G35" s="101">
        <v>345.9</v>
      </c>
      <c r="H35" s="101">
        <v>15.83</v>
      </c>
      <c r="I35" s="101">
        <v>830.76</v>
      </c>
      <c r="J35" s="101">
        <v>38.02</v>
      </c>
      <c r="K35" s="101">
        <v>575.57</v>
      </c>
      <c r="L35" s="101">
        <v>26.34</v>
      </c>
      <c r="M35" s="101">
        <v>204.14</v>
      </c>
      <c r="N35" s="101">
        <v>9.34</v>
      </c>
      <c r="O35" s="101">
        <v>0</v>
      </c>
      <c r="P35" s="108">
        <v>0</v>
      </c>
      <c r="Q35" s="101">
        <v>0</v>
      </c>
      <c r="R35" s="108">
        <v>0</v>
      </c>
      <c r="S35" s="85">
        <f aca="true" t="shared" si="29" ref="S35:S41">E35+G35+I35+K35+M35+O35+Q35</f>
        <v>2211.56</v>
      </c>
      <c r="T35" s="102">
        <f aca="true" t="shared" si="30" ref="T35:T41">P35+N35+L35+J35+H35+F35+R35</f>
        <v>101.21000000000001</v>
      </c>
      <c r="U35" s="85">
        <v>285</v>
      </c>
      <c r="V35" s="85">
        <v>386.28</v>
      </c>
      <c r="W35" s="85">
        <v>927.71</v>
      </c>
      <c r="X35" s="85">
        <v>642.74</v>
      </c>
      <c r="Y35" s="85">
        <v>227.96</v>
      </c>
      <c r="Z35" s="103">
        <v>0</v>
      </c>
      <c r="AA35" s="103">
        <v>0</v>
      </c>
      <c r="AB35" s="103">
        <f aca="true" t="shared" si="31" ref="AB35:AB41">SUM(U35:AA35)</f>
        <v>2469.69</v>
      </c>
      <c r="AC35" s="107">
        <f aca="true" t="shared" si="32" ref="AC35:AC41">D35+T35+AB35</f>
        <v>3673.1500000000005</v>
      </c>
      <c r="AD35" s="96">
        <f aca="true" t="shared" si="33" ref="AD35:AD41">P35+Z35</f>
        <v>0</v>
      </c>
      <c r="AE35" s="96">
        <f aca="true" t="shared" si="34" ref="AE35:AE41">R35+AA35</f>
        <v>0</v>
      </c>
      <c r="AF35" s="96"/>
      <c r="AG35" s="16">
        <f aca="true" t="shared" si="35" ref="AG35:AG41">0.6*B35</f>
        <v>236.88</v>
      </c>
      <c r="AH35" s="16">
        <f aca="true" t="shared" si="36" ref="AH35:AH41">B35*0.2</f>
        <v>78.96000000000001</v>
      </c>
      <c r="AI35" s="16">
        <f aca="true" t="shared" si="37" ref="AI35:AI41">1*B35</f>
        <v>394.8</v>
      </c>
      <c r="AJ35" s="16">
        <v>0</v>
      </c>
      <c r="AK35" s="16">
        <f aca="true" t="shared" si="38" ref="AK35:AK41">0.98*B35</f>
        <v>386.904</v>
      </c>
      <c r="AL35" s="16">
        <v>0</v>
      </c>
      <c r="AM35" s="16">
        <f aca="true" t="shared" si="39" ref="AM35:AM41">2.25*B35</f>
        <v>888.3000000000001</v>
      </c>
      <c r="AN35" s="16">
        <v>0</v>
      </c>
      <c r="AO35" s="16"/>
      <c r="AP35" s="16"/>
      <c r="AQ35" s="111"/>
      <c r="AR35" s="111"/>
      <c r="AS35" s="91">
        <v>359</v>
      </c>
      <c r="AT35" s="91"/>
      <c r="AU35" s="91">
        <f t="shared" si="26"/>
        <v>0</v>
      </c>
      <c r="AV35" s="112">
        <v>233</v>
      </c>
      <c r="AW35" s="129">
        <v>0.15</v>
      </c>
      <c r="AX35" s="16">
        <f aca="true" t="shared" si="40" ref="AX35:AX41">AV35*AW35*1.4</f>
        <v>48.92999999999999</v>
      </c>
      <c r="AY35" s="114"/>
      <c r="AZ35" s="115"/>
      <c r="BA35" s="115">
        <f t="shared" si="27"/>
        <v>0</v>
      </c>
      <c r="BB35" s="115">
        <f t="shared" si="22"/>
        <v>2393.774</v>
      </c>
      <c r="BC35" s="125"/>
      <c r="BD35" s="14">
        <f t="shared" si="23"/>
        <v>1279.3760000000007</v>
      </c>
      <c r="BE35" s="30">
        <f t="shared" si="24"/>
        <v>258.1300000000001</v>
      </c>
    </row>
    <row r="36" spans="1:57" ht="12.75">
      <c r="A36" s="11" t="s">
        <v>51</v>
      </c>
      <c r="B36" s="98">
        <v>394.8</v>
      </c>
      <c r="C36" s="124">
        <f t="shared" si="25"/>
        <v>3415.0200000000004</v>
      </c>
      <c r="D36" s="123">
        <f t="shared" si="28"/>
        <v>1102.2500000000005</v>
      </c>
      <c r="E36" s="147">
        <v>266.87</v>
      </c>
      <c r="F36" s="101">
        <v>0</v>
      </c>
      <c r="G36" s="101">
        <v>361.73</v>
      </c>
      <c r="H36" s="101">
        <v>0</v>
      </c>
      <c r="I36" s="101">
        <v>868.78</v>
      </c>
      <c r="J36" s="101">
        <v>0</v>
      </c>
      <c r="K36" s="101">
        <v>601.91</v>
      </c>
      <c r="L36" s="101">
        <v>0</v>
      </c>
      <c r="M36" s="101">
        <v>213.48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9"/>
        <v>2312.77</v>
      </c>
      <c r="T36" s="102">
        <f t="shared" si="30"/>
        <v>0</v>
      </c>
      <c r="U36" s="87">
        <v>216.76</v>
      </c>
      <c r="V36" s="85">
        <v>293.23</v>
      </c>
      <c r="W36" s="85">
        <v>705.04</v>
      </c>
      <c r="X36" s="85">
        <v>488.36</v>
      </c>
      <c r="Y36" s="85">
        <v>173.38</v>
      </c>
      <c r="Z36" s="103">
        <v>0</v>
      </c>
      <c r="AA36" s="103">
        <v>0</v>
      </c>
      <c r="AB36" s="103">
        <f t="shared" si="31"/>
        <v>1876.77</v>
      </c>
      <c r="AC36" s="107">
        <f t="shared" si="32"/>
        <v>2979.0200000000004</v>
      </c>
      <c r="AD36" s="96">
        <f t="shared" si="33"/>
        <v>0</v>
      </c>
      <c r="AE36" s="96">
        <f t="shared" si="34"/>
        <v>0</v>
      </c>
      <c r="AF36" s="96"/>
      <c r="AG36" s="16">
        <f t="shared" si="35"/>
        <v>236.88</v>
      </c>
      <c r="AH36" s="16">
        <f t="shared" si="36"/>
        <v>78.96000000000001</v>
      </c>
      <c r="AI36" s="16">
        <f t="shared" si="37"/>
        <v>394.8</v>
      </c>
      <c r="AJ36" s="16">
        <v>0</v>
      </c>
      <c r="AK36" s="16">
        <f t="shared" si="38"/>
        <v>386.904</v>
      </c>
      <c r="AL36" s="16">
        <v>0</v>
      </c>
      <c r="AM36" s="16">
        <f t="shared" si="39"/>
        <v>888.3000000000001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26"/>
        <v>0</v>
      </c>
      <c r="AV36" s="112">
        <v>248</v>
      </c>
      <c r="AW36" s="129">
        <v>0.15</v>
      </c>
      <c r="AX36" s="16">
        <f t="shared" si="40"/>
        <v>52.07999999999999</v>
      </c>
      <c r="AY36" s="114"/>
      <c r="AZ36" s="115"/>
      <c r="BA36" s="115">
        <f t="shared" si="27"/>
        <v>0</v>
      </c>
      <c r="BB36" s="115">
        <f t="shared" si="22"/>
        <v>2037.924</v>
      </c>
      <c r="BC36" s="125"/>
      <c r="BD36" s="14">
        <f t="shared" si="23"/>
        <v>941.0960000000005</v>
      </c>
      <c r="BE36" s="30">
        <f t="shared" si="24"/>
        <v>-436</v>
      </c>
    </row>
    <row r="37" spans="1:57" ht="12.75">
      <c r="A37" s="11" t="s">
        <v>52</v>
      </c>
      <c r="B37" s="98">
        <v>394.8</v>
      </c>
      <c r="C37" s="124">
        <f t="shared" si="25"/>
        <v>3415.0200000000004</v>
      </c>
      <c r="D37" s="123">
        <f t="shared" si="28"/>
        <v>1102.2500000000005</v>
      </c>
      <c r="E37" s="147">
        <v>266.87</v>
      </c>
      <c r="F37" s="101">
        <v>0</v>
      </c>
      <c r="G37" s="101">
        <v>361.73</v>
      </c>
      <c r="H37" s="101">
        <v>0</v>
      </c>
      <c r="I37" s="101">
        <v>868.78</v>
      </c>
      <c r="J37" s="101">
        <v>0</v>
      </c>
      <c r="K37" s="101">
        <v>601.91</v>
      </c>
      <c r="L37" s="101">
        <v>0</v>
      </c>
      <c r="M37" s="101">
        <v>213.48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9"/>
        <v>2312.77</v>
      </c>
      <c r="T37" s="102">
        <f t="shared" si="30"/>
        <v>0</v>
      </c>
      <c r="U37" s="148">
        <v>90.26</v>
      </c>
      <c r="V37" s="148">
        <v>122.36</v>
      </c>
      <c r="W37" s="148">
        <v>293.85</v>
      </c>
      <c r="X37" s="148">
        <v>203.59</v>
      </c>
      <c r="Y37" s="148">
        <v>72.2</v>
      </c>
      <c r="Z37" s="149">
        <v>0</v>
      </c>
      <c r="AA37" s="149">
        <v>0</v>
      </c>
      <c r="AB37" s="103">
        <f t="shared" si="31"/>
        <v>782.2600000000001</v>
      </c>
      <c r="AC37" s="107">
        <f t="shared" si="32"/>
        <v>1884.5100000000007</v>
      </c>
      <c r="AD37" s="96">
        <f t="shared" si="33"/>
        <v>0</v>
      </c>
      <c r="AE37" s="96">
        <f t="shared" si="34"/>
        <v>0</v>
      </c>
      <c r="AF37" s="96"/>
      <c r="AG37" s="16">
        <f t="shared" si="35"/>
        <v>236.88</v>
      </c>
      <c r="AH37" s="16">
        <f t="shared" si="36"/>
        <v>78.96000000000001</v>
      </c>
      <c r="AI37" s="16">
        <f t="shared" si="37"/>
        <v>394.8</v>
      </c>
      <c r="AJ37" s="16">
        <v>0</v>
      </c>
      <c r="AK37" s="16">
        <f t="shared" si="38"/>
        <v>386.904</v>
      </c>
      <c r="AL37" s="16">
        <v>0</v>
      </c>
      <c r="AM37" s="16">
        <f t="shared" si="39"/>
        <v>888.3000000000001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>
        <f t="shared" si="26"/>
        <v>8.604</v>
      </c>
      <c r="AV37" s="112">
        <v>293</v>
      </c>
      <c r="AW37" s="129">
        <v>0.15</v>
      </c>
      <c r="AX37" s="16">
        <f t="shared" si="40"/>
        <v>61.52999999999999</v>
      </c>
      <c r="AY37" s="114"/>
      <c r="AZ37" s="115"/>
      <c r="BA37" s="115">
        <f t="shared" si="27"/>
        <v>0</v>
      </c>
      <c r="BB37" s="115">
        <f t="shared" si="22"/>
        <v>2103.7780000000002</v>
      </c>
      <c r="BC37" s="125"/>
      <c r="BD37" s="14">
        <f t="shared" si="23"/>
        <v>-219.26799999999957</v>
      </c>
      <c r="BE37" s="30">
        <f t="shared" si="24"/>
        <v>-1530.5099999999998</v>
      </c>
    </row>
    <row r="38" spans="1:57" ht="15">
      <c r="A38" s="11" t="s">
        <v>53</v>
      </c>
      <c r="B38" s="98">
        <v>394.8</v>
      </c>
      <c r="C38" s="124">
        <f t="shared" si="25"/>
        <v>3415.0200000000004</v>
      </c>
      <c r="D38" s="123">
        <f t="shared" si="28"/>
        <v>1102.2500000000005</v>
      </c>
      <c r="E38" s="119">
        <v>266.87</v>
      </c>
      <c r="F38" s="119">
        <v>0</v>
      </c>
      <c r="G38" s="119">
        <v>361.73</v>
      </c>
      <c r="H38" s="119">
        <v>0</v>
      </c>
      <c r="I38" s="119">
        <v>868.78</v>
      </c>
      <c r="J38" s="119">
        <v>0</v>
      </c>
      <c r="K38" s="119">
        <v>601.91</v>
      </c>
      <c r="L38" s="119">
        <v>0</v>
      </c>
      <c r="M38" s="119">
        <v>213.48</v>
      </c>
      <c r="N38" s="119">
        <v>0</v>
      </c>
      <c r="O38" s="119">
        <v>0</v>
      </c>
      <c r="P38" s="120">
        <v>0</v>
      </c>
      <c r="Q38" s="150"/>
      <c r="R38" s="150"/>
      <c r="S38" s="85">
        <f t="shared" si="29"/>
        <v>2312.77</v>
      </c>
      <c r="T38" s="102">
        <f t="shared" si="30"/>
        <v>0</v>
      </c>
      <c r="U38" s="85">
        <v>147.57</v>
      </c>
      <c r="V38" s="85">
        <v>200.02</v>
      </c>
      <c r="W38" s="85">
        <v>480.4</v>
      </c>
      <c r="X38" s="85">
        <v>332.8</v>
      </c>
      <c r="Y38" s="85">
        <v>118.05</v>
      </c>
      <c r="Z38" s="103">
        <v>0</v>
      </c>
      <c r="AA38" s="103">
        <v>0</v>
      </c>
      <c r="AB38" s="103">
        <f t="shared" si="31"/>
        <v>1278.84</v>
      </c>
      <c r="AC38" s="107">
        <f t="shared" si="32"/>
        <v>2381.09</v>
      </c>
      <c r="AD38" s="96">
        <f t="shared" si="33"/>
        <v>0</v>
      </c>
      <c r="AE38" s="96">
        <f t="shared" si="34"/>
        <v>0</v>
      </c>
      <c r="AF38" s="96"/>
      <c r="AG38" s="16">
        <f t="shared" si="35"/>
        <v>236.88</v>
      </c>
      <c r="AH38" s="16">
        <f t="shared" si="36"/>
        <v>78.96000000000001</v>
      </c>
      <c r="AI38" s="16">
        <f t="shared" si="37"/>
        <v>394.8</v>
      </c>
      <c r="AJ38" s="16">
        <v>0</v>
      </c>
      <c r="AK38" s="16">
        <f t="shared" si="38"/>
        <v>386.904</v>
      </c>
      <c r="AL38" s="16">
        <v>0</v>
      </c>
      <c r="AM38" s="16">
        <f t="shared" si="39"/>
        <v>888.3000000000001</v>
      </c>
      <c r="AN38" s="16">
        <v>0</v>
      </c>
      <c r="AO38" s="16"/>
      <c r="AP38" s="16"/>
      <c r="AQ38" s="111"/>
      <c r="AR38" s="111"/>
      <c r="AS38" s="91"/>
      <c r="AT38" s="91"/>
      <c r="AU38" s="151">
        <f t="shared" si="26"/>
        <v>0</v>
      </c>
      <c r="AV38" s="112">
        <v>349</v>
      </c>
      <c r="AW38" s="129">
        <v>0.15</v>
      </c>
      <c r="AX38" s="16">
        <f t="shared" si="40"/>
        <v>73.28999999999999</v>
      </c>
      <c r="AY38" s="114"/>
      <c r="AZ38" s="115"/>
      <c r="BA38" s="115">
        <f t="shared" si="27"/>
        <v>0</v>
      </c>
      <c r="BB38" s="115">
        <f t="shared" si="22"/>
        <v>2059.134</v>
      </c>
      <c r="BC38" s="125"/>
      <c r="BD38" s="14">
        <f t="shared" si="23"/>
        <v>321.95600000000013</v>
      </c>
      <c r="BE38" s="30">
        <f t="shared" si="24"/>
        <v>-1033.93</v>
      </c>
    </row>
    <row r="39" spans="1:57" ht="12.75">
      <c r="A39" s="11" t="s">
        <v>41</v>
      </c>
      <c r="B39" s="98">
        <v>394.8</v>
      </c>
      <c r="C39" s="124">
        <f t="shared" si="25"/>
        <v>3415.0200000000004</v>
      </c>
      <c r="D39" s="123">
        <f t="shared" si="28"/>
        <v>1102.2800000000007</v>
      </c>
      <c r="E39" s="119">
        <v>266.85</v>
      </c>
      <c r="F39" s="119">
        <v>0</v>
      </c>
      <c r="G39" s="119">
        <v>361.73</v>
      </c>
      <c r="H39" s="119">
        <v>0</v>
      </c>
      <c r="I39" s="119">
        <v>868.77</v>
      </c>
      <c r="J39" s="119">
        <v>0</v>
      </c>
      <c r="K39" s="119">
        <v>601.91</v>
      </c>
      <c r="L39" s="119">
        <v>0</v>
      </c>
      <c r="M39" s="119">
        <v>213.48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9"/>
        <v>2312.74</v>
      </c>
      <c r="T39" s="102">
        <f t="shared" si="30"/>
        <v>0</v>
      </c>
      <c r="U39" s="85">
        <v>278.69</v>
      </c>
      <c r="V39" s="85">
        <v>377.48</v>
      </c>
      <c r="W39" s="85">
        <v>906.96</v>
      </c>
      <c r="X39" s="85">
        <v>628.3</v>
      </c>
      <c r="Y39" s="85">
        <v>222.92</v>
      </c>
      <c r="Z39" s="103">
        <v>0</v>
      </c>
      <c r="AA39" s="103">
        <v>0</v>
      </c>
      <c r="AB39" s="103">
        <f t="shared" si="31"/>
        <v>2414.3500000000004</v>
      </c>
      <c r="AC39" s="107">
        <f t="shared" si="32"/>
        <v>3516.630000000001</v>
      </c>
      <c r="AD39" s="96">
        <f t="shared" si="33"/>
        <v>0</v>
      </c>
      <c r="AE39" s="96">
        <f t="shared" si="34"/>
        <v>0</v>
      </c>
      <c r="AF39" s="96"/>
      <c r="AG39" s="16">
        <f t="shared" si="35"/>
        <v>236.88</v>
      </c>
      <c r="AH39" s="16">
        <f t="shared" si="36"/>
        <v>78.96000000000001</v>
      </c>
      <c r="AI39" s="16">
        <f t="shared" si="37"/>
        <v>394.8</v>
      </c>
      <c r="AJ39" s="16">
        <v>0</v>
      </c>
      <c r="AK39" s="16">
        <f t="shared" si="38"/>
        <v>386.904</v>
      </c>
      <c r="AL39" s="16">
        <v>0</v>
      </c>
      <c r="AM39" s="16">
        <f t="shared" si="39"/>
        <v>888.3000000000001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26"/>
        <v>0</v>
      </c>
      <c r="AV39" s="112">
        <v>425</v>
      </c>
      <c r="AW39" s="129">
        <v>0.15</v>
      </c>
      <c r="AX39" s="16">
        <f t="shared" si="40"/>
        <v>89.25</v>
      </c>
      <c r="AY39" s="114"/>
      <c r="AZ39" s="115"/>
      <c r="BA39" s="115">
        <f t="shared" si="27"/>
        <v>0</v>
      </c>
      <c r="BB39" s="115">
        <f t="shared" si="22"/>
        <v>2075.094</v>
      </c>
      <c r="BC39" s="125"/>
      <c r="BD39" s="14">
        <f t="shared" si="23"/>
        <v>1441.536000000001</v>
      </c>
      <c r="BE39" s="30">
        <f t="shared" si="24"/>
        <v>101.61000000000058</v>
      </c>
    </row>
    <row r="40" spans="1:57" ht="12.75">
      <c r="A40" s="11" t="s">
        <v>42</v>
      </c>
      <c r="B40" s="98">
        <v>394.8</v>
      </c>
      <c r="C40" s="124">
        <f t="shared" si="25"/>
        <v>3415.0200000000004</v>
      </c>
      <c r="D40" s="123">
        <f t="shared" si="28"/>
        <v>1102.2300000000007</v>
      </c>
      <c r="E40" s="101">
        <v>266.87</v>
      </c>
      <c r="F40" s="101">
        <v>0</v>
      </c>
      <c r="G40" s="101">
        <v>361.74</v>
      </c>
      <c r="H40" s="101">
        <v>0</v>
      </c>
      <c r="I40" s="101">
        <v>868.78</v>
      </c>
      <c r="J40" s="101">
        <v>0</v>
      </c>
      <c r="K40" s="101">
        <v>601.91</v>
      </c>
      <c r="L40" s="101">
        <v>0</v>
      </c>
      <c r="M40" s="101">
        <v>213.49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9"/>
        <v>2312.79</v>
      </c>
      <c r="T40" s="102">
        <f t="shared" si="30"/>
        <v>0</v>
      </c>
      <c r="U40" s="87">
        <v>130.87</v>
      </c>
      <c r="V40" s="85">
        <v>177.39</v>
      </c>
      <c r="W40" s="85">
        <v>426</v>
      </c>
      <c r="X40" s="85">
        <v>295.17</v>
      </c>
      <c r="Y40" s="85">
        <v>104.66</v>
      </c>
      <c r="Z40" s="103">
        <v>0</v>
      </c>
      <c r="AA40" s="103">
        <v>0</v>
      </c>
      <c r="AB40" s="103">
        <f t="shared" si="31"/>
        <v>1134.0900000000001</v>
      </c>
      <c r="AC40" s="107">
        <f t="shared" si="32"/>
        <v>2236.3200000000006</v>
      </c>
      <c r="AD40" s="96">
        <f t="shared" si="33"/>
        <v>0</v>
      </c>
      <c r="AE40" s="96">
        <f t="shared" si="34"/>
        <v>0</v>
      </c>
      <c r="AF40" s="96"/>
      <c r="AG40" s="16">
        <f t="shared" si="35"/>
        <v>236.88</v>
      </c>
      <c r="AH40" s="16">
        <f t="shared" si="36"/>
        <v>78.96000000000001</v>
      </c>
      <c r="AI40" s="16">
        <f t="shared" si="37"/>
        <v>394.8</v>
      </c>
      <c r="AJ40" s="16">
        <v>0</v>
      </c>
      <c r="AK40" s="16">
        <f t="shared" si="38"/>
        <v>386.904</v>
      </c>
      <c r="AL40" s="16">
        <v>0</v>
      </c>
      <c r="AM40" s="16">
        <f t="shared" si="39"/>
        <v>888.3000000000001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26"/>
        <v>0</v>
      </c>
      <c r="AV40" s="112">
        <v>470</v>
      </c>
      <c r="AW40" s="129">
        <v>0.15</v>
      </c>
      <c r="AX40" s="16">
        <f t="shared" si="40"/>
        <v>98.69999999999999</v>
      </c>
      <c r="AY40" s="114"/>
      <c r="AZ40" s="115"/>
      <c r="BA40" s="115">
        <f t="shared" si="27"/>
        <v>0</v>
      </c>
      <c r="BB40" s="115">
        <f t="shared" si="22"/>
        <v>2084.544</v>
      </c>
      <c r="BC40" s="125"/>
      <c r="BD40" s="14">
        <f t="shared" si="23"/>
        <v>151.77600000000075</v>
      </c>
      <c r="BE40" s="30">
        <f t="shared" si="24"/>
        <v>-1178.6999999999998</v>
      </c>
    </row>
    <row r="41" spans="1:57" ht="12.75">
      <c r="A41" s="11" t="s">
        <v>43</v>
      </c>
      <c r="B41" s="98">
        <v>394.8</v>
      </c>
      <c r="C41" s="124">
        <f t="shared" si="25"/>
        <v>3415.0200000000004</v>
      </c>
      <c r="D41" s="123">
        <f t="shared" si="28"/>
        <v>976.5900000000005</v>
      </c>
      <c r="E41" s="101">
        <v>281.64</v>
      </c>
      <c r="F41" s="101">
        <v>0</v>
      </c>
      <c r="G41" s="101">
        <v>380.9</v>
      </c>
      <c r="H41" s="101">
        <v>0</v>
      </c>
      <c r="I41" s="101">
        <v>916.06</v>
      </c>
      <c r="J41" s="101">
        <v>0</v>
      </c>
      <c r="K41" s="101">
        <v>634.49</v>
      </c>
      <c r="L41" s="101">
        <v>0</v>
      </c>
      <c r="M41" s="101">
        <v>225.34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9"/>
        <v>2438.4300000000003</v>
      </c>
      <c r="T41" s="102">
        <f t="shared" si="30"/>
        <v>0</v>
      </c>
      <c r="U41" s="85">
        <v>211.61</v>
      </c>
      <c r="V41" s="85">
        <v>286.28</v>
      </c>
      <c r="W41" s="85">
        <v>688.34</v>
      </c>
      <c r="X41" s="85">
        <v>476.69</v>
      </c>
      <c r="Y41" s="85">
        <v>169.31</v>
      </c>
      <c r="Z41" s="103">
        <v>0</v>
      </c>
      <c r="AA41" s="103">
        <v>0</v>
      </c>
      <c r="AB41" s="103">
        <f t="shared" si="31"/>
        <v>1832.23</v>
      </c>
      <c r="AC41" s="107">
        <f t="shared" si="32"/>
        <v>2808.8200000000006</v>
      </c>
      <c r="AD41" s="96">
        <f t="shared" si="33"/>
        <v>0</v>
      </c>
      <c r="AE41" s="96">
        <f t="shared" si="34"/>
        <v>0</v>
      </c>
      <c r="AF41" s="96"/>
      <c r="AG41" s="16">
        <f t="shared" si="35"/>
        <v>236.88</v>
      </c>
      <c r="AH41" s="16">
        <f t="shared" si="36"/>
        <v>78.96000000000001</v>
      </c>
      <c r="AI41" s="16">
        <f t="shared" si="37"/>
        <v>394.8</v>
      </c>
      <c r="AJ41" s="16">
        <v>0</v>
      </c>
      <c r="AK41" s="16">
        <f t="shared" si="38"/>
        <v>386.904</v>
      </c>
      <c r="AL41" s="16">
        <v>0</v>
      </c>
      <c r="AM41" s="16">
        <f t="shared" si="39"/>
        <v>888.3000000000001</v>
      </c>
      <c r="AN41" s="16">
        <v>0</v>
      </c>
      <c r="AO41" s="16"/>
      <c r="AP41" s="16"/>
      <c r="AQ41" s="111"/>
      <c r="AR41" s="111"/>
      <c r="AS41" s="91"/>
      <c r="AT41" s="91">
        <f>330.51</f>
        <v>330.51</v>
      </c>
      <c r="AU41" s="91">
        <f t="shared" si="26"/>
        <v>59.4918</v>
      </c>
      <c r="AV41" s="112">
        <v>514</v>
      </c>
      <c r="AW41" s="129">
        <v>0.15</v>
      </c>
      <c r="AX41" s="16">
        <f t="shared" si="40"/>
        <v>107.93999999999998</v>
      </c>
      <c r="AY41" s="114"/>
      <c r="AZ41" s="115"/>
      <c r="BA41" s="115">
        <f t="shared" si="27"/>
        <v>0</v>
      </c>
      <c r="BB41" s="115">
        <f t="shared" si="22"/>
        <v>2483.7858</v>
      </c>
      <c r="BC41" s="125"/>
      <c r="BD41" s="14">
        <f t="shared" si="23"/>
        <v>325.0342000000005</v>
      </c>
      <c r="BE41" s="30">
        <f t="shared" si="24"/>
        <v>-606.2000000000003</v>
      </c>
    </row>
    <row r="42" spans="1:57" s="20" customFormat="1" ht="12.75">
      <c r="A42" s="17" t="s">
        <v>5</v>
      </c>
      <c r="B42" s="60"/>
      <c r="C42" s="60">
        <f aca="true" t="shared" si="41" ref="C42:AU42">SUM(C30:C41)</f>
        <v>40980.240000000005</v>
      </c>
      <c r="D42" s="60">
        <f t="shared" si="41"/>
        <v>13101.190000000008</v>
      </c>
      <c r="E42" s="57">
        <f t="shared" si="41"/>
        <v>3147.1499999999996</v>
      </c>
      <c r="F42" s="57">
        <f t="shared" si="41"/>
        <v>70.08</v>
      </c>
      <c r="G42" s="57">
        <f t="shared" si="41"/>
        <v>4265.04</v>
      </c>
      <c r="H42" s="57">
        <f t="shared" si="41"/>
        <v>94.98</v>
      </c>
      <c r="I42" s="57">
        <f t="shared" si="41"/>
        <v>10244.51</v>
      </c>
      <c r="J42" s="57">
        <f t="shared" si="41"/>
        <v>228.12000000000003</v>
      </c>
      <c r="K42" s="57">
        <f t="shared" si="41"/>
        <v>7097.5</v>
      </c>
      <c r="L42" s="57">
        <f t="shared" si="41"/>
        <v>158.04</v>
      </c>
      <c r="M42" s="57">
        <f t="shared" si="41"/>
        <v>2517.59</v>
      </c>
      <c r="N42" s="57">
        <f t="shared" si="41"/>
        <v>56.040000000000006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27271.79</v>
      </c>
      <c r="T42" s="57">
        <f t="shared" si="41"/>
        <v>607.2600000000001</v>
      </c>
      <c r="U42" s="61">
        <f t="shared" si="41"/>
        <v>5908.259999999999</v>
      </c>
      <c r="V42" s="61">
        <f t="shared" si="41"/>
        <v>7975.160000000002</v>
      </c>
      <c r="W42" s="61">
        <f t="shared" si="41"/>
        <v>19185.71</v>
      </c>
      <c r="X42" s="61">
        <f t="shared" si="41"/>
        <v>13317.689999999999</v>
      </c>
      <c r="Y42" s="61">
        <f t="shared" si="41"/>
        <v>4726.340000000001</v>
      </c>
      <c r="Z42" s="61">
        <f t="shared" si="41"/>
        <v>0</v>
      </c>
      <c r="AA42" s="61">
        <f t="shared" si="41"/>
        <v>0</v>
      </c>
      <c r="AB42" s="61">
        <f t="shared" si="41"/>
        <v>51113.159999999996</v>
      </c>
      <c r="AC42" s="61">
        <f t="shared" si="41"/>
        <v>64821.610000000015</v>
      </c>
      <c r="AD42" s="61">
        <f t="shared" si="41"/>
        <v>0</v>
      </c>
      <c r="AE42" s="94">
        <f t="shared" si="41"/>
        <v>0</v>
      </c>
      <c r="AF42" s="94">
        <f t="shared" si="41"/>
        <v>0</v>
      </c>
      <c r="AG42" s="18">
        <f t="shared" si="41"/>
        <v>2842.560000000001</v>
      </c>
      <c r="AH42" s="18">
        <f t="shared" si="41"/>
        <v>947.5200000000003</v>
      </c>
      <c r="AI42" s="18">
        <f t="shared" si="41"/>
        <v>4737.600000000001</v>
      </c>
      <c r="AJ42" s="18">
        <f t="shared" si="41"/>
        <v>0</v>
      </c>
      <c r="AK42" s="18">
        <f t="shared" si="41"/>
        <v>4642.848</v>
      </c>
      <c r="AL42" s="18">
        <f t="shared" si="41"/>
        <v>0</v>
      </c>
      <c r="AM42" s="18">
        <f t="shared" si="41"/>
        <v>10659.599999999999</v>
      </c>
      <c r="AN42" s="18">
        <f t="shared" si="41"/>
        <v>0</v>
      </c>
      <c r="AO42" s="18">
        <f t="shared" si="41"/>
        <v>0</v>
      </c>
      <c r="AP42" s="18">
        <f t="shared" si="41"/>
        <v>0</v>
      </c>
      <c r="AQ42" s="18">
        <f t="shared" si="41"/>
        <v>0</v>
      </c>
      <c r="AR42" s="18">
        <f t="shared" si="41"/>
        <v>0</v>
      </c>
      <c r="AS42" s="18">
        <f t="shared" si="41"/>
        <v>749</v>
      </c>
      <c r="AT42" s="18">
        <f t="shared" si="41"/>
        <v>378.31</v>
      </c>
      <c r="AU42" s="18">
        <f t="shared" si="41"/>
        <v>68.0958</v>
      </c>
      <c r="AV42" s="18"/>
      <c r="AW42" s="18"/>
      <c r="AX42" s="18">
        <f aca="true" t="shared" si="42" ref="AX42:BE42">SUM(AX30:AX41)</f>
        <v>923.9999999999999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25949.5338</v>
      </c>
      <c r="BC42" s="18">
        <f t="shared" si="42"/>
        <v>0</v>
      </c>
      <c r="BD42" s="18">
        <f t="shared" si="42"/>
        <v>38872.07620000001</v>
      </c>
      <c r="BE42" s="19">
        <f t="shared" si="42"/>
        <v>23841.370000000006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92205.54000000001</v>
      </c>
      <c r="D44" s="23">
        <f t="shared" si="43"/>
        <v>26105.170092200016</v>
      </c>
      <c r="E44" s="50">
        <f t="shared" si="43"/>
        <v>6635.189999999999</v>
      </c>
      <c r="F44" s="50">
        <f t="shared" si="43"/>
        <v>229.26000000000005</v>
      </c>
      <c r="G44" s="50">
        <f t="shared" si="43"/>
        <v>8985.25</v>
      </c>
      <c r="H44" s="50">
        <f t="shared" si="43"/>
        <v>310.35</v>
      </c>
      <c r="I44" s="50">
        <f t="shared" si="43"/>
        <v>21591.78</v>
      </c>
      <c r="J44" s="50">
        <f t="shared" si="43"/>
        <v>745.9799999999999</v>
      </c>
      <c r="K44" s="50">
        <f t="shared" si="43"/>
        <v>14956.93</v>
      </c>
      <c r="L44" s="50">
        <f t="shared" si="43"/>
        <v>516.7199999999999</v>
      </c>
      <c r="M44" s="50">
        <f t="shared" si="43"/>
        <v>5307.82</v>
      </c>
      <c r="N44" s="50">
        <f t="shared" si="43"/>
        <v>183.32000000000005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57476.96999999999</v>
      </c>
      <c r="T44" s="50">
        <f t="shared" si="43"/>
        <v>1985.63</v>
      </c>
      <c r="U44" s="53">
        <f t="shared" si="43"/>
        <v>8276.66</v>
      </c>
      <c r="V44" s="53">
        <f t="shared" si="43"/>
        <v>11178.050000000003</v>
      </c>
      <c r="W44" s="53">
        <f t="shared" si="43"/>
        <v>26938.26</v>
      </c>
      <c r="X44" s="53">
        <f t="shared" si="43"/>
        <v>18652.17</v>
      </c>
      <c r="Y44" s="53">
        <f t="shared" si="43"/>
        <v>6620.970000000001</v>
      </c>
      <c r="Z44" s="53">
        <f t="shared" si="43"/>
        <v>0</v>
      </c>
      <c r="AA44" s="53">
        <f t="shared" si="43"/>
        <v>0</v>
      </c>
      <c r="AB44" s="53">
        <f t="shared" si="43"/>
        <v>71666.11</v>
      </c>
      <c r="AC44" s="53">
        <f t="shared" si="43"/>
        <v>99756.91009220002</v>
      </c>
      <c r="AD44" s="53">
        <f t="shared" si="43"/>
        <v>0</v>
      </c>
      <c r="AE44" s="53">
        <f t="shared" si="43"/>
        <v>0</v>
      </c>
      <c r="AF44" s="53">
        <f t="shared" si="43"/>
        <v>0</v>
      </c>
      <c r="AG44" s="23">
        <f t="shared" si="43"/>
        <v>6301.008000000002</v>
      </c>
      <c r="AH44" s="23">
        <f t="shared" si="43"/>
        <v>2111.3377616000007</v>
      </c>
      <c r="AI44" s="23">
        <f t="shared" si="43"/>
        <v>9586.6994834</v>
      </c>
      <c r="AJ44" s="23">
        <f t="shared" si="43"/>
        <v>872.837907012</v>
      </c>
      <c r="AK44" s="23">
        <f t="shared" si="43"/>
        <v>9549.7443594</v>
      </c>
      <c r="AL44" s="23">
        <f t="shared" si="43"/>
        <v>883.241344692</v>
      </c>
      <c r="AM44" s="23">
        <f t="shared" si="43"/>
        <v>21404.88346808949</v>
      </c>
      <c r="AN44" s="23">
        <f t="shared" si="43"/>
        <v>1934.1510242561085</v>
      </c>
      <c r="AO44" s="23">
        <f t="shared" si="43"/>
        <v>0</v>
      </c>
      <c r="AP44" s="23">
        <f t="shared" si="43"/>
        <v>0</v>
      </c>
      <c r="AQ44" s="23">
        <f t="shared" si="43"/>
        <v>0</v>
      </c>
      <c r="AR44" s="23">
        <f t="shared" si="43"/>
        <v>0</v>
      </c>
      <c r="AS44" s="23">
        <f t="shared" si="43"/>
        <v>18655.78</v>
      </c>
      <c r="AT44" s="23">
        <f t="shared" si="43"/>
        <v>1305.43</v>
      </c>
      <c r="AU44" s="23">
        <f t="shared" si="43"/>
        <v>3458.1978</v>
      </c>
      <c r="AV44" s="23"/>
      <c r="AW44" s="23"/>
      <c r="AX44" s="23">
        <f aca="true" t="shared" si="44" ref="AX44:BE44">AX28+AX42</f>
        <v>1796.2559999999999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77859.5671484496</v>
      </c>
      <c r="BC44" s="23">
        <f t="shared" si="44"/>
        <v>0</v>
      </c>
      <c r="BD44" s="23">
        <f t="shared" si="44"/>
        <v>21897.34294375042</v>
      </c>
      <c r="BE44" s="24">
        <f t="shared" si="44"/>
        <v>14189.140000000005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04" t="s">
        <v>55</v>
      </c>
      <c r="C1" s="204"/>
      <c r="D1" s="204"/>
      <c r="E1" s="204"/>
      <c r="F1" s="204"/>
      <c r="G1" s="204"/>
      <c r="H1" s="204"/>
    </row>
    <row r="2" spans="2:8" ht="21" customHeight="1">
      <c r="B2" s="204" t="s">
        <v>56</v>
      </c>
      <c r="C2" s="204"/>
      <c r="D2" s="204"/>
      <c r="E2" s="204"/>
      <c r="F2" s="204"/>
      <c r="G2" s="204"/>
      <c r="H2" s="204"/>
    </row>
    <row r="5" spans="1:15" ht="12.75">
      <c r="A5" s="206" t="s">
        <v>90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ht="12.75">
      <c r="A6" s="207" t="s">
        <v>93</v>
      </c>
      <c r="B6" s="207"/>
      <c r="C6" s="207"/>
      <c r="D6" s="207"/>
      <c r="E6" s="207"/>
      <c r="F6" s="207"/>
      <c r="G6" s="207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05" t="s">
        <v>57</v>
      </c>
      <c r="B8" s="205"/>
      <c r="C8" s="205"/>
      <c r="D8" s="205"/>
      <c r="E8" s="205">
        <v>8.65</v>
      </c>
      <c r="F8" s="205"/>
    </row>
    <row r="9" spans="1:16" ht="12.75" customHeight="1">
      <c r="A9" s="153" t="s">
        <v>58</v>
      </c>
      <c r="B9" s="233" t="s">
        <v>1</v>
      </c>
      <c r="C9" s="236" t="s">
        <v>59</v>
      </c>
      <c r="D9" s="239" t="s">
        <v>3</v>
      </c>
      <c r="E9" s="223" t="s">
        <v>60</v>
      </c>
      <c r="F9" s="224"/>
      <c r="G9" s="200" t="s">
        <v>61</v>
      </c>
      <c r="H9" s="201"/>
      <c r="I9" s="208" t="s">
        <v>10</v>
      </c>
      <c r="J9" s="192"/>
      <c r="K9" s="192"/>
      <c r="L9" s="192"/>
      <c r="M9" s="192"/>
      <c r="N9" s="209"/>
      <c r="O9" s="212" t="s">
        <v>62</v>
      </c>
      <c r="P9" s="212" t="s">
        <v>12</v>
      </c>
    </row>
    <row r="10" spans="1:16" ht="12.75">
      <c r="A10" s="154"/>
      <c r="B10" s="234"/>
      <c r="C10" s="237"/>
      <c r="D10" s="240"/>
      <c r="E10" s="225"/>
      <c r="F10" s="226"/>
      <c r="G10" s="202"/>
      <c r="H10" s="203"/>
      <c r="I10" s="210"/>
      <c r="J10" s="164"/>
      <c r="K10" s="164"/>
      <c r="L10" s="164"/>
      <c r="M10" s="164"/>
      <c r="N10" s="211"/>
      <c r="O10" s="213"/>
      <c r="P10" s="213"/>
    </row>
    <row r="11" spans="1:16" ht="26.25" customHeight="1">
      <c r="A11" s="154"/>
      <c r="B11" s="234"/>
      <c r="C11" s="237"/>
      <c r="D11" s="240"/>
      <c r="E11" s="215" t="s">
        <v>63</v>
      </c>
      <c r="F11" s="216"/>
      <c r="G11" s="84" t="s">
        <v>64</v>
      </c>
      <c r="H11" s="217" t="s">
        <v>7</v>
      </c>
      <c r="I11" s="219" t="s">
        <v>65</v>
      </c>
      <c r="J11" s="221" t="s">
        <v>32</v>
      </c>
      <c r="K11" s="221" t="s">
        <v>66</v>
      </c>
      <c r="L11" s="221" t="s">
        <v>37</v>
      </c>
      <c r="M11" s="221" t="s">
        <v>67</v>
      </c>
      <c r="N11" s="217" t="s">
        <v>39</v>
      </c>
      <c r="O11" s="213"/>
      <c r="P11" s="213"/>
    </row>
    <row r="12" spans="1:16" ht="66.75" customHeight="1" thickBot="1">
      <c r="A12" s="232"/>
      <c r="B12" s="235"/>
      <c r="C12" s="238"/>
      <c r="D12" s="241"/>
      <c r="E12" s="63" t="s">
        <v>68</v>
      </c>
      <c r="F12" s="66" t="s">
        <v>21</v>
      </c>
      <c r="G12" s="81" t="s">
        <v>69</v>
      </c>
      <c r="H12" s="218"/>
      <c r="I12" s="220"/>
      <c r="J12" s="222"/>
      <c r="K12" s="222"/>
      <c r="L12" s="222"/>
      <c r="M12" s="222"/>
      <c r="N12" s="218"/>
      <c r="O12" s="214"/>
      <c r="P12" s="214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394.8</v>
      </c>
      <c r="C15" s="27">
        <f>B15*8.65</f>
        <v>3415.0200000000004</v>
      </c>
      <c r="D15" s="28">
        <f>Лист1!D9</f>
        <v>822.6100176000001</v>
      </c>
      <c r="E15" s="14">
        <f>Лист1!S9</f>
        <v>1306.2199999999998</v>
      </c>
      <c r="F15" s="30">
        <f>Лист1!T9</f>
        <v>59.870000000000005</v>
      </c>
      <c r="G15" s="29">
        <f>Лист1!AB9</f>
        <v>0</v>
      </c>
      <c r="H15" s="30">
        <f>Лист1!AC9</f>
        <v>882.4800176000001</v>
      </c>
      <c r="I15" s="29">
        <f>Лист1!AG9</f>
        <v>236.88</v>
      </c>
      <c r="J15" s="14">
        <f>Лист1!AI9+Лист1!AJ9</f>
        <v>396.8229552</v>
      </c>
      <c r="K15" s="14">
        <f>Лист1!AH9+Лист1!AK9+Лист1!AL9+Лист1!AM9+Лист1!AN9+Лист1!AO9+Лист1!AP9</f>
        <v>1393.40439588</v>
      </c>
      <c r="L15" s="31">
        <f>Лист1!AS9+Лист1!AU9</f>
        <v>0</v>
      </c>
      <c r="M15" s="31">
        <f>Лист1!AX9</f>
        <v>0</v>
      </c>
      <c r="N15" s="30">
        <f>Лист1!BB9</f>
        <v>2027.10735108</v>
      </c>
      <c r="O15" s="74">
        <f>Лист1!BD9</f>
        <v>-1144.6273334799998</v>
      </c>
      <c r="P15" s="74">
        <f>Лист1!BE9</f>
        <v>-1306.2199999999998</v>
      </c>
    </row>
    <row r="16" spans="1:16" ht="12.75">
      <c r="A16" s="11" t="s">
        <v>42</v>
      </c>
      <c r="B16" s="82">
        <f>Лист1!B10</f>
        <v>394.8</v>
      </c>
      <c r="C16" s="27">
        <f aca="true" t="shared" si="0" ref="C16:C31">B16*8.65</f>
        <v>3415.0200000000004</v>
      </c>
      <c r="D16" s="28">
        <f>Лист1!D10</f>
        <v>822.6100176000001</v>
      </c>
      <c r="E16" s="14">
        <f>Лист1!S10</f>
        <v>1306.2199999999998</v>
      </c>
      <c r="F16" s="30">
        <f>Лист1!T10</f>
        <v>59.870000000000005</v>
      </c>
      <c r="G16" s="29">
        <f>Лист1!AB10</f>
        <v>649.12</v>
      </c>
      <c r="H16" s="30">
        <f>Лист1!AC10</f>
        <v>1531.6000176000002</v>
      </c>
      <c r="I16" s="29">
        <f>Лист1!AG10</f>
        <v>236.88</v>
      </c>
      <c r="J16" s="14">
        <f>Лист1!AI10+Лист1!AJ10</f>
        <v>396.8229552</v>
      </c>
      <c r="K16" s="14">
        <f>Лист1!AH10+Лист1!AK10+Лист1!AL10+Лист1!AM10+Лист1!AN10+Лист1!AO10+Лист1!AP10</f>
        <v>1389.1989862799999</v>
      </c>
      <c r="L16" s="31">
        <f>Лист1!AS10+Лист1!AU10</f>
        <v>0</v>
      </c>
      <c r="M16" s="31">
        <f>Лист1!AX10</f>
        <v>0</v>
      </c>
      <c r="N16" s="30">
        <f>Лист1!BB10</f>
        <v>2022.9019414799998</v>
      </c>
      <c r="O16" s="74">
        <f>Лист1!BD10</f>
        <v>-491.30192387999955</v>
      </c>
      <c r="P16" s="74">
        <f>Лист1!BE10</f>
        <v>-657.0999999999998</v>
      </c>
    </row>
    <row r="17" spans="1:18" ht="13.5" thickBot="1">
      <c r="A17" s="32" t="s">
        <v>43</v>
      </c>
      <c r="B17" s="82">
        <f>Лист1!B11</f>
        <v>394.8</v>
      </c>
      <c r="C17" s="33">
        <f t="shared" si="0"/>
        <v>3415.0200000000004</v>
      </c>
      <c r="D17" s="28">
        <f>Лист1!D11</f>
        <v>820.8000570000002</v>
      </c>
      <c r="E17" s="14">
        <f>Лист1!S11</f>
        <v>1910.2500000000002</v>
      </c>
      <c r="F17" s="30">
        <f>Лист1!T11</f>
        <v>89.79</v>
      </c>
      <c r="G17" s="29">
        <f>Лист1!AB11</f>
        <v>1366.8700000000001</v>
      </c>
      <c r="H17" s="30">
        <f>Лист1!AC11</f>
        <v>2277.4600570000002</v>
      </c>
      <c r="I17" s="29">
        <f>Лист1!AG11</f>
        <v>236.88</v>
      </c>
      <c r="J17" s="14">
        <f>Лист1!AI11+Лист1!AJ11</f>
        <v>395.66761248</v>
      </c>
      <c r="K17" s="14">
        <f>Лист1!AH11+Лист1!AK11+Лист1!AL11+Лист1!AM11+Лист1!AN11+Лист1!AO11+Лист1!AP11</f>
        <v>1386.990329004</v>
      </c>
      <c r="L17" s="31">
        <f>Лист1!AS11+Лист1!AU11</f>
        <v>0</v>
      </c>
      <c r="M17" s="31">
        <f>Лист1!AX11</f>
        <v>0</v>
      </c>
      <c r="N17" s="30">
        <f>Лист1!BB11</f>
        <v>2019.537941484</v>
      </c>
      <c r="O17" s="74">
        <f>Лист1!BD11</f>
        <v>257.9221155160003</v>
      </c>
      <c r="P17" s="74">
        <f>Лист1!BE11</f>
        <v>-543.3800000000001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10245.060000000001</v>
      </c>
      <c r="D18" s="67">
        <f aca="true" t="shared" si="1" ref="D18:I18">SUM(D15:D17)</f>
        <v>2466.0200922000004</v>
      </c>
      <c r="E18" s="36">
        <f t="shared" si="1"/>
        <v>4522.69</v>
      </c>
      <c r="F18" s="68">
        <f t="shared" si="1"/>
        <v>209.53000000000003</v>
      </c>
      <c r="G18" s="67">
        <f t="shared" si="1"/>
        <v>2015.9900000000002</v>
      </c>
      <c r="H18" s="68">
        <f t="shared" si="1"/>
        <v>4691.540092200001</v>
      </c>
      <c r="I18" s="67">
        <f t="shared" si="1"/>
        <v>710.64</v>
      </c>
      <c r="J18" s="36">
        <f aca="true" t="shared" si="2" ref="J18:P18">SUM(J15:J17)</f>
        <v>1189.3135228800002</v>
      </c>
      <c r="K18" s="36">
        <f t="shared" si="2"/>
        <v>4169.593711164</v>
      </c>
      <c r="L18" s="36">
        <f t="shared" si="2"/>
        <v>0</v>
      </c>
      <c r="M18" s="36">
        <f t="shared" si="2"/>
        <v>0</v>
      </c>
      <c r="N18" s="68">
        <f t="shared" si="2"/>
        <v>6069.547234043999</v>
      </c>
      <c r="O18" s="75">
        <f t="shared" si="2"/>
        <v>-1378.007141843999</v>
      </c>
      <c r="P18" s="75">
        <f t="shared" si="2"/>
        <v>-2506.7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394.8</v>
      </c>
      <c r="C20" s="27">
        <f t="shared" si="0"/>
        <v>3415.0200000000004</v>
      </c>
      <c r="D20" s="28">
        <f>Лист1!D14</f>
        <v>426.87750000000005</v>
      </c>
      <c r="E20" s="14">
        <f>Лист1!S14</f>
        <v>1949.18</v>
      </c>
      <c r="F20" s="30">
        <f>Лист1!T14</f>
        <v>89.79</v>
      </c>
      <c r="G20" s="29">
        <f>Лист1!AB14</f>
        <v>694.8499999999999</v>
      </c>
      <c r="H20" s="30">
        <f>Лист1!AC14</f>
        <v>1211.5175</v>
      </c>
      <c r="I20" s="29">
        <f>Лист1!AG14</f>
        <v>213.192</v>
      </c>
      <c r="J20" s="14">
        <f>Лист1!AI14+Лист1!AJ14</f>
        <v>343.2948748</v>
      </c>
      <c r="K20" s="14">
        <f>Лист1!AH14+Лист1!AK14+Лист1!AL14+Лист1!AM14+Лист1!AN14+Лист1!AO14+Лист1!AP14+Лист1!AQ14+Лист1!AR14</f>
        <v>1179.092908896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1735.5797836960003</v>
      </c>
      <c r="O20" s="74">
        <f>Лист1!BD14</f>
        <v>-524.0622836960003</v>
      </c>
      <c r="P20" s="74">
        <f>Лист1!BE14</f>
        <v>-1254.3300000000002</v>
      </c>
      <c r="Q20" s="1"/>
      <c r="R20" s="1"/>
    </row>
    <row r="21" spans="1:18" ht="12.75">
      <c r="A21" s="11" t="s">
        <v>46</v>
      </c>
      <c r="B21" s="82">
        <f>Лист1!B15</f>
        <v>394.8</v>
      </c>
      <c r="C21" s="27">
        <f t="shared" si="0"/>
        <v>3415.0200000000004</v>
      </c>
      <c r="D21" s="28">
        <f>Лист1!D15</f>
        <v>426.87750000000005</v>
      </c>
      <c r="E21" s="14">
        <f>Лист1!S15</f>
        <v>1959.07</v>
      </c>
      <c r="F21" s="30">
        <f>Лист1!T15</f>
        <v>89.79</v>
      </c>
      <c r="G21" s="29">
        <f>Лист1!AB15</f>
        <v>1083.25</v>
      </c>
      <c r="H21" s="30">
        <f>Лист1!AC15</f>
        <v>1599.9175</v>
      </c>
      <c r="I21" s="29">
        <f>Лист1!AG15</f>
        <v>213.192</v>
      </c>
      <c r="J21" s="14">
        <f>Лист1!AI15+Лист1!AJ15</f>
        <v>342.9224904</v>
      </c>
      <c r="K21" s="14">
        <f>Лист1!AH15+Лист1!AK15+Лист1!AL15+Лист1!AM15+Лист1!AN15+Лист1!AO15+Лист1!AP15+Лист1!AQ15+Лист1!AR15</f>
        <v>1180.795010136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1736.909500536</v>
      </c>
      <c r="O21" s="74">
        <f>Лист1!BD15</f>
        <v>-136.99200053599998</v>
      </c>
      <c r="P21" s="74">
        <f>Лист1!BE15</f>
        <v>-875.8199999999999</v>
      </c>
      <c r="Q21" s="1"/>
      <c r="R21" s="1"/>
    </row>
    <row r="22" spans="1:18" ht="12.75">
      <c r="A22" s="11" t="s">
        <v>47</v>
      </c>
      <c r="B22" s="82">
        <f>Лист1!B16</f>
        <v>394.8</v>
      </c>
      <c r="C22" s="27">
        <f t="shared" si="0"/>
        <v>3415.0200000000004</v>
      </c>
      <c r="D22" s="28">
        <f>Лист1!D16</f>
        <v>426.87750000000005</v>
      </c>
      <c r="E22" s="14">
        <f>Лист1!S16</f>
        <v>1959.25</v>
      </c>
      <c r="F22" s="30">
        <f>Лист1!T16</f>
        <v>89.79</v>
      </c>
      <c r="G22" s="29">
        <f>Лист1!AB16</f>
        <v>1265.4599999999998</v>
      </c>
      <c r="H22" s="30">
        <f>Лист1!AC16</f>
        <v>1782.1274999999998</v>
      </c>
      <c r="I22" s="29">
        <f>Лист1!AG16</f>
        <v>213.192</v>
      </c>
      <c r="J22" s="14">
        <f>Лист1!AI16+Лист1!AJ16</f>
        <v>343.528267</v>
      </c>
      <c r="K22" s="14">
        <f>Лист1!AH16+Лист1!AK16+Лист1!AL16+Лист1!AM16+Лист1!AN16+Лист1!AO16+Лист1!AP16+Лист1!AQ16+Лист1!AR16</f>
        <v>1141.38111968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1698.10138668</v>
      </c>
      <c r="O22" s="74">
        <f>Лист1!BD16</f>
        <v>84.02611331999992</v>
      </c>
      <c r="P22" s="74">
        <f>Лист1!BE16</f>
        <v>-693.7900000000002</v>
      </c>
      <c r="Q22" s="1"/>
      <c r="R22" s="1"/>
    </row>
    <row r="23" spans="1:18" ht="12.75">
      <c r="A23" s="11" t="s">
        <v>48</v>
      </c>
      <c r="B23" s="82">
        <f>Лист1!B17</f>
        <v>394.8</v>
      </c>
      <c r="C23" s="27">
        <f t="shared" si="0"/>
        <v>3415.0200000000004</v>
      </c>
      <c r="D23" s="28">
        <f>Лист1!D17</f>
        <v>426.87750000000005</v>
      </c>
      <c r="E23" s="14">
        <f>Лист1!S17</f>
        <v>2134.96</v>
      </c>
      <c r="F23" s="30">
        <f>Лист1!T17</f>
        <v>89.79</v>
      </c>
      <c r="G23" s="29">
        <f>Лист1!AB17</f>
        <v>767.1</v>
      </c>
      <c r="H23" s="30">
        <f>Лист1!AC17</f>
        <v>1283.7675</v>
      </c>
      <c r="I23" s="29">
        <f>Лист1!AG17</f>
        <v>213.192</v>
      </c>
      <c r="J23" s="14">
        <f>Лист1!AI17+Лист1!AJ17</f>
        <v>353.77246296</v>
      </c>
      <c r="K23" s="14">
        <f>Лист1!AH17+Лист1!AK17+Лист1!AL17+Лист1!AM17+Лист1!AN17+Лист1!AO17+Лист1!AP17+Лист1!AQ17+Лист1!AR17</f>
        <v>1157.6536265280001</v>
      </c>
      <c r="L23" s="31">
        <f>Лист1!AS17+Лист1!AT17+Лист1!AU17+Лист1!AY17+Лист1!AZ17</f>
        <v>362.26</v>
      </c>
      <c r="M23" s="31">
        <f>Лист1!AX17</f>
        <v>60.85968</v>
      </c>
      <c r="N23" s="30">
        <f>Лист1!BB17</f>
        <v>2405.0532894880002</v>
      </c>
      <c r="O23" s="74">
        <f>Лист1!BD17</f>
        <v>-1121.2857894880003</v>
      </c>
      <c r="P23" s="74">
        <f>Лист1!BE17</f>
        <v>-1367.8600000000001</v>
      </c>
      <c r="Q23" s="1"/>
      <c r="R23" s="1"/>
    </row>
    <row r="24" spans="1:18" ht="12.75">
      <c r="A24" s="11" t="s">
        <v>49</v>
      </c>
      <c r="B24" s="82">
        <f>Лист1!B18</f>
        <v>394.8</v>
      </c>
      <c r="C24" s="27">
        <f t="shared" si="0"/>
        <v>3415.0200000000004</v>
      </c>
      <c r="D24" s="28">
        <f>Лист1!D18</f>
        <v>1105.400000000001</v>
      </c>
      <c r="E24" s="14">
        <f>Лист1!S18</f>
        <v>2208.41</v>
      </c>
      <c r="F24" s="30">
        <f>Лист1!T18</f>
        <v>101.21000000000001</v>
      </c>
      <c r="G24" s="29">
        <f>Лист1!AB18</f>
        <v>1296.61</v>
      </c>
      <c r="H24" s="30">
        <f>Лист1!AC18</f>
        <v>2503.220000000001</v>
      </c>
      <c r="I24" s="29">
        <f>Лист1!AG18</f>
        <v>236.88</v>
      </c>
      <c r="J24" s="14">
        <f>Лист1!AI18+Лист1!AJ18</f>
        <v>395.9844</v>
      </c>
      <c r="K24" s="14">
        <f>Лист1!AH18+Лист1!AK18+Лист1!AL18+Лист1!AM18+Лист1!AN18+Лист1!AO18+Лист1!AP18+Лист1!AQ18+Лист1!AR18</f>
        <v>1356.21696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2041.21848</v>
      </c>
      <c r="O24" s="74">
        <f>Лист1!BD18</f>
        <v>462.00152000000116</v>
      </c>
      <c r="P24" s="74">
        <f>Лист1!BE18</f>
        <v>-911.8</v>
      </c>
      <c r="Q24" s="1"/>
      <c r="R24" s="1"/>
    </row>
    <row r="25" spans="1:18" ht="12.75">
      <c r="A25" s="11" t="s">
        <v>50</v>
      </c>
      <c r="B25" s="82">
        <f>Лист1!B19</f>
        <v>394.8</v>
      </c>
      <c r="C25" s="27">
        <f t="shared" si="0"/>
        <v>3415.0200000000004</v>
      </c>
      <c r="D25" s="28">
        <f>Лист1!D19</f>
        <v>1105.4100000000012</v>
      </c>
      <c r="E25" s="14">
        <f>Лист1!S19</f>
        <v>2208.4</v>
      </c>
      <c r="F25" s="30">
        <f>Лист1!T19</f>
        <v>101.21000000000001</v>
      </c>
      <c r="G25" s="29">
        <f>Лист1!AB19</f>
        <v>1412.84</v>
      </c>
      <c r="H25" s="30">
        <f>Лист1!AC19</f>
        <v>2619.460000000001</v>
      </c>
      <c r="I25" s="29">
        <f>Лист1!AG19</f>
        <v>236.88</v>
      </c>
      <c r="J25" s="14">
        <f>Лист1!AI19+Лист1!AJ19</f>
        <v>395.9844</v>
      </c>
      <c r="K25" s="14">
        <f>Лист1!AH19+Лист1!AK19+Лист1!AL19+Лист1!AM19+Лист1!AN19+Лист1!AO19+Лист1!AP19+Лист1!AQ19+Лист1!AR19</f>
        <v>1356.252492</v>
      </c>
      <c r="L25" s="31">
        <f>Лист1!AS19+Лист1!AT19+Лист1!AU19+Лист1!AZ19+Лист1!BA19</f>
        <v>8565.3604</v>
      </c>
      <c r="M25" s="31">
        <f>Лист1!AX19</f>
        <v>46.189919999999994</v>
      </c>
      <c r="N25" s="30">
        <f>Лист1!BB19</f>
        <v>10600.667212</v>
      </c>
      <c r="O25" s="74">
        <f>Лист1!BD19</f>
        <v>-7981.207211999999</v>
      </c>
      <c r="P25" s="74">
        <f>Лист1!BE19</f>
        <v>-795.5600000000002</v>
      </c>
      <c r="Q25" s="1"/>
      <c r="R25" s="1"/>
    </row>
    <row r="26" spans="1:18" ht="12.75">
      <c r="A26" s="11" t="s">
        <v>51</v>
      </c>
      <c r="B26" s="82">
        <f>Лист1!B20</f>
        <v>394.8</v>
      </c>
      <c r="C26" s="27">
        <f t="shared" si="0"/>
        <v>3415.0200000000004</v>
      </c>
      <c r="D26" s="28">
        <f>Лист1!D20</f>
        <v>1105.400000000001</v>
      </c>
      <c r="E26" s="14">
        <f>Лист1!S20</f>
        <v>2208.41</v>
      </c>
      <c r="F26" s="30">
        <f>Лист1!T20</f>
        <v>101.21000000000001</v>
      </c>
      <c r="G26" s="29">
        <f>Лист1!AB20</f>
        <v>2116.65</v>
      </c>
      <c r="H26" s="30">
        <f>Лист1!AC20</f>
        <v>3323.260000000001</v>
      </c>
      <c r="I26" s="29">
        <f>Лист1!AG20</f>
        <v>236.88</v>
      </c>
      <c r="J26" s="14">
        <f>Лист1!AI20+Лист1!AJ20</f>
        <v>390.36142151999996</v>
      </c>
      <c r="K26" s="14">
        <f>Лист1!AH20+Лист1!AK20+Лист1!AL20+Лист1!AM20+Лист1!AN20+Лист1!AO20+Лист1!AP20+Лист1!AQ20+Лист1!AR20</f>
        <v>1342.7579200559999</v>
      </c>
      <c r="L26" s="31">
        <f>Лист1!AS20+Лист1!AT20+Лист1!AU20+Лист1!AZ20+Лист1!BA20</f>
        <v>6099.5616</v>
      </c>
      <c r="M26" s="31">
        <f>Лист1!AX20</f>
        <v>49.16352</v>
      </c>
      <c r="N26" s="30">
        <f>Лист1!BB20</f>
        <v>8118.724461576001</v>
      </c>
      <c r="O26" s="74">
        <f>Лист1!BD20</f>
        <v>-4795.464461576</v>
      </c>
      <c r="P26" s="74">
        <f>Лист1!BE20</f>
        <v>-91.75999999999976</v>
      </c>
      <c r="Q26" s="1"/>
      <c r="R26" s="1"/>
    </row>
    <row r="27" spans="1:18" ht="12.75">
      <c r="A27" s="11" t="s">
        <v>52</v>
      </c>
      <c r="B27" s="82">
        <f>Лист1!B21</f>
        <v>394.8</v>
      </c>
      <c r="C27" s="27">
        <f t="shared" si="0"/>
        <v>3415.0200000000004</v>
      </c>
      <c r="D27" s="28">
        <f>Лист1!D21</f>
        <v>1105.400000000001</v>
      </c>
      <c r="E27" s="14">
        <f>Лист1!S21</f>
        <v>2208.41</v>
      </c>
      <c r="F27" s="30">
        <f>Лист1!T21</f>
        <v>101.21000000000001</v>
      </c>
      <c r="G27" s="29">
        <f>Лист1!AB21</f>
        <v>1754.7900000000002</v>
      </c>
      <c r="H27" s="30">
        <f>Лист1!AC21</f>
        <v>2961.4000000000015</v>
      </c>
      <c r="I27" s="29">
        <f>Лист1!AG21</f>
        <v>236.88</v>
      </c>
      <c r="J27" s="14">
        <f>Лист1!AI21+Лист1!AJ21</f>
        <v>390.14363009999994</v>
      </c>
      <c r="K27" s="14">
        <f>Лист1!AH21+Лист1!AK21+Лист1!AL21+Лист1!AM21+Лист1!AN21+Лист1!AO21+Лист1!AP21+Лист1!AQ21+Лист1!AR21</f>
        <v>1342.475795976</v>
      </c>
      <c r="L27" s="31">
        <f>Лист1!AS21+Лист1!AT21+Лист1!AU21+Лист1!AZ21+Лист1!BA21</f>
        <v>7196.82</v>
      </c>
      <c r="M27" s="31">
        <f>Лист1!AX21</f>
        <v>58.08431999999999</v>
      </c>
      <c r="N27" s="30">
        <f>Лист1!BB21</f>
        <v>9224.403746076</v>
      </c>
      <c r="O27" s="74">
        <f>Лист1!BD21</f>
        <v>-6263.003746075998</v>
      </c>
      <c r="P27" s="74">
        <f>Лист1!BE21</f>
        <v>-453.61999999999966</v>
      </c>
      <c r="Q27" s="1"/>
      <c r="R27" s="1"/>
    </row>
    <row r="28" spans="1:18" ht="12.75">
      <c r="A28" s="11" t="s">
        <v>53</v>
      </c>
      <c r="B28" s="82">
        <f>Лист1!B22</f>
        <v>394.8</v>
      </c>
      <c r="C28" s="27">
        <f t="shared" si="0"/>
        <v>3415.0200000000004</v>
      </c>
      <c r="D28" s="28">
        <f>Лист1!D22</f>
        <v>1102.2100000000007</v>
      </c>
      <c r="E28" s="14">
        <f>Лист1!S22</f>
        <v>2211.6</v>
      </c>
      <c r="F28" s="30">
        <f>Лист1!T22</f>
        <v>101.21000000000001</v>
      </c>
      <c r="G28" s="29">
        <f>Лист1!AB22</f>
        <v>3063.9700000000003</v>
      </c>
      <c r="H28" s="30">
        <f>Лист1!AC22</f>
        <v>4267.390000000001</v>
      </c>
      <c r="I28" s="29">
        <f>Лист1!AG22</f>
        <v>236.88</v>
      </c>
      <c r="J28" s="14">
        <f>Лист1!AI22+Лист1!AJ22</f>
        <v>390.076312752</v>
      </c>
      <c r="K28" s="14">
        <f>Лист1!AH22+Лист1!AK22+Лист1!AL22+Лист1!AM22+Лист1!AN22+Лист1!AO22+Лист1!AP22+Лист1!AQ22+Лист1!AR22</f>
        <v>1342.3885736016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2038.5306463535999</v>
      </c>
      <c r="O28" s="74">
        <f>Лист1!BD22</f>
        <v>2228.8593536464014</v>
      </c>
      <c r="P28" s="74">
        <f>Лист1!BE22</f>
        <v>852.3700000000003</v>
      </c>
      <c r="Q28" s="1"/>
      <c r="R28" s="1"/>
    </row>
    <row r="29" spans="1:18" ht="12.75">
      <c r="A29" s="11" t="s">
        <v>41</v>
      </c>
      <c r="B29" s="82">
        <f>Лист1!B23</f>
        <v>394.8</v>
      </c>
      <c r="C29" s="27">
        <f>B29*8.65</f>
        <v>3415.0200000000004</v>
      </c>
      <c r="D29" s="28">
        <f>Лист1!D23</f>
        <v>1102.2100000000007</v>
      </c>
      <c r="E29" s="14">
        <f>Лист1!S23</f>
        <v>2211.6</v>
      </c>
      <c r="F29" s="30">
        <f>Лист1!T23</f>
        <v>101.21000000000001</v>
      </c>
      <c r="G29" s="29">
        <f>Лист1!AB23</f>
        <v>1816.66</v>
      </c>
      <c r="H29" s="30">
        <f>Лист1!AC23</f>
        <v>3020.080000000001</v>
      </c>
      <c r="I29" s="29">
        <f>Лист1!AG23</f>
        <v>236.88</v>
      </c>
      <c r="J29" s="14">
        <f>Лист1!AI23+Лист1!AJ23</f>
        <v>394.586808</v>
      </c>
      <c r="K29" s="14">
        <f>Лист1!AH23+Лист1!AK23+Лист1!AL23+Лист1!AM23+Лист1!AN23+Лист1!AO23+Лист1!AP23+Лист1!AQ23+Лист1!AR23</f>
        <v>1353.92712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2069.6459280000004</v>
      </c>
      <c r="O29" s="74">
        <f>Лист1!BD23</f>
        <v>950.4340720000005</v>
      </c>
      <c r="P29" s="74">
        <f>Лист1!BE23</f>
        <v>-394.9399999999998</v>
      </c>
      <c r="Q29" s="1"/>
      <c r="R29" s="1"/>
    </row>
    <row r="30" spans="1:18" ht="12.75">
      <c r="A30" s="11" t="s">
        <v>42</v>
      </c>
      <c r="B30" s="82">
        <f>Лист1!B24</f>
        <v>394.8</v>
      </c>
      <c r="C30" s="27">
        <f t="shared" si="0"/>
        <v>3415.0200000000004</v>
      </c>
      <c r="D30" s="28">
        <f>Лист1!D24</f>
        <v>1102.2100000000007</v>
      </c>
      <c r="E30" s="14">
        <f>Лист1!S24</f>
        <v>2211.6</v>
      </c>
      <c r="F30" s="30">
        <f>Лист1!T24</f>
        <v>101.21000000000001</v>
      </c>
      <c r="G30" s="29">
        <f>Лист1!AB24</f>
        <v>1764.6699999999998</v>
      </c>
      <c r="H30" s="30">
        <f>Лист1!AC24</f>
        <v>2968.0900000000006</v>
      </c>
      <c r="I30" s="29">
        <f>Лист1!AG24</f>
        <v>236.88</v>
      </c>
      <c r="J30" s="14">
        <f>Лист1!AI24+Лист1!AJ24</f>
        <v>395.9844</v>
      </c>
      <c r="K30" s="14">
        <f>Лист1!AH24+Лист1!AK24+Лист1!AL24+Лист1!AM24+Лист1!AN24+Лист1!AO24+Лист1!AP24+Лист1!AQ24+Лист1!AR24</f>
        <v>1355.42736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2081.4645600000003</v>
      </c>
      <c r="O30" s="74">
        <f>Лист1!BD24</f>
        <v>886.6254400000003</v>
      </c>
      <c r="P30" s="74">
        <f>Лист1!BE24</f>
        <v>-446.93000000000006</v>
      </c>
      <c r="Q30" s="1"/>
      <c r="R30" s="1"/>
    </row>
    <row r="31" spans="1:18" ht="13.5" thickBot="1">
      <c r="A31" s="32" t="s">
        <v>43</v>
      </c>
      <c r="B31" s="82">
        <f>Лист1!B25</f>
        <v>394.8</v>
      </c>
      <c r="C31" s="33">
        <f t="shared" si="0"/>
        <v>3415.0200000000004</v>
      </c>
      <c r="D31" s="28">
        <f>Лист1!D25</f>
        <v>1102.2100000000007</v>
      </c>
      <c r="E31" s="14">
        <f>Лист1!S25</f>
        <v>2211.6</v>
      </c>
      <c r="F31" s="30">
        <f>Лист1!T25</f>
        <v>101.21000000000001</v>
      </c>
      <c r="G31" s="29">
        <f>Лист1!AB25</f>
        <v>1500.11</v>
      </c>
      <c r="H31" s="30">
        <f>Лист1!AC25</f>
        <v>2703.5300000000007</v>
      </c>
      <c r="I31" s="29">
        <f>Лист1!AG25</f>
        <v>236.88</v>
      </c>
      <c r="J31" s="14">
        <f>Лист1!AI25+Лист1!AJ25</f>
        <v>395.9844</v>
      </c>
      <c r="K31" s="14">
        <f>Лист1!AH25+Лист1!AK25+Лист1!AL25+Лист1!AM25+Лист1!AN25+Лист1!AO25+Лист1!AP25+Лист1!AQ25+Лист1!AR25</f>
        <v>1355.42736</v>
      </c>
      <c r="L31" s="31">
        <f>Лист1!AS25+Лист1!AT25+Лист1!AU25+Лист1!AZ25+Лист1!BA25</f>
        <v>0</v>
      </c>
      <c r="M31" s="31">
        <f>Лист1!AX25</f>
        <v>101.89536</v>
      </c>
      <c r="N31" s="30">
        <f>Лист1!BB25</f>
        <v>2090.18712</v>
      </c>
      <c r="O31" s="74">
        <f>Лист1!BD25</f>
        <v>613.3428800000006</v>
      </c>
      <c r="P31" s="74">
        <f>Лист1!BE25</f>
        <v>-711.49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40980.240000000005</v>
      </c>
      <c r="D32" s="67">
        <f t="shared" si="3"/>
        <v>10537.960000000008</v>
      </c>
      <c r="E32" s="36">
        <f t="shared" si="3"/>
        <v>25682.48999999999</v>
      </c>
      <c r="F32" s="68">
        <f t="shared" si="3"/>
        <v>1168.8400000000001</v>
      </c>
      <c r="G32" s="67">
        <f t="shared" si="3"/>
        <v>18536.96</v>
      </c>
      <c r="H32" s="68">
        <f t="shared" si="3"/>
        <v>30243.76000000001</v>
      </c>
      <c r="I32" s="67">
        <f t="shared" si="3"/>
        <v>2747.808000000001</v>
      </c>
      <c r="J32" s="36">
        <f t="shared" si="3"/>
        <v>4532.623867532</v>
      </c>
      <c r="K32" s="36">
        <f t="shared" si="3"/>
        <v>15463.796246873599</v>
      </c>
      <c r="L32" s="36">
        <f>SUM(L20:L31)</f>
        <v>22224.002</v>
      </c>
      <c r="M32" s="36">
        <f t="shared" si="3"/>
        <v>872.256</v>
      </c>
      <c r="N32" s="68">
        <f t="shared" si="3"/>
        <v>45840.4861144056</v>
      </c>
      <c r="O32" s="75">
        <f t="shared" si="3"/>
        <v>-15596.726114405592</v>
      </c>
      <c r="P32" s="75">
        <f t="shared" si="3"/>
        <v>-7145.530000000002</v>
      </c>
      <c r="Q32" s="71"/>
      <c r="R32" s="71"/>
    </row>
    <row r="33" spans="1:18" ht="13.5" thickBot="1">
      <c r="A33" s="227" t="s">
        <v>70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51225.3</v>
      </c>
      <c r="D34" s="37">
        <f aca="true" t="shared" si="4" ref="D34:P34">D18+D32</f>
        <v>13003.980092200009</v>
      </c>
      <c r="E34" s="38">
        <f t="shared" si="4"/>
        <v>30205.17999999999</v>
      </c>
      <c r="F34" s="39">
        <f t="shared" si="4"/>
        <v>1378.3700000000001</v>
      </c>
      <c r="G34" s="37">
        <f t="shared" si="4"/>
        <v>20552.95</v>
      </c>
      <c r="H34" s="39">
        <f t="shared" si="4"/>
        <v>34935.30009220001</v>
      </c>
      <c r="I34" s="37">
        <f t="shared" si="4"/>
        <v>3458.448000000001</v>
      </c>
      <c r="J34" s="38">
        <f t="shared" si="4"/>
        <v>5721.937390412</v>
      </c>
      <c r="K34" s="38">
        <f t="shared" si="4"/>
        <v>19633.3899580376</v>
      </c>
      <c r="L34" s="38">
        <f t="shared" si="4"/>
        <v>22224.002</v>
      </c>
      <c r="M34" s="38">
        <f t="shared" si="4"/>
        <v>872.256</v>
      </c>
      <c r="N34" s="78">
        <f t="shared" si="4"/>
        <v>51910.03334844959</v>
      </c>
      <c r="O34" s="77">
        <f>O18+O32</f>
        <v>-16974.73325624959</v>
      </c>
      <c r="P34" s="77">
        <f t="shared" si="4"/>
        <v>-9652.230000000001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394.8</v>
      </c>
      <c r="C36" s="27">
        <f aca="true" t="shared" si="5" ref="C36:C47">B36*8.65</f>
        <v>3415.0200000000004</v>
      </c>
      <c r="D36" s="28">
        <f>Лист1!D30</f>
        <v>1102.2100000000007</v>
      </c>
      <c r="E36" s="14">
        <f>Лист1!S30</f>
        <v>2211.6</v>
      </c>
      <c r="F36" s="30">
        <f>Лист1!T30</f>
        <v>101.21000000000001</v>
      </c>
      <c r="G36" s="29">
        <f>Лист1!AB30</f>
        <v>1220.75</v>
      </c>
      <c r="H36" s="30">
        <f>Лист1!AC30</f>
        <v>2424.170000000001</v>
      </c>
      <c r="I36" s="29">
        <f>Лист1!AG30</f>
        <v>236.88</v>
      </c>
      <c r="J36" s="14">
        <f>Лист1!AI30+Лист1!AJ30</f>
        <v>394.8</v>
      </c>
      <c r="K36" s="14">
        <f>Лист1!AH30+Лист1!AK30+Лист1!AL30+Лист1!AM30+Лист1!AN30+Лист1!AO30+Лист1!AP30+Лист1!AQ30+Лист1!AR30</f>
        <v>1354.1640000000002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2092.524</v>
      </c>
      <c r="O36" s="74">
        <f>Лист1!BD30</f>
        <v>331.6460000000011</v>
      </c>
      <c r="P36" s="74">
        <f>Лист1!BE30</f>
        <v>-990.8499999999999</v>
      </c>
      <c r="Q36" s="1"/>
      <c r="R36" s="1"/>
    </row>
    <row r="37" spans="1:18" ht="12.75">
      <c r="A37" s="11" t="s">
        <v>46</v>
      </c>
      <c r="B37" s="82">
        <f>Лист1!B31</f>
        <v>394.8</v>
      </c>
      <c r="C37" s="27">
        <f t="shared" si="5"/>
        <v>3415.0200000000004</v>
      </c>
      <c r="D37" s="28">
        <f>Лист1!D31</f>
        <v>1102.2100000000007</v>
      </c>
      <c r="E37" s="14">
        <f>Лист1!S31</f>
        <v>2211.6</v>
      </c>
      <c r="F37" s="30">
        <f>Лист1!T31</f>
        <v>101.21000000000001</v>
      </c>
      <c r="G37" s="29">
        <f>Лист1!AB31</f>
        <v>873.62</v>
      </c>
      <c r="H37" s="30">
        <f>Лист1!AC31</f>
        <v>2077.040000000001</v>
      </c>
      <c r="I37" s="29">
        <f>Лист1!AG31</f>
        <v>236.88</v>
      </c>
      <c r="J37" s="14">
        <f>Лист1!AI31+Лист1!AJ31</f>
        <v>394.8</v>
      </c>
      <c r="K37" s="14">
        <f>Лист1!AH31+Лист1!AK31+Лист1!AL31+Лист1!AM31+Лист1!AN31+Лист1!AO31+Лист1!AP31+Лист1!AQ31+Лист1!AR31</f>
        <v>1354.1640000000002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2071.314</v>
      </c>
      <c r="O37" s="74">
        <f>Лист1!BD31</f>
        <v>5.726000000001022</v>
      </c>
      <c r="P37" s="74">
        <f>Лист1!BE31</f>
        <v>-1337.98</v>
      </c>
      <c r="Q37" s="1"/>
      <c r="R37" s="1"/>
    </row>
    <row r="38" spans="1:18" ht="12.75">
      <c r="A38" s="11" t="s">
        <v>47</v>
      </c>
      <c r="B38" s="82">
        <f>Лист1!B32</f>
        <v>394.8</v>
      </c>
      <c r="C38" s="27">
        <f t="shared" si="5"/>
        <v>3415.0200000000004</v>
      </c>
      <c r="D38" s="28">
        <f>Лист1!D32</f>
        <v>1102.2100000000007</v>
      </c>
      <c r="E38" s="14">
        <f>Лист1!S32</f>
        <v>2211.6</v>
      </c>
      <c r="F38" s="30">
        <f>Лист1!T32</f>
        <v>101.21000000000001</v>
      </c>
      <c r="G38" s="29">
        <f>Лист1!AB32</f>
        <v>1354.81</v>
      </c>
      <c r="H38" s="30">
        <f>Лист1!AC32</f>
        <v>2558.2300000000005</v>
      </c>
      <c r="I38" s="29">
        <f>Лист1!AG32</f>
        <v>236.88</v>
      </c>
      <c r="J38" s="14">
        <f>Лист1!AI32+Лист1!AJ32</f>
        <v>394.8</v>
      </c>
      <c r="K38" s="14">
        <f>Лист1!AH32+Лист1!AK32+Лист1!AL32+Лист1!AM32+Лист1!AN32+Лист1!AO32+Лист1!AP32+Лист1!AQ32+Лист1!AR32</f>
        <v>1354.1640000000002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2066.274</v>
      </c>
      <c r="O38" s="74">
        <f>Лист1!BD32</f>
        <v>491.9560000000006</v>
      </c>
      <c r="P38" s="74">
        <f>Лист1!BE32</f>
        <v>-856.79</v>
      </c>
      <c r="Q38" s="1"/>
      <c r="R38" s="1"/>
    </row>
    <row r="39" spans="1:18" ht="12.75">
      <c r="A39" s="11" t="s">
        <v>48</v>
      </c>
      <c r="B39" s="82">
        <f>Лист1!B33</f>
        <v>394.8</v>
      </c>
      <c r="C39" s="27">
        <f t="shared" si="5"/>
        <v>3415.0200000000004</v>
      </c>
      <c r="D39" s="28">
        <f>Лист1!D33</f>
        <v>1102.2100000000007</v>
      </c>
      <c r="E39" s="14">
        <f>Лист1!S33</f>
        <v>2211.6</v>
      </c>
      <c r="F39" s="30">
        <f>Лист1!T33</f>
        <v>101.21000000000001</v>
      </c>
      <c r="G39" s="29">
        <f>Лист1!AB33</f>
        <v>767.1</v>
      </c>
      <c r="H39" s="30">
        <f>Лист1!AC33</f>
        <v>1970.520000000001</v>
      </c>
      <c r="I39" s="29">
        <f>Лист1!AG33</f>
        <v>236.88</v>
      </c>
      <c r="J39" s="14">
        <f>Лист1!AI33+Лист1!AJ33</f>
        <v>394.8</v>
      </c>
      <c r="K39" s="14">
        <f>Лист1!AH33+Лист1!AK33+Лист1!AL33+Лист1!AM33+Лист1!AN33+Лист1!AO33+Лист1!AP33+Лист1!AQ33+Лист1!AR33</f>
        <v>1354.1640000000002</v>
      </c>
      <c r="L39" s="31">
        <f>Лист1!AS33+Лист1!AT33+Лист1!AU33+Лист1!AZ33+Лист1!BA33</f>
        <v>390</v>
      </c>
      <c r="M39" s="31">
        <f>Лист1!AX33</f>
        <v>64.47</v>
      </c>
      <c r="N39" s="30">
        <f>Лист1!BB33</f>
        <v>2440.314</v>
      </c>
      <c r="O39" s="74">
        <f>Лист1!BD33</f>
        <v>-469.79399999999896</v>
      </c>
      <c r="P39" s="74">
        <f>Лист1!BE33</f>
        <v>-1444.5</v>
      </c>
      <c r="Q39" s="1"/>
      <c r="R39" s="1"/>
    </row>
    <row r="40" spans="1:18" ht="12.75">
      <c r="A40" s="11" t="s">
        <v>49</v>
      </c>
      <c r="B40" s="82">
        <f>Лист1!B34</f>
        <v>394.8</v>
      </c>
      <c r="C40" s="27">
        <f t="shared" si="5"/>
        <v>3415.0200000000004</v>
      </c>
      <c r="D40" s="28">
        <f>Лист1!D34</f>
        <v>1102.2500000000007</v>
      </c>
      <c r="E40" s="14">
        <f>Лист1!S34</f>
        <v>2211.56</v>
      </c>
      <c r="F40" s="30">
        <f>Лист1!T34</f>
        <v>101.21000000000001</v>
      </c>
      <c r="G40" s="29">
        <f>Лист1!AB34</f>
        <v>35108.65</v>
      </c>
      <c r="H40" s="30">
        <f>Лист1!AC34</f>
        <v>36312.11</v>
      </c>
      <c r="I40" s="29">
        <f>Лист1!AG34</f>
        <v>236.88</v>
      </c>
      <c r="J40" s="14">
        <f>Лист1!AI34+Лист1!AJ34</f>
        <v>394.8</v>
      </c>
      <c r="K40" s="14">
        <f>Лист1!AH34+Лист1!AK34+Лист1!AL34+Лист1!AM34+Лист1!AN34+Лист1!AO34+Лист1!AP34+Лист1!AQ34+Лист1!AR34</f>
        <v>1354.1640000000002</v>
      </c>
      <c r="L40" s="31">
        <f>Лист1!AS34+Лист1!AT34+Лист1!AU34+Лист1!AZ34+Лист1!BA34</f>
        <v>0</v>
      </c>
      <c r="M40" s="31">
        <f>Лист1!AX34</f>
        <v>55.22999999999999</v>
      </c>
      <c r="N40" s="30">
        <f>Лист1!BB34</f>
        <v>2041.074</v>
      </c>
      <c r="O40" s="74">
        <f>Лист1!BD34</f>
        <v>34271.036</v>
      </c>
      <c r="P40" s="74">
        <f>Лист1!BE34</f>
        <v>32897.090000000004</v>
      </c>
      <c r="Q40" s="1"/>
      <c r="R40" s="1"/>
    </row>
    <row r="41" spans="1:18" ht="12.75">
      <c r="A41" s="11" t="s">
        <v>50</v>
      </c>
      <c r="B41" s="82">
        <f>Лист1!B35</f>
        <v>394.8</v>
      </c>
      <c r="C41" s="27">
        <f t="shared" si="5"/>
        <v>3415.0200000000004</v>
      </c>
      <c r="D41" s="28">
        <f>Лист1!D35</f>
        <v>1102.2500000000007</v>
      </c>
      <c r="E41" s="14">
        <f>Лист1!S35</f>
        <v>2211.56</v>
      </c>
      <c r="F41" s="30">
        <f>Лист1!T35</f>
        <v>101.21000000000001</v>
      </c>
      <c r="G41" s="29">
        <f>Лист1!AB35</f>
        <v>2469.69</v>
      </c>
      <c r="H41" s="30">
        <f>Лист1!AC35</f>
        <v>3673.1500000000005</v>
      </c>
      <c r="I41" s="29">
        <f>Лист1!AG35</f>
        <v>236.88</v>
      </c>
      <c r="J41" s="14">
        <f>Лист1!AI35+Лист1!AJ35</f>
        <v>394.8</v>
      </c>
      <c r="K41" s="14">
        <f>Лист1!AH35+Лист1!AK35+Лист1!AL35+Лист1!AM35+Лист1!AN35+Лист1!AO35+Лист1!AP35+Лист1!AQ35+Лист1!AR35</f>
        <v>1354.1640000000002</v>
      </c>
      <c r="L41" s="31">
        <f>Лист1!AS35+Лист1!AT35+Лист1!AU35+Лист1!AZ35+Лист1!BA35</f>
        <v>359</v>
      </c>
      <c r="M41" s="31">
        <f>Лист1!AX35</f>
        <v>48.92999999999999</v>
      </c>
      <c r="N41" s="30">
        <f>Лист1!BB35</f>
        <v>2393.774</v>
      </c>
      <c r="O41" s="74">
        <f>Лист1!BD35</f>
        <v>1279.3760000000007</v>
      </c>
      <c r="P41" s="74">
        <f>Лист1!BE35</f>
        <v>258.1300000000001</v>
      </c>
      <c r="Q41" s="1"/>
      <c r="R41" s="1"/>
    </row>
    <row r="42" spans="1:18" ht="12.75">
      <c r="A42" s="11" t="s">
        <v>51</v>
      </c>
      <c r="B42" s="82">
        <f>Лист1!B36</f>
        <v>394.8</v>
      </c>
      <c r="C42" s="27">
        <f t="shared" si="5"/>
        <v>3415.0200000000004</v>
      </c>
      <c r="D42" s="28">
        <f>Лист1!D36</f>
        <v>1102.2500000000005</v>
      </c>
      <c r="E42" s="14">
        <f>Лист1!S36</f>
        <v>2312.77</v>
      </c>
      <c r="F42" s="30">
        <f>Лист1!T36</f>
        <v>0</v>
      </c>
      <c r="G42" s="29">
        <f>Лист1!AB36</f>
        <v>1876.77</v>
      </c>
      <c r="H42" s="30">
        <f>Лист1!AC36</f>
        <v>2979.0200000000004</v>
      </c>
      <c r="I42" s="29">
        <f>Лист1!AG36</f>
        <v>236.88</v>
      </c>
      <c r="J42" s="14">
        <f>Лист1!AI36+Лист1!AJ36</f>
        <v>394.8</v>
      </c>
      <c r="K42" s="14">
        <f>Лист1!AH36+Лист1!AK36+Лист1!AL36+Лист1!AM36+Лист1!AN36+Лист1!AO36+Лист1!AP36+Лист1!AQ36+Лист1!AR36</f>
        <v>1354.1640000000002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2037.924</v>
      </c>
      <c r="O42" s="74">
        <f>Лист1!BD36</f>
        <v>941.0960000000005</v>
      </c>
      <c r="P42" s="74">
        <f>Лист1!BE36</f>
        <v>-436</v>
      </c>
      <c r="Q42" s="1"/>
      <c r="R42" s="1"/>
    </row>
    <row r="43" spans="1:18" ht="12.75">
      <c r="A43" s="11" t="s">
        <v>52</v>
      </c>
      <c r="B43" s="82">
        <f>Лист1!B37</f>
        <v>394.8</v>
      </c>
      <c r="C43" s="27">
        <f t="shared" si="5"/>
        <v>3415.0200000000004</v>
      </c>
      <c r="D43" s="28">
        <f>Лист1!D37</f>
        <v>1102.2500000000005</v>
      </c>
      <c r="E43" s="14">
        <f>Лист1!S37</f>
        <v>2312.77</v>
      </c>
      <c r="F43" s="30">
        <f>Лист1!T37</f>
        <v>0</v>
      </c>
      <c r="G43" s="29">
        <f>Лист1!AB37</f>
        <v>782.2600000000001</v>
      </c>
      <c r="H43" s="30">
        <f>Лист1!AC37</f>
        <v>1884.5100000000007</v>
      </c>
      <c r="I43" s="29">
        <f>Лист1!AG37</f>
        <v>236.88</v>
      </c>
      <c r="J43" s="14">
        <f>Лист1!AI37+Лист1!AJ37</f>
        <v>394.8</v>
      </c>
      <c r="K43" s="14">
        <f>Лист1!AH37+Лист1!AK37+Лист1!AL37+Лист1!AM37+Лист1!AN37+Лист1!AO37+Лист1!AP37+Лист1!AQ37+Лист1!AR37</f>
        <v>1354.1640000000002</v>
      </c>
      <c r="L43" s="31">
        <f>Лист1!AS37+Лист1!AT37+Лист1!AU37+Лист1!AZ37+Лист1!BA37</f>
        <v>56.403999999999996</v>
      </c>
      <c r="M43" s="31">
        <f>Лист1!AX37</f>
        <v>61.52999999999999</v>
      </c>
      <c r="N43" s="30">
        <f>Лист1!BB37</f>
        <v>2103.7780000000002</v>
      </c>
      <c r="O43" s="74">
        <f>Лист1!BD37</f>
        <v>-219.26799999999957</v>
      </c>
      <c r="P43" s="74">
        <f>Лист1!BE37</f>
        <v>-1530.5099999999998</v>
      </c>
      <c r="Q43" s="1"/>
      <c r="R43" s="1"/>
    </row>
    <row r="44" spans="1:18" ht="12.75">
      <c r="A44" s="11" t="s">
        <v>53</v>
      </c>
      <c r="B44" s="82">
        <f>Лист1!B38</f>
        <v>394.8</v>
      </c>
      <c r="C44" s="27">
        <f t="shared" si="5"/>
        <v>3415.0200000000004</v>
      </c>
      <c r="D44" s="28">
        <f>Лист1!D38</f>
        <v>1102.2500000000005</v>
      </c>
      <c r="E44" s="14">
        <f>Лист1!S38</f>
        <v>2312.77</v>
      </c>
      <c r="F44" s="30">
        <f>Лист1!T38</f>
        <v>0</v>
      </c>
      <c r="G44" s="29">
        <f>Лист1!AB38</f>
        <v>1278.84</v>
      </c>
      <c r="H44" s="30">
        <f>Лист1!AC38</f>
        <v>2381.09</v>
      </c>
      <c r="I44" s="29">
        <f>Лист1!AG38</f>
        <v>236.88</v>
      </c>
      <c r="J44" s="14">
        <f>Лист1!AI38+Лист1!AJ38</f>
        <v>394.8</v>
      </c>
      <c r="K44" s="14">
        <f>Лист1!AH38+Лист1!AK38+Лист1!AL38+Лист1!AM38+Лист1!AN38+Лист1!AO38+Лист1!AP38+Лист1!AQ38+Лист1!AR38</f>
        <v>1354.1640000000002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2059.134</v>
      </c>
      <c r="O44" s="74">
        <f>Лист1!BD38</f>
        <v>321.95600000000013</v>
      </c>
      <c r="P44" s="74">
        <f>Лист1!BE38</f>
        <v>-1033.93</v>
      </c>
      <c r="Q44" s="1"/>
      <c r="R44" s="1"/>
    </row>
    <row r="45" spans="1:18" ht="12.75">
      <c r="A45" s="11" t="s">
        <v>41</v>
      </c>
      <c r="B45" s="82">
        <f>Лист1!B39</f>
        <v>394.8</v>
      </c>
      <c r="C45" s="27">
        <f>B45*8.65</f>
        <v>3415.0200000000004</v>
      </c>
      <c r="D45" s="28">
        <f>Лист1!D39</f>
        <v>1102.2800000000007</v>
      </c>
      <c r="E45" s="14">
        <f>Лист1!S39</f>
        <v>2312.74</v>
      </c>
      <c r="F45" s="30">
        <f>Лист1!T39</f>
        <v>0</v>
      </c>
      <c r="G45" s="29">
        <f>Лист1!AB39</f>
        <v>2414.3500000000004</v>
      </c>
      <c r="H45" s="30">
        <f>Лист1!AC39</f>
        <v>3516.630000000001</v>
      </c>
      <c r="I45" s="29">
        <f>Лист1!AG39</f>
        <v>236.88</v>
      </c>
      <c r="J45" s="14">
        <f>Лист1!AI39+Лист1!AJ39</f>
        <v>394.8</v>
      </c>
      <c r="K45" s="14">
        <f>Лист1!AH39+Лист1!AK39+Лист1!AL39+Лист1!AM39+Лист1!AN39+Лист1!AO39+Лист1!AP39+Лист1!AQ39+Лист1!AR39</f>
        <v>1354.1640000000002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2075.094</v>
      </c>
      <c r="O45" s="74">
        <f>Лист1!BD39</f>
        <v>1441.536000000001</v>
      </c>
      <c r="P45" s="74">
        <f>Лист1!BE39</f>
        <v>101.61000000000058</v>
      </c>
      <c r="Q45" s="1"/>
      <c r="R45" s="1"/>
    </row>
    <row r="46" spans="1:18" ht="12.75">
      <c r="A46" s="11" t="s">
        <v>42</v>
      </c>
      <c r="B46" s="82">
        <f>Лист1!B40</f>
        <v>394.8</v>
      </c>
      <c r="C46" s="27">
        <f t="shared" si="5"/>
        <v>3415.0200000000004</v>
      </c>
      <c r="D46" s="28">
        <f>Лист1!D40</f>
        <v>1102.2300000000007</v>
      </c>
      <c r="E46" s="14">
        <f>Лист1!S40</f>
        <v>2312.79</v>
      </c>
      <c r="F46" s="30">
        <f>Лист1!T40</f>
        <v>0</v>
      </c>
      <c r="G46" s="29">
        <f>Лист1!AB40</f>
        <v>1134.0900000000001</v>
      </c>
      <c r="H46" s="30">
        <f>Лист1!AC40</f>
        <v>2236.3200000000006</v>
      </c>
      <c r="I46" s="29">
        <f>Лист1!AG40</f>
        <v>236.88</v>
      </c>
      <c r="J46" s="14">
        <f>Лист1!AI40+Лист1!AJ40</f>
        <v>394.8</v>
      </c>
      <c r="K46" s="14">
        <f>Лист1!AH40+Лист1!AK40+Лист1!AL40+Лист1!AM40+Лист1!AN40+Лист1!AO40+Лист1!AP40+Лист1!AQ40+Лист1!AR40</f>
        <v>1354.1640000000002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2084.544</v>
      </c>
      <c r="O46" s="74">
        <f>Лист1!BD40</f>
        <v>151.77600000000075</v>
      </c>
      <c r="P46" s="74">
        <f>Лист1!BE40</f>
        <v>-1178.6999999999998</v>
      </c>
      <c r="Q46" s="1"/>
      <c r="R46" s="1"/>
    </row>
    <row r="47" spans="1:18" ht="13.5" thickBot="1">
      <c r="A47" s="32" t="s">
        <v>43</v>
      </c>
      <c r="B47" s="82">
        <f>Лист1!B41</f>
        <v>394.8</v>
      </c>
      <c r="C47" s="33">
        <f t="shared" si="5"/>
        <v>3415.0200000000004</v>
      </c>
      <c r="D47" s="28">
        <f>Лист1!D41</f>
        <v>976.5900000000005</v>
      </c>
      <c r="E47" s="14">
        <f>Лист1!S41</f>
        <v>2438.4300000000003</v>
      </c>
      <c r="F47" s="30">
        <f>Лист1!T41</f>
        <v>0</v>
      </c>
      <c r="G47" s="29">
        <f>Лист1!AB41</f>
        <v>1832.23</v>
      </c>
      <c r="H47" s="30">
        <f>Лист1!AC41</f>
        <v>2808.8200000000006</v>
      </c>
      <c r="I47" s="29">
        <f>Лист1!AG41</f>
        <v>236.88</v>
      </c>
      <c r="J47" s="14">
        <f>Лист1!AI41+Лист1!AJ41</f>
        <v>394.8</v>
      </c>
      <c r="K47" s="14">
        <f>Лист1!AH41+Лист1!AK41+Лист1!AL41+Лист1!AM41+Лист1!AN41+Лист1!AO41+Лист1!AP41+Лист1!AQ41+Лист1!AR41</f>
        <v>1354.1640000000002</v>
      </c>
      <c r="L47" s="31">
        <f>Лист1!AS41+Лист1!AT41+Лист1!AU41+Лист1!AZ41+Лист1!BA41</f>
        <v>390.0018</v>
      </c>
      <c r="M47" s="31">
        <f>Лист1!AX41</f>
        <v>107.93999999999998</v>
      </c>
      <c r="N47" s="30">
        <f>Лист1!BB41</f>
        <v>2483.7858</v>
      </c>
      <c r="O47" s="74">
        <f>Лист1!BD41</f>
        <v>325.0342000000005</v>
      </c>
      <c r="P47" s="74">
        <f>Лист1!BE41</f>
        <v>-606.2000000000003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40980.240000000005</v>
      </c>
      <c r="D48" s="67">
        <f t="shared" si="6"/>
        <v>13101.190000000008</v>
      </c>
      <c r="E48" s="36">
        <f t="shared" si="6"/>
        <v>27271.79</v>
      </c>
      <c r="F48" s="68">
        <f t="shared" si="6"/>
        <v>607.2600000000001</v>
      </c>
      <c r="G48" s="67">
        <f t="shared" si="6"/>
        <v>51113.159999999996</v>
      </c>
      <c r="H48" s="68">
        <f t="shared" si="6"/>
        <v>64821.610000000015</v>
      </c>
      <c r="I48" s="67">
        <f t="shared" si="6"/>
        <v>2842.560000000001</v>
      </c>
      <c r="J48" s="36">
        <f t="shared" si="6"/>
        <v>4737.600000000001</v>
      </c>
      <c r="K48" s="36">
        <f t="shared" si="6"/>
        <v>16249.968000000006</v>
      </c>
      <c r="L48" s="36">
        <f t="shared" si="6"/>
        <v>1195.4058</v>
      </c>
      <c r="M48" s="36">
        <f t="shared" si="6"/>
        <v>923.9999999999999</v>
      </c>
      <c r="N48" s="68">
        <f t="shared" si="6"/>
        <v>25949.5338</v>
      </c>
      <c r="O48" s="75">
        <f t="shared" si="6"/>
        <v>38872.07620000001</v>
      </c>
      <c r="P48" s="75">
        <f t="shared" si="6"/>
        <v>23841.370000000006</v>
      </c>
      <c r="Q48" s="71"/>
      <c r="R48" s="71"/>
    </row>
    <row r="49" spans="1:18" ht="13.5" thickBot="1">
      <c r="A49" s="227" t="s">
        <v>70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92205.54000000001</v>
      </c>
      <c r="D50" s="37">
        <f aca="true" t="shared" si="7" ref="D50:N50">D34+D48</f>
        <v>26105.170092200016</v>
      </c>
      <c r="E50" s="38">
        <f t="shared" si="7"/>
        <v>57476.96999999999</v>
      </c>
      <c r="F50" s="39">
        <f t="shared" si="7"/>
        <v>1985.63</v>
      </c>
      <c r="G50" s="37">
        <f t="shared" si="7"/>
        <v>71666.11</v>
      </c>
      <c r="H50" s="39">
        <f t="shared" si="7"/>
        <v>99756.91009220002</v>
      </c>
      <c r="I50" s="37">
        <f t="shared" si="7"/>
        <v>6301.008000000002</v>
      </c>
      <c r="J50" s="38">
        <f t="shared" si="7"/>
        <v>10459.537390412002</v>
      </c>
      <c r="K50" s="38">
        <f t="shared" si="7"/>
        <v>35883.3579580376</v>
      </c>
      <c r="L50" s="38">
        <f t="shared" si="7"/>
        <v>23419.4078</v>
      </c>
      <c r="M50" s="38">
        <f t="shared" si="7"/>
        <v>1796.2559999999999</v>
      </c>
      <c r="N50" s="78">
        <f t="shared" si="7"/>
        <v>77859.5671484496</v>
      </c>
      <c r="O50" s="77">
        <f>O34+O48</f>
        <v>21897.34294375042</v>
      </c>
      <c r="P50" s="77">
        <f>P34+P48</f>
        <v>14189.140000000005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31" t="s">
        <v>73</v>
      </c>
      <c r="D53" s="231"/>
      <c r="Q53" s="1"/>
      <c r="R53" s="1"/>
    </row>
    <row r="54" spans="1:18" ht="12.75">
      <c r="A54" s="126">
        <v>7048.86</v>
      </c>
      <c r="B54" s="126">
        <v>0</v>
      </c>
      <c r="C54" s="229">
        <f>A54-B54</f>
        <v>7048.86</v>
      </c>
      <c r="D54" s="230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B1:H1"/>
    <mergeCell ref="B2:H2"/>
    <mergeCell ref="A8:D8"/>
    <mergeCell ref="E8:F8"/>
    <mergeCell ref="A5:O5"/>
    <mergeCell ref="A6:G6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2011-04-12T03:29:54Z</dcterms:modified>
  <cp:category/>
  <cp:version/>
  <cp:contentType/>
  <cp:contentStatus/>
</cp:coreProperties>
</file>