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<sst xmlns="http://schemas.openxmlformats.org/spreadsheetml/2006/main" count="178" uniqueCount="94">
  <si>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</si>
  <si>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</si>
  <si>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</si>
  <si>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</si>
  <si>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</si>
  <si>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</si>
  <si>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</si>
  <si>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</si>
  <si>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</si>
  <si>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</si>
  <si>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</si>
  <si>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</si>
  <si>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</si>
  <si>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</si>
  <si>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</si>
  <si>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</si>
  <si>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</si>
  <si>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</si>
  <si>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</si>
  <si>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</si>
  <si>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</si>
  <si>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</si>
  <si>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</si>
  <si>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</si>
  <si>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</si>
  <si>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</si>
  <si>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</si>
  <si>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</si>
  <si>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</si>
  <si>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</si>
  <si>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</si>
  <si>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</si>
  <si>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</si>
  <si>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</si>
  <si>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</si>
  <si>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</si>
  <si>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</si>
  <si>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</si>
  <si>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</si>
  <si>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</si>
  <si>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</si>
  <si>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</si>
  <si>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</si>
  <si>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</si>
  <si>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</si>
  <si>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</si>
  <si>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</si>
  <si>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</si>
  <si>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</si>
  <si>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</si>
  <si>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</si>
  <si>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</si>
  <si>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</si>
  <si>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</si>
  <si>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</si>
  <si>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</si>
  <si>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</si>
  <si>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</si>
  <si>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</si>
  <si>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</si>
  <si>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</si>
  <si>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</si>
  <si>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</si>
  <si>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</si>
  <si>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</si>
  <si>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</si>
  <si>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</si>
  <si>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</si>
  <si>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</si>
  <si>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</si>
  <si>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</si>
  <si>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</si>
  <si>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</si>
  <si>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тел. 3-48-80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</si>
  <si>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</si>
  <si>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</si>
  <si>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</si>
  <si>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</si>
  <si>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</si>
  <si>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</si>
  <si>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Лицевой счет по адресу г. Таштагол, ул. Суворова, д. 21</t>
  </si>
  <si>
    <t>Выписка по лицевому счету по адресу г. Таштагол ул. Суворова, д. 21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</si>
  <si>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</si>
  <si>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</si>
  <si>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</si>
  <si>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</si>
  <si>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</si>
  <si>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</si>
  <si>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</si>
  <si>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>Собрано всего по жил.услугам</t>
  </si>
  <si>
    <t>Исп. Ю.С. Дмитриева</t>
  </si>
  <si>
    <t>2010 год</t>
  </si>
  <si>
    <t>за период с 1 января 2010 г. по 31 декабря 2010 г.</t>
  </si>
  <si>
    <t>*по состоянию на 01.01.2011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</si>
</sst>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4" fontId="2" fillId="0" borderId="21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4" fontId="2" fillId="0" borderId="23" xfId="33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textRotation="90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2" fontId="1" fillId="0" borderId="40" xfId="0" applyNumberFormat="1" applyFont="1" applyFill="1" applyBorder="1" applyAlignment="1">
      <alignment horizontal="center" vertical="center" wrapText="1"/>
    </xf>
    <xf numFmtId="4" fontId="2" fillId="0" borderId="41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3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1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4" fontId="0" fillId="38" borderId="21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9" fillId="0" borderId="1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9" fillId="34" borderId="21" xfId="0" applyNumberFormat="1" applyFont="1" applyFill="1" applyBorder="1" applyAlignment="1">
      <alignment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39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0" fillId="37" borderId="21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 horizontal="center"/>
    </xf>
    <xf numFmtId="4" fontId="0" fillId="35" borderId="39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4" fontId="2" fillId="39" borderId="11" xfId="33" applyNumberFormat="1" applyFont="1" applyFill="1" applyBorder="1" applyAlignment="1">
      <alignment horizontal="center" vertical="center" wrapText="1"/>
      <protection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wrapText="1"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2" fillId="0" borderId="43" xfId="33" applyNumberFormat="1" applyFont="1" applyFill="1" applyBorder="1" applyAlignment="1">
      <alignment horizontal="right" vertical="center" wrapText="1"/>
      <protection/>
    </xf>
    <xf numFmtId="4" fontId="0" fillId="0" borderId="43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right"/>
    </xf>
    <xf numFmtId="4" fontId="8" fillId="0" borderId="46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2" fontId="0" fillId="0" borderId="4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2" fontId="0" fillId="0" borderId="38" xfId="0" applyNumberFormat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36" borderId="28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52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8" fillId="34" borderId="52" xfId="0" applyNumberFormat="1" applyFont="1" applyFill="1" applyBorder="1" applyAlignment="1">
      <alignment horizontal="center" vertical="center" wrapText="1"/>
    </xf>
    <xf numFmtId="2" fontId="8" fillId="34" borderId="53" xfId="0" applyNumberFormat="1" applyFont="1" applyFill="1" applyBorder="1" applyAlignment="1">
      <alignment horizontal="center" vertical="center" wrapText="1"/>
    </xf>
    <xf numFmtId="2" fontId="8" fillId="34" borderId="4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2" fontId="1" fillId="0" borderId="58" xfId="0" applyNumberFormat="1" applyFont="1" applyFill="1" applyBorder="1" applyAlignment="1">
      <alignment horizontal="center" textRotation="90" wrapText="1"/>
    </xf>
    <xf numFmtId="0" fontId="1" fillId="0" borderId="59" xfId="0" applyFont="1" applyFill="1" applyBorder="1" applyAlignment="1">
      <alignment horizontal="center" textRotation="90" wrapText="1"/>
    </xf>
    <xf numFmtId="0" fontId="1" fillId="0" borderId="60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74;&#1099;&#1087;&#1080;&#1089;&#1082;&#1080;%202009%20&#1075;&#1086;&#1076;\&#1058;&#1072;&#1096;&#1090;&#1072;&#1075;&#1086;&#1083;\&#1054;&#1082;&#1086;&#1085;&#1095;&#1072;&#1090;&#1077;&#1083;&#1100;&#1085;&#1099;&#1081;%20&#1074;&#1072;&#1088;&#1080;&#1072;&#1085;&#1090;\&#1058;&#1072;&#1096;&#1090;&#1072;&#1075;&#1086;&#1083;\&#1051;&#1080;&#1094;&#1077;&#1074;&#1086;&#1081;%20&#1089;&#1095;&#1077;&#1090;%20&#1051;&#1077;&#1085;&#1080;&#1085;&#1072;,%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24">
          <cell r="I24">
            <v>862.3853</v>
          </cell>
        </row>
        <row r="34">
          <cell r="I34">
            <v>8828.6815</v>
          </cell>
        </row>
      </sheetData>
      <sheetData sheetId="1">
        <row r="24">
          <cell r="I24">
            <v>862.3853</v>
          </cell>
        </row>
        <row r="34">
          <cell r="I34">
            <v>8828.6815</v>
          </cell>
        </row>
      </sheetData>
      <sheetData sheetId="6">
        <row r="25">
          <cell r="I25">
            <v>862.3853</v>
          </cell>
        </row>
        <row r="35">
          <cell r="I35">
            <v>8828.6815</v>
          </cell>
        </row>
        <row r="85">
          <cell r="I85">
            <v>1213.4341200000001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24">
          <cell r="O24">
            <v>366.6432147</v>
          </cell>
        </row>
        <row r="34">
          <cell r="O34">
            <v>4235.78001798</v>
          </cell>
        </row>
      </sheetData>
      <sheetData sheetId="1">
        <row r="24">
          <cell r="O24">
            <v>367.1943632</v>
          </cell>
        </row>
        <row r="34">
          <cell r="O34">
            <v>4242.1473628799995</v>
          </cell>
        </row>
      </sheetData>
      <sheetData sheetId="2">
        <row r="24">
          <cell r="O24">
            <v>359.49264185</v>
          </cell>
        </row>
        <row r="34">
          <cell r="O34">
            <v>4153.17040629</v>
          </cell>
        </row>
      </sheetData>
      <sheetData sheetId="3">
        <row r="24">
          <cell r="I24">
            <v>862.3853</v>
          </cell>
          <cell r="O24">
            <v>369.7490986</v>
          </cell>
        </row>
        <row r="34">
          <cell r="I34">
            <v>8828.6815</v>
          </cell>
          <cell r="O34">
            <v>4271.6618792399995</v>
          </cell>
        </row>
      </sheetData>
      <sheetData sheetId="4">
        <row r="24">
          <cell r="O24">
            <v>412.75322451</v>
          </cell>
        </row>
        <row r="34">
          <cell r="O34">
            <v>4768.482793734</v>
          </cell>
        </row>
      </sheetData>
      <sheetData sheetId="5">
        <row r="24">
          <cell r="I24">
            <v>862.3853</v>
          </cell>
          <cell r="O24">
            <v>390.7492459</v>
          </cell>
        </row>
        <row r="34">
          <cell r="I34">
            <v>8828.6815</v>
          </cell>
          <cell r="O34">
            <v>4514.27377206</v>
          </cell>
        </row>
      </sheetData>
      <sheetData sheetId="6">
        <row r="25">
          <cell r="O25">
            <v>407.5282441</v>
          </cell>
        </row>
        <row r="35">
          <cell r="O35">
            <v>4708.119293940001</v>
          </cell>
        </row>
        <row r="85">
          <cell r="O85">
            <v>484.88073884000005</v>
          </cell>
        </row>
      </sheetData>
      <sheetData sheetId="7">
        <row r="25">
          <cell r="O25">
            <v>407.34307673</v>
          </cell>
        </row>
        <row r="35">
          <cell r="O35">
            <v>4705.980080081999</v>
          </cell>
        </row>
        <row r="86">
          <cell r="O86">
            <v>484.66042505200005</v>
          </cell>
        </row>
      </sheetData>
      <sheetData sheetId="8">
        <row r="25">
          <cell r="O25">
            <v>407.28146851699995</v>
          </cell>
        </row>
        <row r="35">
          <cell r="O35">
            <v>4705.2683286378</v>
          </cell>
        </row>
        <row r="86">
          <cell r="O86">
            <v>484.5871230508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D3" t="str">
            <v>Доходы по нежил.помещениям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6">
          <cell r="I26">
            <v>862.3853</v>
          </cell>
        </row>
        <row r="36">
          <cell r="I36">
            <v>8828.6815</v>
          </cell>
        </row>
        <row r="93">
          <cell r="I93">
            <v>1213.4341200000001</v>
          </cell>
        </row>
        <row r="107">
          <cell r="I107">
            <v>996.4710600000001</v>
          </cell>
        </row>
      </sheetData>
      <sheetData sheetId="1">
        <row r="26">
          <cell r="I26">
            <v>862.3853</v>
          </cell>
          <cell r="O26">
            <v>411.04170000000005</v>
          </cell>
        </row>
        <row r="36">
          <cell r="I36">
            <v>8828.6815</v>
          </cell>
          <cell r="O36">
            <v>3860.4919199999995</v>
          </cell>
        </row>
        <row r="93">
          <cell r="I93">
            <v>1213.4341200000001</v>
          </cell>
          <cell r="O93">
            <v>489.06108000000006</v>
          </cell>
        </row>
        <row r="107">
          <cell r="I107">
            <v>996.4710600000001</v>
          </cell>
          <cell r="O107">
            <v>401.61654</v>
          </cell>
        </row>
      </sheetData>
      <sheetData sheetId="2">
        <row r="26">
          <cell r="I26">
            <v>862.3853</v>
          </cell>
          <cell r="O26">
            <v>411.04170000000005</v>
          </cell>
        </row>
        <row r="36">
          <cell r="I36">
            <v>8828.6815</v>
          </cell>
          <cell r="O36">
            <v>3860.4919199999995</v>
          </cell>
        </row>
        <row r="94">
          <cell r="I94">
            <v>1213.4341200000001</v>
          </cell>
          <cell r="O94">
            <v>489.06108000000006</v>
          </cell>
        </row>
        <row r="108">
          <cell r="I108">
            <v>996.4710600000001</v>
          </cell>
          <cell r="O108">
            <v>401.61654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0">
        <row r="26">
          <cell r="M26">
            <v>410.555</v>
          </cell>
        </row>
        <row r="34">
          <cell r="M34">
            <v>3854.325</v>
          </cell>
        </row>
        <row r="91">
          <cell r="M91">
            <v>488.482</v>
          </cell>
        </row>
        <row r="105">
          <cell r="M105">
            <v>401.141</v>
          </cell>
        </row>
      </sheetData>
      <sheetData sheetId="1">
        <row r="26">
          <cell r="M26">
            <v>410.555</v>
          </cell>
        </row>
        <row r="34">
          <cell r="M34">
            <v>3854.325</v>
          </cell>
        </row>
        <row r="91">
          <cell r="M91">
            <v>488.482</v>
          </cell>
        </row>
        <row r="105">
          <cell r="M105">
            <v>401.141</v>
          </cell>
        </row>
      </sheetData>
      <sheetData sheetId="2">
        <row r="26">
          <cell r="M26">
            <v>410.555</v>
          </cell>
        </row>
        <row r="34">
          <cell r="M34">
            <v>3854.325</v>
          </cell>
        </row>
        <row r="92">
          <cell r="M92">
            <v>488.482</v>
          </cell>
        </row>
        <row r="106">
          <cell r="M106">
            <v>401.141</v>
          </cell>
        </row>
      </sheetData>
      <sheetData sheetId="6">
        <row r="25">
          <cell r="I25">
            <v>862.3853</v>
          </cell>
        </row>
        <row r="33">
          <cell r="I33">
            <v>8828.6815</v>
          </cell>
        </row>
        <row r="89">
          <cell r="I89">
            <v>1213.4341200000001</v>
          </cell>
        </row>
        <row r="102">
          <cell r="I102">
            <v>996.4710600000001</v>
          </cell>
        </row>
      </sheetData>
      <sheetData sheetId="9">
        <row r="25">
          <cell r="I25">
            <v>862.3853</v>
          </cell>
          <cell r="M25">
            <v>410.555</v>
          </cell>
        </row>
        <row r="33">
          <cell r="I33">
            <v>8828.6815</v>
          </cell>
          <cell r="M33">
            <v>3854.325</v>
          </cell>
        </row>
        <row r="89">
          <cell r="I89">
            <v>1213.4341200000001</v>
          </cell>
          <cell r="M89">
            <v>488.482</v>
          </cell>
        </row>
        <row r="103">
          <cell r="I103">
            <v>996.4710600000001</v>
          </cell>
          <cell r="M103">
            <v>401.141</v>
          </cell>
        </row>
      </sheetData>
      <sheetData sheetId="10">
        <row r="25">
          <cell r="I25">
            <v>862.3853</v>
          </cell>
          <cell r="M25">
            <v>410.555</v>
          </cell>
        </row>
        <row r="33">
          <cell r="I33">
            <v>8828.6815</v>
          </cell>
          <cell r="M33">
            <v>3854.325</v>
          </cell>
        </row>
        <row r="89">
          <cell r="I89">
            <v>1213.4341200000001</v>
          </cell>
          <cell r="M89">
            <v>488.482</v>
          </cell>
        </row>
        <row r="102">
          <cell r="I102">
            <v>996.4710600000001</v>
          </cell>
          <cell r="M102">
            <v>401.141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26">
          <cell r="I26">
            <v>862.3853</v>
          </cell>
          <cell r="M26">
            <v>410.555</v>
          </cell>
        </row>
        <row r="34">
          <cell r="I34">
            <v>8828.6815</v>
          </cell>
          <cell r="M34">
            <v>3854.325</v>
          </cell>
        </row>
        <row r="92">
          <cell r="I92">
            <v>1213.4341200000001</v>
          </cell>
          <cell r="M92">
            <v>488.482</v>
          </cell>
        </row>
        <row r="106">
          <cell r="I106">
            <v>996.4710600000001</v>
          </cell>
          <cell r="M106">
            <v>401.141</v>
          </cell>
        </row>
      </sheetData>
      <sheetData sheetId="5">
        <row r="26">
          <cell r="M26">
            <v>410.555</v>
          </cell>
        </row>
        <row r="34">
          <cell r="M34">
            <v>3854.325</v>
          </cell>
        </row>
        <row r="90">
          <cell r="M90">
            <v>488.482</v>
          </cell>
        </row>
        <row r="103">
          <cell r="M103">
            <v>401.141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26">
          <cell r="I26">
            <v>862.3853</v>
          </cell>
        </row>
        <row r="34">
          <cell r="I34">
            <v>8828.6815</v>
          </cell>
        </row>
        <row r="91">
          <cell r="I91">
            <v>1213.4341200000001</v>
          </cell>
        </row>
        <row r="105">
          <cell r="I105">
            <v>996.4710600000001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6">
          <cell r="O26">
            <v>410.47721</v>
          </cell>
        </row>
        <row r="36">
          <cell r="O36">
            <v>4742.0072740000005</v>
          </cell>
        </row>
        <row r="93">
          <cell r="O93">
            <v>488.38436400000006</v>
          </cell>
        </row>
        <row r="107">
          <cell r="O107">
            <v>401.064182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O19">
      <selection activeCell="BD46" sqref="BD46"/>
    </sheetView>
  </sheetViews>
  <sheetFormatPr defaultColWidth="9.00390625" defaultRowHeight="12.75"/>
  <cols>
    <col min="1" max="1" width="8.75390625" style="2" bestFit="1" customWidth="1"/>
    <col min="2" max="2" width="9.625" style="2" bestFit="1" customWidth="1"/>
    <col min="3" max="3" width="11.625" style="2" customWidth="1"/>
    <col min="4" max="4" width="10.375" style="2" customWidth="1"/>
    <col min="5" max="5" width="10.625" style="2" customWidth="1"/>
    <col min="6" max="6" width="9.25390625" style="2" bestFit="1" customWidth="1"/>
    <col min="7" max="7" width="10.75390625" style="2" customWidth="1"/>
    <col min="8" max="8" width="9.25390625" style="2" bestFit="1" customWidth="1"/>
    <col min="9" max="9" width="9.875" style="2" customWidth="1"/>
    <col min="10" max="10" width="9.625" style="2" bestFit="1" customWidth="1"/>
    <col min="11" max="11" width="10.375" style="2" customWidth="1"/>
    <col min="12" max="13" width="9.625" style="2" bestFit="1" customWidth="1"/>
    <col min="14" max="14" width="9.25390625" style="2" bestFit="1" customWidth="1"/>
    <col min="15" max="15" width="10.25390625" style="2" bestFit="1" customWidth="1"/>
    <col min="16" max="18" width="9.25390625" style="2" bestFit="1" customWidth="1"/>
    <col min="19" max="19" width="12.125" style="2" customWidth="1"/>
    <col min="20" max="20" width="11.75390625" style="2" customWidth="1"/>
    <col min="21" max="22" width="9.625" style="2" bestFit="1" customWidth="1"/>
    <col min="23" max="23" width="10.625" style="2" customWidth="1"/>
    <col min="24" max="24" width="10.125" style="2" customWidth="1"/>
    <col min="25" max="25" width="9.625" style="2" bestFit="1" customWidth="1"/>
    <col min="26" max="27" width="9.25390625" style="2" bestFit="1" customWidth="1"/>
    <col min="28" max="28" width="10.625" style="2" bestFit="1" customWidth="1"/>
    <col min="29" max="30" width="11.375" style="2" customWidth="1"/>
    <col min="31" max="31" width="9.375" style="2" bestFit="1" customWidth="1"/>
    <col min="32" max="32" width="10.75390625" style="2" customWidth="1"/>
    <col min="33" max="33" width="10.25390625" style="2" customWidth="1"/>
    <col min="34" max="35" width="9.625" style="2" bestFit="1" customWidth="1"/>
    <col min="36" max="36" width="9.375" style="2" bestFit="1" customWidth="1"/>
    <col min="37" max="37" width="9.625" style="2" bestFit="1" customWidth="1"/>
    <col min="38" max="38" width="9.375" style="2" bestFit="1" customWidth="1"/>
    <col min="39" max="39" width="10.625" style="2" bestFit="1" customWidth="1"/>
    <col min="40" max="41" width="9.375" style="2" bestFit="1" customWidth="1"/>
    <col min="42" max="42" width="8.25390625" style="2" customWidth="1"/>
    <col min="43" max="43" width="9.25390625" style="2" customWidth="1"/>
    <col min="44" max="44" width="8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75390625" style="2" customWidth="1"/>
    <col min="55" max="55" width="10.375" style="2" customWidth="1"/>
    <col min="56" max="56" width="11.875" style="2" customWidth="1"/>
    <col min="57" max="57" width="14.00390625" style="2" customWidth="1"/>
    <col min="58" max="16384" width="9.125" style="2" customWidth="1"/>
  </cols>
  <sheetData>
    <row r="1" spans="1:18" ht="12.75">
      <c r="A1" s="233" t="s">
        <v>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34" t="s">
        <v>0</v>
      </c>
      <c r="B3" s="237" t="s">
        <v>1</v>
      </c>
      <c r="C3" s="237" t="s">
        <v>2</v>
      </c>
      <c r="D3" s="237" t="s">
        <v>3</v>
      </c>
      <c r="E3" s="240" t="s">
        <v>4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21" t="s">
        <v>5</v>
      </c>
      <c r="T3" s="221"/>
      <c r="U3" s="222" t="s">
        <v>6</v>
      </c>
      <c r="V3" s="222"/>
      <c r="W3" s="222"/>
      <c r="X3" s="222"/>
      <c r="Y3" s="222"/>
      <c r="Z3" s="222"/>
      <c r="AA3" s="222"/>
      <c r="AB3" s="222"/>
      <c r="AC3" s="200" t="s">
        <v>89</v>
      </c>
      <c r="AD3" s="200" t="s">
        <v>8</v>
      </c>
      <c r="AE3" s="224" t="s">
        <v>9</v>
      </c>
      <c r="AF3" s="214" t="s">
        <v>78</v>
      </c>
      <c r="AG3" s="197" t="s">
        <v>10</v>
      </c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230" t="s">
        <v>79</v>
      </c>
      <c r="BD3" s="218" t="s">
        <v>11</v>
      </c>
      <c r="BE3" s="227" t="s">
        <v>12</v>
      </c>
    </row>
    <row r="4" spans="1:57" ht="36" customHeight="1" thickBot="1">
      <c r="A4" s="235"/>
      <c r="B4" s="238"/>
      <c r="C4" s="238"/>
      <c r="D4" s="238"/>
      <c r="E4" s="217" t="s">
        <v>13</v>
      </c>
      <c r="F4" s="217"/>
      <c r="G4" s="217" t="s">
        <v>14</v>
      </c>
      <c r="H4" s="217"/>
      <c r="I4" s="217" t="s">
        <v>15</v>
      </c>
      <c r="J4" s="217"/>
      <c r="K4" s="217" t="s">
        <v>16</v>
      </c>
      <c r="L4" s="217"/>
      <c r="M4" s="217" t="s">
        <v>17</v>
      </c>
      <c r="N4" s="217"/>
      <c r="O4" s="217" t="s">
        <v>18</v>
      </c>
      <c r="P4" s="217"/>
      <c r="Q4" s="217" t="s">
        <v>19</v>
      </c>
      <c r="R4" s="217"/>
      <c r="S4" s="217"/>
      <c r="T4" s="217"/>
      <c r="U4" s="223"/>
      <c r="V4" s="223"/>
      <c r="W4" s="223"/>
      <c r="X4" s="223"/>
      <c r="Y4" s="223"/>
      <c r="Z4" s="223"/>
      <c r="AA4" s="223"/>
      <c r="AB4" s="223"/>
      <c r="AC4" s="201"/>
      <c r="AD4" s="201"/>
      <c r="AE4" s="225"/>
      <c r="AF4" s="215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231"/>
      <c r="BD4" s="219"/>
      <c r="BE4" s="228"/>
    </row>
    <row r="5" spans="1:57" ht="29.25" customHeight="1" thickBot="1">
      <c r="A5" s="235"/>
      <c r="B5" s="238"/>
      <c r="C5" s="238"/>
      <c r="D5" s="238"/>
      <c r="E5" s="195" t="s">
        <v>20</v>
      </c>
      <c r="F5" s="195" t="s">
        <v>21</v>
      </c>
      <c r="G5" s="195" t="s">
        <v>20</v>
      </c>
      <c r="H5" s="195" t="s">
        <v>21</v>
      </c>
      <c r="I5" s="195" t="s">
        <v>20</v>
      </c>
      <c r="J5" s="195" t="s">
        <v>21</v>
      </c>
      <c r="K5" s="195" t="s">
        <v>20</v>
      </c>
      <c r="L5" s="195" t="s">
        <v>21</v>
      </c>
      <c r="M5" s="195" t="s">
        <v>20</v>
      </c>
      <c r="N5" s="195" t="s">
        <v>21</v>
      </c>
      <c r="O5" s="195" t="s">
        <v>20</v>
      </c>
      <c r="P5" s="195" t="s">
        <v>21</v>
      </c>
      <c r="Q5" s="195" t="s">
        <v>20</v>
      </c>
      <c r="R5" s="195" t="s">
        <v>21</v>
      </c>
      <c r="S5" s="195" t="s">
        <v>20</v>
      </c>
      <c r="T5" s="195" t="s">
        <v>21</v>
      </c>
      <c r="U5" s="193" t="s">
        <v>22</v>
      </c>
      <c r="V5" s="193" t="s">
        <v>23</v>
      </c>
      <c r="W5" s="193" t="s">
        <v>24</v>
      </c>
      <c r="X5" s="193" t="s">
        <v>25</v>
      </c>
      <c r="Y5" s="193" t="s">
        <v>26</v>
      </c>
      <c r="Z5" s="193" t="s">
        <v>27</v>
      </c>
      <c r="AA5" s="193" t="s">
        <v>28</v>
      </c>
      <c r="AB5" s="193" t="s">
        <v>29</v>
      </c>
      <c r="AC5" s="201"/>
      <c r="AD5" s="201"/>
      <c r="AE5" s="225"/>
      <c r="AF5" s="215"/>
      <c r="AG5" s="198" t="s">
        <v>30</v>
      </c>
      <c r="AH5" s="198" t="s">
        <v>31</v>
      </c>
      <c r="AI5" s="198" t="s">
        <v>32</v>
      </c>
      <c r="AJ5" s="198" t="s">
        <v>33</v>
      </c>
      <c r="AK5" s="198" t="s">
        <v>34</v>
      </c>
      <c r="AL5" s="198" t="s">
        <v>33</v>
      </c>
      <c r="AM5" s="198" t="s">
        <v>35</v>
      </c>
      <c r="AN5" s="198" t="s">
        <v>33</v>
      </c>
      <c r="AO5" s="198" t="s">
        <v>36</v>
      </c>
      <c r="AP5" s="198" t="s">
        <v>33</v>
      </c>
      <c r="AQ5" s="210" t="s">
        <v>88</v>
      </c>
      <c r="AR5" s="212" t="s">
        <v>33</v>
      </c>
      <c r="AS5" s="205" t="s">
        <v>82</v>
      </c>
      <c r="AT5" s="205" t="s">
        <v>83</v>
      </c>
      <c r="AU5" s="203" t="s">
        <v>33</v>
      </c>
      <c r="AV5" s="207" t="s">
        <v>84</v>
      </c>
      <c r="AW5" s="208"/>
      <c r="AX5" s="209"/>
      <c r="AY5" s="198" t="s">
        <v>19</v>
      </c>
      <c r="AZ5" s="198" t="s">
        <v>38</v>
      </c>
      <c r="BA5" s="198" t="s">
        <v>33</v>
      </c>
      <c r="BB5" s="198" t="s">
        <v>39</v>
      </c>
      <c r="BC5" s="231"/>
      <c r="BD5" s="219"/>
      <c r="BE5" s="228"/>
    </row>
    <row r="6" spans="1:57" ht="54" customHeight="1" thickBot="1">
      <c r="A6" s="236"/>
      <c r="B6" s="239"/>
      <c r="C6" s="239"/>
      <c r="D6" s="23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4"/>
      <c r="V6" s="194"/>
      <c r="W6" s="194"/>
      <c r="X6" s="194"/>
      <c r="Y6" s="194"/>
      <c r="Z6" s="194"/>
      <c r="AA6" s="194"/>
      <c r="AB6" s="194"/>
      <c r="AC6" s="202"/>
      <c r="AD6" s="202"/>
      <c r="AE6" s="226"/>
      <c r="AF6" s="21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211"/>
      <c r="AR6" s="213"/>
      <c r="AS6" s="206"/>
      <c r="AT6" s="206"/>
      <c r="AU6" s="204"/>
      <c r="AV6" s="105" t="s">
        <v>85</v>
      </c>
      <c r="AW6" s="105" t="s">
        <v>86</v>
      </c>
      <c r="AX6" s="105" t="s">
        <v>87</v>
      </c>
      <c r="AY6" s="199"/>
      <c r="AZ6" s="199"/>
      <c r="BA6" s="199"/>
      <c r="BB6" s="199"/>
      <c r="BC6" s="232"/>
      <c r="BD6" s="220"/>
      <c r="BE6" s="229"/>
    </row>
    <row r="7" spans="1:57" ht="12.75">
      <c r="A7" s="7">
        <v>1</v>
      </c>
      <c r="B7" s="8">
        <v>3</v>
      </c>
      <c r="C7" s="8">
        <v>4</v>
      </c>
      <c r="D7" s="8">
        <v>5</v>
      </c>
      <c r="E7" s="51">
        <v>6</v>
      </c>
      <c r="F7" s="51">
        <v>7</v>
      </c>
      <c r="G7" s="51">
        <v>8</v>
      </c>
      <c r="H7" s="51">
        <v>9</v>
      </c>
      <c r="I7" s="51">
        <v>10</v>
      </c>
      <c r="J7" s="51">
        <v>11</v>
      </c>
      <c r="K7" s="51">
        <v>12</v>
      </c>
      <c r="L7" s="51">
        <v>13</v>
      </c>
      <c r="M7" s="51">
        <v>14</v>
      </c>
      <c r="N7" s="51">
        <v>15</v>
      </c>
      <c r="O7" s="51">
        <v>16</v>
      </c>
      <c r="P7" s="51">
        <v>17</v>
      </c>
      <c r="Q7" s="51">
        <v>18</v>
      </c>
      <c r="R7" s="51">
        <v>19</v>
      </c>
      <c r="S7" s="51">
        <v>20</v>
      </c>
      <c r="T7" s="51">
        <v>21</v>
      </c>
      <c r="U7" s="55">
        <v>22</v>
      </c>
      <c r="V7" s="55">
        <v>23</v>
      </c>
      <c r="W7" s="55">
        <v>24</v>
      </c>
      <c r="X7" s="55">
        <v>25</v>
      </c>
      <c r="Y7" s="55">
        <v>26</v>
      </c>
      <c r="Z7" s="55">
        <v>27</v>
      </c>
      <c r="AA7" s="55">
        <v>28</v>
      </c>
      <c r="AB7" s="55">
        <v>29</v>
      </c>
      <c r="AC7" s="8">
        <v>30</v>
      </c>
      <c r="AD7" s="8"/>
      <c r="AE7" s="8">
        <v>31</v>
      </c>
      <c r="AF7" s="8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/>
      <c r="AR7" s="8"/>
      <c r="AS7" s="51">
        <v>43</v>
      </c>
      <c r="AT7" s="51"/>
      <c r="AU7" s="51">
        <v>44</v>
      </c>
      <c r="AV7" s="8"/>
      <c r="AW7" s="8"/>
      <c r="AX7" s="8">
        <v>45</v>
      </c>
      <c r="AY7" s="8">
        <v>46</v>
      </c>
      <c r="AZ7" s="8">
        <v>47</v>
      </c>
      <c r="BA7" s="8">
        <v>48</v>
      </c>
      <c r="BB7" s="8">
        <v>49</v>
      </c>
      <c r="BC7" s="8"/>
      <c r="BD7" s="8">
        <v>50</v>
      </c>
      <c r="BE7" s="9">
        <v>51</v>
      </c>
    </row>
    <row r="8" spans="1:57" ht="12.75">
      <c r="A8" s="5" t="s">
        <v>40</v>
      </c>
      <c r="B8" s="6"/>
      <c r="C8" s="6"/>
      <c r="D8" s="6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6"/>
      <c r="V8" s="56"/>
      <c r="W8" s="56"/>
      <c r="X8" s="56"/>
      <c r="Y8" s="56"/>
      <c r="Z8" s="56"/>
      <c r="AA8" s="56"/>
      <c r="AB8" s="5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50"/>
      <c r="AT8" s="50"/>
      <c r="AU8" s="50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2">
        <v>6039.2</v>
      </c>
      <c r="C9" s="106">
        <f>B9*8.65</f>
        <v>52239.08</v>
      </c>
      <c r="D9" s="107">
        <f>C9*0.24088</f>
        <v>12583.349590400001</v>
      </c>
      <c r="E9" s="97">
        <v>3936.08</v>
      </c>
      <c r="F9" s="97">
        <v>925.79</v>
      </c>
      <c r="G9" s="97">
        <v>5313.51</v>
      </c>
      <c r="H9" s="97">
        <v>1249.88</v>
      </c>
      <c r="I9" s="97">
        <v>12791.89</v>
      </c>
      <c r="J9" s="97">
        <v>3088.77</v>
      </c>
      <c r="K9" s="97">
        <v>8855.93</v>
      </c>
      <c r="L9" s="97">
        <v>2083.02</v>
      </c>
      <c r="M9" s="97">
        <v>3148.8</v>
      </c>
      <c r="N9" s="97">
        <v>740.59</v>
      </c>
      <c r="O9" s="97">
        <v>0</v>
      </c>
      <c r="P9" s="97">
        <v>0</v>
      </c>
      <c r="Q9" s="97">
        <v>0</v>
      </c>
      <c r="R9" s="97">
        <v>0</v>
      </c>
      <c r="S9" s="98">
        <f>E9+G9+I9+K9+M9+O9+Q9</f>
        <v>34046.21</v>
      </c>
      <c r="T9" s="108">
        <f>P9+N9+L9+J9+H9+F9+R9</f>
        <v>8088.05</v>
      </c>
      <c r="U9" s="98">
        <v>0</v>
      </c>
      <c r="V9" s="98">
        <v>0</v>
      </c>
      <c r="W9" s="98">
        <v>33.13</v>
      </c>
      <c r="X9" s="98">
        <v>0</v>
      </c>
      <c r="Y9" s="98">
        <v>0</v>
      </c>
      <c r="Z9" s="109">
        <v>0</v>
      </c>
      <c r="AA9" s="109">
        <v>0</v>
      </c>
      <c r="AB9" s="109">
        <f>SUM(U9:AA9)</f>
        <v>33.13</v>
      </c>
      <c r="AC9" s="110">
        <f>D9+T9+AB9</f>
        <v>20704.5295904</v>
      </c>
      <c r="AD9" s="111">
        <f>P9+Z9</f>
        <v>0</v>
      </c>
      <c r="AE9" s="112">
        <f>R9+AA9</f>
        <v>0</v>
      </c>
      <c r="AF9" s="112"/>
      <c r="AG9" s="17">
        <f>0.6*B9</f>
        <v>3623.52</v>
      </c>
      <c r="AH9" s="17">
        <f>B9*0.2*1.05826</f>
        <v>1278.2087583999999</v>
      </c>
      <c r="AI9" s="17">
        <f>0.8518*B9-0.01</f>
        <v>5144.18056</v>
      </c>
      <c r="AJ9" s="17">
        <f>AI9*0.18</f>
        <v>925.9525007999999</v>
      </c>
      <c r="AK9" s="17">
        <f>1.04*B9*0.9531+0.01</f>
        <v>5986.2099808</v>
      </c>
      <c r="AL9" s="17">
        <f>AK9*0.18</f>
        <v>1077.517796544</v>
      </c>
      <c r="AM9" s="17">
        <f>(1.91)*B9*0.9531</f>
        <v>10993.8865032</v>
      </c>
      <c r="AN9" s="17">
        <f>AM9*0.18</f>
        <v>1978.8995705759999</v>
      </c>
      <c r="AO9" s="17"/>
      <c r="AP9" s="17">
        <f>AO9*0.18</f>
        <v>0</v>
      </c>
      <c r="AQ9" s="17"/>
      <c r="AR9" s="17"/>
      <c r="AS9" s="113">
        <v>12036.88</v>
      </c>
      <c r="AT9" s="103"/>
      <c r="AU9" s="52">
        <f>AS9*0.18</f>
        <v>2166.6384</v>
      </c>
      <c r="AV9" s="14"/>
      <c r="AW9" s="14"/>
      <c r="AX9" s="34">
        <v>0</v>
      </c>
      <c r="AY9" s="34">
        <v>0</v>
      </c>
      <c r="AZ9" s="34">
        <v>0</v>
      </c>
      <c r="BA9" s="14">
        <f>AZ9*0.18</f>
        <v>0</v>
      </c>
      <c r="BB9" s="14">
        <f>SUM(AG9:BA9)</f>
        <v>45211.89407031999</v>
      </c>
      <c r="BC9" s="14"/>
      <c r="BD9" s="14">
        <f>AC9-BB9</f>
        <v>-24507.36447991999</v>
      </c>
      <c r="BE9" s="33">
        <f>AB9-S9</f>
        <v>-34013.08</v>
      </c>
    </row>
    <row r="10" spans="1:57" ht="12.75">
      <c r="A10" s="11" t="s">
        <v>42</v>
      </c>
      <c r="B10" s="102">
        <v>6039.2</v>
      </c>
      <c r="C10" s="106">
        <f>B10*8.65</f>
        <v>52239.08</v>
      </c>
      <c r="D10" s="107">
        <f>C10*0.24088</f>
        <v>12583.349590400001</v>
      </c>
      <c r="E10" s="97">
        <v>3936.08</v>
      </c>
      <c r="F10" s="97">
        <v>925.79</v>
      </c>
      <c r="G10" s="97">
        <v>5313.51</v>
      </c>
      <c r="H10" s="97">
        <v>1249.88</v>
      </c>
      <c r="I10" s="97">
        <v>12791.89</v>
      </c>
      <c r="J10" s="97">
        <v>3088.77</v>
      </c>
      <c r="K10" s="97">
        <v>8855.93</v>
      </c>
      <c r="L10" s="97">
        <v>2083.02</v>
      </c>
      <c r="M10" s="97">
        <v>3148.8</v>
      </c>
      <c r="N10" s="97">
        <v>740.59</v>
      </c>
      <c r="O10" s="97">
        <v>0</v>
      </c>
      <c r="P10" s="97">
        <v>0</v>
      </c>
      <c r="Q10" s="97">
        <v>0</v>
      </c>
      <c r="R10" s="97">
        <v>0</v>
      </c>
      <c r="S10" s="98">
        <f>E10+G10+I10+K10+M10+O10+Q10</f>
        <v>34046.21</v>
      </c>
      <c r="T10" s="108">
        <f>P10+N10+L10+J10+H10+F10+R10</f>
        <v>8088.05</v>
      </c>
      <c r="U10" s="98">
        <v>2607.23</v>
      </c>
      <c r="V10" s="98">
        <v>3519.77</v>
      </c>
      <c r="W10" s="98">
        <v>8713.3</v>
      </c>
      <c r="X10" s="98">
        <v>5866.35</v>
      </c>
      <c r="Y10" s="98">
        <v>2085.83</v>
      </c>
      <c r="Z10" s="109">
        <v>0</v>
      </c>
      <c r="AA10" s="109">
        <v>0</v>
      </c>
      <c r="AB10" s="118">
        <f>SUM(U10:AA10)</f>
        <v>22792.480000000003</v>
      </c>
      <c r="AC10" s="119">
        <f>D10+T10+AB10</f>
        <v>43463.8795904</v>
      </c>
      <c r="AD10" s="112">
        <f>P10+Z10</f>
        <v>0</v>
      </c>
      <c r="AE10" s="112">
        <f>R10+AA10</f>
        <v>0</v>
      </c>
      <c r="AF10" s="112"/>
      <c r="AG10" s="17">
        <f>0.6*B10</f>
        <v>3623.52</v>
      </c>
      <c r="AH10" s="17">
        <f>B10*0.201+1</f>
        <v>1214.8792</v>
      </c>
      <c r="AI10" s="17">
        <f>0.8518*B10-0.01</f>
        <v>5144.18056</v>
      </c>
      <c r="AJ10" s="17">
        <f>AI10*0.18</f>
        <v>925.9525007999999</v>
      </c>
      <c r="AK10" s="17">
        <f>1.04*B10*0.9531</f>
        <v>5986.1999808</v>
      </c>
      <c r="AL10" s="17">
        <f>AK10*0.18</f>
        <v>1077.515996544</v>
      </c>
      <c r="AM10" s="17">
        <f>(1.91)*B10*0.9531</f>
        <v>10993.8865032</v>
      </c>
      <c r="AN10" s="17">
        <f>AM10*0.18</f>
        <v>1978.8995705759999</v>
      </c>
      <c r="AO10" s="17"/>
      <c r="AP10" s="17">
        <f>AO10*0.18</f>
        <v>0</v>
      </c>
      <c r="AQ10" s="17"/>
      <c r="AR10" s="17"/>
      <c r="AS10" s="113">
        <v>122654</v>
      </c>
      <c r="AT10" s="103"/>
      <c r="AU10" s="52">
        <f>AS10*0.18</f>
        <v>22077.719999999998</v>
      </c>
      <c r="AV10" s="14"/>
      <c r="AW10" s="14"/>
      <c r="AX10" s="34">
        <v>0</v>
      </c>
      <c r="AY10" s="34">
        <v>0</v>
      </c>
      <c r="AZ10" s="34">
        <v>0</v>
      </c>
      <c r="BA10" s="14">
        <f>AZ10*0.18</f>
        <v>0</v>
      </c>
      <c r="BB10" s="14">
        <f>SUM(AG10:BA10)</f>
        <v>175676.75431192</v>
      </c>
      <c r="BC10" s="14"/>
      <c r="BD10" s="14">
        <f>AC10-BB10</f>
        <v>-132212.87472152</v>
      </c>
      <c r="BE10" s="33">
        <f>AB10-S10</f>
        <v>-11253.729999999996</v>
      </c>
    </row>
    <row r="11" spans="1:57" ht="12.75">
      <c r="A11" s="11" t="s">
        <v>43</v>
      </c>
      <c r="B11" s="102">
        <v>6039.2</v>
      </c>
      <c r="C11" s="106">
        <f>B11*8.65</f>
        <v>52239.08</v>
      </c>
      <c r="D11" s="107">
        <f>C11*0.24035</f>
        <v>12555.662878000001</v>
      </c>
      <c r="E11" s="97">
        <v>3867.88</v>
      </c>
      <c r="F11" s="97">
        <v>971.72</v>
      </c>
      <c r="G11" s="97">
        <v>5221.69</v>
      </c>
      <c r="H11" s="97">
        <v>1311.84</v>
      </c>
      <c r="I11" s="97">
        <v>12570.6</v>
      </c>
      <c r="J11" s="97">
        <v>3158.07</v>
      </c>
      <c r="K11" s="97">
        <v>8702.73</v>
      </c>
      <c r="L11" s="97">
        <v>2186.36</v>
      </c>
      <c r="M11" s="97">
        <v>3094.27</v>
      </c>
      <c r="N11" s="97">
        <v>777.36</v>
      </c>
      <c r="O11" s="97">
        <v>0</v>
      </c>
      <c r="P11" s="120">
        <v>0</v>
      </c>
      <c r="Q11" s="97">
        <v>0</v>
      </c>
      <c r="R11" s="120">
        <v>0</v>
      </c>
      <c r="S11" s="98">
        <f>E11+G11+I11+K11+M11+O11+Q11</f>
        <v>33457.17</v>
      </c>
      <c r="T11" s="108">
        <f>P11+N11+L11+J11+H11+F11+R11</f>
        <v>8405.35</v>
      </c>
      <c r="U11" s="98">
        <v>3681.17</v>
      </c>
      <c r="V11" s="98">
        <v>4969.62</v>
      </c>
      <c r="W11" s="98">
        <v>11883.1</v>
      </c>
      <c r="X11" s="98">
        <v>8282.49</v>
      </c>
      <c r="Y11" s="98">
        <v>2944.83</v>
      </c>
      <c r="Z11" s="109">
        <v>0</v>
      </c>
      <c r="AA11" s="109">
        <v>0</v>
      </c>
      <c r="AB11" s="118">
        <f>SUM(U11:AA11)</f>
        <v>31761.21</v>
      </c>
      <c r="AC11" s="119">
        <f>D11+T11+AB11</f>
        <v>52722.222878</v>
      </c>
      <c r="AD11" s="112">
        <f>P11+Z11</f>
        <v>0</v>
      </c>
      <c r="AE11" s="112">
        <f>R11+AA11</f>
        <v>0</v>
      </c>
      <c r="AF11" s="112"/>
      <c r="AG11" s="17">
        <f>0.6*B11</f>
        <v>3623.52</v>
      </c>
      <c r="AH11" s="17">
        <f>B11*0.2*1.02524-0.01</f>
        <v>1238.3158815999998</v>
      </c>
      <c r="AI11" s="17">
        <f>0.84932*B11</f>
        <v>5129.213344</v>
      </c>
      <c r="AJ11" s="17">
        <f>AI11*0.18</f>
        <v>923.2584019199999</v>
      </c>
      <c r="AK11" s="17">
        <f>1.04*B11*0.95033</f>
        <v>5968.80225344</v>
      </c>
      <c r="AL11" s="17">
        <f>AK11*0.18</f>
        <v>1074.3844056192</v>
      </c>
      <c r="AM11" s="17">
        <f>(1.91)*B11*0.95033-0.1</f>
        <v>10961.83490776</v>
      </c>
      <c r="AN11" s="17">
        <f>AM11*0.18</f>
        <v>1973.1302833967998</v>
      </c>
      <c r="AO11" s="17"/>
      <c r="AP11" s="17">
        <f>AO11*0.18</f>
        <v>0</v>
      </c>
      <c r="AQ11" s="17"/>
      <c r="AR11" s="17"/>
      <c r="AS11" s="113">
        <v>24793</v>
      </c>
      <c r="AT11" s="113">
        <v>2750.81</v>
      </c>
      <c r="AU11" s="52">
        <f>(AS11+AT11)*0.18</f>
        <v>4957.8858</v>
      </c>
      <c r="AV11" s="14"/>
      <c r="AW11" s="14"/>
      <c r="AX11" s="34">
        <v>0</v>
      </c>
      <c r="AY11" s="34">
        <v>0</v>
      </c>
      <c r="AZ11" s="34">
        <v>0</v>
      </c>
      <c r="BA11" s="14">
        <f>AZ11*0.18</f>
        <v>0</v>
      </c>
      <c r="BB11" s="14">
        <f>SUM(AG11:BA11)</f>
        <v>63394.155277736005</v>
      </c>
      <c r="BC11" s="14"/>
      <c r="BD11" s="14">
        <f>AC11-BB11</f>
        <v>-10671.932399736004</v>
      </c>
      <c r="BE11" s="33">
        <f>AB11-S11</f>
        <v>-1695.9599999999991</v>
      </c>
    </row>
    <row r="12" spans="1:57" s="21" customFormat="1" ht="15" customHeight="1">
      <c r="A12" s="18" t="s">
        <v>5</v>
      </c>
      <c r="B12" s="66"/>
      <c r="C12" s="66">
        <f aca="true" t="shared" si="0" ref="C12:BE12">SUM(C9:C11)</f>
        <v>156717.24</v>
      </c>
      <c r="D12" s="66">
        <f t="shared" si="0"/>
        <v>37722.362058800005</v>
      </c>
      <c r="E12" s="62">
        <f>SUM(E9:E11)</f>
        <v>11740.04</v>
      </c>
      <c r="F12" s="62">
        <f t="shared" si="0"/>
        <v>2823.3</v>
      </c>
      <c r="G12" s="62">
        <f t="shared" si="0"/>
        <v>15848.71</v>
      </c>
      <c r="H12" s="62">
        <f t="shared" si="0"/>
        <v>3811.6000000000004</v>
      </c>
      <c r="I12" s="62">
        <f t="shared" si="0"/>
        <v>38154.38</v>
      </c>
      <c r="J12" s="62">
        <f t="shared" si="0"/>
        <v>9335.61</v>
      </c>
      <c r="K12" s="62">
        <f t="shared" si="0"/>
        <v>26414.59</v>
      </c>
      <c r="L12" s="62">
        <f t="shared" si="0"/>
        <v>6352.4</v>
      </c>
      <c r="M12" s="62">
        <f t="shared" si="0"/>
        <v>9391.87</v>
      </c>
      <c r="N12" s="62">
        <f t="shared" si="0"/>
        <v>2258.54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0</v>
      </c>
      <c r="S12" s="62">
        <f t="shared" si="0"/>
        <v>101549.59</v>
      </c>
      <c r="T12" s="62">
        <f t="shared" si="0"/>
        <v>24581.45</v>
      </c>
      <c r="U12" s="67">
        <f t="shared" si="0"/>
        <v>6288.4</v>
      </c>
      <c r="V12" s="67">
        <f t="shared" si="0"/>
        <v>8489.39</v>
      </c>
      <c r="W12" s="67">
        <f t="shared" si="0"/>
        <v>20629.53</v>
      </c>
      <c r="X12" s="67">
        <f t="shared" si="0"/>
        <v>14148.84</v>
      </c>
      <c r="Y12" s="67">
        <f t="shared" si="0"/>
        <v>5030.66</v>
      </c>
      <c r="Z12" s="67">
        <f t="shared" si="0"/>
        <v>0</v>
      </c>
      <c r="AA12" s="67">
        <f t="shared" si="0"/>
        <v>0</v>
      </c>
      <c r="AB12" s="67">
        <f t="shared" si="0"/>
        <v>54586.82000000001</v>
      </c>
      <c r="AC12" s="66">
        <f t="shared" si="0"/>
        <v>116890.6320588</v>
      </c>
      <c r="AD12" s="66">
        <f>SUM(AD9:AD11)</f>
        <v>0</v>
      </c>
      <c r="AE12" s="19">
        <f t="shared" si="0"/>
        <v>0</v>
      </c>
      <c r="AF12" s="19">
        <f t="shared" si="0"/>
        <v>0</v>
      </c>
      <c r="AG12" s="19">
        <f t="shared" si="0"/>
        <v>10870.56</v>
      </c>
      <c r="AH12" s="19">
        <f t="shared" si="0"/>
        <v>3731.40384</v>
      </c>
      <c r="AI12" s="19">
        <f t="shared" si="0"/>
        <v>15417.574464</v>
      </c>
      <c r="AJ12" s="19">
        <f t="shared" si="0"/>
        <v>2775.1634035199995</v>
      </c>
      <c r="AK12" s="19">
        <f t="shared" si="0"/>
        <v>17941.21221504</v>
      </c>
      <c r="AL12" s="19">
        <f t="shared" si="0"/>
        <v>3229.4181987071997</v>
      </c>
      <c r="AM12" s="19">
        <f>SUM(AM9:AM11)</f>
        <v>32949.60791416</v>
      </c>
      <c r="AN12" s="19">
        <f>SUM(AN9:AN11)</f>
        <v>5930.9294245488</v>
      </c>
      <c r="AO12" s="19">
        <f t="shared" si="0"/>
        <v>0</v>
      </c>
      <c r="AP12" s="19">
        <f t="shared" si="0"/>
        <v>0</v>
      </c>
      <c r="AQ12" s="19"/>
      <c r="AR12" s="19"/>
      <c r="AS12" s="104">
        <f t="shared" si="0"/>
        <v>159483.88</v>
      </c>
      <c r="AT12" s="104"/>
      <c r="AU12" s="104">
        <f t="shared" si="0"/>
        <v>29202.244199999997</v>
      </c>
      <c r="AV12" s="19"/>
      <c r="AW12" s="19"/>
      <c r="AX12" s="19">
        <f t="shared" si="0"/>
        <v>0</v>
      </c>
      <c r="AY12" s="19">
        <f t="shared" si="0"/>
        <v>0</v>
      </c>
      <c r="AZ12" s="19">
        <f t="shared" si="0"/>
        <v>0</v>
      </c>
      <c r="BA12" s="19">
        <f t="shared" si="0"/>
        <v>0</v>
      </c>
      <c r="BB12" s="19">
        <f t="shared" si="0"/>
        <v>284282.803659976</v>
      </c>
      <c r="BC12" s="19">
        <f t="shared" si="0"/>
        <v>0</v>
      </c>
      <c r="BD12" s="19">
        <f t="shared" si="0"/>
        <v>-167392.17160117597</v>
      </c>
      <c r="BE12" s="20">
        <f t="shared" si="0"/>
        <v>-46962.77</v>
      </c>
    </row>
    <row r="13" spans="1:57" ht="15" customHeight="1">
      <c r="A13" s="5" t="s">
        <v>44</v>
      </c>
      <c r="B13" s="63"/>
      <c r="C13" s="64"/>
      <c r="D13" s="64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0"/>
      <c r="R13" s="60"/>
      <c r="S13" s="60"/>
      <c r="T13" s="60"/>
      <c r="U13" s="68"/>
      <c r="V13" s="68"/>
      <c r="W13" s="68"/>
      <c r="X13" s="68"/>
      <c r="Y13" s="68"/>
      <c r="Z13" s="68"/>
      <c r="AA13" s="59"/>
      <c r="AB13" s="59"/>
      <c r="AC13" s="65"/>
      <c r="AD13" s="6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34"/>
      <c r="AP13" s="34"/>
      <c r="AQ13" s="34"/>
      <c r="AR13" s="34"/>
      <c r="AS13" s="103"/>
      <c r="AT13" s="103"/>
      <c r="AU13" s="52"/>
      <c r="AV13" s="14"/>
      <c r="AW13" s="14"/>
      <c r="AX13" s="34"/>
      <c r="AY13" s="34"/>
      <c r="AZ13" s="34"/>
      <c r="BA13" s="14"/>
      <c r="BB13" s="14"/>
      <c r="BC13" s="14"/>
      <c r="BD13" s="14"/>
      <c r="BE13" s="33"/>
    </row>
    <row r="14" spans="1:57" ht="12.75">
      <c r="A14" s="11" t="s">
        <v>45</v>
      </c>
      <c r="B14" s="121">
        <v>6039.2</v>
      </c>
      <c r="C14" s="106">
        <f aca="true" t="shared" si="1" ref="C14:C25">B14*8.65</f>
        <v>52239.08</v>
      </c>
      <c r="D14" s="107">
        <f>C14*0.125</f>
        <v>6529.885</v>
      </c>
      <c r="E14" s="97">
        <v>3951.88</v>
      </c>
      <c r="F14" s="97">
        <v>970.03</v>
      </c>
      <c r="G14" s="97">
        <v>5334.98</v>
      </c>
      <c r="H14" s="97">
        <v>1309.57</v>
      </c>
      <c r="I14" s="97">
        <v>12843.38</v>
      </c>
      <c r="J14" s="97">
        <v>3152.6</v>
      </c>
      <c r="K14" s="97">
        <v>8891.63</v>
      </c>
      <c r="L14" s="97">
        <v>2182.57</v>
      </c>
      <c r="M14" s="97">
        <v>3161.44</v>
      </c>
      <c r="N14" s="97">
        <v>776.01</v>
      </c>
      <c r="O14" s="97">
        <v>0</v>
      </c>
      <c r="P14" s="120">
        <v>0</v>
      </c>
      <c r="Q14" s="97">
        <v>0</v>
      </c>
      <c r="R14" s="120">
        <v>0</v>
      </c>
      <c r="S14" s="99">
        <f aca="true" t="shared" si="2" ref="S14:S25">E14+G14+I14+K14+M14+O14+Q14</f>
        <v>34183.31</v>
      </c>
      <c r="T14" s="134">
        <f aca="true" t="shared" si="3" ref="T14:T25">P14+N14+L14+J14+H14+F14+R14</f>
        <v>8390.78</v>
      </c>
      <c r="U14" s="98">
        <v>2599.62</v>
      </c>
      <c r="V14" s="98">
        <v>3509.56</v>
      </c>
      <c r="W14" s="98">
        <v>8420.15</v>
      </c>
      <c r="X14" s="98">
        <v>5849.21</v>
      </c>
      <c r="Y14" s="98">
        <v>2079.7</v>
      </c>
      <c r="Z14" s="109">
        <v>0</v>
      </c>
      <c r="AA14" s="109">
        <v>0</v>
      </c>
      <c r="AB14" s="122">
        <f aca="true" t="shared" si="4" ref="AB14:AB25">SUM(U14:AA14)</f>
        <v>22458.24</v>
      </c>
      <c r="AC14" s="123">
        <f aca="true" t="shared" si="5" ref="AC14:AC22">D14+T14+AB14</f>
        <v>37378.905</v>
      </c>
      <c r="AD14" s="124">
        <f>P15+Z14</f>
        <v>0</v>
      </c>
      <c r="AE14" s="124">
        <f>R15+AA14</f>
        <v>0</v>
      </c>
      <c r="AF14" s="124">
        <f>'[1]Т01-09'!$I$24+'[1]Т01-09'!$I$34</f>
        <v>9691.0668</v>
      </c>
      <c r="AG14" s="17">
        <f>0.6*B14*0.9</f>
        <v>3261.168</v>
      </c>
      <c r="AH14" s="17">
        <f>B14*0.2*0.891</f>
        <v>1076.18544</v>
      </c>
      <c r="AI14" s="17">
        <f>0.85*B14*0.867-0.02</f>
        <v>4450.568439999999</v>
      </c>
      <c r="AJ14" s="125">
        <f aca="true" t="shared" si="6" ref="AJ14:AJ25">AI14*0.18</f>
        <v>801.1023191999998</v>
      </c>
      <c r="AK14" s="17">
        <f>0.83*B14*0.8686</f>
        <v>4353.8887696</v>
      </c>
      <c r="AL14" s="125">
        <f aca="true" t="shared" si="7" ref="AL14:AL25">AK14*0.18</f>
        <v>783.699978528</v>
      </c>
      <c r="AM14" s="17">
        <f>1.91*B14*0.8686</f>
        <v>10019.1898192</v>
      </c>
      <c r="AN14" s="125">
        <f aca="true" t="shared" si="8" ref="AN14:AN25">AM14*0.18</f>
        <v>1803.454167456</v>
      </c>
      <c r="AO14" s="125"/>
      <c r="AP14" s="125">
        <f>AO14*0.18</f>
        <v>0</v>
      </c>
      <c r="AQ14" s="126"/>
      <c r="AR14" s="127">
        <f>AQ14*0.18</f>
        <v>0</v>
      </c>
      <c r="AS14" s="128">
        <v>58933</v>
      </c>
      <c r="AT14" s="128"/>
      <c r="AU14" s="113">
        <f>(AS14+AT14)*0.18+0.01</f>
        <v>10607.95</v>
      </c>
      <c r="AV14" s="129">
        <v>508</v>
      </c>
      <c r="AW14" s="130">
        <v>3.25</v>
      </c>
      <c r="AX14" s="125">
        <f>AV14*AW14*1.12*1.18</f>
        <v>2181.9616</v>
      </c>
      <c r="AY14" s="125"/>
      <c r="AZ14" s="131"/>
      <c r="BA14" s="131">
        <f aca="true" t="shared" si="9" ref="BA14:BA25">AZ14*0.18</f>
        <v>0</v>
      </c>
      <c r="BB14" s="117">
        <f>SUM(AG14:AU14)</f>
        <v>96090.206933984</v>
      </c>
      <c r="BC14" s="132">
        <f>'[2]Т01-09'!$O$24+'[2]Т01-09'!$O$34</f>
        <v>4602.423232679999</v>
      </c>
      <c r="BD14" s="133">
        <f>(AC14-BB14)+(AF14-BC14)</f>
        <v>-53622.65836666399</v>
      </c>
      <c r="BE14" s="33">
        <f>AB14-S14</f>
        <v>-11725.069999999996</v>
      </c>
    </row>
    <row r="15" spans="1:57" ht="12.75">
      <c r="A15" s="11" t="s">
        <v>46</v>
      </c>
      <c r="B15" s="121">
        <v>6038.9</v>
      </c>
      <c r="C15" s="106">
        <f t="shared" si="1"/>
        <v>52236.485</v>
      </c>
      <c r="D15" s="107">
        <f>C15*0.125</f>
        <v>6529.560625</v>
      </c>
      <c r="E15" s="97">
        <v>3939.52</v>
      </c>
      <c r="F15" s="97">
        <v>970.11</v>
      </c>
      <c r="G15" s="97">
        <v>5318.36</v>
      </c>
      <c r="H15" s="97">
        <v>1309.67</v>
      </c>
      <c r="I15" s="97">
        <v>12803.31</v>
      </c>
      <c r="J15" s="97">
        <v>3152.85</v>
      </c>
      <c r="K15" s="97">
        <v>8863.86</v>
      </c>
      <c r="L15" s="97">
        <v>2182.75</v>
      </c>
      <c r="M15" s="97">
        <v>3151.56</v>
      </c>
      <c r="N15" s="97">
        <v>776.08</v>
      </c>
      <c r="O15" s="97">
        <v>0</v>
      </c>
      <c r="P15" s="120">
        <v>0</v>
      </c>
      <c r="Q15" s="97">
        <v>0</v>
      </c>
      <c r="R15" s="120">
        <v>0</v>
      </c>
      <c r="S15" s="98">
        <f t="shared" si="2"/>
        <v>34076.61</v>
      </c>
      <c r="T15" s="108">
        <f t="shared" si="3"/>
        <v>8391.460000000001</v>
      </c>
      <c r="U15" s="98">
        <v>3146.01</v>
      </c>
      <c r="V15" s="98">
        <v>4247.13</v>
      </c>
      <c r="W15" s="98">
        <v>10108.41</v>
      </c>
      <c r="X15" s="98">
        <v>7078.46</v>
      </c>
      <c r="Y15" s="98">
        <v>2516.87</v>
      </c>
      <c r="Z15" s="109">
        <v>0</v>
      </c>
      <c r="AA15" s="109">
        <v>0</v>
      </c>
      <c r="AB15" s="118">
        <f t="shared" si="4"/>
        <v>27096.879999999997</v>
      </c>
      <c r="AC15" s="119">
        <f t="shared" si="5"/>
        <v>42017.900624999995</v>
      </c>
      <c r="AD15" s="112">
        <f aca="true" t="shared" si="10" ref="AD15:AD25">P15+Z15</f>
        <v>0</v>
      </c>
      <c r="AE15" s="112">
        <f aca="true" t="shared" si="11" ref="AE15:AE25">R15+AA15</f>
        <v>0</v>
      </c>
      <c r="AF15" s="112">
        <f>'[1]Т02-09'!$I$24+'[1]Т02-09'!$I$34</f>
        <v>9691.0668</v>
      </c>
      <c r="AG15" s="17">
        <f>0.6*B15*0.9</f>
        <v>3261.006</v>
      </c>
      <c r="AH15" s="17">
        <f>B15*0.2*0.9153</f>
        <v>1105.481034</v>
      </c>
      <c r="AI15" s="17">
        <f>0.85*B15*0.866</f>
        <v>4445.234289999999</v>
      </c>
      <c r="AJ15" s="17">
        <f t="shared" si="6"/>
        <v>800.1421721999999</v>
      </c>
      <c r="AK15" s="17">
        <f>0.83*B15*0.8684+0.01</f>
        <v>4352.680030799999</v>
      </c>
      <c r="AL15" s="17">
        <f t="shared" si="7"/>
        <v>783.4824055439998</v>
      </c>
      <c r="AM15" s="17">
        <f>(1.91)*B15*0.8684</f>
        <v>10016.385251599999</v>
      </c>
      <c r="AN15" s="17">
        <f t="shared" si="8"/>
        <v>1802.9493452879997</v>
      </c>
      <c r="AO15" s="17"/>
      <c r="AP15" s="17">
        <f>AO15*0.18</f>
        <v>0</v>
      </c>
      <c r="AQ15" s="126"/>
      <c r="AR15" s="127">
        <f>AQ15*0.18</f>
        <v>0</v>
      </c>
      <c r="AS15" s="113">
        <v>9945</v>
      </c>
      <c r="AT15" s="128">
        <f>8*756</f>
        <v>6048</v>
      </c>
      <c r="AU15" s="113">
        <f aca="true" t="shared" si="12" ref="AU15:AU25">(AS15+AT15)*0.18</f>
        <v>2878.74</v>
      </c>
      <c r="AV15" s="114">
        <v>407</v>
      </c>
      <c r="AW15" s="168">
        <v>3.25</v>
      </c>
      <c r="AX15" s="17">
        <f>AV15*AW15*1.12*1.18</f>
        <v>1748.1464</v>
      </c>
      <c r="AY15" s="17"/>
      <c r="AZ15" s="117"/>
      <c r="BA15" s="117">
        <f t="shared" si="9"/>
        <v>0</v>
      </c>
      <c r="BB15" s="117">
        <f>SUM(AG15:AU15)+AY15</f>
        <v>45439.10052943199</v>
      </c>
      <c r="BC15" s="166">
        <f>'[2]Т02-09'!$O$34+'[2]Т02-09'!$O$24</f>
        <v>4609.34172608</v>
      </c>
      <c r="BD15" s="133">
        <f aca="true" t="shared" si="13" ref="BD15:BD25">(AC15-BB15)+(AF15-BC15)</f>
        <v>1660.5251694880044</v>
      </c>
      <c r="BE15" s="33">
        <f aca="true" t="shared" si="14" ref="BE15:BE25">AB15-S15</f>
        <v>-6979.730000000003</v>
      </c>
    </row>
    <row r="16" spans="1:57" ht="12.75">
      <c r="A16" s="11" t="s">
        <v>47</v>
      </c>
      <c r="B16" s="167">
        <v>6038.9</v>
      </c>
      <c r="C16" s="106">
        <f t="shared" si="1"/>
        <v>52236.485</v>
      </c>
      <c r="D16" s="107">
        <f>C16*0.125</f>
        <v>6529.560625</v>
      </c>
      <c r="E16" s="97">
        <v>3971.08</v>
      </c>
      <c r="F16" s="97">
        <v>950.29</v>
      </c>
      <c r="G16" s="97">
        <v>5360.96</v>
      </c>
      <c r="H16" s="97">
        <v>1282.94</v>
      </c>
      <c r="I16" s="97">
        <v>12905.94</v>
      </c>
      <c r="J16" s="97">
        <v>3088.46</v>
      </c>
      <c r="K16" s="97">
        <v>8934.9</v>
      </c>
      <c r="L16" s="97">
        <v>2138.17</v>
      </c>
      <c r="M16" s="97">
        <v>3176.84</v>
      </c>
      <c r="N16" s="97">
        <v>760.24</v>
      </c>
      <c r="O16" s="97">
        <v>0</v>
      </c>
      <c r="P16" s="120">
        <v>0</v>
      </c>
      <c r="Q16" s="97">
        <v>0</v>
      </c>
      <c r="R16" s="120">
        <v>0</v>
      </c>
      <c r="S16" s="99">
        <f t="shared" si="2"/>
        <v>34349.72</v>
      </c>
      <c r="T16" s="134">
        <f t="shared" si="3"/>
        <v>8220.099999999999</v>
      </c>
      <c r="U16" s="99">
        <v>4672.54</v>
      </c>
      <c r="V16" s="99">
        <v>6308.68</v>
      </c>
      <c r="W16" s="99">
        <v>15131.69</v>
      </c>
      <c r="X16" s="99">
        <v>10514.2</v>
      </c>
      <c r="Y16" s="99">
        <v>3737.84</v>
      </c>
      <c r="Z16" s="135">
        <v>0</v>
      </c>
      <c r="AA16" s="135">
        <v>0</v>
      </c>
      <c r="AB16" s="122">
        <f t="shared" si="4"/>
        <v>40364.95</v>
      </c>
      <c r="AC16" s="123">
        <f t="shared" si="5"/>
        <v>55114.610624999994</v>
      </c>
      <c r="AD16" s="124">
        <f t="shared" si="10"/>
        <v>0</v>
      </c>
      <c r="AE16" s="124">
        <f t="shared" si="11"/>
        <v>0</v>
      </c>
      <c r="AF16" s="112">
        <f>'[1]Т02-09'!$I$24+'[1]Т02-09'!$I$34</f>
        <v>9691.0668</v>
      </c>
      <c r="AG16" s="125">
        <f>0.6*B16*0.9</f>
        <v>3261.006</v>
      </c>
      <c r="AH16" s="125">
        <f>B16*0.2*0.9082-0.01</f>
        <v>1096.895796</v>
      </c>
      <c r="AI16" s="17">
        <f>0.85*B16*0.8675+0.01</f>
        <v>4452.9438875000005</v>
      </c>
      <c r="AJ16" s="125">
        <f t="shared" si="6"/>
        <v>801.52989975</v>
      </c>
      <c r="AK16" s="125">
        <f>0.83*B16*0.838</f>
        <v>4200.296506</v>
      </c>
      <c r="AL16" s="17">
        <f t="shared" si="7"/>
        <v>756.0533710799999</v>
      </c>
      <c r="AM16" s="17">
        <f>1.91*B16*0.838</f>
        <v>9665.742562</v>
      </c>
      <c r="AN16" s="125">
        <f t="shared" si="8"/>
        <v>1739.8336611599998</v>
      </c>
      <c r="AO16" s="125"/>
      <c r="AP16" s="125">
        <f aca="true" t="shared" si="15" ref="AP16:AR19">AO16*0.18</f>
        <v>0</v>
      </c>
      <c r="AQ16" s="126"/>
      <c r="AR16" s="127">
        <f>AQ16*0.18</f>
        <v>0</v>
      </c>
      <c r="AS16" s="128">
        <v>21878</v>
      </c>
      <c r="AT16" s="128"/>
      <c r="AU16" s="113">
        <f t="shared" si="12"/>
        <v>3938.04</v>
      </c>
      <c r="AV16" s="129">
        <v>383</v>
      </c>
      <c r="AW16" s="130">
        <v>3.25</v>
      </c>
      <c r="AX16" s="125">
        <f>AV16*AW16*1.12*1.18</f>
        <v>1645.0616</v>
      </c>
      <c r="AY16" s="125"/>
      <c r="AZ16" s="131"/>
      <c r="BA16" s="131">
        <f t="shared" si="9"/>
        <v>0</v>
      </c>
      <c r="BB16" s="117">
        <f>SUM(AG16:AU16)</f>
        <v>51790.34168348999</v>
      </c>
      <c r="BC16" s="166">
        <f>'[2]Т03-09'!$O$34+'[2]Т03-09'!$O$24</f>
        <v>4512.66304814</v>
      </c>
      <c r="BD16" s="133">
        <f t="shared" si="13"/>
        <v>8502.672693370005</v>
      </c>
      <c r="BE16" s="33">
        <f t="shared" si="14"/>
        <v>6015.229999999996</v>
      </c>
    </row>
    <row r="17" spans="1:57" ht="12.75">
      <c r="A17" s="11" t="s">
        <v>48</v>
      </c>
      <c r="B17" s="155">
        <v>6038.9</v>
      </c>
      <c r="C17" s="106">
        <f t="shared" si="1"/>
        <v>52236.485</v>
      </c>
      <c r="D17" s="107">
        <f>C17*0.125</f>
        <v>6529.560625</v>
      </c>
      <c r="E17" s="90">
        <v>3761.01</v>
      </c>
      <c r="F17" s="90">
        <v>985.26</v>
      </c>
      <c r="G17" s="90">
        <v>5077.38</v>
      </c>
      <c r="H17" s="90">
        <v>1330.1</v>
      </c>
      <c r="I17" s="90">
        <v>12232.32</v>
      </c>
      <c r="J17" s="90">
        <v>3202.04</v>
      </c>
      <c r="K17" s="90">
        <v>8462.23</v>
      </c>
      <c r="L17" s="90">
        <v>2216.82</v>
      </c>
      <c r="M17" s="90">
        <v>3008.77</v>
      </c>
      <c r="N17" s="90">
        <v>788.18</v>
      </c>
      <c r="O17" s="90">
        <v>0</v>
      </c>
      <c r="P17" s="136">
        <v>0</v>
      </c>
      <c r="Q17" s="90">
        <v>0</v>
      </c>
      <c r="R17" s="136">
        <v>0</v>
      </c>
      <c r="S17" s="99">
        <f t="shared" si="2"/>
        <v>32541.71</v>
      </c>
      <c r="T17" s="134">
        <f t="shared" si="3"/>
        <v>8522.4</v>
      </c>
      <c r="U17" s="98">
        <v>3417.62</v>
      </c>
      <c r="V17" s="98">
        <v>4613.26</v>
      </c>
      <c r="W17" s="98">
        <v>11123.01</v>
      </c>
      <c r="X17" s="98">
        <v>7688.81</v>
      </c>
      <c r="Y17" s="98">
        <v>2734.03</v>
      </c>
      <c r="Z17" s="98">
        <v>0</v>
      </c>
      <c r="AA17" s="98">
        <v>0</v>
      </c>
      <c r="AB17" s="122">
        <f t="shared" si="4"/>
        <v>29576.73</v>
      </c>
      <c r="AC17" s="123">
        <f t="shared" si="5"/>
        <v>44628.690625</v>
      </c>
      <c r="AD17" s="124">
        <f t="shared" si="10"/>
        <v>0</v>
      </c>
      <c r="AE17" s="124">
        <f t="shared" si="11"/>
        <v>0</v>
      </c>
      <c r="AF17" s="112">
        <f>'[2]Т04-09'!$I$24+'[2]Т04-09'!$I$34</f>
        <v>9691.0668</v>
      </c>
      <c r="AG17" s="17">
        <f>0.6*B17*0.9</f>
        <v>3261.006</v>
      </c>
      <c r="AH17" s="125">
        <f>B17*0.2*0.9234</f>
        <v>1115.264052</v>
      </c>
      <c r="AI17" s="17">
        <f>0.85*B17*0.8934</f>
        <v>4585.880270999999</v>
      </c>
      <c r="AJ17" s="17">
        <f t="shared" si="6"/>
        <v>825.4584487799998</v>
      </c>
      <c r="AK17" s="17">
        <f>0.83*B17*0.8498</f>
        <v>4259.441492599999</v>
      </c>
      <c r="AL17" s="17">
        <f t="shared" si="7"/>
        <v>766.6994686679998</v>
      </c>
      <c r="AM17" s="17">
        <f>(1.91)*B17*0.8498</f>
        <v>9801.8472902</v>
      </c>
      <c r="AN17" s="17">
        <f t="shared" si="8"/>
        <v>1764.3325122359997</v>
      </c>
      <c r="AO17" s="125"/>
      <c r="AP17" s="125">
        <f t="shared" si="15"/>
        <v>0</v>
      </c>
      <c r="AQ17" s="127">
        <f>510+510+120+11698.75+2229.14</f>
        <v>15067.89</v>
      </c>
      <c r="AR17" s="126">
        <f t="shared" si="15"/>
        <v>2712.2201999999997</v>
      </c>
      <c r="AS17" s="113">
        <v>11956.05</v>
      </c>
      <c r="AT17" s="113"/>
      <c r="AU17" s="113">
        <f t="shared" si="12"/>
        <v>2152.089</v>
      </c>
      <c r="AV17" s="129">
        <v>307</v>
      </c>
      <c r="AW17" s="130">
        <v>3.25</v>
      </c>
      <c r="AX17" s="17">
        <f>AV17*AW17*1.12*1.18+AX14+AX15+AX16</f>
        <v>6893.795999999999</v>
      </c>
      <c r="AY17" s="125"/>
      <c r="AZ17" s="131"/>
      <c r="BA17" s="131">
        <f t="shared" si="9"/>
        <v>0</v>
      </c>
      <c r="BB17" s="117">
        <f aca="true" t="shared" si="16" ref="BB17:BB22">SUM(AG17:BA17)-AV17-AW17</f>
        <v>65161.974735484</v>
      </c>
      <c r="BC17" s="137">
        <f>'[2]Т04-09'!$O$24+'[2]Т04-09'!$O$34</f>
        <v>4641.41097784</v>
      </c>
      <c r="BD17" s="133">
        <f t="shared" si="13"/>
        <v>-15483.628288323996</v>
      </c>
      <c r="BE17" s="33">
        <f t="shared" si="14"/>
        <v>-2964.9799999999996</v>
      </c>
    </row>
    <row r="18" spans="1:57" ht="12.75">
      <c r="A18" s="11" t="s">
        <v>49</v>
      </c>
      <c r="B18" s="167">
        <v>6038.9</v>
      </c>
      <c r="C18" s="106">
        <f t="shared" si="1"/>
        <v>52236.485</v>
      </c>
      <c r="D18" s="138">
        <f aca="true" t="shared" si="17" ref="D18:D25">C18-E18-F18-G18-H18-I18-J18-K18-L18-M18-N18</f>
        <v>5215.875000000005</v>
      </c>
      <c r="E18" s="90">
        <v>4336.46</v>
      </c>
      <c r="F18" s="90">
        <v>1090.88</v>
      </c>
      <c r="G18" s="90">
        <v>5873</v>
      </c>
      <c r="H18" s="90">
        <v>1478.7</v>
      </c>
      <c r="I18" s="90">
        <v>14112.18</v>
      </c>
      <c r="J18" s="90">
        <v>3551.33</v>
      </c>
      <c r="K18" s="90">
        <v>9775.71</v>
      </c>
      <c r="L18" s="90">
        <v>2460.54</v>
      </c>
      <c r="M18" s="90">
        <v>3469.13</v>
      </c>
      <c r="N18" s="90">
        <v>872.68</v>
      </c>
      <c r="O18" s="90">
        <v>0</v>
      </c>
      <c r="P18" s="136">
        <v>0</v>
      </c>
      <c r="Q18" s="90">
        <v>0</v>
      </c>
      <c r="R18" s="136">
        <v>0</v>
      </c>
      <c r="S18" s="99">
        <f t="shared" si="2"/>
        <v>37566.479999999996</v>
      </c>
      <c r="T18" s="134">
        <f t="shared" si="3"/>
        <v>9454.130000000001</v>
      </c>
      <c r="U18" s="99">
        <v>2988.63</v>
      </c>
      <c r="V18" s="99">
        <v>4034.5</v>
      </c>
      <c r="W18" s="99">
        <v>9712.41</v>
      </c>
      <c r="X18" s="99">
        <v>6724.1</v>
      </c>
      <c r="Y18" s="99">
        <v>2391.03</v>
      </c>
      <c r="Z18" s="135">
        <v>0</v>
      </c>
      <c r="AA18" s="135">
        <v>0</v>
      </c>
      <c r="AB18" s="122">
        <f t="shared" si="4"/>
        <v>25850.67</v>
      </c>
      <c r="AC18" s="123">
        <f t="shared" si="5"/>
        <v>40520.675</v>
      </c>
      <c r="AD18" s="124">
        <f t="shared" si="10"/>
        <v>0</v>
      </c>
      <c r="AE18" s="124">
        <f t="shared" si="11"/>
        <v>0</v>
      </c>
      <c r="AF18" s="112">
        <f>'[2]Т04-09'!$I$24+'[2]Т04-09'!$I$34</f>
        <v>9691.0668</v>
      </c>
      <c r="AG18" s="17">
        <f aca="true" t="shared" si="18" ref="AG18:AG25">0.6*B18</f>
        <v>3623.3399999999997</v>
      </c>
      <c r="AH18" s="17">
        <f>B18*0.2*1.01</f>
        <v>1219.8578</v>
      </c>
      <c r="AI18" s="17">
        <f>0.85*B18</f>
        <v>5133.065</v>
      </c>
      <c r="AJ18" s="125">
        <f t="shared" si="6"/>
        <v>923.9516999999998</v>
      </c>
      <c r="AK18" s="125">
        <f>0.83*B18</f>
        <v>5012.286999999999</v>
      </c>
      <c r="AL18" s="125">
        <f t="shared" si="7"/>
        <v>902.2116599999998</v>
      </c>
      <c r="AM18" s="17">
        <f>(1.91)*B18-0.01</f>
        <v>11534.288999999999</v>
      </c>
      <c r="AN18" s="125">
        <f t="shared" si="8"/>
        <v>2076.1720199999995</v>
      </c>
      <c r="AO18" s="125"/>
      <c r="AP18" s="125">
        <f t="shared" si="15"/>
        <v>0</v>
      </c>
      <c r="AQ18" s="127"/>
      <c r="AR18" s="126">
        <f t="shared" si="15"/>
        <v>0</v>
      </c>
      <c r="AS18" s="128">
        <f>9282.84</f>
        <v>9282.84</v>
      </c>
      <c r="AT18" s="128">
        <f>800</f>
        <v>800</v>
      </c>
      <c r="AU18" s="113">
        <f t="shared" si="12"/>
        <v>1814.9112</v>
      </c>
      <c r="AV18" s="129">
        <v>263</v>
      </c>
      <c r="AW18" s="130">
        <v>3.25</v>
      </c>
      <c r="AX18" s="125">
        <f aca="true" t="shared" si="19" ref="AX18:AX25">AV18*AW18*1.12*1.18</f>
        <v>1129.6376</v>
      </c>
      <c r="AY18" s="125"/>
      <c r="AZ18" s="131"/>
      <c r="BA18" s="131">
        <f t="shared" si="9"/>
        <v>0</v>
      </c>
      <c r="BB18" s="131">
        <f t="shared" si="16"/>
        <v>43452.56298</v>
      </c>
      <c r="BC18" s="137">
        <f>'[2]Т05-09'!$O$24+'[2]Т05-09'!$O$34</f>
        <v>5181.236018244</v>
      </c>
      <c r="BD18" s="133">
        <f t="shared" si="13"/>
        <v>1577.9428017560012</v>
      </c>
      <c r="BE18" s="33">
        <f t="shared" si="14"/>
        <v>-11715.809999999998</v>
      </c>
    </row>
    <row r="19" spans="1:57" ht="12.75">
      <c r="A19" s="11" t="s">
        <v>50</v>
      </c>
      <c r="B19" s="167">
        <v>6038.9</v>
      </c>
      <c r="C19" s="106">
        <f t="shared" si="1"/>
        <v>52236.485</v>
      </c>
      <c r="D19" s="138">
        <f t="shared" si="17"/>
        <v>5686.184999999998</v>
      </c>
      <c r="E19" s="90">
        <v>4256.62</v>
      </c>
      <c r="F19" s="90">
        <v>1116.29</v>
      </c>
      <c r="G19" s="90">
        <v>5765.21</v>
      </c>
      <c r="H19" s="90">
        <v>1513.17</v>
      </c>
      <c r="I19" s="90">
        <v>13852.72</v>
      </c>
      <c r="J19" s="90">
        <v>3634.06</v>
      </c>
      <c r="K19" s="90">
        <v>9596.14</v>
      </c>
      <c r="L19" s="90">
        <v>2517.83</v>
      </c>
      <c r="M19" s="90">
        <v>3405.27</v>
      </c>
      <c r="N19" s="90">
        <v>892.99</v>
      </c>
      <c r="O19" s="90">
        <v>0</v>
      </c>
      <c r="P19" s="136">
        <v>0</v>
      </c>
      <c r="Q19" s="90">
        <v>0</v>
      </c>
      <c r="R19" s="136">
        <v>0</v>
      </c>
      <c r="S19" s="99">
        <f t="shared" si="2"/>
        <v>36875.96</v>
      </c>
      <c r="T19" s="134">
        <f t="shared" si="3"/>
        <v>9674.34</v>
      </c>
      <c r="U19" s="99">
        <v>4446.51</v>
      </c>
      <c r="V19" s="99">
        <v>6016.73</v>
      </c>
      <c r="W19" s="99">
        <v>14465.2</v>
      </c>
      <c r="X19" s="99">
        <v>10018.17</v>
      </c>
      <c r="Y19" s="99">
        <v>3557.14</v>
      </c>
      <c r="Z19" s="135">
        <v>0</v>
      </c>
      <c r="AA19" s="135">
        <v>0</v>
      </c>
      <c r="AB19" s="122">
        <f t="shared" si="4"/>
        <v>38503.75</v>
      </c>
      <c r="AC19" s="123">
        <f t="shared" si="5"/>
        <v>53864.274999999994</v>
      </c>
      <c r="AD19" s="124">
        <f t="shared" si="10"/>
        <v>0</v>
      </c>
      <c r="AE19" s="124">
        <f t="shared" si="11"/>
        <v>0</v>
      </c>
      <c r="AF19" s="112">
        <f>'[2]Т06-09'!$I$24+'[2]Т06-09'!$I$34</f>
        <v>9691.0668</v>
      </c>
      <c r="AG19" s="17">
        <f t="shared" si="18"/>
        <v>3623.3399999999997</v>
      </c>
      <c r="AH19" s="17">
        <f>B19*0.2*1.01045</f>
        <v>1220.401301</v>
      </c>
      <c r="AI19" s="17">
        <f>0.85*B19</f>
        <v>5133.065</v>
      </c>
      <c r="AJ19" s="17">
        <f t="shared" si="6"/>
        <v>923.9516999999998</v>
      </c>
      <c r="AK19" s="17">
        <f>0.83*B19</f>
        <v>5012.286999999999</v>
      </c>
      <c r="AL19" s="17">
        <f t="shared" si="7"/>
        <v>902.2116599999998</v>
      </c>
      <c r="AM19" s="17">
        <f>(1.91)*B19</f>
        <v>11534.298999999999</v>
      </c>
      <c r="AN19" s="125">
        <f t="shared" si="8"/>
        <v>2076.17382</v>
      </c>
      <c r="AO19" s="125"/>
      <c r="AP19" s="125">
        <f t="shared" si="15"/>
        <v>0</v>
      </c>
      <c r="AQ19" s="127"/>
      <c r="AR19" s="126">
        <f t="shared" si="15"/>
        <v>0</v>
      </c>
      <c r="AS19" s="128">
        <v>11743.44</v>
      </c>
      <c r="AT19" s="128"/>
      <c r="AU19" s="113">
        <f t="shared" si="12"/>
        <v>2113.8192</v>
      </c>
      <c r="AV19" s="129">
        <v>233</v>
      </c>
      <c r="AW19" s="130">
        <v>3.25</v>
      </c>
      <c r="AX19" s="125">
        <f t="shared" si="19"/>
        <v>1000.7816000000001</v>
      </c>
      <c r="AY19" s="139"/>
      <c r="AZ19" s="140"/>
      <c r="BA19" s="117">
        <f t="shared" si="9"/>
        <v>0</v>
      </c>
      <c r="BB19" s="117">
        <f t="shared" si="16"/>
        <v>45283.770281</v>
      </c>
      <c r="BC19" s="137">
        <f>'[2]Т06-09'!$O$24+'[2]Т06-09'!$O$34</f>
        <v>4905.02301796</v>
      </c>
      <c r="BD19" s="133">
        <f t="shared" si="13"/>
        <v>13366.548501039997</v>
      </c>
      <c r="BE19" s="33">
        <f t="shared" si="14"/>
        <v>1627.7900000000009</v>
      </c>
    </row>
    <row r="20" spans="1:57" ht="12.75">
      <c r="A20" s="11" t="s">
        <v>51</v>
      </c>
      <c r="B20" s="141">
        <v>6038.9</v>
      </c>
      <c r="C20" s="106">
        <f t="shared" si="1"/>
        <v>52236.485</v>
      </c>
      <c r="D20" s="138">
        <f t="shared" si="17"/>
        <v>5779.904999999999</v>
      </c>
      <c r="E20" s="90">
        <v>4236.52</v>
      </c>
      <c r="F20" s="90">
        <v>1125.75</v>
      </c>
      <c r="G20" s="90">
        <v>5737.5</v>
      </c>
      <c r="H20" s="90">
        <v>1525.96</v>
      </c>
      <c r="I20" s="90">
        <v>13786.81</v>
      </c>
      <c r="J20" s="90">
        <v>3664.82</v>
      </c>
      <c r="K20" s="90">
        <v>9550.29</v>
      </c>
      <c r="L20" s="90">
        <v>2539.18</v>
      </c>
      <c r="M20" s="90">
        <v>3389.17</v>
      </c>
      <c r="N20" s="90">
        <v>900.58</v>
      </c>
      <c r="O20" s="90">
        <v>0</v>
      </c>
      <c r="P20" s="136">
        <v>0</v>
      </c>
      <c r="Q20" s="90">
        <v>0</v>
      </c>
      <c r="R20" s="136">
        <v>0</v>
      </c>
      <c r="S20" s="98">
        <f t="shared" si="2"/>
        <v>36700.29</v>
      </c>
      <c r="T20" s="134">
        <f t="shared" si="3"/>
        <v>9756.29</v>
      </c>
      <c r="U20" s="99">
        <v>4666.96</v>
      </c>
      <c r="V20" s="99">
        <v>6318.93</v>
      </c>
      <c r="W20" s="99">
        <v>15186.3</v>
      </c>
      <c r="X20" s="99">
        <v>10519.16</v>
      </c>
      <c r="Y20" s="99">
        <v>3733.69</v>
      </c>
      <c r="Z20" s="135">
        <v>0</v>
      </c>
      <c r="AA20" s="135">
        <v>0</v>
      </c>
      <c r="AB20" s="122">
        <f t="shared" si="4"/>
        <v>40425.04</v>
      </c>
      <c r="AC20" s="123">
        <f t="shared" si="5"/>
        <v>55961.235</v>
      </c>
      <c r="AD20" s="124">
        <f t="shared" si="10"/>
        <v>0</v>
      </c>
      <c r="AE20" s="124">
        <f t="shared" si="11"/>
        <v>0</v>
      </c>
      <c r="AF20" s="124">
        <f>'[1]Т07-09'!$I$25+'[1]Т07-09'!$I$35+'[1]Т07-09'!$I$85</f>
        <v>10904.50092</v>
      </c>
      <c r="AG20" s="125">
        <f t="shared" si="18"/>
        <v>3623.3399999999997</v>
      </c>
      <c r="AH20" s="17">
        <f>B20*0.2*0.99425</f>
        <v>1200.835265</v>
      </c>
      <c r="AI20" s="17">
        <f>0.85*B20*0.9858</f>
        <v>5060.175477</v>
      </c>
      <c r="AJ20" s="125">
        <f t="shared" si="6"/>
        <v>910.8315858599999</v>
      </c>
      <c r="AK20" s="17">
        <f>0.83*B20*0.9905</f>
        <v>4964.6702735</v>
      </c>
      <c r="AL20" s="125">
        <f t="shared" si="7"/>
        <v>893.6406492299999</v>
      </c>
      <c r="AM20" s="17">
        <f>(1.91)*B20*0.9904</f>
        <v>11423.569729599998</v>
      </c>
      <c r="AN20" s="125">
        <f t="shared" si="8"/>
        <v>2056.2425513279995</v>
      </c>
      <c r="AO20" s="125"/>
      <c r="AP20" s="125">
        <f aca="true" t="shared" si="20" ref="AP20:AP25">AO20*0.18</f>
        <v>0</v>
      </c>
      <c r="AQ20" s="127"/>
      <c r="AR20" s="126">
        <f aca="true" t="shared" si="21" ref="AR20:AR25">AQ20*0.18</f>
        <v>0</v>
      </c>
      <c r="AS20" s="128">
        <v>20918.85</v>
      </c>
      <c r="AT20" s="113"/>
      <c r="AU20" s="113">
        <f t="shared" si="12"/>
        <v>3765.3929999999996</v>
      </c>
      <c r="AV20" s="129">
        <v>248</v>
      </c>
      <c r="AW20" s="130">
        <v>3.25</v>
      </c>
      <c r="AX20" s="125">
        <f t="shared" si="19"/>
        <v>1065.2096000000001</v>
      </c>
      <c r="AY20" s="125"/>
      <c r="AZ20" s="131"/>
      <c r="BA20" s="131">
        <f t="shared" si="9"/>
        <v>0</v>
      </c>
      <c r="BB20" s="131">
        <f t="shared" si="16"/>
        <v>55882.758131518</v>
      </c>
      <c r="BC20" s="137">
        <f>'[2]Т07-09'!$O$25+'[2]Т07-09'!$O$35+'[2]Т07-09'!$O$85</f>
        <v>5600.528276880001</v>
      </c>
      <c r="BD20" s="133">
        <f t="shared" si="13"/>
        <v>5382.449511602001</v>
      </c>
      <c r="BE20" s="33">
        <f t="shared" si="14"/>
        <v>3724.75</v>
      </c>
    </row>
    <row r="21" spans="1:57" ht="12.75">
      <c r="A21" s="11" t="s">
        <v>52</v>
      </c>
      <c r="B21" s="121">
        <v>6038.9</v>
      </c>
      <c r="C21" s="106">
        <f t="shared" si="1"/>
        <v>52236.485</v>
      </c>
      <c r="D21" s="138">
        <f t="shared" si="17"/>
        <v>5143.505000000005</v>
      </c>
      <c r="E21" s="90">
        <v>4316.68</v>
      </c>
      <c r="F21" s="90">
        <v>1119.11</v>
      </c>
      <c r="G21" s="90">
        <v>5845.91</v>
      </c>
      <c r="H21" s="90">
        <v>1516.97</v>
      </c>
      <c r="I21" s="90">
        <v>14047.49</v>
      </c>
      <c r="J21" s="90">
        <v>3643.22</v>
      </c>
      <c r="K21" s="90">
        <v>9730.81</v>
      </c>
      <c r="L21" s="90">
        <v>2524.22</v>
      </c>
      <c r="M21" s="90">
        <v>3453.31</v>
      </c>
      <c r="N21" s="90">
        <v>895.26</v>
      </c>
      <c r="O21" s="90">
        <v>0</v>
      </c>
      <c r="P21" s="136">
        <v>0</v>
      </c>
      <c r="Q21" s="99">
        <v>0</v>
      </c>
      <c r="R21" s="99">
        <v>0</v>
      </c>
      <c r="S21" s="99">
        <f t="shared" si="2"/>
        <v>37394.2</v>
      </c>
      <c r="T21" s="134">
        <f t="shared" si="3"/>
        <v>9698.779999999999</v>
      </c>
      <c r="U21" s="99">
        <v>3646.1</v>
      </c>
      <c r="V21" s="99">
        <v>4937.7</v>
      </c>
      <c r="W21" s="99">
        <v>11865.08</v>
      </c>
      <c r="X21" s="99">
        <v>8219.08</v>
      </c>
      <c r="Y21" s="99">
        <v>2916.89</v>
      </c>
      <c r="Z21" s="135">
        <v>0</v>
      </c>
      <c r="AA21" s="135">
        <v>0</v>
      </c>
      <c r="AB21" s="122">
        <f t="shared" si="4"/>
        <v>31584.85</v>
      </c>
      <c r="AC21" s="142">
        <f t="shared" si="5"/>
        <v>46427.135</v>
      </c>
      <c r="AD21" s="124">
        <f t="shared" si="10"/>
        <v>0</v>
      </c>
      <c r="AE21" s="124">
        <f t="shared" si="11"/>
        <v>0</v>
      </c>
      <c r="AF21" s="124">
        <f>'[1]Т07-09'!$I$25+'[1]Т07-09'!$I$35+'[1]Т07-09'!$I$85</f>
        <v>10904.50092</v>
      </c>
      <c r="AG21" s="17">
        <f t="shared" si="18"/>
        <v>3623.3399999999997</v>
      </c>
      <c r="AH21" s="17">
        <f>B21*0.2*0.99876</f>
        <v>1206.2823528</v>
      </c>
      <c r="AI21" s="17">
        <f>0.85*B21*0.98525</f>
        <v>5057.352291249999</v>
      </c>
      <c r="AJ21" s="17">
        <f t="shared" si="6"/>
        <v>910.3234124249999</v>
      </c>
      <c r="AK21" s="17">
        <f>0.83*B21*0.99</f>
        <v>4962.164129999999</v>
      </c>
      <c r="AL21" s="17">
        <f t="shared" si="7"/>
        <v>893.1895433999998</v>
      </c>
      <c r="AM21" s="17">
        <f>(1.91)*B21*0.9899</f>
        <v>11417.802580099999</v>
      </c>
      <c r="AN21" s="125">
        <f t="shared" si="8"/>
        <v>2055.2044644179996</v>
      </c>
      <c r="AO21" s="125"/>
      <c r="AP21" s="125">
        <f t="shared" si="20"/>
        <v>0</v>
      </c>
      <c r="AQ21" s="127"/>
      <c r="AR21" s="127">
        <f t="shared" si="21"/>
        <v>0</v>
      </c>
      <c r="AS21" s="128"/>
      <c r="AT21" s="113"/>
      <c r="AU21" s="113">
        <f t="shared" si="12"/>
        <v>0</v>
      </c>
      <c r="AV21" s="129">
        <v>293</v>
      </c>
      <c r="AW21" s="130">
        <v>3.25</v>
      </c>
      <c r="AX21" s="125">
        <f t="shared" si="19"/>
        <v>1258.4936000000002</v>
      </c>
      <c r="AY21" s="125"/>
      <c r="AZ21" s="131"/>
      <c r="BA21" s="131">
        <f t="shared" si="9"/>
        <v>0</v>
      </c>
      <c r="BB21" s="131">
        <f t="shared" si="16"/>
        <v>31384.152374392994</v>
      </c>
      <c r="BC21" s="137">
        <f>'[2]Т08-09'!$O$25+'[2]Т08-09'!$O$35+'[2]Т08-09'!$O$86</f>
        <v>5597.9835818639995</v>
      </c>
      <c r="BD21" s="133">
        <f t="shared" si="13"/>
        <v>20349.49996374301</v>
      </c>
      <c r="BE21" s="33">
        <f t="shared" si="14"/>
        <v>-5809.3499999999985</v>
      </c>
    </row>
    <row r="22" spans="1:57" ht="12.75">
      <c r="A22" s="11" t="s">
        <v>53</v>
      </c>
      <c r="B22" s="102">
        <v>6038.9</v>
      </c>
      <c r="C22" s="106">
        <f t="shared" si="1"/>
        <v>52236.485</v>
      </c>
      <c r="D22" s="138">
        <f t="shared" si="17"/>
        <v>5114.9550000000045</v>
      </c>
      <c r="E22" s="97">
        <v>4312.5</v>
      </c>
      <c r="F22" s="97">
        <v>1126.64</v>
      </c>
      <c r="G22" s="97">
        <v>5840.07</v>
      </c>
      <c r="H22" s="97">
        <v>1527.18</v>
      </c>
      <c r="I22" s="97">
        <v>14033.74</v>
      </c>
      <c r="J22" s="97">
        <v>3667.7</v>
      </c>
      <c r="K22" s="97">
        <v>9721.21</v>
      </c>
      <c r="L22" s="97">
        <v>2541.22</v>
      </c>
      <c r="M22" s="97">
        <v>3449.97</v>
      </c>
      <c r="N22" s="97">
        <v>901.3</v>
      </c>
      <c r="O22" s="90">
        <v>0</v>
      </c>
      <c r="P22" s="136">
        <v>0</v>
      </c>
      <c r="Q22" s="99">
        <v>0</v>
      </c>
      <c r="R22" s="99">
        <v>0</v>
      </c>
      <c r="S22" s="99">
        <f t="shared" si="2"/>
        <v>37357.49</v>
      </c>
      <c r="T22" s="134">
        <f t="shared" si="3"/>
        <v>9764.039999999999</v>
      </c>
      <c r="U22" s="98">
        <v>3942.03</v>
      </c>
      <c r="V22" s="98">
        <v>5338.05</v>
      </c>
      <c r="W22" s="98">
        <v>12827.85</v>
      </c>
      <c r="X22" s="98">
        <v>8885.85</v>
      </c>
      <c r="Y22" s="98">
        <v>3153.58</v>
      </c>
      <c r="Z22" s="109">
        <v>0</v>
      </c>
      <c r="AA22" s="109">
        <v>0</v>
      </c>
      <c r="AB22" s="122">
        <f t="shared" si="4"/>
        <v>34147.36</v>
      </c>
      <c r="AC22" s="142">
        <f t="shared" si="5"/>
        <v>49026.355</v>
      </c>
      <c r="AD22" s="124">
        <f t="shared" si="10"/>
        <v>0</v>
      </c>
      <c r="AE22" s="124">
        <f t="shared" si="11"/>
        <v>0</v>
      </c>
      <c r="AF22" s="124">
        <f>'[1]Т07-09'!$I$25+'[1]Т07-09'!$I$35+'[1]Т07-09'!$I$85</f>
        <v>10904.50092</v>
      </c>
      <c r="AG22" s="17">
        <f t="shared" si="18"/>
        <v>3623.3399999999997</v>
      </c>
      <c r="AH22" s="17">
        <f>B22*0.2*0.9996+0.01</f>
        <v>1207.306888</v>
      </c>
      <c r="AI22" s="17">
        <f>0.85*B22*0.98508</f>
        <v>5056.479670199999</v>
      </c>
      <c r="AJ22" s="17">
        <f t="shared" si="6"/>
        <v>910.1663406359999</v>
      </c>
      <c r="AK22" s="17">
        <f>0.83*B22*0.98981</f>
        <v>4961.211795469999</v>
      </c>
      <c r="AL22" s="17">
        <f t="shared" si="7"/>
        <v>893.0181231845997</v>
      </c>
      <c r="AM22" s="17">
        <f>(1.91)*B22*0.98981</f>
        <v>11416.76449319</v>
      </c>
      <c r="AN22" s="125">
        <f t="shared" si="8"/>
        <v>2055.0176087741997</v>
      </c>
      <c r="AO22" s="125"/>
      <c r="AP22" s="125">
        <f t="shared" si="20"/>
        <v>0</v>
      </c>
      <c r="AQ22" s="127"/>
      <c r="AR22" s="127">
        <f t="shared" si="21"/>
        <v>0</v>
      </c>
      <c r="AS22" s="128">
        <v>5510</v>
      </c>
      <c r="AT22" s="113"/>
      <c r="AU22" s="113">
        <f t="shared" si="12"/>
        <v>991.8</v>
      </c>
      <c r="AV22" s="129">
        <v>349</v>
      </c>
      <c r="AW22" s="130">
        <v>3.25</v>
      </c>
      <c r="AX22" s="125">
        <f t="shared" si="19"/>
        <v>1499.0248000000001</v>
      </c>
      <c r="AY22" s="125"/>
      <c r="AZ22" s="131"/>
      <c r="BA22" s="131">
        <f t="shared" si="9"/>
        <v>0</v>
      </c>
      <c r="BB22" s="131">
        <f t="shared" si="16"/>
        <v>38124.129719454795</v>
      </c>
      <c r="BC22" s="137">
        <f>'[2]Т09-09'!$O$25+'[2]Т09-09'!$O$35+'[2]Т09-09'!$O$86</f>
        <v>5597.136920205599</v>
      </c>
      <c r="BD22" s="133">
        <f t="shared" si="13"/>
        <v>16209.58928033961</v>
      </c>
      <c r="BE22" s="33">
        <f t="shared" si="14"/>
        <v>-3210.1299999999974</v>
      </c>
    </row>
    <row r="23" spans="1:57" ht="12.75">
      <c r="A23" s="11" t="s">
        <v>41</v>
      </c>
      <c r="B23" s="102">
        <v>6038.9</v>
      </c>
      <c r="C23" s="143">
        <f t="shared" si="1"/>
        <v>52236.485</v>
      </c>
      <c r="D23" s="138">
        <f t="shared" si="17"/>
        <v>5100.935000000001</v>
      </c>
      <c r="E23" s="100">
        <v>4315.71</v>
      </c>
      <c r="F23" s="98">
        <v>1125.09</v>
      </c>
      <c r="G23" s="98">
        <v>5844.28</v>
      </c>
      <c r="H23" s="98">
        <v>1525.12</v>
      </c>
      <c r="I23" s="98">
        <v>14043.96</v>
      </c>
      <c r="J23" s="98">
        <v>3662.76</v>
      </c>
      <c r="K23" s="98">
        <v>9728.28</v>
      </c>
      <c r="L23" s="98">
        <v>2537.77</v>
      </c>
      <c r="M23" s="98">
        <v>3452.51</v>
      </c>
      <c r="N23" s="98">
        <v>900.07</v>
      </c>
      <c r="O23" s="98">
        <v>0</v>
      </c>
      <c r="P23" s="109">
        <v>0</v>
      </c>
      <c r="Q23" s="98">
        <v>0</v>
      </c>
      <c r="R23" s="98">
        <v>0</v>
      </c>
      <c r="S23" s="98">
        <f t="shared" si="2"/>
        <v>37384.74</v>
      </c>
      <c r="T23" s="108">
        <f t="shared" si="3"/>
        <v>9750.810000000001</v>
      </c>
      <c r="U23" s="101">
        <f>2976.44+1559.33</f>
        <v>4535.77</v>
      </c>
      <c r="V23" s="98">
        <f>4028.98+2111.79</f>
        <v>6140.77</v>
      </c>
      <c r="W23" s="98">
        <f>9684.15+5074.58</f>
        <v>14758.73</v>
      </c>
      <c r="X23" s="98">
        <f>6707.63+3515.18</f>
        <v>10222.81</v>
      </c>
      <c r="Y23" s="98">
        <f>2381.05+1247.45</f>
        <v>3628.5</v>
      </c>
      <c r="Z23" s="109">
        <v>0</v>
      </c>
      <c r="AA23" s="109">
        <v>0</v>
      </c>
      <c r="AB23" s="109">
        <f t="shared" si="4"/>
        <v>39286.58</v>
      </c>
      <c r="AC23" s="119">
        <f>AB23+T23+D23</f>
        <v>54138.325</v>
      </c>
      <c r="AD23" s="112">
        <f t="shared" si="10"/>
        <v>0</v>
      </c>
      <c r="AE23" s="112">
        <f t="shared" si="11"/>
        <v>0</v>
      </c>
      <c r="AF23" s="112">
        <f>'[4]Т10'!$I$26+'[4]Т10'!$I$36+'[4]Т10'!$I$93+'[4]Т10'!$I$107</f>
        <v>11900.97198</v>
      </c>
      <c r="AG23" s="17">
        <f t="shared" si="18"/>
        <v>3623.3399999999997</v>
      </c>
      <c r="AH23" s="17">
        <f>B23*0.2</f>
        <v>1207.78</v>
      </c>
      <c r="AI23" s="17">
        <f>(0.847*B23)</f>
        <v>5114.948299999999</v>
      </c>
      <c r="AJ23" s="17">
        <f t="shared" si="6"/>
        <v>920.6906939999998</v>
      </c>
      <c r="AK23" s="17">
        <f>0.83*B23</f>
        <v>5012.286999999999</v>
      </c>
      <c r="AL23" s="17">
        <f t="shared" si="7"/>
        <v>902.2116599999998</v>
      </c>
      <c r="AM23" s="17">
        <f>(2.25/1.18)*B23</f>
        <v>11514.851694915254</v>
      </c>
      <c r="AN23" s="17">
        <f t="shared" si="8"/>
        <v>2072.6733050847456</v>
      </c>
      <c r="AO23" s="17"/>
      <c r="AP23" s="17">
        <f t="shared" si="20"/>
        <v>0</v>
      </c>
      <c r="AQ23" s="127"/>
      <c r="AR23" s="126">
        <f t="shared" si="21"/>
        <v>0</v>
      </c>
      <c r="AS23" s="113">
        <v>330.34</v>
      </c>
      <c r="AT23" s="128"/>
      <c r="AU23" s="113">
        <f t="shared" si="12"/>
        <v>59.46119999999999</v>
      </c>
      <c r="AV23" s="114">
        <v>425</v>
      </c>
      <c r="AW23" s="115">
        <v>3.25</v>
      </c>
      <c r="AX23" s="17">
        <f t="shared" si="19"/>
        <v>1825.4600000000003</v>
      </c>
      <c r="AY23" s="116"/>
      <c r="AZ23" s="140"/>
      <c r="BA23" s="117">
        <f t="shared" si="9"/>
        <v>0</v>
      </c>
      <c r="BB23" s="117">
        <f>SUM(AG23:AU23)+AX23+AY23+AZ23+BA23</f>
        <v>32584.043854</v>
      </c>
      <c r="BC23" s="166">
        <f>'[8]Т10'!$O$26+'[8]Т10'!$O$36+'[8]Т10'!$O$93+'[8]Т10'!$O$107</f>
        <v>6041.933030000001</v>
      </c>
      <c r="BD23" s="133">
        <f t="shared" si="13"/>
        <v>27413.320095999996</v>
      </c>
      <c r="BE23" s="33">
        <f t="shared" si="14"/>
        <v>1901.8400000000038</v>
      </c>
    </row>
    <row r="24" spans="1:57" ht="12.75">
      <c r="A24" s="11" t="s">
        <v>42</v>
      </c>
      <c r="B24" s="121">
        <v>6040.7</v>
      </c>
      <c r="C24" s="143">
        <f t="shared" si="1"/>
        <v>52252.055</v>
      </c>
      <c r="D24" s="138">
        <f t="shared" si="17"/>
        <v>5096.175000000002</v>
      </c>
      <c r="E24" s="97">
        <v>4324.86</v>
      </c>
      <c r="F24" s="97">
        <v>1118.31</v>
      </c>
      <c r="G24" s="97">
        <v>5856.62</v>
      </c>
      <c r="H24" s="97">
        <v>1515.93</v>
      </c>
      <c r="I24" s="97">
        <v>14073.68</v>
      </c>
      <c r="J24" s="97">
        <v>3640.67</v>
      </c>
      <c r="K24" s="97">
        <v>9748.88</v>
      </c>
      <c r="L24" s="97">
        <v>2522.47</v>
      </c>
      <c r="M24" s="97">
        <v>3459.83</v>
      </c>
      <c r="N24" s="97">
        <v>894.63</v>
      </c>
      <c r="O24" s="97">
        <v>0</v>
      </c>
      <c r="P24" s="120">
        <v>0</v>
      </c>
      <c r="Q24" s="120">
        <v>0</v>
      </c>
      <c r="R24" s="120">
        <v>0</v>
      </c>
      <c r="S24" s="98">
        <f t="shared" si="2"/>
        <v>37463.87</v>
      </c>
      <c r="T24" s="108">
        <f t="shared" si="3"/>
        <v>9692.01</v>
      </c>
      <c r="U24" s="98">
        <v>3674.85</v>
      </c>
      <c r="V24" s="98">
        <v>4975.81</v>
      </c>
      <c r="W24" s="98">
        <v>11957.83</v>
      </c>
      <c r="X24" s="98">
        <v>8283.01</v>
      </c>
      <c r="Y24" s="98">
        <v>2939.85</v>
      </c>
      <c r="Z24" s="109">
        <v>0</v>
      </c>
      <c r="AA24" s="109">
        <v>0</v>
      </c>
      <c r="AB24" s="109">
        <f t="shared" si="4"/>
        <v>31831.35</v>
      </c>
      <c r="AC24" s="119">
        <f>D24+T24+AB24</f>
        <v>46619.535</v>
      </c>
      <c r="AD24" s="112">
        <f t="shared" si="10"/>
        <v>0</v>
      </c>
      <c r="AE24" s="112">
        <f t="shared" si="11"/>
        <v>0</v>
      </c>
      <c r="AF24" s="112">
        <f>'[4]Т11'!$I$26+'[4]Т11'!$I$36+'[4]Т11'!$I$93+'[4]Т11'!$I$107</f>
        <v>11900.97198</v>
      </c>
      <c r="AG24" s="17">
        <f t="shared" si="18"/>
        <v>3624.4199999999996</v>
      </c>
      <c r="AH24" s="17">
        <f>B24*0.2</f>
        <v>1208.14</v>
      </c>
      <c r="AI24" s="17">
        <f>0.85*B24</f>
        <v>5134.594999999999</v>
      </c>
      <c r="AJ24" s="17">
        <f t="shared" si="6"/>
        <v>924.2270999999998</v>
      </c>
      <c r="AK24" s="17">
        <f>0.83*B24</f>
        <v>5013.781</v>
      </c>
      <c r="AL24" s="17">
        <f t="shared" si="7"/>
        <v>902.4805799999999</v>
      </c>
      <c r="AM24" s="17">
        <f>(1.91)*B24</f>
        <v>11537.737</v>
      </c>
      <c r="AN24" s="17">
        <f t="shared" si="8"/>
        <v>2076.7926599999996</v>
      </c>
      <c r="AO24" s="17"/>
      <c r="AP24" s="17">
        <f t="shared" si="20"/>
        <v>0</v>
      </c>
      <c r="AQ24" s="127"/>
      <c r="AR24" s="126">
        <f t="shared" si="21"/>
        <v>0</v>
      </c>
      <c r="AS24" s="113">
        <v>21089</v>
      </c>
      <c r="AT24" s="128">
        <f>10004</f>
        <v>10004</v>
      </c>
      <c r="AU24" s="113">
        <f t="shared" si="12"/>
        <v>5596.74</v>
      </c>
      <c r="AV24" s="114">
        <v>470</v>
      </c>
      <c r="AW24" s="115">
        <v>3.25</v>
      </c>
      <c r="AX24" s="17">
        <f t="shared" si="19"/>
        <v>2018.7440000000001</v>
      </c>
      <c r="AY24" s="116"/>
      <c r="AZ24" s="117"/>
      <c r="BA24" s="117">
        <f t="shared" si="9"/>
        <v>0</v>
      </c>
      <c r="BB24" s="117">
        <f>SUM(AG24:AU24)+AX24+AY24+AZ24+BA24</f>
        <v>69130.65734</v>
      </c>
      <c r="BC24" s="157">
        <f>'[4]Т11'!$O$26+'[4]Т11'!$O$36+'[4]Т11'!$O$93+'[4]Т11'!$O$107</f>
        <v>5162.21124</v>
      </c>
      <c r="BD24" s="133">
        <f t="shared" si="13"/>
        <v>-15772.3616</v>
      </c>
      <c r="BE24" s="33">
        <f t="shared" si="14"/>
        <v>-5632.520000000004</v>
      </c>
    </row>
    <row r="25" spans="1:57" ht="12.75">
      <c r="A25" s="11" t="s">
        <v>43</v>
      </c>
      <c r="B25" s="102">
        <v>6041.7</v>
      </c>
      <c r="C25" s="143">
        <f t="shared" si="1"/>
        <v>52260.705</v>
      </c>
      <c r="D25" s="138">
        <f t="shared" si="17"/>
        <v>5488.954999999997</v>
      </c>
      <c r="E25" s="97">
        <v>4316.14</v>
      </c>
      <c r="F25" s="97">
        <v>1103.26</v>
      </c>
      <c r="G25" s="97">
        <v>5844.89</v>
      </c>
      <c r="H25" s="97">
        <v>1495.51</v>
      </c>
      <c r="I25" s="97">
        <v>13867.02</v>
      </c>
      <c r="J25" s="97">
        <v>3591.7</v>
      </c>
      <c r="K25" s="97">
        <v>9729.27</v>
      </c>
      <c r="L25" s="97">
        <v>2488.52</v>
      </c>
      <c r="M25" s="97">
        <v>3452.83</v>
      </c>
      <c r="N25" s="97">
        <v>882.61</v>
      </c>
      <c r="O25" s="97">
        <v>0</v>
      </c>
      <c r="P25" s="120">
        <v>0</v>
      </c>
      <c r="Q25" s="120"/>
      <c r="R25" s="120"/>
      <c r="S25" s="98">
        <f t="shared" si="2"/>
        <v>37210.15000000001</v>
      </c>
      <c r="T25" s="108">
        <f t="shared" si="3"/>
        <v>9561.6</v>
      </c>
      <c r="U25" s="98">
        <v>6077.42</v>
      </c>
      <c r="V25" s="98">
        <v>8251.98</v>
      </c>
      <c r="W25" s="98">
        <v>19843.38</v>
      </c>
      <c r="X25" s="98">
        <v>13744.5</v>
      </c>
      <c r="Y25" s="98">
        <v>4878.9</v>
      </c>
      <c r="Z25" s="109">
        <v>0</v>
      </c>
      <c r="AA25" s="109">
        <v>0</v>
      </c>
      <c r="AB25" s="109">
        <f t="shared" si="4"/>
        <v>52796.18</v>
      </c>
      <c r="AC25" s="119">
        <f>D25+T25+AB25</f>
        <v>67846.735</v>
      </c>
      <c r="AD25" s="112">
        <f t="shared" si="10"/>
        <v>0</v>
      </c>
      <c r="AE25" s="112">
        <f t="shared" si="11"/>
        <v>0</v>
      </c>
      <c r="AF25" s="112">
        <f>'[4]Т12'!$I$26+'[4]Т12'!$I$36+'[4]Т12'!$I$94+'[4]Т12'!$I$108</f>
        <v>11900.97198</v>
      </c>
      <c r="AG25" s="17">
        <f t="shared" si="18"/>
        <v>3625.02</v>
      </c>
      <c r="AH25" s="17">
        <f>B25*0.2</f>
        <v>1208.34</v>
      </c>
      <c r="AI25" s="17">
        <f>0.85*B25</f>
        <v>5135.445</v>
      </c>
      <c r="AJ25" s="17">
        <f t="shared" si="6"/>
        <v>924.3800999999999</v>
      </c>
      <c r="AK25" s="17">
        <f>0.83*B25</f>
        <v>5014.611</v>
      </c>
      <c r="AL25" s="17">
        <f t="shared" si="7"/>
        <v>902.6299799999999</v>
      </c>
      <c r="AM25" s="17">
        <f>(1.91)*B25</f>
        <v>11539.646999999999</v>
      </c>
      <c r="AN25" s="17">
        <f t="shared" si="8"/>
        <v>2077.1364599999997</v>
      </c>
      <c r="AO25" s="17"/>
      <c r="AP25" s="17">
        <f t="shared" si="20"/>
        <v>0</v>
      </c>
      <c r="AQ25" s="127"/>
      <c r="AR25" s="126">
        <f t="shared" si="21"/>
        <v>0</v>
      </c>
      <c r="AS25" s="113">
        <v>912</v>
      </c>
      <c r="AT25" s="128"/>
      <c r="AU25" s="113">
        <f t="shared" si="12"/>
        <v>164.16</v>
      </c>
      <c r="AV25" s="114">
        <v>514</v>
      </c>
      <c r="AW25" s="115">
        <v>3.25</v>
      </c>
      <c r="AX25" s="17">
        <f t="shared" si="19"/>
        <v>2207.7328</v>
      </c>
      <c r="AY25" s="116"/>
      <c r="AZ25" s="117"/>
      <c r="BA25" s="117">
        <f t="shared" si="9"/>
        <v>0</v>
      </c>
      <c r="BB25" s="117">
        <f>SUM(AG25:BA25)-AV25-AW25</f>
        <v>33711.102340000005</v>
      </c>
      <c r="BC25" s="157">
        <f>'[4]Т12'!$O$26+'[4]Т12'!$O$36+'[4]Т12'!$O$94+'[4]Т12'!$O$108</f>
        <v>5162.21124</v>
      </c>
      <c r="BD25" s="133">
        <f t="shared" si="13"/>
        <v>40874.39339999999</v>
      </c>
      <c r="BE25" s="33">
        <f t="shared" si="14"/>
        <v>15586.029999999992</v>
      </c>
    </row>
    <row r="26" spans="1:57" s="21" customFormat="1" ht="12.75">
      <c r="A26" s="18" t="s">
        <v>5</v>
      </c>
      <c r="B26" s="66"/>
      <c r="C26" s="66">
        <f aca="true" t="shared" si="22" ref="C26:AP26">SUM(C14:C25)</f>
        <v>626880.2049999998</v>
      </c>
      <c r="D26" s="66">
        <f t="shared" si="22"/>
        <v>68745.05687500001</v>
      </c>
      <c r="E26" s="62">
        <f t="shared" si="22"/>
        <v>50038.98</v>
      </c>
      <c r="F26" s="62">
        <f t="shared" si="22"/>
        <v>12801.019999999999</v>
      </c>
      <c r="G26" s="62">
        <f t="shared" si="22"/>
        <v>67699.16</v>
      </c>
      <c r="H26" s="62">
        <f t="shared" si="22"/>
        <v>17330.82</v>
      </c>
      <c r="I26" s="62">
        <f t="shared" si="22"/>
        <v>162602.55</v>
      </c>
      <c r="J26" s="62">
        <f t="shared" si="22"/>
        <v>41652.21</v>
      </c>
      <c r="K26" s="62">
        <f t="shared" si="22"/>
        <v>112733.21</v>
      </c>
      <c r="L26" s="62">
        <f t="shared" si="22"/>
        <v>28852.06</v>
      </c>
      <c r="M26" s="62">
        <f t="shared" si="22"/>
        <v>40030.630000000005</v>
      </c>
      <c r="N26" s="62">
        <f t="shared" si="22"/>
        <v>10240.63</v>
      </c>
      <c r="O26" s="62">
        <f t="shared" si="22"/>
        <v>0</v>
      </c>
      <c r="P26" s="62">
        <f t="shared" si="22"/>
        <v>0</v>
      </c>
      <c r="Q26" s="62">
        <f t="shared" si="22"/>
        <v>0</v>
      </c>
      <c r="R26" s="62">
        <f t="shared" si="22"/>
        <v>0</v>
      </c>
      <c r="S26" s="62">
        <f t="shared" si="22"/>
        <v>433104.53</v>
      </c>
      <c r="T26" s="62">
        <f t="shared" si="22"/>
        <v>110876.73999999999</v>
      </c>
      <c r="U26" s="67">
        <f t="shared" si="22"/>
        <v>47814.05999999999</v>
      </c>
      <c r="V26" s="67">
        <f t="shared" si="22"/>
        <v>64693.09999999999</v>
      </c>
      <c r="W26" s="67">
        <f t="shared" si="22"/>
        <v>155400.04</v>
      </c>
      <c r="X26" s="67">
        <f t="shared" si="22"/>
        <v>107747.36</v>
      </c>
      <c r="Y26" s="67">
        <f t="shared" si="22"/>
        <v>38268.02</v>
      </c>
      <c r="Z26" s="67">
        <f t="shared" si="22"/>
        <v>0</v>
      </c>
      <c r="AA26" s="67">
        <f t="shared" si="22"/>
        <v>0</v>
      </c>
      <c r="AB26" s="67">
        <f t="shared" si="22"/>
        <v>413922.57999999996</v>
      </c>
      <c r="AC26" s="66">
        <f t="shared" si="22"/>
        <v>593544.376875</v>
      </c>
      <c r="AD26" s="66">
        <f t="shared" si="22"/>
        <v>0</v>
      </c>
      <c r="AE26" s="19">
        <f t="shared" si="22"/>
        <v>0</v>
      </c>
      <c r="AF26" s="19">
        <f t="shared" si="22"/>
        <v>126562.81950000003</v>
      </c>
      <c r="AG26" s="19">
        <f t="shared" si="22"/>
        <v>42033.66599999999</v>
      </c>
      <c r="AH26" s="19">
        <f t="shared" si="22"/>
        <v>14072.769928799999</v>
      </c>
      <c r="AI26" s="19">
        <f t="shared" si="22"/>
        <v>58759.752626949994</v>
      </c>
      <c r="AJ26" s="19">
        <f t="shared" si="22"/>
        <v>10576.755472850999</v>
      </c>
      <c r="AK26" s="19">
        <f t="shared" si="22"/>
        <v>57119.60599796999</v>
      </c>
      <c r="AL26" s="19">
        <f t="shared" si="22"/>
        <v>10281.529079634598</v>
      </c>
      <c r="AM26" s="19">
        <f t="shared" si="22"/>
        <v>131422.12542080524</v>
      </c>
      <c r="AN26" s="19">
        <f t="shared" si="22"/>
        <v>23655.982575744943</v>
      </c>
      <c r="AO26" s="19">
        <f t="shared" si="22"/>
        <v>0</v>
      </c>
      <c r="AP26" s="19">
        <f t="shared" si="22"/>
        <v>0</v>
      </c>
      <c r="AQ26" s="19">
        <f aca="true" t="shared" si="23" ref="AQ26:BE26">SUM(AQ14:AQ25)</f>
        <v>15067.89</v>
      </c>
      <c r="AR26" s="19">
        <f t="shared" si="23"/>
        <v>2712.2201999999997</v>
      </c>
      <c r="AS26" s="19">
        <f t="shared" si="23"/>
        <v>172498.52</v>
      </c>
      <c r="AT26" s="19">
        <f t="shared" si="23"/>
        <v>16852</v>
      </c>
      <c r="AU26" s="19">
        <f t="shared" si="23"/>
        <v>34083.1036</v>
      </c>
      <c r="AV26" s="19">
        <f t="shared" si="23"/>
        <v>4400</v>
      </c>
      <c r="AW26" s="19">
        <f t="shared" si="23"/>
        <v>39</v>
      </c>
      <c r="AX26" s="19">
        <f t="shared" si="23"/>
        <v>24474.0496</v>
      </c>
      <c r="AY26" s="19">
        <f t="shared" si="23"/>
        <v>0</v>
      </c>
      <c r="AZ26" s="19">
        <f t="shared" si="23"/>
        <v>0</v>
      </c>
      <c r="BA26" s="19">
        <f t="shared" si="23"/>
        <v>0</v>
      </c>
      <c r="BB26" s="19">
        <f t="shared" si="23"/>
        <v>608034.8009027558</v>
      </c>
      <c r="BC26" s="19">
        <f t="shared" si="23"/>
        <v>61614.10230989359</v>
      </c>
      <c r="BD26" s="19">
        <f t="shared" si="23"/>
        <v>50458.293162350616</v>
      </c>
      <c r="BE26" s="19">
        <f t="shared" si="23"/>
        <v>-19181.950000000004</v>
      </c>
    </row>
    <row r="27" spans="1:57" ht="12.75">
      <c r="A27" s="11"/>
      <c r="B27" s="12"/>
      <c r="C27" s="13"/>
      <c r="D27" s="1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2"/>
      <c r="T27" s="52"/>
      <c r="U27" s="57"/>
      <c r="V27" s="57"/>
      <c r="W27" s="57"/>
      <c r="X27" s="57"/>
      <c r="Y27" s="57"/>
      <c r="Z27" s="57"/>
      <c r="AA27" s="57"/>
      <c r="AB27" s="57"/>
      <c r="AC27" s="16"/>
      <c r="AD27" s="16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5"/>
      <c r="AP27" s="15"/>
      <c r="AQ27" s="15"/>
      <c r="AR27" s="15"/>
      <c r="AS27" s="15"/>
      <c r="AT27" s="15"/>
      <c r="AU27" s="17"/>
      <c r="AV27" s="17"/>
      <c r="AW27" s="17"/>
      <c r="AX27" s="22"/>
      <c r="AY27" s="15"/>
      <c r="AZ27" s="15"/>
      <c r="BA27" s="17"/>
      <c r="BB27" s="17"/>
      <c r="BC27" s="17"/>
      <c r="BD27" s="17"/>
      <c r="BE27" s="10"/>
    </row>
    <row r="28" spans="1:57" ht="12.75">
      <c r="A28" s="11"/>
      <c r="B28" s="12"/>
      <c r="C28" s="13"/>
      <c r="D28" s="1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2"/>
      <c r="T28" s="52"/>
      <c r="U28" s="57"/>
      <c r="V28" s="57"/>
      <c r="W28" s="57"/>
      <c r="X28" s="57"/>
      <c r="Y28" s="57"/>
      <c r="Z28" s="57"/>
      <c r="AA28" s="57"/>
      <c r="AB28" s="57"/>
      <c r="AC28" s="16"/>
      <c r="AD28" s="16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5"/>
      <c r="AP28" s="15"/>
      <c r="AQ28" s="15"/>
      <c r="AR28" s="15"/>
      <c r="AS28" s="15"/>
      <c r="AT28" s="15"/>
      <c r="AU28" s="17"/>
      <c r="AV28" s="17"/>
      <c r="AW28" s="17"/>
      <c r="AX28" s="22"/>
      <c r="AY28" s="15"/>
      <c r="AZ28" s="15"/>
      <c r="BA28" s="17"/>
      <c r="BB28" s="17"/>
      <c r="BC28" s="17"/>
      <c r="BD28" s="17"/>
      <c r="BE28" s="10"/>
    </row>
    <row r="29" spans="1:57" s="21" customFormat="1" ht="13.5" thickBot="1">
      <c r="A29" s="23" t="s">
        <v>54</v>
      </c>
      <c r="B29" s="24"/>
      <c r="C29" s="24">
        <f>C12+C26</f>
        <v>783597.4449999998</v>
      </c>
      <c r="D29" s="24">
        <f>D12+D26</f>
        <v>106467.41893380001</v>
      </c>
      <c r="E29" s="54">
        <f aca="true" t="shared" si="24" ref="E29:BB29">E12+E26</f>
        <v>61779.020000000004</v>
      </c>
      <c r="F29" s="54">
        <f t="shared" si="24"/>
        <v>15624.32</v>
      </c>
      <c r="G29" s="54">
        <f t="shared" si="24"/>
        <v>83547.87</v>
      </c>
      <c r="H29" s="54">
        <f t="shared" si="24"/>
        <v>21142.42</v>
      </c>
      <c r="I29" s="54">
        <f t="shared" si="24"/>
        <v>200756.93</v>
      </c>
      <c r="J29" s="54">
        <f t="shared" si="24"/>
        <v>50987.82</v>
      </c>
      <c r="K29" s="54">
        <f t="shared" si="24"/>
        <v>139147.80000000002</v>
      </c>
      <c r="L29" s="54">
        <f t="shared" si="24"/>
        <v>35204.46</v>
      </c>
      <c r="M29" s="54">
        <f t="shared" si="24"/>
        <v>49422.50000000001</v>
      </c>
      <c r="N29" s="54">
        <f>N12+N26</f>
        <v>12499.169999999998</v>
      </c>
      <c r="O29" s="54">
        <f t="shared" si="24"/>
        <v>0</v>
      </c>
      <c r="P29" s="54">
        <f t="shared" si="24"/>
        <v>0</v>
      </c>
      <c r="Q29" s="54">
        <f t="shared" si="24"/>
        <v>0</v>
      </c>
      <c r="R29" s="54">
        <f t="shared" si="24"/>
        <v>0</v>
      </c>
      <c r="S29" s="54">
        <f t="shared" si="24"/>
        <v>534654.12</v>
      </c>
      <c r="T29" s="54">
        <f t="shared" si="24"/>
        <v>135458.19</v>
      </c>
      <c r="U29" s="58">
        <f t="shared" si="24"/>
        <v>54102.45999999999</v>
      </c>
      <c r="V29" s="58">
        <f t="shared" si="24"/>
        <v>73182.48999999999</v>
      </c>
      <c r="W29" s="58">
        <f t="shared" si="24"/>
        <v>176029.57</v>
      </c>
      <c r="X29" s="58">
        <f t="shared" si="24"/>
        <v>121896.2</v>
      </c>
      <c r="Y29" s="58">
        <f t="shared" si="24"/>
        <v>43298.67999999999</v>
      </c>
      <c r="Z29" s="58">
        <f t="shared" si="24"/>
        <v>0</v>
      </c>
      <c r="AA29" s="58">
        <f t="shared" si="24"/>
        <v>0</v>
      </c>
      <c r="AB29" s="58">
        <f t="shared" si="24"/>
        <v>468509.39999999997</v>
      </c>
      <c r="AC29" s="24">
        <f t="shared" si="24"/>
        <v>710435.0089337999</v>
      </c>
      <c r="AD29" s="24">
        <f t="shared" si="24"/>
        <v>0</v>
      </c>
      <c r="AE29" s="24">
        <f>AE12+AE26</f>
        <v>0</v>
      </c>
      <c r="AF29" s="24">
        <f t="shared" si="24"/>
        <v>126562.81950000003</v>
      </c>
      <c r="AG29" s="24">
        <f t="shared" si="24"/>
        <v>52904.22599999999</v>
      </c>
      <c r="AH29" s="24">
        <f t="shared" si="24"/>
        <v>17804.1737688</v>
      </c>
      <c r="AI29" s="24">
        <f t="shared" si="24"/>
        <v>74177.32709095</v>
      </c>
      <c r="AJ29" s="24">
        <f t="shared" si="24"/>
        <v>13351.918876370997</v>
      </c>
      <c r="AK29" s="24">
        <f t="shared" si="24"/>
        <v>75060.81821300999</v>
      </c>
      <c r="AL29" s="24">
        <f t="shared" si="24"/>
        <v>13510.947278341799</v>
      </c>
      <c r="AM29" s="24">
        <f t="shared" si="24"/>
        <v>164371.73333496525</v>
      </c>
      <c r="AN29" s="24">
        <f t="shared" si="24"/>
        <v>29586.91200029374</v>
      </c>
      <c r="AO29" s="24">
        <f t="shared" si="24"/>
        <v>0</v>
      </c>
      <c r="AP29" s="24">
        <f t="shared" si="24"/>
        <v>0</v>
      </c>
      <c r="AQ29" s="24"/>
      <c r="AR29" s="24"/>
      <c r="AS29" s="24">
        <f t="shared" si="24"/>
        <v>331982.4</v>
      </c>
      <c r="AT29" s="24"/>
      <c r="AU29" s="24">
        <f t="shared" si="24"/>
        <v>63285.3478</v>
      </c>
      <c r="AV29" s="24"/>
      <c r="AW29" s="24"/>
      <c r="AX29" s="24">
        <f t="shared" si="24"/>
        <v>24474.0496</v>
      </c>
      <c r="AY29" s="24">
        <f t="shared" si="24"/>
        <v>0</v>
      </c>
      <c r="AZ29" s="24">
        <f t="shared" si="24"/>
        <v>0</v>
      </c>
      <c r="BA29" s="24">
        <f t="shared" si="24"/>
        <v>0</v>
      </c>
      <c r="BB29" s="24">
        <f t="shared" si="24"/>
        <v>892317.6045627318</v>
      </c>
      <c r="BC29" s="24"/>
      <c r="BD29" s="24">
        <f>BD12+BD26</f>
        <v>-116933.87843882536</v>
      </c>
      <c r="BE29" s="25">
        <f>BE12+BE26</f>
        <v>-66144.72</v>
      </c>
    </row>
    <row r="30" ht="12.75">
      <c r="A30" s="146" t="s">
        <v>91</v>
      </c>
    </row>
    <row r="31" spans="1:57" ht="12.75">
      <c r="A31" s="22" t="s">
        <v>45</v>
      </c>
      <c r="B31" s="102">
        <v>6041.7</v>
      </c>
      <c r="C31" s="143">
        <f aca="true" t="shared" si="25" ref="C31:C42">B31*8.65</f>
        <v>52260.705</v>
      </c>
      <c r="D31" s="138">
        <f aca="true" t="shared" si="26" ref="D31:D37">C31-E31-F31-G31-H31-I31-J31-K31-L31-M31-N31</f>
        <v>5052.744999999997</v>
      </c>
      <c r="E31" s="97">
        <v>4344.94</v>
      </c>
      <c r="F31" s="97">
        <v>1104.32</v>
      </c>
      <c r="G31" s="97">
        <v>5883.65</v>
      </c>
      <c r="H31" s="97">
        <v>1496.93</v>
      </c>
      <c r="I31" s="97">
        <v>14138.87</v>
      </c>
      <c r="J31" s="97">
        <v>3595.07</v>
      </c>
      <c r="K31" s="97">
        <v>9793.96</v>
      </c>
      <c r="L31" s="97">
        <v>2490.87</v>
      </c>
      <c r="M31" s="97">
        <v>3475.91</v>
      </c>
      <c r="N31" s="97">
        <v>883.44</v>
      </c>
      <c r="O31" s="97">
        <v>0</v>
      </c>
      <c r="P31" s="120">
        <v>0</v>
      </c>
      <c r="Q31" s="120"/>
      <c r="R31" s="120"/>
      <c r="S31" s="98">
        <f aca="true" t="shared" si="27" ref="S31:S42">E31+G31+I31+K31+M31+O31+Q31</f>
        <v>37637.33</v>
      </c>
      <c r="T31" s="108">
        <f aca="true" t="shared" si="28" ref="T31:T42">P31+N31+L31+J31+H31+F31+R31</f>
        <v>9570.63</v>
      </c>
      <c r="U31" s="98">
        <v>3130.15</v>
      </c>
      <c r="V31" s="98">
        <v>4213.02</v>
      </c>
      <c r="W31" s="98">
        <v>10784.88</v>
      </c>
      <c r="X31" s="98">
        <v>7006.98</v>
      </c>
      <c r="Y31" s="98">
        <v>2487.07</v>
      </c>
      <c r="Z31" s="109">
        <v>0</v>
      </c>
      <c r="AA31" s="109">
        <v>0</v>
      </c>
      <c r="AB31" s="109">
        <f>SUM(U31:AA31)</f>
        <v>27622.1</v>
      </c>
      <c r="AC31" s="119">
        <f aca="true" t="shared" si="29" ref="AC31:AC42">D31+T31+AB31</f>
        <v>42245.47499999999</v>
      </c>
      <c r="AD31" s="112">
        <f aca="true" t="shared" si="30" ref="AD31:AD42">P31+Z31</f>
        <v>0</v>
      </c>
      <c r="AE31" s="112">
        <f aca="true" t="shared" si="31" ref="AE31:AE42">R31+AA31</f>
        <v>0</v>
      </c>
      <c r="AF31" s="112">
        <f>'[7]Т01-10'!$I$26+'[7]Т01-10'!$I$34+'[7]Т01-10'!$I$91+'[7]Т01-10'!$I$105</f>
        <v>11900.97198</v>
      </c>
      <c r="AG31" s="17">
        <f aca="true" t="shared" si="32" ref="AG31:AG42">0.6*B31</f>
        <v>3625.02</v>
      </c>
      <c r="AH31" s="17">
        <f aca="true" t="shared" si="33" ref="AH31:AH42">B31*0.2</f>
        <v>1208.34</v>
      </c>
      <c r="AI31" s="17">
        <f aca="true" t="shared" si="34" ref="AI31:AI42">1*B31</f>
        <v>6041.7</v>
      </c>
      <c r="AJ31" s="17">
        <v>0</v>
      </c>
      <c r="AK31" s="17">
        <f aca="true" t="shared" si="35" ref="AK31:AK42">0.98*B31</f>
        <v>5920.866</v>
      </c>
      <c r="AL31" s="17">
        <v>0</v>
      </c>
      <c r="AM31" s="17">
        <f aca="true" t="shared" si="36" ref="AM31:AM42">2.25*B31</f>
        <v>13593.824999999999</v>
      </c>
      <c r="AN31" s="17">
        <v>0</v>
      </c>
      <c r="AO31" s="17"/>
      <c r="AP31" s="17">
        <v>0</v>
      </c>
      <c r="AQ31" s="127"/>
      <c r="AR31" s="127"/>
      <c r="AS31" s="113">
        <v>0</v>
      </c>
      <c r="AT31" s="113"/>
      <c r="AU31" s="113">
        <f aca="true" t="shared" si="37" ref="AU31:AU36">AT31*0.18</f>
        <v>0</v>
      </c>
      <c r="AV31" s="114">
        <v>508</v>
      </c>
      <c r="AW31" s="115">
        <v>3.25</v>
      </c>
      <c r="AX31" s="163">
        <f aca="true" t="shared" si="38" ref="AX31:AX42">AV31*AW31*1.4</f>
        <v>2311.3999999999996</v>
      </c>
      <c r="AY31" s="116"/>
      <c r="AZ31" s="117"/>
      <c r="BA31" s="117">
        <f aca="true" t="shared" si="39" ref="BA31:BA42">AZ31*0.18</f>
        <v>0</v>
      </c>
      <c r="BB31" s="117">
        <f aca="true" t="shared" si="40" ref="BB31:BB42">SUM(AG31:BA31)-AV31-AW31</f>
        <v>32701.150999999998</v>
      </c>
      <c r="BC31" s="157">
        <f>'[5]Т01-10'!$M$26+'[5]Т01-10'!$M$34+'[5]Т01-10'!$M$91+'[5]Т01-10'!$M$105</f>
        <v>5154.503</v>
      </c>
      <c r="BD31" s="17">
        <f aca="true" t="shared" si="41" ref="BD31:BD42">(AC31-BB31)+(AF31-BC31)</f>
        <v>16290.792979999995</v>
      </c>
      <c r="BE31" s="22">
        <f>AB31-S31</f>
        <v>-10015.230000000003</v>
      </c>
    </row>
    <row r="32" spans="1:57" ht="12.75">
      <c r="A32" s="22" t="s">
        <v>46</v>
      </c>
      <c r="B32" s="121">
        <v>6042.5</v>
      </c>
      <c r="C32" s="143">
        <f t="shared" si="25"/>
        <v>52267.625</v>
      </c>
      <c r="D32" s="138">
        <f t="shared" si="26"/>
        <v>5059.444999999999</v>
      </c>
      <c r="E32" s="160">
        <v>4332.65</v>
      </c>
      <c r="F32" s="161">
        <v>1116.64</v>
      </c>
      <c r="G32" s="161">
        <v>5866.96</v>
      </c>
      <c r="H32" s="161">
        <v>1513.64</v>
      </c>
      <c r="I32" s="161">
        <v>14098.83</v>
      </c>
      <c r="J32" s="161">
        <v>3635.2</v>
      </c>
      <c r="K32" s="161">
        <v>9766.22</v>
      </c>
      <c r="L32" s="161">
        <v>2518.68</v>
      </c>
      <c r="M32" s="161">
        <v>3466.06</v>
      </c>
      <c r="N32" s="161">
        <v>893.3</v>
      </c>
      <c r="O32" s="161">
        <v>0</v>
      </c>
      <c r="P32" s="162">
        <v>0</v>
      </c>
      <c r="Q32" s="161">
        <v>0</v>
      </c>
      <c r="R32" s="162">
        <v>0</v>
      </c>
      <c r="S32" s="98">
        <f t="shared" si="27"/>
        <v>37530.72</v>
      </c>
      <c r="T32" s="108">
        <f t="shared" si="28"/>
        <v>9677.46</v>
      </c>
      <c r="U32" s="98">
        <v>3848.45</v>
      </c>
      <c r="V32" s="98">
        <v>5210.19</v>
      </c>
      <c r="W32" s="98">
        <v>12514.69</v>
      </c>
      <c r="X32" s="98">
        <v>8673.64</v>
      </c>
      <c r="Y32" s="98">
        <v>3078.54</v>
      </c>
      <c r="Z32" s="109">
        <v>0</v>
      </c>
      <c r="AA32" s="109">
        <v>0</v>
      </c>
      <c r="AB32" s="109">
        <f>SUM(U32:AA32)</f>
        <v>33325.51</v>
      </c>
      <c r="AC32" s="119">
        <f t="shared" si="29"/>
        <v>48062.415</v>
      </c>
      <c r="AD32" s="112">
        <f t="shared" si="30"/>
        <v>0</v>
      </c>
      <c r="AE32" s="112">
        <f t="shared" si="31"/>
        <v>0</v>
      </c>
      <c r="AF32" s="112">
        <f>'[7]Т01-10'!$I$26+'[7]Т01-10'!$I$34+'[7]Т01-10'!$I$91+'[7]Т01-10'!$I$105</f>
        <v>11900.97198</v>
      </c>
      <c r="AG32" s="17">
        <f t="shared" si="32"/>
        <v>3625.5</v>
      </c>
      <c r="AH32" s="17">
        <f t="shared" si="33"/>
        <v>1208.5</v>
      </c>
      <c r="AI32" s="17">
        <f t="shared" si="34"/>
        <v>6042.5</v>
      </c>
      <c r="AJ32" s="17">
        <v>0</v>
      </c>
      <c r="AK32" s="17">
        <f t="shared" si="35"/>
        <v>5921.65</v>
      </c>
      <c r="AL32" s="17">
        <v>0</v>
      </c>
      <c r="AM32" s="17">
        <f t="shared" si="36"/>
        <v>13595.625</v>
      </c>
      <c r="AN32" s="17">
        <v>0</v>
      </c>
      <c r="AO32" s="17"/>
      <c r="AP32" s="17"/>
      <c r="AQ32" s="127"/>
      <c r="AR32" s="127"/>
      <c r="AS32" s="113">
        <v>10078</v>
      </c>
      <c r="AT32" s="113"/>
      <c r="AU32" s="113">
        <f t="shared" si="37"/>
        <v>0</v>
      </c>
      <c r="AV32" s="114">
        <v>407</v>
      </c>
      <c r="AW32" s="115">
        <v>3.25</v>
      </c>
      <c r="AX32" s="17">
        <f t="shared" si="38"/>
        <v>1851.85</v>
      </c>
      <c r="AY32" s="116"/>
      <c r="AZ32" s="117"/>
      <c r="BA32" s="117">
        <f t="shared" si="39"/>
        <v>0</v>
      </c>
      <c r="BB32" s="117">
        <f t="shared" si="40"/>
        <v>42323.625</v>
      </c>
      <c r="BC32" s="157">
        <f>'[5]Т02-10'!$M$26+'[5]Т02-10'!$M$34+'[5]Т02-10'!$M$91+'[5]Т02-10'!$M$105</f>
        <v>5154.503</v>
      </c>
      <c r="BD32" s="17">
        <f t="shared" si="41"/>
        <v>12485.258980000002</v>
      </c>
      <c r="BE32" s="22">
        <f aca="true" t="shared" si="42" ref="BE32:BE42">AB32-S32</f>
        <v>-4205.209999999999</v>
      </c>
    </row>
    <row r="33" spans="1:57" ht="12.75">
      <c r="A33" s="22" t="s">
        <v>47</v>
      </c>
      <c r="B33" s="102">
        <v>6042.5</v>
      </c>
      <c r="C33" s="143">
        <f t="shared" si="25"/>
        <v>52267.625</v>
      </c>
      <c r="D33" s="138">
        <f t="shared" si="26"/>
        <v>5063.634999999999</v>
      </c>
      <c r="E33" s="97">
        <v>4339.4</v>
      </c>
      <c r="F33" s="97">
        <v>1109.4</v>
      </c>
      <c r="G33" s="97">
        <v>5876.14</v>
      </c>
      <c r="H33" s="97">
        <v>1503.82</v>
      </c>
      <c r="I33" s="97">
        <v>14120.85</v>
      </c>
      <c r="J33" s="97">
        <v>3611.61</v>
      </c>
      <c r="K33" s="97">
        <v>9781.48</v>
      </c>
      <c r="L33" s="97">
        <v>2502.34</v>
      </c>
      <c r="M33" s="97">
        <v>3471.45</v>
      </c>
      <c r="N33" s="97">
        <v>887.5</v>
      </c>
      <c r="O33" s="97">
        <v>0</v>
      </c>
      <c r="P33" s="120">
        <v>0</v>
      </c>
      <c r="Q33" s="120">
        <v>0</v>
      </c>
      <c r="R33" s="120">
        <v>0</v>
      </c>
      <c r="S33" s="98">
        <f t="shared" si="27"/>
        <v>37589.31999999999</v>
      </c>
      <c r="T33" s="108">
        <f t="shared" si="28"/>
        <v>9614.67</v>
      </c>
      <c r="U33" s="98">
        <v>4355.62</v>
      </c>
      <c r="V33" s="98">
        <v>5897.91</v>
      </c>
      <c r="W33" s="98">
        <v>14183.51</v>
      </c>
      <c r="X33" s="98">
        <v>9818.09</v>
      </c>
      <c r="Y33" s="98">
        <v>3484.45</v>
      </c>
      <c r="Z33" s="109">
        <v>0</v>
      </c>
      <c r="AA33" s="109">
        <v>0</v>
      </c>
      <c r="AB33" s="109">
        <f>SUM(U33:AA33)</f>
        <v>37739.58</v>
      </c>
      <c r="AC33" s="119">
        <f t="shared" si="29"/>
        <v>52417.885</v>
      </c>
      <c r="AD33" s="112">
        <f t="shared" si="30"/>
        <v>0</v>
      </c>
      <c r="AE33" s="112">
        <f t="shared" si="31"/>
        <v>0</v>
      </c>
      <c r="AF33" s="112">
        <f>'[7]Т01-10'!$I$26+'[7]Т01-10'!$I$34+'[7]Т01-10'!$I$91+'[7]Т01-10'!$I$105</f>
        <v>11900.97198</v>
      </c>
      <c r="AG33" s="17">
        <f t="shared" si="32"/>
        <v>3625.5</v>
      </c>
      <c r="AH33" s="17">
        <f t="shared" si="33"/>
        <v>1208.5</v>
      </c>
      <c r="AI33" s="17">
        <f t="shared" si="34"/>
        <v>6042.5</v>
      </c>
      <c r="AJ33" s="17">
        <v>0</v>
      </c>
      <c r="AK33" s="17">
        <f t="shared" si="35"/>
        <v>5921.65</v>
      </c>
      <c r="AL33" s="17">
        <v>0</v>
      </c>
      <c r="AM33" s="17">
        <f t="shared" si="36"/>
        <v>13595.625</v>
      </c>
      <c r="AN33" s="17">
        <v>0</v>
      </c>
      <c r="AO33" s="17">
        <v>3084.48</v>
      </c>
      <c r="AP33" s="17"/>
      <c r="AQ33" s="127">
        <f>34915+14602</f>
        <v>49517</v>
      </c>
      <c r="AR33" s="127"/>
      <c r="AS33" s="113">
        <f>550</f>
        <v>550</v>
      </c>
      <c r="AT33" s="113"/>
      <c r="AU33" s="113">
        <f t="shared" si="37"/>
        <v>0</v>
      </c>
      <c r="AV33" s="114">
        <v>383</v>
      </c>
      <c r="AW33" s="115">
        <v>3.25</v>
      </c>
      <c r="AX33" s="17">
        <f t="shared" si="38"/>
        <v>1742.6499999999999</v>
      </c>
      <c r="AY33" s="116"/>
      <c r="AZ33" s="117"/>
      <c r="BA33" s="117">
        <f t="shared" si="39"/>
        <v>0</v>
      </c>
      <c r="BB33" s="117">
        <f t="shared" si="40"/>
        <v>85287.905</v>
      </c>
      <c r="BC33" s="157">
        <f>'[5]Т03-10'!$M$26+'[5]Т03-10'!$M$34+'[5]Т03-10'!$M$92+'[5]Т03-10'!$M$106</f>
        <v>5154.503</v>
      </c>
      <c r="BD33" s="17">
        <f t="shared" si="41"/>
        <v>-26123.551019999995</v>
      </c>
      <c r="BE33" s="22">
        <f t="shared" si="42"/>
        <v>150.2600000000093</v>
      </c>
    </row>
    <row r="34" spans="1:57" ht="12.75">
      <c r="A34" s="22" t="s">
        <v>48</v>
      </c>
      <c r="B34" s="102">
        <v>6042.5</v>
      </c>
      <c r="C34" s="143">
        <f t="shared" si="25"/>
        <v>52267.625</v>
      </c>
      <c r="D34" s="138">
        <f t="shared" si="26"/>
        <v>5055.505000000003</v>
      </c>
      <c r="E34" s="97">
        <v>4344.65</v>
      </c>
      <c r="F34" s="97">
        <v>1105.1</v>
      </c>
      <c r="G34" s="97">
        <v>5883.22</v>
      </c>
      <c r="H34" s="97">
        <v>1497.99</v>
      </c>
      <c r="I34" s="97">
        <v>14137.89</v>
      </c>
      <c r="J34" s="97">
        <v>3597.62</v>
      </c>
      <c r="K34" s="97">
        <v>9793.27</v>
      </c>
      <c r="L34" s="97">
        <v>2492.65</v>
      </c>
      <c r="M34" s="97">
        <v>3475.67</v>
      </c>
      <c r="N34" s="97">
        <v>884.06</v>
      </c>
      <c r="O34" s="97">
        <v>0</v>
      </c>
      <c r="P34" s="120">
        <v>0</v>
      </c>
      <c r="Q34" s="120"/>
      <c r="R34" s="120"/>
      <c r="S34" s="98">
        <f t="shared" si="27"/>
        <v>37634.7</v>
      </c>
      <c r="T34" s="108">
        <f t="shared" si="28"/>
        <v>9577.42</v>
      </c>
      <c r="U34" s="98">
        <v>3417.62</v>
      </c>
      <c r="V34" s="98">
        <v>4613.26</v>
      </c>
      <c r="W34" s="98">
        <v>11123.01</v>
      </c>
      <c r="X34" s="98">
        <v>7688.81</v>
      </c>
      <c r="Y34" s="98">
        <v>2734.03</v>
      </c>
      <c r="Z34" s="109">
        <v>0</v>
      </c>
      <c r="AA34" s="109">
        <v>0</v>
      </c>
      <c r="AB34" s="109">
        <f>SUM(U34:AA34)</f>
        <v>29576.73</v>
      </c>
      <c r="AC34" s="119">
        <f t="shared" si="29"/>
        <v>44209.655</v>
      </c>
      <c r="AD34" s="112">
        <f t="shared" si="30"/>
        <v>0</v>
      </c>
      <c r="AE34" s="112">
        <f t="shared" si="31"/>
        <v>0</v>
      </c>
      <c r="AF34" s="112">
        <f>'[6]Т04-10'!$I$26+'[6]Т04-10'!$I$34+'[6]Т04-10'!$I$92+'[6]Т04-10'!$I$106</f>
        <v>11900.97198</v>
      </c>
      <c r="AG34" s="17">
        <f t="shared" si="32"/>
        <v>3625.5</v>
      </c>
      <c r="AH34" s="17">
        <f t="shared" si="33"/>
        <v>1208.5</v>
      </c>
      <c r="AI34" s="17">
        <f t="shared" si="34"/>
        <v>6042.5</v>
      </c>
      <c r="AJ34" s="17">
        <v>0</v>
      </c>
      <c r="AK34" s="17">
        <f t="shared" si="35"/>
        <v>5921.65</v>
      </c>
      <c r="AL34" s="17">
        <v>0</v>
      </c>
      <c r="AM34" s="17">
        <f t="shared" si="36"/>
        <v>13595.625</v>
      </c>
      <c r="AN34" s="17">
        <v>0</v>
      </c>
      <c r="AO34" s="17"/>
      <c r="AP34" s="17"/>
      <c r="AQ34" s="127">
        <f>3840.72-0.01</f>
        <v>3840.7099999999996</v>
      </c>
      <c r="AR34" s="127"/>
      <c r="AS34" s="113">
        <v>2364</v>
      </c>
      <c r="AT34" s="113">
        <f>920+3288+190+156+324+5</f>
        <v>4883</v>
      </c>
      <c r="AU34" s="113">
        <f t="shared" si="37"/>
        <v>878.9399999999999</v>
      </c>
      <c r="AV34" s="114">
        <v>307</v>
      </c>
      <c r="AW34" s="115">
        <v>3.25</v>
      </c>
      <c r="AX34" s="17">
        <f t="shared" si="38"/>
        <v>1396.85</v>
      </c>
      <c r="AY34" s="116"/>
      <c r="AZ34" s="117"/>
      <c r="BA34" s="117">
        <f t="shared" si="39"/>
        <v>0</v>
      </c>
      <c r="BB34" s="117">
        <f t="shared" si="40"/>
        <v>43757.275</v>
      </c>
      <c r="BC34" s="157">
        <f>'[6]Т04-10'!$M$26+'[6]Т04-10'!$M$34+'[6]Т04-10'!$M$92+'[6]Т04-10'!$M$106</f>
        <v>5154.503</v>
      </c>
      <c r="BD34" s="17">
        <f t="shared" si="41"/>
        <v>7198.848979999998</v>
      </c>
      <c r="BE34" s="22">
        <f t="shared" si="42"/>
        <v>-8057.9699999999975</v>
      </c>
    </row>
    <row r="35" spans="1:57" ht="12.75">
      <c r="A35" s="22" t="s">
        <v>49</v>
      </c>
      <c r="B35" s="102">
        <v>6043.58</v>
      </c>
      <c r="C35" s="143">
        <f t="shared" si="25"/>
        <v>52276.967000000004</v>
      </c>
      <c r="D35" s="138">
        <f t="shared" si="26"/>
        <v>5067.627</v>
      </c>
      <c r="E35" s="97">
        <v>4362.5</v>
      </c>
      <c r="F35" s="97">
        <v>1086.89</v>
      </c>
      <c r="G35" s="97">
        <v>5907.46</v>
      </c>
      <c r="H35" s="97">
        <v>1473.3</v>
      </c>
      <c r="I35" s="97">
        <v>14196.19</v>
      </c>
      <c r="J35" s="97">
        <v>3538.33</v>
      </c>
      <c r="K35" s="97">
        <v>9833.64</v>
      </c>
      <c r="L35" s="97">
        <v>2451.57</v>
      </c>
      <c r="M35" s="97">
        <v>3489.97</v>
      </c>
      <c r="N35" s="97">
        <v>869.49</v>
      </c>
      <c r="O35" s="97">
        <v>0</v>
      </c>
      <c r="P35" s="120">
        <v>0</v>
      </c>
      <c r="Q35" s="120"/>
      <c r="R35" s="120"/>
      <c r="S35" s="98">
        <f t="shared" si="27"/>
        <v>37789.76</v>
      </c>
      <c r="T35" s="108">
        <f t="shared" si="28"/>
        <v>9419.58</v>
      </c>
      <c r="U35" s="149">
        <v>3609.82</v>
      </c>
      <c r="V35" s="149">
        <v>4886.97</v>
      </c>
      <c r="W35" s="149">
        <v>11734.31</v>
      </c>
      <c r="X35" s="149">
        <v>8135.24</v>
      </c>
      <c r="Y35" s="149">
        <v>2887.27</v>
      </c>
      <c r="Z35" s="150">
        <v>0</v>
      </c>
      <c r="AA35" s="150">
        <v>0</v>
      </c>
      <c r="AB35" s="109">
        <f aca="true" t="shared" si="43" ref="AB35:AB42">SUM(U35:AA35)</f>
        <v>31253.609999999997</v>
      </c>
      <c r="AC35" s="119">
        <f t="shared" si="29"/>
        <v>45740.816999999995</v>
      </c>
      <c r="AD35" s="112">
        <f t="shared" si="30"/>
        <v>0</v>
      </c>
      <c r="AE35" s="112">
        <f t="shared" si="31"/>
        <v>0</v>
      </c>
      <c r="AF35" s="112">
        <f>'[6]Т04-10'!$I$26+'[6]Т04-10'!$I$34+'[6]Т04-10'!$I$92+'[6]Т04-10'!$I$106</f>
        <v>11900.97198</v>
      </c>
      <c r="AG35" s="17">
        <f t="shared" si="32"/>
        <v>3626.1479999999997</v>
      </c>
      <c r="AH35" s="17">
        <f t="shared" si="33"/>
        <v>1208.7160000000001</v>
      </c>
      <c r="AI35" s="17">
        <f t="shared" si="34"/>
        <v>6043.58</v>
      </c>
      <c r="AJ35" s="17">
        <v>0</v>
      </c>
      <c r="AK35" s="17">
        <f t="shared" si="35"/>
        <v>5922.7083999999995</v>
      </c>
      <c r="AL35" s="17">
        <v>0</v>
      </c>
      <c r="AM35" s="17">
        <f t="shared" si="36"/>
        <v>13598.055</v>
      </c>
      <c r="AN35" s="17">
        <v>0</v>
      </c>
      <c r="AO35" s="17"/>
      <c r="AP35" s="17"/>
      <c r="AQ35" s="127"/>
      <c r="AR35" s="127"/>
      <c r="AS35" s="113">
        <v>561</v>
      </c>
      <c r="AT35" s="113"/>
      <c r="AU35" s="113">
        <f t="shared" si="37"/>
        <v>0</v>
      </c>
      <c r="AV35" s="114">
        <v>263</v>
      </c>
      <c r="AW35" s="115">
        <v>3.25</v>
      </c>
      <c r="AX35" s="17">
        <f t="shared" si="38"/>
        <v>1196.6499999999999</v>
      </c>
      <c r="AY35" s="116"/>
      <c r="AZ35" s="117"/>
      <c r="BA35" s="117">
        <f t="shared" si="39"/>
        <v>0</v>
      </c>
      <c r="BB35" s="117">
        <f t="shared" si="40"/>
        <v>32156.8574</v>
      </c>
      <c r="BC35" s="157">
        <f>'[6]Т04-10'!$M$26+'[6]Т04-10'!$M$34+'[6]Т04-10'!$M$92+'[6]Т04-10'!$M$106</f>
        <v>5154.503</v>
      </c>
      <c r="BD35" s="17">
        <f t="shared" si="41"/>
        <v>20330.428579999996</v>
      </c>
      <c r="BE35" s="22">
        <f t="shared" si="42"/>
        <v>-6536.150000000005</v>
      </c>
    </row>
    <row r="36" spans="1:57" ht="12.75">
      <c r="A36" s="22" t="s">
        <v>50</v>
      </c>
      <c r="B36" s="102">
        <v>6043.58</v>
      </c>
      <c r="C36" s="143">
        <f t="shared" si="25"/>
        <v>52276.967000000004</v>
      </c>
      <c r="D36" s="138">
        <f t="shared" si="26"/>
        <v>5123.157000000008</v>
      </c>
      <c r="E36" s="97">
        <v>4337.75</v>
      </c>
      <c r="F36" s="97">
        <v>1105.1</v>
      </c>
      <c r="G36" s="97">
        <v>5874.27</v>
      </c>
      <c r="H36" s="97">
        <v>1497.99</v>
      </c>
      <c r="I36" s="97">
        <v>14116.01</v>
      </c>
      <c r="J36" s="97">
        <v>3597.61</v>
      </c>
      <c r="K36" s="97">
        <v>9778.2</v>
      </c>
      <c r="L36" s="97">
        <v>2492.65</v>
      </c>
      <c r="M36" s="97">
        <v>3470.17</v>
      </c>
      <c r="N36" s="97">
        <v>884.06</v>
      </c>
      <c r="O36" s="97">
        <v>0</v>
      </c>
      <c r="P36" s="120">
        <v>0</v>
      </c>
      <c r="Q36" s="97">
        <v>0</v>
      </c>
      <c r="R36" s="120">
        <v>0</v>
      </c>
      <c r="S36" s="98">
        <f t="shared" si="27"/>
        <v>37576.399999999994</v>
      </c>
      <c r="T36" s="108">
        <f t="shared" si="28"/>
        <v>9577.41</v>
      </c>
      <c r="U36" s="98">
        <v>3722.19</v>
      </c>
      <c r="V36" s="98">
        <v>5041</v>
      </c>
      <c r="W36" s="98">
        <v>12114.08</v>
      </c>
      <c r="X36" s="98">
        <v>8392.08</v>
      </c>
      <c r="Y36" s="98">
        <v>2979.65</v>
      </c>
      <c r="Z36" s="109">
        <v>0</v>
      </c>
      <c r="AA36" s="109">
        <v>0</v>
      </c>
      <c r="AB36" s="109">
        <f t="shared" si="43"/>
        <v>32249</v>
      </c>
      <c r="AC36" s="119">
        <f t="shared" si="29"/>
        <v>46949.56700000001</v>
      </c>
      <c r="AD36" s="112">
        <f t="shared" si="30"/>
        <v>0</v>
      </c>
      <c r="AE36" s="112">
        <f t="shared" si="31"/>
        <v>0</v>
      </c>
      <c r="AF36" s="112">
        <f>'[6]Т04-10'!$I$26+'[6]Т04-10'!$I$34+'[6]Т04-10'!$I$92+'[6]Т04-10'!$I$106</f>
        <v>11900.97198</v>
      </c>
      <c r="AG36" s="17">
        <f t="shared" si="32"/>
        <v>3626.1479999999997</v>
      </c>
      <c r="AH36" s="17">
        <f t="shared" si="33"/>
        <v>1208.7160000000001</v>
      </c>
      <c r="AI36" s="17">
        <f t="shared" si="34"/>
        <v>6043.58</v>
      </c>
      <c r="AJ36" s="17">
        <v>0</v>
      </c>
      <c r="AK36" s="17">
        <f t="shared" si="35"/>
        <v>5922.7083999999995</v>
      </c>
      <c r="AL36" s="17">
        <v>0</v>
      </c>
      <c r="AM36" s="17">
        <f t="shared" si="36"/>
        <v>13598.055</v>
      </c>
      <c r="AN36" s="17">
        <v>0</v>
      </c>
      <c r="AO36" s="17"/>
      <c r="AP36" s="17"/>
      <c r="AQ36" s="127"/>
      <c r="AR36" s="127"/>
      <c r="AS36" s="113">
        <v>2352</v>
      </c>
      <c r="AT36" s="113"/>
      <c r="AU36" s="113">
        <f t="shared" si="37"/>
        <v>0</v>
      </c>
      <c r="AV36" s="114">
        <v>233</v>
      </c>
      <c r="AW36" s="115">
        <v>3.25</v>
      </c>
      <c r="AX36" s="17">
        <f t="shared" si="38"/>
        <v>1060.1499999999999</v>
      </c>
      <c r="AY36" s="116"/>
      <c r="AZ36" s="117"/>
      <c r="BA36" s="117">
        <f t="shared" si="39"/>
        <v>0</v>
      </c>
      <c r="BB36" s="117">
        <f t="shared" si="40"/>
        <v>33811.3574</v>
      </c>
      <c r="BC36" s="157">
        <f>'[6]Т06-10'!$M$26+'[6]Т06-10'!$M$34+'[6]Т06-10'!$M$90+'[6]Т06-10'!$M$103</f>
        <v>5154.503</v>
      </c>
      <c r="BD36" s="17">
        <f t="shared" si="41"/>
        <v>19884.67858000001</v>
      </c>
      <c r="BE36" s="22">
        <f t="shared" si="42"/>
        <v>-5327.399999999994</v>
      </c>
    </row>
    <row r="37" spans="1:57" ht="12.75">
      <c r="A37" s="22" t="s">
        <v>51</v>
      </c>
      <c r="B37" s="102">
        <v>6043.58</v>
      </c>
      <c r="C37" s="143">
        <f t="shared" si="25"/>
        <v>52276.967000000004</v>
      </c>
      <c r="D37" s="138">
        <f t="shared" si="26"/>
        <v>5086.257000000002</v>
      </c>
      <c r="E37" s="159">
        <v>5447.18</v>
      </c>
      <c r="F37" s="97">
        <v>0</v>
      </c>
      <c r="G37" s="97">
        <v>7377.9</v>
      </c>
      <c r="H37" s="97">
        <v>0</v>
      </c>
      <c r="I37" s="97">
        <v>17727.52</v>
      </c>
      <c r="J37" s="97">
        <v>0</v>
      </c>
      <c r="K37" s="97">
        <v>12280.4</v>
      </c>
      <c r="L37" s="97">
        <v>0</v>
      </c>
      <c r="M37" s="97">
        <v>4357.71</v>
      </c>
      <c r="N37" s="97">
        <v>0</v>
      </c>
      <c r="O37" s="97">
        <v>0</v>
      </c>
      <c r="P37" s="120">
        <v>0</v>
      </c>
      <c r="Q37" s="120"/>
      <c r="R37" s="120"/>
      <c r="S37" s="98">
        <f t="shared" si="27"/>
        <v>47190.71</v>
      </c>
      <c r="T37" s="108">
        <f t="shared" si="28"/>
        <v>0</v>
      </c>
      <c r="U37" s="100">
        <v>4157.25</v>
      </c>
      <c r="V37" s="98">
        <v>5630.55</v>
      </c>
      <c r="W37" s="98">
        <v>13529.43</v>
      </c>
      <c r="X37" s="98">
        <v>9371.33</v>
      </c>
      <c r="Y37" s="98">
        <v>3324.31</v>
      </c>
      <c r="Z37" s="109">
        <v>0</v>
      </c>
      <c r="AA37" s="109">
        <v>0</v>
      </c>
      <c r="AB37" s="109">
        <f t="shared" si="43"/>
        <v>36012.869999999995</v>
      </c>
      <c r="AC37" s="119">
        <f t="shared" si="29"/>
        <v>41099.127</v>
      </c>
      <c r="AD37" s="112">
        <f t="shared" si="30"/>
        <v>0</v>
      </c>
      <c r="AE37" s="112">
        <f t="shared" si="31"/>
        <v>0</v>
      </c>
      <c r="AF37" s="112">
        <f>'[5]Т07-10'!$I$25+'[5]Т07-10'!$I$33+'[5]Т07-10'!$I$89+'[5]Т07-10'!$I$102</f>
        <v>11900.97198</v>
      </c>
      <c r="AG37" s="17">
        <f t="shared" si="32"/>
        <v>3626.1479999999997</v>
      </c>
      <c r="AH37" s="17">
        <f t="shared" si="33"/>
        <v>1208.7160000000001</v>
      </c>
      <c r="AI37" s="17">
        <f t="shared" si="34"/>
        <v>6043.58</v>
      </c>
      <c r="AJ37" s="17">
        <v>0</v>
      </c>
      <c r="AK37" s="17">
        <f t="shared" si="35"/>
        <v>5922.7083999999995</v>
      </c>
      <c r="AL37" s="17">
        <v>0</v>
      </c>
      <c r="AM37" s="17">
        <f t="shared" si="36"/>
        <v>13598.055</v>
      </c>
      <c r="AN37" s="17">
        <v>0</v>
      </c>
      <c r="AO37" s="17"/>
      <c r="AP37" s="17"/>
      <c r="AQ37" s="127">
        <v>20800</v>
      </c>
      <c r="AR37" s="127"/>
      <c r="AS37" s="113"/>
      <c r="AT37" s="113">
        <f>806.34+29.53+7635.6+279.9</f>
        <v>8751.37</v>
      </c>
      <c r="AU37" s="113">
        <f>AT37*0.18-0.29</f>
        <v>1574.9566000000002</v>
      </c>
      <c r="AV37" s="114">
        <v>248</v>
      </c>
      <c r="AW37" s="115">
        <v>3.25</v>
      </c>
      <c r="AX37" s="17">
        <f t="shared" si="38"/>
        <v>1128.3999999999999</v>
      </c>
      <c r="AY37" s="116"/>
      <c r="AZ37" s="117"/>
      <c r="BA37" s="117">
        <f t="shared" si="39"/>
        <v>0</v>
      </c>
      <c r="BB37" s="117">
        <f t="shared" si="40"/>
        <v>62653.934</v>
      </c>
      <c r="BC37" s="157">
        <f>'[6]Т06-10'!$M$26+'[6]Т06-10'!$M$34+'[6]Т06-10'!$M$90+'[6]Т06-10'!$M$103</f>
        <v>5154.503</v>
      </c>
      <c r="BD37" s="17">
        <f t="shared" si="41"/>
        <v>-14808.33802</v>
      </c>
      <c r="BE37" s="22">
        <f t="shared" si="42"/>
        <v>-11177.840000000004</v>
      </c>
    </row>
    <row r="38" spans="1:57" ht="12.75">
      <c r="A38" s="22" t="s">
        <v>52</v>
      </c>
      <c r="B38" s="102">
        <v>6043.58</v>
      </c>
      <c r="C38" s="143">
        <f t="shared" si="25"/>
        <v>52276.967000000004</v>
      </c>
      <c r="D38" s="165">
        <f>C38-E38-F38-G38-H38-I38-J38-K38-L38-M38-N38+20800+150000</f>
        <v>175812.267</v>
      </c>
      <c r="E38" s="159">
        <v>5455.9</v>
      </c>
      <c r="F38" s="97">
        <v>0</v>
      </c>
      <c r="G38" s="97">
        <v>7389.22</v>
      </c>
      <c r="H38" s="97">
        <v>0</v>
      </c>
      <c r="I38" s="97">
        <v>17755.37</v>
      </c>
      <c r="J38" s="97">
        <v>0</v>
      </c>
      <c r="K38" s="97">
        <v>12299.53</v>
      </c>
      <c r="L38" s="97">
        <v>0</v>
      </c>
      <c r="M38" s="97">
        <v>4364.68</v>
      </c>
      <c r="N38" s="97">
        <v>0</v>
      </c>
      <c r="O38" s="97">
        <v>0</v>
      </c>
      <c r="P38" s="120">
        <v>0</v>
      </c>
      <c r="Q38" s="120"/>
      <c r="R38" s="120"/>
      <c r="S38" s="98">
        <f t="shared" si="27"/>
        <v>47264.7</v>
      </c>
      <c r="T38" s="108">
        <f t="shared" si="28"/>
        <v>0</v>
      </c>
      <c r="U38" s="149">
        <v>5286.9</v>
      </c>
      <c r="V38" s="149">
        <v>7159.81</v>
      </c>
      <c r="W38" s="149">
        <v>17204.81</v>
      </c>
      <c r="X38" s="149">
        <v>11917.94</v>
      </c>
      <c r="Y38" s="149">
        <v>4229.41</v>
      </c>
      <c r="Z38" s="150">
        <v>0</v>
      </c>
      <c r="AA38" s="150">
        <v>0</v>
      </c>
      <c r="AB38" s="109">
        <f t="shared" si="43"/>
        <v>45798.869999999995</v>
      </c>
      <c r="AC38" s="119">
        <f t="shared" si="29"/>
        <v>221611.137</v>
      </c>
      <c r="AD38" s="112">
        <f t="shared" si="30"/>
        <v>0</v>
      </c>
      <c r="AE38" s="112">
        <f t="shared" si="31"/>
        <v>0</v>
      </c>
      <c r="AF38" s="112">
        <f>'[5]Т07-10'!$I$25+'[5]Т07-10'!$I$33+'[5]Т07-10'!$I$89+'[5]Т07-10'!$I$102</f>
        <v>11900.97198</v>
      </c>
      <c r="AG38" s="17">
        <f t="shared" si="32"/>
        <v>3626.1479999999997</v>
      </c>
      <c r="AH38" s="17">
        <f t="shared" si="33"/>
        <v>1208.7160000000001</v>
      </c>
      <c r="AI38" s="17">
        <f t="shared" si="34"/>
        <v>6043.58</v>
      </c>
      <c r="AJ38" s="17">
        <v>0</v>
      </c>
      <c r="AK38" s="17">
        <f t="shared" si="35"/>
        <v>5922.7083999999995</v>
      </c>
      <c r="AL38" s="17">
        <v>0</v>
      </c>
      <c r="AM38" s="17">
        <f t="shared" si="36"/>
        <v>13598.055</v>
      </c>
      <c r="AN38" s="17">
        <v>0</v>
      </c>
      <c r="AO38" s="17"/>
      <c r="AP38" s="17"/>
      <c r="AQ38" s="127"/>
      <c r="AR38" s="127"/>
      <c r="AS38" s="113">
        <v>5775</v>
      </c>
      <c r="AT38" s="113">
        <f>47.8+168</f>
        <v>215.8</v>
      </c>
      <c r="AU38" s="113">
        <f>AT38*0.18</f>
        <v>38.844</v>
      </c>
      <c r="AV38" s="114">
        <v>293</v>
      </c>
      <c r="AW38" s="115">
        <v>3.25</v>
      </c>
      <c r="AX38" s="17">
        <f t="shared" si="38"/>
        <v>1333.1499999999999</v>
      </c>
      <c r="AY38" s="116"/>
      <c r="AZ38" s="117"/>
      <c r="BA38" s="117">
        <f t="shared" si="39"/>
        <v>0</v>
      </c>
      <c r="BB38" s="117">
        <f t="shared" si="40"/>
        <v>37762.0014</v>
      </c>
      <c r="BC38" s="157">
        <f>'[6]Т06-10'!$M$26+'[6]Т06-10'!$M$34+'[6]Т06-10'!$M$90+'[6]Т06-10'!$M$103</f>
        <v>5154.503</v>
      </c>
      <c r="BD38" s="17">
        <f t="shared" si="41"/>
        <v>190595.60457999998</v>
      </c>
      <c r="BE38" s="22">
        <f t="shared" si="42"/>
        <v>-1465.8300000000017</v>
      </c>
    </row>
    <row r="39" spans="1:57" ht="15">
      <c r="A39" s="22" t="s">
        <v>53</v>
      </c>
      <c r="B39" s="102">
        <v>6043.58</v>
      </c>
      <c r="C39" s="143">
        <f t="shared" si="25"/>
        <v>52276.967000000004</v>
      </c>
      <c r="D39" s="138">
        <f>C39-E39-F39-G39-H39-I39-J39-K39-L39-M39-N39</f>
        <v>4998.256999999998</v>
      </c>
      <c r="E39" s="90">
        <v>5457.55</v>
      </c>
      <c r="F39" s="90">
        <v>0</v>
      </c>
      <c r="G39" s="90">
        <v>7391.37</v>
      </c>
      <c r="H39" s="90">
        <v>0</v>
      </c>
      <c r="I39" s="90">
        <v>17760.63</v>
      </c>
      <c r="J39" s="90">
        <v>0</v>
      </c>
      <c r="K39" s="90">
        <v>12303.16</v>
      </c>
      <c r="L39" s="90">
        <v>0</v>
      </c>
      <c r="M39" s="90">
        <v>4366</v>
      </c>
      <c r="N39" s="90">
        <v>0</v>
      </c>
      <c r="O39" s="90">
        <v>0</v>
      </c>
      <c r="P39" s="136">
        <v>0</v>
      </c>
      <c r="Q39" s="156"/>
      <c r="R39" s="156"/>
      <c r="S39" s="98">
        <f t="shared" si="27"/>
        <v>47278.71000000001</v>
      </c>
      <c r="T39" s="108">
        <f t="shared" si="28"/>
        <v>0</v>
      </c>
      <c r="U39" s="98">
        <v>4983.02</v>
      </c>
      <c r="V39" s="98">
        <v>6748.94</v>
      </c>
      <c r="W39" s="98">
        <v>16216.75</v>
      </c>
      <c r="X39" s="98">
        <v>11233.68</v>
      </c>
      <c r="Y39" s="98">
        <v>3986.44</v>
      </c>
      <c r="Z39" s="109">
        <v>0</v>
      </c>
      <c r="AA39" s="109">
        <v>0</v>
      </c>
      <c r="AB39" s="109">
        <f t="shared" si="43"/>
        <v>43168.83</v>
      </c>
      <c r="AC39" s="119">
        <f t="shared" si="29"/>
        <v>48167.087</v>
      </c>
      <c r="AD39" s="112">
        <f t="shared" si="30"/>
        <v>0</v>
      </c>
      <c r="AE39" s="112">
        <f t="shared" si="31"/>
        <v>0</v>
      </c>
      <c r="AF39" s="112">
        <f>'[5]Т07-10'!$I$25+'[5]Т07-10'!$I$33+'[5]Т07-10'!$I$89+'[5]Т07-10'!$I$102</f>
        <v>11900.97198</v>
      </c>
      <c r="AG39" s="17">
        <f t="shared" si="32"/>
        <v>3626.1479999999997</v>
      </c>
      <c r="AH39" s="17">
        <f t="shared" si="33"/>
        <v>1208.7160000000001</v>
      </c>
      <c r="AI39" s="17">
        <f t="shared" si="34"/>
        <v>6043.58</v>
      </c>
      <c r="AJ39" s="17">
        <v>0</v>
      </c>
      <c r="AK39" s="17">
        <f t="shared" si="35"/>
        <v>5922.7083999999995</v>
      </c>
      <c r="AL39" s="17">
        <v>0</v>
      </c>
      <c r="AM39" s="17">
        <f t="shared" si="36"/>
        <v>13598.055</v>
      </c>
      <c r="AN39" s="17">
        <v>0</v>
      </c>
      <c r="AO39" s="17"/>
      <c r="AP39" s="17"/>
      <c r="AQ39" s="127"/>
      <c r="AR39" s="127"/>
      <c r="AS39" s="113">
        <v>26873</v>
      </c>
      <c r="AT39" s="113"/>
      <c r="AU39" s="158">
        <f>AT39*0.18</f>
        <v>0</v>
      </c>
      <c r="AV39" s="114">
        <v>349</v>
      </c>
      <c r="AW39" s="115">
        <v>3.25</v>
      </c>
      <c r="AX39" s="17">
        <f t="shared" si="38"/>
        <v>1587.9499999999998</v>
      </c>
      <c r="AY39" s="116"/>
      <c r="AZ39" s="117"/>
      <c r="BA39" s="117">
        <f t="shared" si="39"/>
        <v>0</v>
      </c>
      <c r="BB39" s="117">
        <f t="shared" si="40"/>
        <v>58860.1574</v>
      </c>
      <c r="BC39" s="157">
        <f>'[6]Т06-10'!$M$26+'[6]Т06-10'!$M$34+'[6]Т06-10'!$M$90+'[6]Т06-10'!$M$103</f>
        <v>5154.503</v>
      </c>
      <c r="BD39" s="17">
        <f t="shared" si="41"/>
        <v>-3946.6014199999963</v>
      </c>
      <c r="BE39" s="22">
        <f t="shared" si="42"/>
        <v>-4109.880000000005</v>
      </c>
    </row>
    <row r="40" spans="1:57" ht="12.75">
      <c r="A40" s="22" t="s">
        <v>41</v>
      </c>
      <c r="B40" s="102">
        <v>6043.58</v>
      </c>
      <c r="C40" s="143">
        <f t="shared" si="25"/>
        <v>52276.967000000004</v>
      </c>
      <c r="D40" s="138">
        <f>C40-E40-F40-G40-H40-I40-J40-K40-L40-M40-N40</f>
        <v>4998.197000000002</v>
      </c>
      <c r="E40" s="90">
        <v>5457.55</v>
      </c>
      <c r="F40" s="90">
        <v>0</v>
      </c>
      <c r="G40" s="90">
        <v>7391.39</v>
      </c>
      <c r="H40" s="90">
        <v>0</v>
      </c>
      <c r="I40" s="90">
        <v>17760.66</v>
      </c>
      <c r="J40" s="90">
        <v>0</v>
      </c>
      <c r="K40" s="90">
        <v>12303.16</v>
      </c>
      <c r="L40" s="90">
        <v>0</v>
      </c>
      <c r="M40" s="90">
        <v>4366.01</v>
      </c>
      <c r="N40" s="90">
        <v>0</v>
      </c>
      <c r="O40" s="90">
        <v>0</v>
      </c>
      <c r="P40" s="136">
        <v>0</v>
      </c>
      <c r="Q40" s="136"/>
      <c r="R40" s="136"/>
      <c r="S40" s="98">
        <f t="shared" si="27"/>
        <v>47278.77</v>
      </c>
      <c r="T40" s="108">
        <f t="shared" si="28"/>
        <v>0</v>
      </c>
      <c r="U40" s="98">
        <v>5523.05</v>
      </c>
      <c r="V40" s="98">
        <v>7478.56</v>
      </c>
      <c r="W40" s="98">
        <v>21505.32</v>
      </c>
      <c r="X40" s="98">
        <v>12449.49</v>
      </c>
      <c r="Y40" s="98">
        <v>4418.3</v>
      </c>
      <c r="Z40" s="109">
        <v>0</v>
      </c>
      <c r="AA40" s="109">
        <v>0</v>
      </c>
      <c r="AB40" s="109">
        <f t="shared" si="43"/>
        <v>51374.72</v>
      </c>
      <c r="AC40" s="119">
        <f t="shared" si="29"/>
        <v>56372.917</v>
      </c>
      <c r="AD40" s="112">
        <f t="shared" si="30"/>
        <v>0</v>
      </c>
      <c r="AE40" s="112">
        <f t="shared" si="31"/>
        <v>0</v>
      </c>
      <c r="AF40" s="112">
        <f>'[5]Т10-10'!$I$25+'[5]Т10-10'!$I$33+'[5]Т10-10'!$I$89+'[5]Т10-10'!$I$103+100</f>
        <v>12000.97198</v>
      </c>
      <c r="AG40" s="17">
        <f t="shared" si="32"/>
        <v>3626.1479999999997</v>
      </c>
      <c r="AH40" s="17">
        <f t="shared" si="33"/>
        <v>1208.7160000000001</v>
      </c>
      <c r="AI40" s="17">
        <f t="shared" si="34"/>
        <v>6043.58</v>
      </c>
      <c r="AJ40" s="17">
        <v>0</v>
      </c>
      <c r="AK40" s="17">
        <f t="shared" si="35"/>
        <v>5922.7083999999995</v>
      </c>
      <c r="AL40" s="17">
        <v>0</v>
      </c>
      <c r="AM40" s="17">
        <f t="shared" si="36"/>
        <v>13598.055</v>
      </c>
      <c r="AN40" s="17">
        <v>0</v>
      </c>
      <c r="AO40" s="17"/>
      <c r="AP40" s="17"/>
      <c r="AQ40" s="127"/>
      <c r="AR40" s="127"/>
      <c r="AS40" s="113">
        <v>7506</v>
      </c>
      <c r="AT40" s="113">
        <v>120</v>
      </c>
      <c r="AU40" s="113">
        <f>AT40*0.18</f>
        <v>21.599999999999998</v>
      </c>
      <c r="AV40" s="114">
        <v>425</v>
      </c>
      <c r="AW40" s="115">
        <v>3.25</v>
      </c>
      <c r="AX40" s="17">
        <f t="shared" si="38"/>
        <v>1933.7499999999998</v>
      </c>
      <c r="AY40" s="116"/>
      <c r="AZ40" s="117"/>
      <c r="BA40" s="117">
        <f t="shared" si="39"/>
        <v>0</v>
      </c>
      <c r="BB40" s="117">
        <f t="shared" si="40"/>
        <v>39980.5574</v>
      </c>
      <c r="BC40" s="157">
        <f>'[5]Т10-10'!$M$25+'[5]Т10-10'!$M$33+'[5]Т10-10'!$M$89+'[5]Т10-10'!$M$103+25</f>
        <v>5179.503</v>
      </c>
      <c r="BD40" s="17">
        <f t="shared" si="41"/>
        <v>23213.828580000005</v>
      </c>
      <c r="BE40" s="22">
        <f t="shared" si="42"/>
        <v>4095.9500000000044</v>
      </c>
    </row>
    <row r="41" spans="1:57" ht="12.75">
      <c r="A41" s="22" t="s">
        <v>42</v>
      </c>
      <c r="B41" s="102">
        <v>6043.58</v>
      </c>
      <c r="C41" s="143">
        <f t="shared" si="25"/>
        <v>52276.967000000004</v>
      </c>
      <c r="D41" s="138">
        <f>C41-E41-F41-G41-H41-I41-J41-K41-L41-M41-N41</f>
        <v>4939.0270000000055</v>
      </c>
      <c r="E41" s="97">
        <v>5464.51</v>
      </c>
      <c r="F41" s="97">
        <v>0</v>
      </c>
      <c r="G41" s="97">
        <v>7400.42</v>
      </c>
      <c r="H41" s="97">
        <v>0</v>
      </c>
      <c r="I41" s="97">
        <v>17782.94</v>
      </c>
      <c r="J41" s="97">
        <v>0</v>
      </c>
      <c r="K41" s="97">
        <v>12318.48</v>
      </c>
      <c r="L41" s="97">
        <v>0</v>
      </c>
      <c r="M41" s="97">
        <v>4371.59</v>
      </c>
      <c r="N41" s="97">
        <v>0</v>
      </c>
      <c r="O41" s="97">
        <v>0</v>
      </c>
      <c r="P41" s="120">
        <v>0</v>
      </c>
      <c r="Q41" s="120"/>
      <c r="R41" s="120"/>
      <c r="S41" s="98">
        <f t="shared" si="27"/>
        <v>47337.94</v>
      </c>
      <c r="T41" s="108">
        <f t="shared" si="28"/>
        <v>0</v>
      </c>
      <c r="U41" s="100">
        <v>5574.5</v>
      </c>
      <c r="V41" s="98">
        <v>7550.84</v>
      </c>
      <c r="W41" s="98">
        <v>18142.19</v>
      </c>
      <c r="X41" s="98">
        <v>12567.68</v>
      </c>
      <c r="Y41" s="98">
        <v>4459.6</v>
      </c>
      <c r="Z41" s="109">
        <v>0</v>
      </c>
      <c r="AA41" s="109">
        <v>0</v>
      </c>
      <c r="AB41" s="109">
        <f t="shared" si="43"/>
        <v>48294.81</v>
      </c>
      <c r="AC41" s="119">
        <f t="shared" si="29"/>
        <v>53233.837</v>
      </c>
      <c r="AD41" s="112">
        <f t="shared" si="30"/>
        <v>0</v>
      </c>
      <c r="AE41" s="112">
        <f t="shared" si="31"/>
        <v>0</v>
      </c>
      <c r="AF41" s="112">
        <f>'[5]Т11'!$I$25+'[5]Т11'!$I$33+'[5]Т11'!$I$89+'[5]Т11'!$I$102+100</f>
        <v>12000.97198</v>
      </c>
      <c r="AG41" s="17">
        <f t="shared" si="32"/>
        <v>3626.1479999999997</v>
      </c>
      <c r="AH41" s="17">
        <f t="shared" si="33"/>
        <v>1208.7160000000001</v>
      </c>
      <c r="AI41" s="17">
        <f t="shared" si="34"/>
        <v>6043.58</v>
      </c>
      <c r="AJ41" s="17">
        <v>0</v>
      </c>
      <c r="AK41" s="17">
        <f t="shared" si="35"/>
        <v>5922.7083999999995</v>
      </c>
      <c r="AL41" s="17">
        <v>0</v>
      </c>
      <c r="AM41" s="17">
        <f t="shared" si="36"/>
        <v>13598.055</v>
      </c>
      <c r="AN41" s="17">
        <v>0</v>
      </c>
      <c r="AO41" s="17"/>
      <c r="AP41" s="17"/>
      <c r="AQ41" s="127"/>
      <c r="AR41" s="127"/>
      <c r="AS41" s="113">
        <v>9153</v>
      </c>
      <c r="AT41" s="113"/>
      <c r="AU41" s="113">
        <f>AT41*0.18</f>
        <v>0</v>
      </c>
      <c r="AV41" s="114">
        <v>470</v>
      </c>
      <c r="AW41" s="115">
        <v>3.25</v>
      </c>
      <c r="AX41" s="17">
        <f t="shared" si="38"/>
        <v>2138.5</v>
      </c>
      <c r="AY41" s="116"/>
      <c r="AZ41" s="117"/>
      <c r="BA41" s="117">
        <f t="shared" si="39"/>
        <v>0</v>
      </c>
      <c r="BB41" s="117">
        <f t="shared" si="40"/>
        <v>41690.7074</v>
      </c>
      <c r="BC41" s="157">
        <f>'[5]Т11'!$M$25+'[5]Т11'!$M$33+'[5]Т11'!$M$89+'[5]Т11'!$M$102+25</f>
        <v>5179.503</v>
      </c>
      <c r="BD41" s="17">
        <f t="shared" si="41"/>
        <v>18364.59858</v>
      </c>
      <c r="BE41" s="22">
        <f t="shared" si="42"/>
        <v>956.8699999999953</v>
      </c>
    </row>
    <row r="42" spans="1:57" ht="12.75">
      <c r="A42" s="22" t="s">
        <v>43</v>
      </c>
      <c r="B42" s="102">
        <v>6043.58</v>
      </c>
      <c r="C42" s="143">
        <f t="shared" si="25"/>
        <v>52276.967000000004</v>
      </c>
      <c r="D42" s="138">
        <f>C42-E42-F42-G42-H42-I42-J42-K42-L42-M42-N42</f>
        <v>4978.867000000002</v>
      </c>
      <c r="E42" s="97">
        <v>5459.82</v>
      </c>
      <c r="F42" s="97">
        <v>0</v>
      </c>
      <c r="G42" s="97">
        <v>7394.33</v>
      </c>
      <c r="H42" s="97">
        <v>0</v>
      </c>
      <c r="I42" s="97">
        <v>17767.95</v>
      </c>
      <c r="J42" s="97">
        <v>0</v>
      </c>
      <c r="K42" s="97">
        <v>12308.17</v>
      </c>
      <c r="L42" s="97">
        <v>0</v>
      </c>
      <c r="M42" s="97">
        <v>4367.83</v>
      </c>
      <c r="N42" s="97">
        <v>0</v>
      </c>
      <c r="O42" s="97">
        <v>0</v>
      </c>
      <c r="P42" s="120">
        <v>0</v>
      </c>
      <c r="Q42" s="120"/>
      <c r="R42" s="120"/>
      <c r="S42" s="98">
        <f t="shared" si="27"/>
        <v>47298.1</v>
      </c>
      <c r="T42" s="108">
        <f t="shared" si="28"/>
        <v>0</v>
      </c>
      <c r="U42" s="98">
        <v>5849.91</v>
      </c>
      <c r="V42" s="98">
        <v>7922.39</v>
      </c>
      <c r="W42" s="98">
        <v>22700.59</v>
      </c>
      <c r="X42" s="98">
        <v>13187.53</v>
      </c>
      <c r="Y42" s="98">
        <v>4680</v>
      </c>
      <c r="Z42" s="109">
        <v>0</v>
      </c>
      <c r="AA42" s="109">
        <v>0</v>
      </c>
      <c r="AB42" s="109">
        <f t="shared" si="43"/>
        <v>54340.42</v>
      </c>
      <c r="AC42" s="119">
        <f t="shared" si="29"/>
        <v>59319.287</v>
      </c>
      <c r="AD42" s="112">
        <f t="shared" si="30"/>
        <v>0</v>
      </c>
      <c r="AE42" s="112">
        <f t="shared" si="31"/>
        <v>0</v>
      </c>
      <c r="AF42" s="112">
        <f>'[5]Т11'!$I$25+'[5]Т11'!$I$33+'[5]Т11'!$I$89+'[5]Т11'!$I$102+100</f>
        <v>12000.97198</v>
      </c>
      <c r="AG42" s="17">
        <f t="shared" si="32"/>
        <v>3626.1479999999997</v>
      </c>
      <c r="AH42" s="17">
        <f t="shared" si="33"/>
        <v>1208.7160000000001</v>
      </c>
      <c r="AI42" s="17">
        <f t="shared" si="34"/>
        <v>6043.58</v>
      </c>
      <c r="AJ42" s="17">
        <v>0</v>
      </c>
      <c r="AK42" s="17">
        <f t="shared" si="35"/>
        <v>5922.7083999999995</v>
      </c>
      <c r="AL42" s="17">
        <v>0</v>
      </c>
      <c r="AM42" s="17">
        <f t="shared" si="36"/>
        <v>13598.055</v>
      </c>
      <c r="AN42" s="17">
        <v>0</v>
      </c>
      <c r="AO42" s="17"/>
      <c r="AP42" s="17"/>
      <c r="AQ42" s="127"/>
      <c r="AR42" s="127"/>
      <c r="AS42" s="113">
        <v>3946</v>
      </c>
      <c r="AT42" s="113">
        <f>524+408+3999.28+49.15+463.56+1283.05+245.76</f>
        <v>6972.800000000001</v>
      </c>
      <c r="AU42" s="113">
        <f>(524+408+49.15+463.56+1283.05+245.76)*0.18</f>
        <v>535.2336</v>
      </c>
      <c r="AV42" s="114">
        <v>514</v>
      </c>
      <c r="AW42" s="115">
        <v>3.25</v>
      </c>
      <c r="AX42" s="17">
        <f t="shared" si="38"/>
        <v>2338.7</v>
      </c>
      <c r="AY42" s="116"/>
      <c r="AZ42" s="117"/>
      <c r="BA42" s="117">
        <f t="shared" si="39"/>
        <v>0</v>
      </c>
      <c r="BB42" s="117">
        <f t="shared" si="40"/>
        <v>44191.941</v>
      </c>
      <c r="BC42" s="157">
        <f>'[5]Т11'!$M$25+'[5]Т11'!$M$33+'[5]Т11'!$M$89+'[5]Т11'!$M$102+25</f>
        <v>5179.503</v>
      </c>
      <c r="BD42" s="17">
        <f t="shared" si="41"/>
        <v>21948.81498</v>
      </c>
      <c r="BE42" s="22">
        <f t="shared" si="42"/>
        <v>7042.32</v>
      </c>
    </row>
    <row r="43" spans="1:57" s="21" customFormat="1" ht="12.75">
      <c r="A43" s="147" t="s">
        <v>5</v>
      </c>
      <c r="B43" s="164">
        <f>SUM(B31:B42)</f>
        <v>72517.84000000001</v>
      </c>
      <c r="C43" s="164">
        <f aca="true" t="shared" si="44" ref="C43:BE43">SUM(C31:C42)</f>
        <v>627279.3160000001</v>
      </c>
      <c r="D43" s="164">
        <f t="shared" si="44"/>
        <v>231234.98600000003</v>
      </c>
      <c r="E43" s="164">
        <f t="shared" si="44"/>
        <v>58804.40000000001</v>
      </c>
      <c r="F43" s="164">
        <f t="shared" si="44"/>
        <v>6627.450000000001</v>
      </c>
      <c r="G43" s="164">
        <f t="shared" si="44"/>
        <v>79636.33</v>
      </c>
      <c r="H43" s="164">
        <f t="shared" si="44"/>
        <v>8983.67</v>
      </c>
      <c r="I43" s="164">
        <f t="shared" si="44"/>
        <v>191363.71000000002</v>
      </c>
      <c r="J43" s="164">
        <f t="shared" si="44"/>
        <v>21575.440000000002</v>
      </c>
      <c r="K43" s="164">
        <f t="shared" si="44"/>
        <v>132559.67</v>
      </c>
      <c r="L43" s="164">
        <f t="shared" si="44"/>
        <v>14948.759999999998</v>
      </c>
      <c r="M43" s="164">
        <f t="shared" si="44"/>
        <v>47043.05</v>
      </c>
      <c r="N43" s="164">
        <f t="shared" si="44"/>
        <v>5301.85</v>
      </c>
      <c r="O43" s="164">
        <f t="shared" si="44"/>
        <v>0</v>
      </c>
      <c r="P43" s="164">
        <f t="shared" si="44"/>
        <v>0</v>
      </c>
      <c r="Q43" s="164">
        <f t="shared" si="44"/>
        <v>0</v>
      </c>
      <c r="R43" s="164">
        <f t="shared" si="44"/>
        <v>0</v>
      </c>
      <c r="S43" s="164">
        <f t="shared" si="44"/>
        <v>509407.16000000003</v>
      </c>
      <c r="T43" s="164">
        <f t="shared" si="44"/>
        <v>57437.17</v>
      </c>
      <c r="U43" s="164">
        <f t="shared" si="44"/>
        <v>53458.48000000001</v>
      </c>
      <c r="V43" s="164">
        <f t="shared" si="44"/>
        <v>72353.44</v>
      </c>
      <c r="W43" s="164">
        <f t="shared" si="44"/>
        <v>181753.57</v>
      </c>
      <c r="X43" s="164">
        <f t="shared" si="44"/>
        <v>120442.49000000002</v>
      </c>
      <c r="Y43" s="164">
        <f t="shared" si="44"/>
        <v>42749.07</v>
      </c>
      <c r="Z43" s="164">
        <f t="shared" si="44"/>
        <v>0</v>
      </c>
      <c r="AA43" s="164">
        <f t="shared" si="44"/>
        <v>0</v>
      </c>
      <c r="AB43" s="164">
        <f t="shared" si="44"/>
        <v>470757.05000000005</v>
      </c>
      <c r="AC43" s="164">
        <f t="shared" si="44"/>
        <v>759429.206</v>
      </c>
      <c r="AD43" s="164">
        <f t="shared" si="44"/>
        <v>0</v>
      </c>
      <c r="AE43" s="164">
        <f t="shared" si="44"/>
        <v>0</v>
      </c>
      <c r="AF43" s="164">
        <f t="shared" si="44"/>
        <v>143111.66376</v>
      </c>
      <c r="AG43" s="164">
        <f t="shared" si="44"/>
        <v>43510.704000000005</v>
      </c>
      <c r="AH43" s="164">
        <f t="shared" si="44"/>
        <v>14503.568000000003</v>
      </c>
      <c r="AI43" s="164">
        <f>SUM(AI31:AI42)</f>
        <v>72517.84000000001</v>
      </c>
      <c r="AJ43" s="164">
        <f t="shared" si="44"/>
        <v>0</v>
      </c>
      <c r="AK43" s="164">
        <f t="shared" si="44"/>
        <v>71067.48320000002</v>
      </c>
      <c r="AL43" s="164">
        <f t="shared" si="44"/>
        <v>0</v>
      </c>
      <c r="AM43" s="164">
        <f t="shared" si="44"/>
        <v>163165.13999999996</v>
      </c>
      <c r="AN43" s="164">
        <f t="shared" si="44"/>
        <v>0</v>
      </c>
      <c r="AO43" s="164">
        <f t="shared" si="44"/>
        <v>3084.48</v>
      </c>
      <c r="AP43" s="151">
        <f t="shared" si="44"/>
        <v>0</v>
      </c>
      <c r="AQ43" s="151">
        <f t="shared" si="44"/>
        <v>74157.70999999999</v>
      </c>
      <c r="AR43" s="151">
        <f t="shared" si="44"/>
        <v>0</v>
      </c>
      <c r="AS43" s="151">
        <f t="shared" si="44"/>
        <v>69158</v>
      </c>
      <c r="AT43" s="151">
        <f t="shared" si="44"/>
        <v>20942.97</v>
      </c>
      <c r="AU43" s="151">
        <f t="shared" si="44"/>
        <v>3049.5742</v>
      </c>
      <c r="AV43" s="151">
        <f t="shared" si="44"/>
        <v>4400</v>
      </c>
      <c r="AW43" s="151">
        <f t="shared" si="44"/>
        <v>39</v>
      </c>
      <c r="AX43" s="151">
        <f t="shared" si="44"/>
        <v>20020</v>
      </c>
      <c r="AY43" s="151">
        <f t="shared" si="44"/>
        <v>0</v>
      </c>
      <c r="AZ43" s="151">
        <f t="shared" si="44"/>
        <v>0</v>
      </c>
      <c r="BA43" s="151">
        <f t="shared" si="44"/>
        <v>0</v>
      </c>
      <c r="BB43" s="164">
        <f t="shared" si="44"/>
        <v>555177.4694</v>
      </c>
      <c r="BC43" s="164">
        <f t="shared" si="44"/>
        <v>61929.035999999986</v>
      </c>
      <c r="BD43" s="164">
        <f t="shared" si="44"/>
        <v>285434.36436</v>
      </c>
      <c r="BE43" s="164">
        <f t="shared" si="44"/>
        <v>-38650.11</v>
      </c>
    </row>
    <row r="44" spans="1:5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s="21" customFormat="1" ht="12.75">
      <c r="A46" s="148" t="s">
        <v>54</v>
      </c>
      <c r="B46" s="151"/>
      <c r="C46" s="16">
        <f>C29+C43</f>
        <v>1410876.761</v>
      </c>
      <c r="D46" s="16">
        <f aca="true" t="shared" si="45" ref="D46:BE46">D29+D43</f>
        <v>337702.40493380005</v>
      </c>
      <c r="E46" s="16">
        <f t="shared" si="45"/>
        <v>120583.42000000001</v>
      </c>
      <c r="F46" s="16">
        <f t="shared" si="45"/>
        <v>22251.77</v>
      </c>
      <c r="G46" s="16">
        <f t="shared" si="45"/>
        <v>163184.2</v>
      </c>
      <c r="H46" s="16">
        <f t="shared" si="45"/>
        <v>30126.089999999997</v>
      </c>
      <c r="I46" s="16">
        <f t="shared" si="45"/>
        <v>392120.64</v>
      </c>
      <c r="J46" s="16">
        <f t="shared" si="45"/>
        <v>72563.26000000001</v>
      </c>
      <c r="K46" s="16">
        <f t="shared" si="45"/>
        <v>271707.47000000003</v>
      </c>
      <c r="L46" s="16">
        <f t="shared" si="45"/>
        <v>50153.22</v>
      </c>
      <c r="M46" s="16">
        <f t="shared" si="45"/>
        <v>96465.55000000002</v>
      </c>
      <c r="N46" s="16">
        <f t="shared" si="45"/>
        <v>17801.019999999997</v>
      </c>
      <c r="O46" s="16">
        <f t="shared" si="45"/>
        <v>0</v>
      </c>
      <c r="P46" s="16">
        <f t="shared" si="45"/>
        <v>0</v>
      </c>
      <c r="Q46" s="16">
        <f t="shared" si="45"/>
        <v>0</v>
      </c>
      <c r="R46" s="16">
        <f t="shared" si="45"/>
        <v>0</v>
      </c>
      <c r="S46" s="16">
        <f t="shared" si="45"/>
        <v>1044061.28</v>
      </c>
      <c r="T46" s="16">
        <f t="shared" si="45"/>
        <v>192895.36</v>
      </c>
      <c r="U46" s="16">
        <f t="shared" si="45"/>
        <v>107560.94</v>
      </c>
      <c r="V46" s="16">
        <f t="shared" si="45"/>
        <v>145535.93</v>
      </c>
      <c r="W46" s="16">
        <f t="shared" si="45"/>
        <v>357783.14</v>
      </c>
      <c r="X46" s="16">
        <f t="shared" si="45"/>
        <v>242338.69</v>
      </c>
      <c r="Y46" s="16">
        <f t="shared" si="45"/>
        <v>86047.75</v>
      </c>
      <c r="Z46" s="16">
        <f t="shared" si="45"/>
        <v>0</v>
      </c>
      <c r="AA46" s="16">
        <f t="shared" si="45"/>
        <v>0</v>
      </c>
      <c r="AB46" s="16">
        <f t="shared" si="45"/>
        <v>939266.45</v>
      </c>
      <c r="AC46" s="16">
        <f t="shared" si="45"/>
        <v>1469864.2149338</v>
      </c>
      <c r="AD46" s="16">
        <f t="shared" si="45"/>
        <v>0</v>
      </c>
      <c r="AE46" s="16">
        <f t="shared" si="45"/>
        <v>0</v>
      </c>
      <c r="AF46" s="16">
        <f t="shared" si="45"/>
        <v>269674.48326</v>
      </c>
      <c r="AG46" s="16">
        <f t="shared" si="45"/>
        <v>96414.93</v>
      </c>
      <c r="AH46" s="16">
        <f t="shared" si="45"/>
        <v>32307.741768800002</v>
      </c>
      <c r="AI46" s="16">
        <f t="shared" si="45"/>
        <v>146695.16709095</v>
      </c>
      <c r="AJ46" s="16">
        <f t="shared" si="45"/>
        <v>13351.918876370997</v>
      </c>
      <c r="AK46" s="16">
        <f t="shared" si="45"/>
        <v>146128.30141301</v>
      </c>
      <c r="AL46" s="16">
        <f t="shared" si="45"/>
        <v>13510.947278341799</v>
      </c>
      <c r="AM46" s="16">
        <f t="shared" si="45"/>
        <v>327536.8733349652</v>
      </c>
      <c r="AN46" s="16">
        <f t="shared" si="45"/>
        <v>29586.91200029374</v>
      </c>
      <c r="AO46" s="16">
        <f t="shared" si="45"/>
        <v>3084.48</v>
      </c>
      <c r="AP46" s="16">
        <f t="shared" si="45"/>
        <v>0</v>
      </c>
      <c r="AQ46" s="16">
        <f t="shared" si="45"/>
        <v>74157.70999999999</v>
      </c>
      <c r="AR46" s="16">
        <f t="shared" si="45"/>
        <v>0</v>
      </c>
      <c r="AS46" s="16">
        <f t="shared" si="45"/>
        <v>401140.4</v>
      </c>
      <c r="AT46" s="16">
        <f t="shared" si="45"/>
        <v>20942.97</v>
      </c>
      <c r="AU46" s="16">
        <f t="shared" si="45"/>
        <v>66334.922</v>
      </c>
      <c r="AV46" s="16">
        <f t="shared" si="45"/>
        <v>4400</v>
      </c>
      <c r="AW46" s="16">
        <f t="shared" si="45"/>
        <v>39</v>
      </c>
      <c r="AX46" s="16">
        <f t="shared" si="45"/>
        <v>44494.0496</v>
      </c>
      <c r="AY46" s="16">
        <f t="shared" si="45"/>
        <v>0</v>
      </c>
      <c r="AZ46" s="16">
        <f t="shared" si="45"/>
        <v>0</v>
      </c>
      <c r="BA46" s="16">
        <f t="shared" si="45"/>
        <v>0</v>
      </c>
      <c r="BB46" s="16">
        <f t="shared" si="45"/>
        <v>1447495.0739627318</v>
      </c>
      <c r="BC46" s="16">
        <f t="shared" si="45"/>
        <v>61929.035999999986</v>
      </c>
      <c r="BD46" s="16">
        <f t="shared" si="45"/>
        <v>168500.48592117464</v>
      </c>
      <c r="BE46" s="16">
        <f t="shared" si="45"/>
        <v>-104794.83</v>
      </c>
    </row>
    <row r="47" spans="1:5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Q5:Q6"/>
    <mergeCell ref="E5:E6"/>
    <mergeCell ref="F5:F6"/>
    <mergeCell ref="G5:G6"/>
    <mergeCell ref="H5:H6"/>
    <mergeCell ref="I5:I6"/>
    <mergeCell ref="AV5:AX5"/>
    <mergeCell ref="AQ5:AQ6"/>
    <mergeCell ref="AR5:AR6"/>
    <mergeCell ref="AG5:AG6"/>
    <mergeCell ref="AF3:AF6"/>
    <mergeCell ref="L5:L6"/>
    <mergeCell ref="M5:M6"/>
    <mergeCell ref="N5:N6"/>
    <mergeCell ref="O5:O6"/>
    <mergeCell ref="P5:P6"/>
    <mergeCell ref="AG3:BB4"/>
    <mergeCell ref="AN5:AN6"/>
    <mergeCell ref="AO5:AO6"/>
    <mergeCell ref="AY5:AY6"/>
    <mergeCell ref="AZ5:AZ6"/>
    <mergeCell ref="AD3:AD6"/>
    <mergeCell ref="BA5:BA6"/>
    <mergeCell ref="BB5:BB6"/>
    <mergeCell ref="AU5:AU6"/>
    <mergeCell ref="AT5:AT6"/>
    <mergeCell ref="AB5:AB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25">
      <selection activeCell="A56" sqref="A56"/>
    </sheetView>
  </sheetViews>
  <sheetFormatPr defaultColWidth="9.00390625" defaultRowHeight="12.75"/>
  <cols>
    <col min="1" max="1" width="8.375" style="2" customWidth="1"/>
    <col min="2" max="2" width="8.00390625" style="2" customWidth="1"/>
    <col min="3" max="3" width="11.75390625" style="2" customWidth="1"/>
    <col min="4" max="4" width="9.875" style="2" customWidth="1"/>
    <col min="5" max="5" width="11.375" style="2" customWidth="1"/>
    <col min="6" max="7" width="10.125" style="2" customWidth="1"/>
    <col min="8" max="8" width="11.625" style="2" customWidth="1"/>
    <col min="9" max="9" width="10.125" style="2" customWidth="1"/>
    <col min="10" max="10" width="9.125" style="2" customWidth="1"/>
    <col min="11" max="11" width="9.875" style="2" customWidth="1"/>
    <col min="12" max="13" width="10.125" style="2" customWidth="1"/>
    <col min="14" max="14" width="8.875" style="2" customWidth="1"/>
    <col min="15" max="15" width="11.875" style="2" customWidth="1"/>
    <col min="16" max="16" width="10.125" style="2" customWidth="1"/>
    <col min="17" max="17" width="10.375" style="2" customWidth="1"/>
    <col min="18" max="18" width="11.125" style="2" customWidth="1"/>
    <col min="19" max="16384" width="9.125" style="2" customWidth="1"/>
  </cols>
  <sheetData>
    <row r="1" ht="18.75">
      <c r="E1" s="26" t="s">
        <v>55</v>
      </c>
    </row>
    <row r="2" ht="18.75">
      <c r="E2" s="26" t="s">
        <v>56</v>
      </c>
    </row>
    <row r="5" spans="1:17" ht="12.75">
      <c r="A5" s="144" t="s">
        <v>81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7" ht="12.75">
      <c r="A6" s="145" t="s">
        <v>92</v>
      </c>
      <c r="B6" s="145"/>
      <c r="C6" s="145"/>
      <c r="D6" s="145"/>
      <c r="E6" s="145"/>
      <c r="F6" s="145"/>
      <c r="G6" s="145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5" ht="13.5" thickBot="1">
      <c r="A8" s="28" t="s">
        <v>57</v>
      </c>
      <c r="D8" s="4"/>
      <c r="E8" s="28">
        <v>8.65</v>
      </c>
    </row>
    <row r="9" spans="1:18" ht="12.75" customHeight="1">
      <c r="A9" s="234" t="s">
        <v>58</v>
      </c>
      <c r="B9" s="275" t="s">
        <v>1</v>
      </c>
      <c r="C9" s="268" t="s">
        <v>59</v>
      </c>
      <c r="D9" s="271" t="s">
        <v>3</v>
      </c>
      <c r="E9" s="252" t="s">
        <v>60</v>
      </c>
      <c r="F9" s="253"/>
      <c r="G9" s="278" t="s">
        <v>61</v>
      </c>
      <c r="H9" s="279"/>
      <c r="I9" s="258" t="str">
        <f>'[3]Лист1'!AD3</f>
        <v>Доходы по нежил.помещениям</v>
      </c>
      <c r="J9" s="264" t="s">
        <v>10</v>
      </c>
      <c r="K9" s="197"/>
      <c r="L9" s="197"/>
      <c r="M9" s="197"/>
      <c r="N9" s="197"/>
      <c r="O9" s="265"/>
      <c r="P9" s="230" t="s">
        <v>79</v>
      </c>
      <c r="Q9" s="241" t="s">
        <v>62</v>
      </c>
      <c r="R9" s="241" t="s">
        <v>12</v>
      </c>
    </row>
    <row r="10" spans="1:18" ht="12.75">
      <c r="A10" s="235"/>
      <c r="B10" s="276"/>
      <c r="C10" s="269"/>
      <c r="D10" s="272"/>
      <c r="E10" s="254"/>
      <c r="F10" s="255"/>
      <c r="G10" s="280"/>
      <c r="H10" s="281"/>
      <c r="I10" s="259"/>
      <c r="J10" s="266"/>
      <c r="K10" s="198"/>
      <c r="L10" s="198"/>
      <c r="M10" s="198"/>
      <c r="N10" s="198"/>
      <c r="O10" s="267"/>
      <c r="P10" s="231"/>
      <c r="Q10" s="242"/>
      <c r="R10" s="242"/>
    </row>
    <row r="11" spans="1:18" ht="26.25" customHeight="1">
      <c r="A11" s="235"/>
      <c r="B11" s="276"/>
      <c r="C11" s="269"/>
      <c r="D11" s="272"/>
      <c r="E11" s="244" t="s">
        <v>63</v>
      </c>
      <c r="F11" s="245"/>
      <c r="G11" s="95" t="s">
        <v>64</v>
      </c>
      <c r="H11" s="246" t="s">
        <v>7</v>
      </c>
      <c r="I11" s="259"/>
      <c r="J11" s="248" t="s">
        <v>65</v>
      </c>
      <c r="K11" s="250" t="s">
        <v>32</v>
      </c>
      <c r="L11" s="250" t="s">
        <v>66</v>
      </c>
      <c r="M11" s="250" t="s">
        <v>37</v>
      </c>
      <c r="N11" s="250" t="s">
        <v>67</v>
      </c>
      <c r="O11" s="246" t="s">
        <v>39</v>
      </c>
      <c r="P11" s="231"/>
      <c r="Q11" s="242"/>
      <c r="R11" s="242"/>
    </row>
    <row r="12" spans="1:18" ht="66.75" customHeight="1" thickBot="1">
      <c r="A12" s="274"/>
      <c r="B12" s="277"/>
      <c r="C12" s="270"/>
      <c r="D12" s="273"/>
      <c r="E12" s="69" t="s">
        <v>68</v>
      </c>
      <c r="F12" s="72" t="s">
        <v>21</v>
      </c>
      <c r="G12" s="87" t="s">
        <v>69</v>
      </c>
      <c r="H12" s="247"/>
      <c r="I12" s="260"/>
      <c r="J12" s="249"/>
      <c r="K12" s="251"/>
      <c r="L12" s="251"/>
      <c r="M12" s="251"/>
      <c r="N12" s="251"/>
      <c r="O12" s="247"/>
      <c r="P12" s="232"/>
      <c r="Q12" s="243"/>
      <c r="R12" s="243"/>
    </row>
    <row r="13" spans="1:18" ht="13.5" thickBot="1">
      <c r="A13" s="70">
        <v>1</v>
      </c>
      <c r="B13" s="71">
        <v>2</v>
      </c>
      <c r="C13" s="70">
        <v>3</v>
      </c>
      <c r="D13" s="71">
        <v>4</v>
      </c>
      <c r="E13" s="70">
        <v>5</v>
      </c>
      <c r="F13" s="71">
        <v>6</v>
      </c>
      <c r="G13" s="70">
        <v>7</v>
      </c>
      <c r="H13" s="71">
        <v>8</v>
      </c>
      <c r="I13" s="70">
        <v>9</v>
      </c>
      <c r="J13" s="71">
        <v>10</v>
      </c>
      <c r="K13" s="70">
        <v>11</v>
      </c>
      <c r="L13" s="71">
        <v>12</v>
      </c>
      <c r="M13" s="70">
        <v>13</v>
      </c>
      <c r="N13" s="71">
        <v>14</v>
      </c>
      <c r="O13" s="70">
        <v>15</v>
      </c>
      <c r="P13" s="71">
        <v>16</v>
      </c>
      <c r="Q13" s="70">
        <v>17</v>
      </c>
      <c r="R13" s="71">
        <v>18</v>
      </c>
    </row>
    <row r="14" spans="1:18" ht="25.5">
      <c r="A14" s="7" t="s">
        <v>40</v>
      </c>
      <c r="B14" s="8"/>
      <c r="C14" s="29"/>
      <c r="D14" s="7"/>
      <c r="E14" s="8"/>
      <c r="F14" s="9"/>
      <c r="G14" s="7"/>
      <c r="H14" s="9"/>
      <c r="I14" s="92"/>
      <c r="J14" s="7"/>
      <c r="K14" s="8"/>
      <c r="L14" s="8"/>
      <c r="M14" s="8"/>
      <c r="N14" s="8"/>
      <c r="O14" s="9"/>
      <c r="P14" s="88"/>
      <c r="Q14" s="82"/>
      <c r="R14" s="79"/>
    </row>
    <row r="15" spans="1:18" ht="12.75">
      <c r="A15" s="11" t="s">
        <v>41</v>
      </c>
      <c r="B15" s="89">
        <f>Лист1!B9</f>
        <v>6039.2</v>
      </c>
      <c r="C15" s="30">
        <f>B15*8.65</f>
        <v>52239.08</v>
      </c>
      <c r="D15" s="31">
        <f>Лист1!D9</f>
        <v>12583.349590400001</v>
      </c>
      <c r="E15" s="14">
        <f>Лист1!S9</f>
        <v>34046.21</v>
      </c>
      <c r="F15" s="33">
        <f>Лист1!T9</f>
        <v>8088.05</v>
      </c>
      <c r="G15" s="32">
        <f>Лист1!AB9</f>
        <v>33.13</v>
      </c>
      <c r="H15" s="33">
        <f>Лист1!AC9</f>
        <v>20704.5295904</v>
      </c>
      <c r="I15" s="93">
        <f>Лист1!AD9</f>
        <v>0</v>
      </c>
      <c r="J15" s="32">
        <f>Лист1!AG9</f>
        <v>3623.52</v>
      </c>
      <c r="K15" s="14">
        <f>Лист1!AI9+Лист1!AJ9</f>
        <v>6070.1330608</v>
      </c>
      <c r="L15" s="14">
        <f>Лист1!AH9+Лист1!AK9+Лист1!AL9+Лист1!AM9+Лист1!AN9+Лист1!AO9+Лист1!AP9</f>
        <v>21314.72260952</v>
      </c>
      <c r="M15" s="34">
        <f>Лист1!AS9+Лист1!AU9+Лист1!AT9</f>
        <v>14203.518399999999</v>
      </c>
      <c r="N15" s="34">
        <f>Лист1!AX9</f>
        <v>0</v>
      </c>
      <c r="O15" s="33">
        <f>Лист1!BB9</f>
        <v>45211.89407031999</v>
      </c>
      <c r="P15" s="96">
        <f>Лист1!BC9</f>
        <v>0</v>
      </c>
      <c r="Q15" s="80">
        <f>Лист1!BD9</f>
        <v>-24507.36447991999</v>
      </c>
      <c r="R15" s="80">
        <f>Лист1!BE9</f>
        <v>-34013.08</v>
      </c>
    </row>
    <row r="16" spans="1:18" ht="12.75">
      <c r="A16" s="11" t="s">
        <v>42</v>
      </c>
      <c r="B16" s="89">
        <f>Лист1!B10</f>
        <v>6039.2</v>
      </c>
      <c r="C16" s="30">
        <f aca="true" t="shared" si="0" ref="C16:C31">B16*8.65</f>
        <v>52239.08</v>
      </c>
      <c r="D16" s="31">
        <f>Лист1!D10</f>
        <v>12583.349590400001</v>
      </c>
      <c r="E16" s="14">
        <f>Лист1!S10</f>
        <v>34046.21</v>
      </c>
      <c r="F16" s="33">
        <f>Лист1!T10</f>
        <v>8088.05</v>
      </c>
      <c r="G16" s="32">
        <f>Лист1!AB10</f>
        <v>22792.480000000003</v>
      </c>
      <c r="H16" s="33">
        <f>Лист1!AC10</f>
        <v>43463.8795904</v>
      </c>
      <c r="I16" s="93">
        <f>Лист1!AD10</f>
        <v>0</v>
      </c>
      <c r="J16" s="32">
        <f>Лист1!AG10</f>
        <v>3623.52</v>
      </c>
      <c r="K16" s="14">
        <f>Лист1!AI10+Лист1!AJ10</f>
        <v>6070.1330608</v>
      </c>
      <c r="L16" s="14">
        <f>Лист1!AH10+Лист1!AK10+Лист1!AL10+Лист1!AM10+Лист1!AN10+Лист1!AO10+Лист1!AP10</f>
        <v>21251.381251119998</v>
      </c>
      <c r="M16" s="34">
        <f>Лист1!AS10+Лист1!AU10+Лист1!AT10</f>
        <v>144731.72</v>
      </c>
      <c r="N16" s="34">
        <f>Лист1!AX10</f>
        <v>0</v>
      </c>
      <c r="O16" s="33">
        <f>Лист1!BB10</f>
        <v>175676.75431192</v>
      </c>
      <c r="P16" s="96">
        <f>Лист1!BC10</f>
        <v>0</v>
      </c>
      <c r="Q16" s="80">
        <f>Лист1!BD10</f>
        <v>-132212.87472152</v>
      </c>
      <c r="R16" s="80">
        <f>Лист1!BE10</f>
        <v>-11253.729999999996</v>
      </c>
    </row>
    <row r="17" spans="1:20" ht="13.5" thickBot="1">
      <c r="A17" s="35" t="s">
        <v>43</v>
      </c>
      <c r="B17" s="89">
        <f>Лист1!B11</f>
        <v>6039.2</v>
      </c>
      <c r="C17" s="36">
        <f t="shared" si="0"/>
        <v>52239.08</v>
      </c>
      <c r="D17" s="31">
        <f>Лист1!D11</f>
        <v>12555.662878000001</v>
      </c>
      <c r="E17" s="14">
        <f>Лист1!S11</f>
        <v>33457.17</v>
      </c>
      <c r="F17" s="33">
        <f>Лист1!T11</f>
        <v>8405.35</v>
      </c>
      <c r="G17" s="32">
        <f>Лист1!AB11</f>
        <v>31761.21</v>
      </c>
      <c r="H17" s="33">
        <f>Лист1!AC11</f>
        <v>52722.222878</v>
      </c>
      <c r="I17" s="93">
        <f>Лист1!AD11</f>
        <v>0</v>
      </c>
      <c r="J17" s="32">
        <f>Лист1!AG11</f>
        <v>3623.52</v>
      </c>
      <c r="K17" s="14">
        <f>Лист1!AI11+Лист1!AJ11</f>
        <v>6052.47174592</v>
      </c>
      <c r="L17" s="14">
        <f>Лист1!AH11+Лист1!AK11+Лист1!AL11+Лист1!AM11+Лист1!AN11+Лист1!AO11+Лист1!AP11</f>
        <v>21216.467731816</v>
      </c>
      <c r="M17" s="34">
        <f>Лист1!AS11+Лист1!AU11+Лист1!AT11</f>
        <v>32501.6958</v>
      </c>
      <c r="N17" s="34">
        <f>Лист1!AX11</f>
        <v>0</v>
      </c>
      <c r="O17" s="33">
        <f>Лист1!BB11</f>
        <v>63394.155277736005</v>
      </c>
      <c r="P17" s="96">
        <f>Лист1!BC11</f>
        <v>0</v>
      </c>
      <c r="Q17" s="80">
        <f>Лист1!BD11</f>
        <v>-10671.932399736004</v>
      </c>
      <c r="R17" s="80">
        <f>Лист1!BE11</f>
        <v>-1695.9599999999991</v>
      </c>
      <c r="S17" s="1"/>
      <c r="T17" s="1"/>
    </row>
    <row r="18" spans="1:20" s="21" customFormat="1" ht="13.5" thickBot="1">
      <c r="A18" s="37" t="s">
        <v>5</v>
      </c>
      <c r="B18" s="38"/>
      <c r="C18" s="39">
        <f>SUM(C15:C17)</f>
        <v>156717.24</v>
      </c>
      <c r="D18" s="73">
        <f aca="true" t="shared" si="1" ref="D18:J18">SUM(D15:D17)</f>
        <v>37722.362058800005</v>
      </c>
      <c r="E18" s="39">
        <f t="shared" si="1"/>
        <v>101549.59</v>
      </c>
      <c r="F18" s="74">
        <f t="shared" si="1"/>
        <v>24581.45</v>
      </c>
      <c r="G18" s="73">
        <f t="shared" si="1"/>
        <v>54586.82000000001</v>
      </c>
      <c r="H18" s="74">
        <f t="shared" si="1"/>
        <v>116890.6320588</v>
      </c>
      <c r="I18" s="74">
        <f t="shared" si="1"/>
        <v>0</v>
      </c>
      <c r="J18" s="73">
        <f t="shared" si="1"/>
        <v>10870.56</v>
      </c>
      <c r="K18" s="39">
        <f aca="true" t="shared" si="2" ref="K18:R18">SUM(K15:K17)</f>
        <v>18192.73786752</v>
      </c>
      <c r="L18" s="39">
        <f t="shared" si="2"/>
        <v>63782.57159245599</v>
      </c>
      <c r="M18" s="39">
        <f t="shared" si="2"/>
        <v>191436.93420000002</v>
      </c>
      <c r="N18" s="39">
        <f t="shared" si="2"/>
        <v>0</v>
      </c>
      <c r="O18" s="74">
        <f t="shared" si="2"/>
        <v>284282.803659976</v>
      </c>
      <c r="P18" s="74">
        <f t="shared" si="2"/>
        <v>0</v>
      </c>
      <c r="Q18" s="81">
        <f t="shared" si="2"/>
        <v>-167392.17160117597</v>
      </c>
      <c r="R18" s="81">
        <f t="shared" si="2"/>
        <v>-46962.77</v>
      </c>
      <c r="S18" s="76"/>
      <c r="T18" s="77"/>
    </row>
    <row r="19" spans="1:20" ht="26.25" thickBot="1">
      <c r="A19" s="192" t="s">
        <v>44</v>
      </c>
      <c r="B19" s="43"/>
      <c r="C19" s="44"/>
      <c r="D19" s="45"/>
      <c r="E19" s="46"/>
      <c r="F19" s="48"/>
      <c r="G19" s="47"/>
      <c r="H19" s="48"/>
      <c r="I19" s="94"/>
      <c r="J19" s="47"/>
      <c r="K19" s="14"/>
      <c r="L19" s="14"/>
      <c r="M19" s="34"/>
      <c r="N19" s="75"/>
      <c r="O19" s="33"/>
      <c r="P19" s="96"/>
      <c r="Q19" s="80"/>
      <c r="R19" s="80"/>
      <c r="S19" s="1"/>
      <c r="T19" s="1"/>
    </row>
    <row r="20" spans="1:20" ht="12.75">
      <c r="A20" s="188" t="s">
        <v>45</v>
      </c>
      <c r="B20" s="191">
        <f>Лист1!B14</f>
        <v>6039.2</v>
      </c>
      <c r="C20" s="30">
        <f t="shared" si="0"/>
        <v>52239.08</v>
      </c>
      <c r="D20" s="31">
        <f>Лист1!D14</f>
        <v>6529.885</v>
      </c>
      <c r="E20" s="14">
        <f>Лист1!S14</f>
        <v>34183.31</v>
      </c>
      <c r="F20" s="33">
        <f>Лист1!T14</f>
        <v>8390.78</v>
      </c>
      <c r="G20" s="32">
        <f>Лист1!AB14</f>
        <v>22458.24</v>
      </c>
      <c r="H20" s="33">
        <f>Лист1!AC14</f>
        <v>37378.905</v>
      </c>
      <c r="I20" s="93">
        <f>Лист1!AF14</f>
        <v>9691.0668</v>
      </c>
      <c r="J20" s="32">
        <f>Лист1!AG14</f>
        <v>3261.168</v>
      </c>
      <c r="K20" s="14">
        <f>Лист1!AI14+Лист1!AJ14</f>
        <v>5251.670759199998</v>
      </c>
      <c r="L20" s="14">
        <f>Лист1!AH14+Лист1!AK14+Лист1!AL14+Лист1!AM14+Лист1!AN14+Лист1!AO14+Лист1!AP14+Лист1!AQ14+Лист1!AR14</f>
        <v>18036.418174784</v>
      </c>
      <c r="M20" s="34">
        <f>Лист1!AS14+Лист1!AU14+Лист1!AT14</f>
        <v>69540.95</v>
      </c>
      <c r="N20" s="34">
        <f>Лист1!AX14</f>
        <v>2181.9616</v>
      </c>
      <c r="O20" s="33">
        <f>Лист1!BB14</f>
        <v>96090.206933984</v>
      </c>
      <c r="P20" s="96">
        <f>Лист1!BC14</f>
        <v>4602.423232679999</v>
      </c>
      <c r="Q20" s="80">
        <f>Лист1!BD14</f>
        <v>-53622.65836666399</v>
      </c>
      <c r="R20" s="80">
        <f>Лист1!BE14</f>
        <v>-11725.069999999996</v>
      </c>
      <c r="S20" s="1"/>
      <c r="T20" s="1"/>
    </row>
    <row r="21" spans="1:20" ht="12.75">
      <c r="A21" s="189" t="s">
        <v>46</v>
      </c>
      <c r="B21" s="191">
        <f>Лист1!B15</f>
        <v>6038.9</v>
      </c>
      <c r="C21" s="30">
        <f t="shared" si="0"/>
        <v>52236.485</v>
      </c>
      <c r="D21" s="31">
        <f>Лист1!D15</f>
        <v>6529.560625</v>
      </c>
      <c r="E21" s="14">
        <f>Лист1!S15</f>
        <v>34076.61</v>
      </c>
      <c r="F21" s="33">
        <f>Лист1!T15</f>
        <v>8391.460000000001</v>
      </c>
      <c r="G21" s="32">
        <f>Лист1!AB15</f>
        <v>27096.879999999997</v>
      </c>
      <c r="H21" s="33">
        <f>Лист1!AC15</f>
        <v>42017.900624999995</v>
      </c>
      <c r="I21" s="93">
        <f>Лист1!AF15</f>
        <v>9691.0668</v>
      </c>
      <c r="J21" s="32">
        <f>Лист1!AG15</f>
        <v>3261.006</v>
      </c>
      <c r="K21" s="14">
        <f>Лист1!AI15+Лист1!AJ15</f>
        <v>5245.376462199999</v>
      </c>
      <c r="L21" s="14">
        <f>Лист1!AH15+Лист1!AK15+Лист1!AL15+Лист1!AM15+Лист1!AN15+Лист1!AO15+Лист1!AP15+Лист1!AQ15+Лист1!AR15</f>
        <v>18060.978067231998</v>
      </c>
      <c r="M21" s="34">
        <f>Лист1!AS15+Лист1!AU15+Лист1!AT15</f>
        <v>18871.739999999998</v>
      </c>
      <c r="N21" s="34">
        <f>Лист1!AX15</f>
        <v>1748.1464</v>
      </c>
      <c r="O21" s="33">
        <f>Лист1!BB15</f>
        <v>45439.10052943199</v>
      </c>
      <c r="P21" s="96">
        <f>Лист1!BC15</f>
        <v>4609.34172608</v>
      </c>
      <c r="Q21" s="80">
        <f>Лист1!BD15</f>
        <v>1660.5251694880044</v>
      </c>
      <c r="R21" s="80">
        <f>Лист1!BE15</f>
        <v>-6979.730000000003</v>
      </c>
      <c r="S21" s="1"/>
      <c r="T21" s="1"/>
    </row>
    <row r="22" spans="1:20" ht="12.75">
      <c r="A22" s="189" t="s">
        <v>47</v>
      </c>
      <c r="B22" s="191">
        <f>Лист1!B16</f>
        <v>6038.9</v>
      </c>
      <c r="C22" s="30">
        <f t="shared" si="0"/>
        <v>52236.485</v>
      </c>
      <c r="D22" s="31">
        <f>Лист1!D16</f>
        <v>6529.560625</v>
      </c>
      <c r="E22" s="14">
        <f>Лист1!S16</f>
        <v>34349.72</v>
      </c>
      <c r="F22" s="33">
        <f>Лист1!T16</f>
        <v>8220.099999999999</v>
      </c>
      <c r="G22" s="32">
        <f>Лист1!AB16</f>
        <v>40364.95</v>
      </c>
      <c r="H22" s="33">
        <f>Лист1!AC16</f>
        <v>55114.610624999994</v>
      </c>
      <c r="I22" s="93">
        <f>Лист1!AF16</f>
        <v>9691.0668</v>
      </c>
      <c r="J22" s="32">
        <f>Лист1!AG16</f>
        <v>3261.006</v>
      </c>
      <c r="K22" s="14">
        <f>Лист1!AI16+Лист1!AJ16</f>
        <v>5254.473787250001</v>
      </c>
      <c r="L22" s="14">
        <f>Лист1!AH16+Лист1!AK16+Лист1!AL16+Лист1!AM16+Лист1!AN16+Лист1!AO16+Лист1!AP16+Лист1!AQ16+Лист1!AR16</f>
        <v>17458.82189624</v>
      </c>
      <c r="M22" s="34">
        <f>Лист1!AS16+Лист1!AU16+Лист1!AT16</f>
        <v>25816.04</v>
      </c>
      <c r="N22" s="34">
        <f>Лист1!AX16</f>
        <v>1645.0616</v>
      </c>
      <c r="O22" s="33">
        <f>Лист1!BB16</f>
        <v>51790.34168348999</v>
      </c>
      <c r="P22" s="96">
        <f>Лист1!BC16</f>
        <v>4512.66304814</v>
      </c>
      <c r="Q22" s="80">
        <f>Лист1!BD16</f>
        <v>8502.672693370005</v>
      </c>
      <c r="R22" s="80">
        <f>Лист1!BE16</f>
        <v>6015.229999999996</v>
      </c>
      <c r="S22" s="1"/>
      <c r="T22" s="1"/>
    </row>
    <row r="23" spans="1:19" ht="12.75">
      <c r="A23" s="189" t="s">
        <v>48</v>
      </c>
      <c r="B23" s="191">
        <f>Лист1!B17</f>
        <v>6038.9</v>
      </c>
      <c r="C23" s="30">
        <f t="shared" si="0"/>
        <v>52236.485</v>
      </c>
      <c r="D23" s="31">
        <f>Лист1!D17</f>
        <v>6529.560625</v>
      </c>
      <c r="E23" s="14">
        <f>Лист1!S17</f>
        <v>32541.71</v>
      </c>
      <c r="F23" s="33">
        <f>Лист1!T17</f>
        <v>8522.4</v>
      </c>
      <c r="G23" s="32">
        <f>Лист1!AB17</f>
        <v>29576.73</v>
      </c>
      <c r="H23" s="33">
        <f>Лист1!AC17</f>
        <v>44628.690625</v>
      </c>
      <c r="I23" s="93">
        <f>Лист1!AF17</f>
        <v>9691.0668</v>
      </c>
      <c r="J23" s="32">
        <f>Лист1!AG17</f>
        <v>3261.006</v>
      </c>
      <c r="K23" s="14">
        <f>Лист1!AI17+Лист1!AJ17</f>
        <v>5411.338719779998</v>
      </c>
      <c r="L23" s="14">
        <f>Лист1!AH17+Лист1!AK17+Лист1!AL17+Лист1!AM17+Лист1!AN17+Лист1!AO17+Лист1!AP17+Лист1!AQ17+Лист1!AR17</f>
        <v>35487.695015704</v>
      </c>
      <c r="M23" s="34">
        <f>Лист1!AS17+Лист1!AU17+Лист1!AT17</f>
        <v>14108.139</v>
      </c>
      <c r="N23" s="34">
        <f>Лист1!AX17</f>
        <v>6893.795999999999</v>
      </c>
      <c r="O23" s="33">
        <f>Лист1!BB17</f>
        <v>65161.974735484</v>
      </c>
      <c r="P23" s="96">
        <f>Лист1!BC17</f>
        <v>4641.41097784</v>
      </c>
      <c r="Q23" s="80">
        <f>Лист1!BD17</f>
        <v>-15483.628288323996</v>
      </c>
      <c r="R23" s="80">
        <f>Лист1!BE17</f>
        <v>-2964.9799999999996</v>
      </c>
      <c r="S23" s="1"/>
    </row>
    <row r="24" spans="1:20" ht="12.75">
      <c r="A24" s="189" t="s">
        <v>49</v>
      </c>
      <c r="B24" s="191">
        <f>Лист1!B18</f>
        <v>6038.9</v>
      </c>
      <c r="C24" s="30">
        <f t="shared" si="0"/>
        <v>52236.485</v>
      </c>
      <c r="D24" s="31">
        <f>Лист1!D18</f>
        <v>5215.875000000005</v>
      </c>
      <c r="E24" s="14">
        <f>Лист1!S18</f>
        <v>37566.479999999996</v>
      </c>
      <c r="F24" s="33">
        <f>Лист1!T18</f>
        <v>9454.130000000001</v>
      </c>
      <c r="G24" s="32">
        <f>Лист1!AB18</f>
        <v>25850.67</v>
      </c>
      <c r="H24" s="33">
        <f>Лист1!AC18</f>
        <v>40520.675</v>
      </c>
      <c r="I24" s="93">
        <f>Лист1!AF18</f>
        <v>9691.0668</v>
      </c>
      <c r="J24" s="32">
        <f>Лист1!AG18</f>
        <v>3623.3399999999997</v>
      </c>
      <c r="K24" s="14">
        <f>Лист1!AI18+Лист1!AJ18</f>
        <v>6057.016699999999</v>
      </c>
      <c r="L24" s="14">
        <f>Лист1!AH18+Лист1!AK18+Лист1!AL18+Лист1!AM18+Лист1!AN18+Лист1!AO18+Лист1!AP18+Лист1!AQ18+Лист1!AR18</f>
        <v>20744.817479999998</v>
      </c>
      <c r="M24" s="34">
        <f>Лист1!AS18+Лист1!AU18+Лист1!AT18</f>
        <v>11897.7512</v>
      </c>
      <c r="N24" s="34">
        <f>Лист1!AX18</f>
        <v>1129.6376</v>
      </c>
      <c r="O24" s="33">
        <f>Лист1!BB18</f>
        <v>43452.56298</v>
      </c>
      <c r="P24" s="96">
        <f>Лист1!BC18</f>
        <v>5181.236018244</v>
      </c>
      <c r="Q24" s="80">
        <f>Лист1!BD18</f>
        <v>1577.9428017560012</v>
      </c>
      <c r="R24" s="80">
        <f>Лист1!BE18</f>
        <v>-11715.809999999998</v>
      </c>
      <c r="S24" s="1"/>
      <c r="T24" s="1"/>
    </row>
    <row r="25" spans="1:20" ht="12.75">
      <c r="A25" s="189" t="s">
        <v>50</v>
      </c>
      <c r="B25" s="191">
        <f>Лист1!B19</f>
        <v>6038.9</v>
      </c>
      <c r="C25" s="30">
        <f t="shared" si="0"/>
        <v>52236.485</v>
      </c>
      <c r="D25" s="31">
        <f>Лист1!D19</f>
        <v>5686.184999999998</v>
      </c>
      <c r="E25" s="14">
        <f>Лист1!S19</f>
        <v>36875.96</v>
      </c>
      <c r="F25" s="33">
        <f>Лист1!T19</f>
        <v>9674.34</v>
      </c>
      <c r="G25" s="32">
        <f>Лист1!AB19</f>
        <v>38503.75</v>
      </c>
      <c r="H25" s="33">
        <f>Лист1!AC19</f>
        <v>53864.274999999994</v>
      </c>
      <c r="I25" s="93">
        <f>Лист1!AF19</f>
        <v>9691.0668</v>
      </c>
      <c r="J25" s="32">
        <f>Лист1!AG19</f>
        <v>3623.3399999999997</v>
      </c>
      <c r="K25" s="14">
        <f>Лист1!AI19+Лист1!AJ19</f>
        <v>6057.016699999999</v>
      </c>
      <c r="L25" s="14">
        <f>Лист1!AH19+Лист1!AK19+Лист1!AL19+Лист1!AM19+Лист1!AN19+Лист1!AO19+Лист1!AP19+Лист1!AQ19+Лист1!AR19</f>
        <v>20745.372781</v>
      </c>
      <c r="M25" s="34">
        <f>Лист1!AS19+Лист1!AU19+Лист1!AT19</f>
        <v>13857.2592</v>
      </c>
      <c r="N25" s="34">
        <f>Лист1!AX19</f>
        <v>1000.7816000000001</v>
      </c>
      <c r="O25" s="33">
        <f>Лист1!BB19</f>
        <v>45283.770281</v>
      </c>
      <c r="P25" s="96">
        <f>Лист1!BC19</f>
        <v>4905.02301796</v>
      </c>
      <c r="Q25" s="80">
        <f>Лист1!BD19</f>
        <v>13366.548501039997</v>
      </c>
      <c r="R25" s="80">
        <f>Лист1!BE19</f>
        <v>1627.7900000000009</v>
      </c>
      <c r="S25" s="1"/>
      <c r="T25" s="1"/>
    </row>
    <row r="26" spans="1:20" ht="12.75">
      <c r="A26" s="189" t="s">
        <v>51</v>
      </c>
      <c r="B26" s="191">
        <f>Лист1!B20</f>
        <v>6038.9</v>
      </c>
      <c r="C26" s="30">
        <f t="shared" si="0"/>
        <v>52236.485</v>
      </c>
      <c r="D26" s="31">
        <f>Лист1!D20</f>
        <v>5779.904999999999</v>
      </c>
      <c r="E26" s="14">
        <f>Лист1!S20</f>
        <v>36700.29</v>
      </c>
      <c r="F26" s="33">
        <f>Лист1!T20</f>
        <v>9756.29</v>
      </c>
      <c r="G26" s="32">
        <f>Лист1!AB20</f>
        <v>40425.04</v>
      </c>
      <c r="H26" s="33">
        <f>Лист1!AC20</f>
        <v>55961.235</v>
      </c>
      <c r="I26" s="93">
        <f>Лист1!AF20</f>
        <v>10904.50092</v>
      </c>
      <c r="J26" s="32">
        <f>Лист1!AG20</f>
        <v>3623.3399999999997</v>
      </c>
      <c r="K26" s="14">
        <f>Лист1!AI20+Лист1!AJ20</f>
        <v>5971.00706286</v>
      </c>
      <c r="L26" s="14">
        <f>Лист1!AH20+Лист1!AK20+Лист1!AL20+Лист1!AM20+Лист1!AN20+Лист1!AO20+Лист1!AP20+Лист1!AQ20+Лист1!AR20</f>
        <v>20538.958468658</v>
      </c>
      <c r="M26" s="34">
        <f>Лист1!AS20+Лист1!AU20+Лист1!AT20</f>
        <v>24684.243</v>
      </c>
      <c r="N26" s="34">
        <f>Лист1!AX20</f>
        <v>1065.2096000000001</v>
      </c>
      <c r="O26" s="33">
        <f>Лист1!BB20</f>
        <v>55882.758131518</v>
      </c>
      <c r="P26" s="96">
        <f>Лист1!BC20</f>
        <v>5600.528276880001</v>
      </c>
      <c r="Q26" s="80">
        <f>Лист1!BD20</f>
        <v>5382.449511602001</v>
      </c>
      <c r="R26" s="80">
        <f>Лист1!BE20</f>
        <v>3724.75</v>
      </c>
      <c r="S26" s="1"/>
      <c r="T26" s="1"/>
    </row>
    <row r="27" spans="1:20" ht="12.75">
      <c r="A27" s="189" t="s">
        <v>52</v>
      </c>
      <c r="B27" s="191">
        <f>Лист1!B21</f>
        <v>6038.9</v>
      </c>
      <c r="C27" s="30">
        <f t="shared" si="0"/>
        <v>52236.485</v>
      </c>
      <c r="D27" s="31">
        <f>Лист1!D21</f>
        <v>5143.505000000005</v>
      </c>
      <c r="E27" s="14">
        <f>Лист1!S21</f>
        <v>37394.2</v>
      </c>
      <c r="F27" s="33">
        <f>Лист1!T21</f>
        <v>9698.779999999999</v>
      </c>
      <c r="G27" s="32">
        <f>Лист1!AB21</f>
        <v>31584.85</v>
      </c>
      <c r="H27" s="33">
        <f>Лист1!AC21</f>
        <v>46427.135</v>
      </c>
      <c r="I27" s="93">
        <f>Лист1!AF21</f>
        <v>10904.50092</v>
      </c>
      <c r="J27" s="32">
        <f>Лист1!AG21</f>
        <v>3623.3399999999997</v>
      </c>
      <c r="K27" s="14">
        <f>Лист1!AI21+Лист1!AJ21</f>
        <v>5967.675703675</v>
      </c>
      <c r="L27" s="14">
        <f>Лист1!AH21+Лист1!AK21+Лист1!AL21+Лист1!AM21+Лист1!AN21+Лист1!AO21+Лист1!AP21+Лист1!AQ21+Лист1!AR21</f>
        <v>20534.643070717997</v>
      </c>
      <c r="M27" s="34">
        <f>Лист1!AS21+Лист1!AU21+Лист1!AT21</f>
        <v>0</v>
      </c>
      <c r="N27" s="34">
        <f>Лист1!AX21</f>
        <v>1258.4936000000002</v>
      </c>
      <c r="O27" s="33">
        <f>Лист1!BB21</f>
        <v>31384.152374392994</v>
      </c>
      <c r="P27" s="96">
        <f>Лист1!BC21</f>
        <v>5597.9835818639995</v>
      </c>
      <c r="Q27" s="80">
        <f>Лист1!BD21</f>
        <v>20349.49996374301</v>
      </c>
      <c r="R27" s="80">
        <f>Лист1!BE21</f>
        <v>-5809.3499999999985</v>
      </c>
      <c r="S27" s="1"/>
      <c r="T27" s="1"/>
    </row>
    <row r="28" spans="1:20" ht="12.75">
      <c r="A28" s="189" t="s">
        <v>53</v>
      </c>
      <c r="B28" s="191">
        <f>Лист1!B22</f>
        <v>6038.9</v>
      </c>
      <c r="C28" s="30">
        <f t="shared" si="0"/>
        <v>52236.485</v>
      </c>
      <c r="D28" s="31">
        <f>Лист1!D22</f>
        <v>5114.9550000000045</v>
      </c>
      <c r="E28" s="14">
        <f>Лист1!S22</f>
        <v>37357.49</v>
      </c>
      <c r="F28" s="33">
        <f>Лист1!T22</f>
        <v>9764.039999999999</v>
      </c>
      <c r="G28" s="32">
        <f>Лист1!AB22</f>
        <v>34147.36</v>
      </c>
      <c r="H28" s="33">
        <f>Лист1!AC22</f>
        <v>49026.355</v>
      </c>
      <c r="I28" s="93">
        <f>Лист1!AF22</f>
        <v>10904.50092</v>
      </c>
      <c r="J28" s="32">
        <f>Лист1!AG22</f>
        <v>3623.3399999999997</v>
      </c>
      <c r="K28" s="14">
        <f>Лист1!AI22+Лист1!AJ22</f>
        <v>5966.646010835999</v>
      </c>
      <c r="L28" s="14">
        <f>Лист1!AH22+Лист1!AK22+Лист1!AL22+Лист1!AM22+Лист1!AN22+Лист1!AO22+Лист1!AP22+Лист1!AQ22+Лист1!AR22</f>
        <v>20533.3189086188</v>
      </c>
      <c r="M28" s="34">
        <f>Лист1!AS22+Лист1!AU22+Лист1!AT22</f>
        <v>6501.8</v>
      </c>
      <c r="N28" s="34">
        <f>Лист1!AX22</f>
        <v>1499.0248000000001</v>
      </c>
      <c r="O28" s="33">
        <f>Лист1!BB22</f>
        <v>38124.129719454795</v>
      </c>
      <c r="P28" s="96">
        <f>Лист1!BC22</f>
        <v>5597.136920205599</v>
      </c>
      <c r="Q28" s="80">
        <f>Лист1!BD22</f>
        <v>16209.58928033961</v>
      </c>
      <c r="R28" s="80">
        <f>Лист1!BE22</f>
        <v>-3210.1299999999974</v>
      </c>
      <c r="S28" s="1"/>
      <c r="T28" s="1"/>
    </row>
    <row r="29" spans="1:20" ht="12.75">
      <c r="A29" s="189" t="s">
        <v>41</v>
      </c>
      <c r="B29" s="191">
        <f>Лист1!B23</f>
        <v>6038.9</v>
      </c>
      <c r="C29" s="30">
        <f t="shared" si="0"/>
        <v>52236.485</v>
      </c>
      <c r="D29" s="31">
        <f>Лист1!D23</f>
        <v>5100.935000000001</v>
      </c>
      <c r="E29" s="14">
        <f>Лист1!S23</f>
        <v>37384.74</v>
      </c>
      <c r="F29" s="33">
        <f>Лист1!T23</f>
        <v>9750.810000000001</v>
      </c>
      <c r="G29" s="32">
        <f>Лист1!AB23</f>
        <v>39286.58</v>
      </c>
      <c r="H29" s="33">
        <f>Лист1!AC23</f>
        <v>54138.325</v>
      </c>
      <c r="I29" s="93">
        <f>Лист1!AF23</f>
        <v>11900.97198</v>
      </c>
      <c r="J29" s="32">
        <f>Лист1!AG23</f>
        <v>3623.3399999999997</v>
      </c>
      <c r="K29" s="14">
        <f>Лист1!AI23+Лист1!AJ23</f>
        <v>6035.638993999999</v>
      </c>
      <c r="L29" s="14">
        <f>Лист1!AH23+Лист1!AK23+Лист1!AL23+Лист1!AM23+Лист1!AN23+Лист1!AO23+Лист1!AP23+Лист1!AQ23+Лист1!AR23</f>
        <v>20709.80366</v>
      </c>
      <c r="M29" s="34">
        <f>Лист1!AS23+Лист1!AU23+Лист1!AT23</f>
        <v>389.8012</v>
      </c>
      <c r="N29" s="34">
        <f>Лист1!AX23</f>
        <v>1825.4600000000003</v>
      </c>
      <c r="O29" s="33">
        <f>Лист1!BB23</f>
        <v>32584.043854</v>
      </c>
      <c r="P29" s="96">
        <f>Лист1!BC23</f>
        <v>6041.933030000001</v>
      </c>
      <c r="Q29" s="80">
        <f>Лист1!BD23</f>
        <v>27413.320095999996</v>
      </c>
      <c r="R29" s="80">
        <f>Лист1!BE23</f>
        <v>1901.8400000000038</v>
      </c>
      <c r="S29" s="1"/>
      <c r="T29" s="1"/>
    </row>
    <row r="30" spans="1:20" ht="12.75">
      <c r="A30" s="189" t="s">
        <v>42</v>
      </c>
      <c r="B30" s="191">
        <f>Лист1!B24</f>
        <v>6040.7</v>
      </c>
      <c r="C30" s="30">
        <f t="shared" si="0"/>
        <v>52252.055</v>
      </c>
      <c r="D30" s="31">
        <f>Лист1!D24</f>
        <v>5096.175000000002</v>
      </c>
      <c r="E30" s="14">
        <f>Лист1!S24</f>
        <v>37463.87</v>
      </c>
      <c r="F30" s="33">
        <f>Лист1!T24</f>
        <v>9692.01</v>
      </c>
      <c r="G30" s="32">
        <f>Лист1!AB24</f>
        <v>31831.35</v>
      </c>
      <c r="H30" s="33">
        <f>Лист1!AC24</f>
        <v>46619.535</v>
      </c>
      <c r="I30" s="93">
        <f>Лист1!AF24</f>
        <v>11900.97198</v>
      </c>
      <c r="J30" s="32">
        <f>Лист1!AG24</f>
        <v>3624.4199999999996</v>
      </c>
      <c r="K30" s="14">
        <f>Лист1!AI24+Лист1!AJ24</f>
        <v>6058.822099999999</v>
      </c>
      <c r="L30" s="14">
        <f>Лист1!AH24+Лист1!AK24+Лист1!AL24+Лист1!AM24+Лист1!AN24+Лист1!AO24+Лист1!AP24+Лист1!AQ24+Лист1!AR24</f>
        <v>20738.931239999998</v>
      </c>
      <c r="M30" s="34">
        <f>Лист1!AS24+Лист1!AU24+Лист1!AT24</f>
        <v>36689.74</v>
      </c>
      <c r="N30" s="34">
        <f>Лист1!AX24</f>
        <v>2018.7440000000001</v>
      </c>
      <c r="O30" s="33">
        <f>Лист1!BB24</f>
        <v>69130.65734</v>
      </c>
      <c r="P30" s="96">
        <f>Лист1!BC24</f>
        <v>5162.21124</v>
      </c>
      <c r="Q30" s="80">
        <f>Лист1!BD24</f>
        <v>-15772.3616</v>
      </c>
      <c r="R30" s="80">
        <f>Лист1!BE24</f>
        <v>-5632.520000000004</v>
      </c>
      <c r="S30" s="1"/>
      <c r="T30" s="1"/>
    </row>
    <row r="31" spans="1:20" ht="13.5" thickBot="1">
      <c r="A31" s="190" t="s">
        <v>43</v>
      </c>
      <c r="B31" s="191">
        <f>Лист1!B25</f>
        <v>6041.7</v>
      </c>
      <c r="C31" s="30">
        <f t="shared" si="0"/>
        <v>52260.705</v>
      </c>
      <c r="D31" s="31">
        <f>Лист1!D25</f>
        <v>5488.954999999997</v>
      </c>
      <c r="E31" s="14">
        <f>Лист1!S25</f>
        <v>37210.15000000001</v>
      </c>
      <c r="F31" s="33">
        <f>Лист1!T25</f>
        <v>9561.6</v>
      </c>
      <c r="G31" s="32">
        <f>Лист1!AB25</f>
        <v>52796.18</v>
      </c>
      <c r="H31" s="33">
        <f>Лист1!AC25</f>
        <v>67846.735</v>
      </c>
      <c r="I31" s="93">
        <f>Лист1!AF25</f>
        <v>11900.97198</v>
      </c>
      <c r="J31" s="32">
        <f>Лист1!AG25</f>
        <v>3625.02</v>
      </c>
      <c r="K31" s="14">
        <f>Лист1!AI25+Лист1!AJ25</f>
        <v>6059.8251</v>
      </c>
      <c r="L31" s="14">
        <f>Лист1!AH25+Лист1!AK25+Лист1!AL25+Лист1!AM25+Лист1!AN25+Лист1!AO25+Лист1!AP25+Лист1!AQ25+Лист1!AR25</f>
        <v>20742.364439999998</v>
      </c>
      <c r="M31" s="34">
        <f>Лист1!AS25+Лист1!AU25+Лист1!AT25</f>
        <v>1076.16</v>
      </c>
      <c r="N31" s="34">
        <f>Лист1!AX25</f>
        <v>2207.7328</v>
      </c>
      <c r="O31" s="33">
        <f>Лист1!BB25</f>
        <v>33711.102340000005</v>
      </c>
      <c r="P31" s="96">
        <f>Лист1!BC25</f>
        <v>5162.21124</v>
      </c>
      <c r="Q31" s="80">
        <f>Лист1!BD25</f>
        <v>40874.39339999999</v>
      </c>
      <c r="R31" s="80">
        <f>Лист1!BE25</f>
        <v>15586.029999999992</v>
      </c>
      <c r="S31" s="1"/>
      <c r="T31" s="1"/>
    </row>
    <row r="32" spans="1:20" s="21" customFormat="1" ht="13.5" thickBot="1">
      <c r="A32" s="37" t="s">
        <v>5</v>
      </c>
      <c r="B32" s="38"/>
      <c r="C32" s="39">
        <f aca="true" t="shared" si="3" ref="C32:R32">SUM(C20:C31)</f>
        <v>626880.2049999998</v>
      </c>
      <c r="D32" s="73">
        <f t="shared" si="3"/>
        <v>68745.05687500001</v>
      </c>
      <c r="E32" s="39">
        <f t="shared" si="3"/>
        <v>433104.53</v>
      </c>
      <c r="F32" s="74">
        <f t="shared" si="3"/>
        <v>110876.73999999999</v>
      </c>
      <c r="G32" s="73">
        <f t="shared" si="3"/>
        <v>413922.57999999996</v>
      </c>
      <c r="H32" s="74">
        <f t="shared" si="3"/>
        <v>593544.376875</v>
      </c>
      <c r="I32" s="74">
        <f t="shared" si="3"/>
        <v>126562.81950000003</v>
      </c>
      <c r="J32" s="73">
        <f>SUM(J20:J31)</f>
        <v>42033.66599999999</v>
      </c>
      <c r="K32" s="39">
        <f t="shared" si="3"/>
        <v>69336.508099801</v>
      </c>
      <c r="L32" s="39">
        <f t="shared" si="3"/>
        <v>254332.1232029548</v>
      </c>
      <c r="M32" s="39">
        <f t="shared" si="3"/>
        <v>223433.62359999996</v>
      </c>
      <c r="N32" s="39">
        <f t="shared" si="3"/>
        <v>24474.0496</v>
      </c>
      <c r="O32" s="74">
        <f t="shared" si="3"/>
        <v>608034.8009027558</v>
      </c>
      <c r="P32" s="74">
        <f t="shared" si="3"/>
        <v>61614.10230989359</v>
      </c>
      <c r="Q32" s="81">
        <f t="shared" si="3"/>
        <v>50458.293162350616</v>
      </c>
      <c r="R32" s="81">
        <f t="shared" si="3"/>
        <v>-19181.950000000004</v>
      </c>
      <c r="S32" s="77"/>
      <c r="T32" s="77"/>
    </row>
    <row r="33" spans="1:20" ht="13.5" thickBot="1">
      <c r="A33" s="256" t="s">
        <v>70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85"/>
      <c r="S33" s="1"/>
      <c r="T33" s="1"/>
    </row>
    <row r="34" spans="1:20" s="21" customFormat="1" ht="13.5" thickBot="1">
      <c r="A34" s="86" t="s">
        <v>54</v>
      </c>
      <c r="B34" s="41"/>
      <c r="C34" s="42">
        <f>C18+C32</f>
        <v>783597.4449999998</v>
      </c>
      <c r="D34" s="40">
        <f aca="true" t="shared" si="4" ref="D34:R34">D18+D32</f>
        <v>106467.41893380001</v>
      </c>
      <c r="E34" s="41">
        <f t="shared" si="4"/>
        <v>534654.12</v>
      </c>
      <c r="F34" s="42">
        <f t="shared" si="4"/>
        <v>135458.19</v>
      </c>
      <c r="G34" s="40">
        <f t="shared" si="4"/>
        <v>468509.39999999997</v>
      </c>
      <c r="H34" s="42">
        <f t="shared" si="4"/>
        <v>710435.0089337999</v>
      </c>
      <c r="I34" s="42">
        <f t="shared" si="4"/>
        <v>126562.81950000003</v>
      </c>
      <c r="J34" s="40">
        <f t="shared" si="4"/>
        <v>52904.22599999999</v>
      </c>
      <c r="K34" s="41">
        <f t="shared" si="4"/>
        <v>87529.245967321</v>
      </c>
      <c r="L34" s="41">
        <f t="shared" si="4"/>
        <v>318114.6947954108</v>
      </c>
      <c r="M34" s="41">
        <f t="shared" si="4"/>
        <v>414870.55779999995</v>
      </c>
      <c r="N34" s="41">
        <f t="shared" si="4"/>
        <v>24474.0496</v>
      </c>
      <c r="O34" s="84">
        <f t="shared" si="4"/>
        <v>892317.6045627318</v>
      </c>
      <c r="P34" s="84">
        <f t="shared" si="4"/>
        <v>61614.10230989359</v>
      </c>
      <c r="Q34" s="83">
        <f>Q18+Q32</f>
        <v>-116933.87843882536</v>
      </c>
      <c r="R34" s="83">
        <f t="shared" si="4"/>
        <v>-66144.72</v>
      </c>
      <c r="S34" s="78"/>
      <c r="T34" s="77"/>
    </row>
    <row r="35" spans="19:20" ht="12.75">
      <c r="S35" s="1"/>
      <c r="T35" s="1"/>
    </row>
    <row r="36" spans="1:20" ht="12" customHeight="1" thickBot="1">
      <c r="A36" s="169" t="s">
        <v>91</v>
      </c>
      <c r="B36" s="170"/>
      <c r="C36" s="171"/>
      <c r="D36" s="171"/>
      <c r="E36" s="172"/>
      <c r="F36" s="172"/>
      <c r="G36" s="172"/>
      <c r="H36" s="172"/>
      <c r="I36" s="172"/>
      <c r="J36" s="172"/>
      <c r="K36" s="172"/>
      <c r="L36" s="172"/>
      <c r="M36" s="173"/>
      <c r="N36" s="174"/>
      <c r="O36" s="172"/>
      <c r="P36" s="172"/>
      <c r="Q36" s="172"/>
      <c r="R36" s="172"/>
      <c r="S36" s="1"/>
      <c r="T36" s="1"/>
    </row>
    <row r="37" spans="1:20" ht="12.75">
      <c r="A37" s="188" t="s">
        <v>45</v>
      </c>
      <c r="B37" s="185">
        <f>Лист1!B31</f>
        <v>6041.7</v>
      </c>
      <c r="C37" s="175">
        <f aca="true" t="shared" si="5" ref="C37:C48">B37*8.65</f>
        <v>52260.705</v>
      </c>
      <c r="D37" s="175">
        <f>Лист1!D31</f>
        <v>5052.744999999997</v>
      </c>
      <c r="E37" s="176">
        <f>Лист1!S31</f>
        <v>37637.33</v>
      </c>
      <c r="F37" s="176">
        <f>Лист1!T31</f>
        <v>9570.63</v>
      </c>
      <c r="G37" s="176">
        <f>Лист1!AB31</f>
        <v>27622.1</v>
      </c>
      <c r="H37" s="176">
        <f>Лист1!AC31</f>
        <v>42245.47499999999</v>
      </c>
      <c r="I37" s="176">
        <f>Лист1!AF31</f>
        <v>11900.97198</v>
      </c>
      <c r="J37" s="176">
        <f>Лист1!AG31</f>
        <v>3625.02</v>
      </c>
      <c r="K37" s="176">
        <f>Лист1!AI31+Лист1!AJ31</f>
        <v>6041.7</v>
      </c>
      <c r="L37" s="176">
        <f>Лист1!AH31+Лист1!AK31+Лист1!AL31+Лист1!AM31+Лист1!AN31+Лист1!AO31+Лист1!AP31</f>
        <v>20723.031</v>
      </c>
      <c r="M37" s="177">
        <f>Лист1!AS31+Лист1!AU31+Лист1!AQ31+Лист1!AR31+Лист1!AT31</f>
        <v>0</v>
      </c>
      <c r="N37" s="177">
        <f>Лист1!AX31</f>
        <v>2311.3999999999996</v>
      </c>
      <c r="O37" s="176">
        <f>Лист1!BB31</f>
        <v>32701.150999999998</v>
      </c>
      <c r="P37" s="176">
        <f>Лист1!BC31</f>
        <v>5154.503</v>
      </c>
      <c r="Q37" s="176">
        <f>Лист1!BD31</f>
        <v>16290.792979999995</v>
      </c>
      <c r="R37" s="178">
        <f>Лист1!BE31</f>
        <v>-10015.230000000003</v>
      </c>
      <c r="S37" s="1"/>
      <c r="T37" s="1"/>
    </row>
    <row r="38" spans="1:20" ht="12.75">
      <c r="A38" s="189" t="s">
        <v>46</v>
      </c>
      <c r="B38" s="186">
        <f>Лист1!B32</f>
        <v>6042.5</v>
      </c>
      <c r="C38" s="13">
        <f t="shared" si="5"/>
        <v>52267.625</v>
      </c>
      <c r="D38" s="13">
        <f>Лист1!D32</f>
        <v>5059.444999999999</v>
      </c>
      <c r="E38" s="14">
        <f>Лист1!S32</f>
        <v>37530.72</v>
      </c>
      <c r="F38" s="14">
        <f>Лист1!T32</f>
        <v>9677.46</v>
      </c>
      <c r="G38" s="14">
        <f>Лист1!AB32</f>
        <v>33325.51</v>
      </c>
      <c r="H38" s="14">
        <f>Лист1!AC32</f>
        <v>48062.415</v>
      </c>
      <c r="I38" s="14">
        <f>Лист1!AF32</f>
        <v>11900.97198</v>
      </c>
      <c r="J38" s="14">
        <f>Лист1!AG32</f>
        <v>3625.5</v>
      </c>
      <c r="K38" s="14">
        <f>Лист1!AI32+Лист1!AJ32</f>
        <v>6042.5</v>
      </c>
      <c r="L38" s="14">
        <f>Лист1!AH32+Лист1!AK32+Лист1!AL32+Лист1!AM32+Лист1!AN32+Лист1!AO32+Лист1!AP32</f>
        <v>20725.775</v>
      </c>
      <c r="M38" s="34">
        <f>Лист1!AS32+Лист1!AU32+Лист1!AQ32+Лист1!AR32+Лист1!AT32</f>
        <v>10078</v>
      </c>
      <c r="N38" s="34">
        <f>Лист1!AX32</f>
        <v>1851.85</v>
      </c>
      <c r="O38" s="14">
        <f>Лист1!BB32</f>
        <v>42323.625</v>
      </c>
      <c r="P38" s="14">
        <f>Лист1!BC32</f>
        <v>5154.503</v>
      </c>
      <c r="Q38" s="14">
        <f>Лист1!BD32</f>
        <v>12485.258980000002</v>
      </c>
      <c r="R38" s="33">
        <f>Лист1!BE32</f>
        <v>-4205.209999999999</v>
      </c>
      <c r="S38" s="1"/>
      <c r="T38" s="1"/>
    </row>
    <row r="39" spans="1:20" ht="12.75">
      <c r="A39" s="189" t="s">
        <v>47</v>
      </c>
      <c r="B39" s="186">
        <f>Лист1!B33</f>
        <v>6042.5</v>
      </c>
      <c r="C39" s="13">
        <f t="shared" si="5"/>
        <v>52267.625</v>
      </c>
      <c r="D39" s="13">
        <f>Лист1!D33</f>
        <v>5063.634999999999</v>
      </c>
      <c r="E39" s="14">
        <f>Лист1!S33</f>
        <v>37589.31999999999</v>
      </c>
      <c r="F39" s="14">
        <f>Лист1!T33</f>
        <v>9614.67</v>
      </c>
      <c r="G39" s="14">
        <f>Лист1!AB33</f>
        <v>37739.58</v>
      </c>
      <c r="H39" s="14">
        <f>Лист1!AC33</f>
        <v>52417.885</v>
      </c>
      <c r="I39" s="14">
        <f>Лист1!AF33</f>
        <v>11900.97198</v>
      </c>
      <c r="J39" s="14">
        <f>Лист1!AG33</f>
        <v>3625.5</v>
      </c>
      <c r="K39" s="14">
        <f>Лист1!AI33+Лист1!AJ33</f>
        <v>6042.5</v>
      </c>
      <c r="L39" s="14">
        <f>Лист1!AH33+Лист1!AK33+Лист1!AL33+Лист1!AM33+Лист1!AN33+Лист1!AO33+Лист1!AP33</f>
        <v>23810.255</v>
      </c>
      <c r="M39" s="34">
        <f>Лист1!AS33+Лист1!AU33+Лист1!AQ33+Лист1!AR33+Лист1!AT33</f>
        <v>50067</v>
      </c>
      <c r="N39" s="34">
        <f>Лист1!AX33</f>
        <v>1742.6499999999999</v>
      </c>
      <c r="O39" s="14">
        <f>Лист1!BB33</f>
        <v>85287.905</v>
      </c>
      <c r="P39" s="14">
        <f>Лист1!BC33</f>
        <v>5154.503</v>
      </c>
      <c r="Q39" s="14">
        <f>Лист1!BD33</f>
        <v>-26123.551019999995</v>
      </c>
      <c r="R39" s="33">
        <f>Лист1!BE33</f>
        <v>150.2600000000093</v>
      </c>
      <c r="S39" s="1"/>
      <c r="T39" s="1"/>
    </row>
    <row r="40" spans="1:20" ht="12.75">
      <c r="A40" s="189" t="s">
        <v>48</v>
      </c>
      <c r="B40" s="186">
        <f>Лист1!B34</f>
        <v>6042.5</v>
      </c>
      <c r="C40" s="13">
        <f t="shared" si="5"/>
        <v>52267.625</v>
      </c>
      <c r="D40" s="13">
        <f>Лист1!D34</f>
        <v>5055.505000000003</v>
      </c>
      <c r="E40" s="14">
        <f>Лист1!S34</f>
        <v>37634.7</v>
      </c>
      <c r="F40" s="14">
        <f>Лист1!T34</f>
        <v>9577.42</v>
      </c>
      <c r="G40" s="14">
        <f>Лист1!AB34</f>
        <v>29576.73</v>
      </c>
      <c r="H40" s="14">
        <f>Лист1!AC34</f>
        <v>44209.655</v>
      </c>
      <c r="I40" s="14">
        <f>Лист1!AF34</f>
        <v>11900.97198</v>
      </c>
      <c r="J40" s="14">
        <f>Лист1!AG34</f>
        <v>3625.5</v>
      </c>
      <c r="K40" s="14">
        <f>Лист1!AI34+Лист1!AJ34</f>
        <v>6042.5</v>
      </c>
      <c r="L40" s="14">
        <f>Лист1!AH34+Лист1!AK34+Лист1!AL34+Лист1!AM34+Лист1!AN34+Лист1!AO34+Лист1!AP34</f>
        <v>20725.775</v>
      </c>
      <c r="M40" s="34">
        <f>Лист1!AS34+Лист1!AU34+Лист1!AQ34+Лист1!AR34+Лист1!AT34</f>
        <v>11966.65</v>
      </c>
      <c r="N40" s="34">
        <f>Лист1!AX34</f>
        <v>1396.85</v>
      </c>
      <c r="O40" s="14">
        <f>Лист1!BB34</f>
        <v>43757.275</v>
      </c>
      <c r="P40" s="14">
        <f>Лист1!BC34</f>
        <v>5154.503</v>
      </c>
      <c r="Q40" s="14">
        <f>Лист1!BD34</f>
        <v>7198.848979999998</v>
      </c>
      <c r="R40" s="33">
        <f>Лист1!BE34</f>
        <v>-8057.9699999999975</v>
      </c>
      <c r="S40" s="1"/>
      <c r="T40" s="1"/>
    </row>
    <row r="41" spans="1:18" ht="12.75">
      <c r="A41" s="189" t="s">
        <v>49</v>
      </c>
      <c r="B41" s="186">
        <f>Лист1!B35</f>
        <v>6043.58</v>
      </c>
      <c r="C41" s="13">
        <f t="shared" si="5"/>
        <v>52276.967000000004</v>
      </c>
      <c r="D41" s="13">
        <f>Лист1!D35</f>
        <v>5067.627</v>
      </c>
      <c r="E41" s="14">
        <f>Лист1!S35</f>
        <v>37789.76</v>
      </c>
      <c r="F41" s="14">
        <f>Лист1!T35</f>
        <v>9419.58</v>
      </c>
      <c r="G41" s="14">
        <f>Лист1!AB35</f>
        <v>31253.609999999997</v>
      </c>
      <c r="H41" s="14">
        <f>Лист1!AC35</f>
        <v>45740.816999999995</v>
      </c>
      <c r="I41" s="14">
        <f>Лист1!AF35</f>
        <v>11900.97198</v>
      </c>
      <c r="J41" s="14">
        <f>Лист1!AG35</f>
        <v>3626.1479999999997</v>
      </c>
      <c r="K41" s="14">
        <f>Лист1!AI35+Лист1!AJ35</f>
        <v>6043.58</v>
      </c>
      <c r="L41" s="14">
        <f>Лист1!AH35+Лист1!AK35+Лист1!AL35+Лист1!AM35+Лист1!AN35+Лист1!AO35+Лист1!AP35</f>
        <v>20729.4794</v>
      </c>
      <c r="M41" s="34">
        <f>Лист1!AS35+Лист1!AU35+Лист1!AQ35+Лист1!AR35+Лист1!AT35</f>
        <v>561</v>
      </c>
      <c r="N41" s="34">
        <f>Лист1!AX35</f>
        <v>1196.6499999999999</v>
      </c>
      <c r="O41" s="14">
        <f>Лист1!BB35</f>
        <v>32156.8574</v>
      </c>
      <c r="P41" s="14">
        <f>Лист1!BC35</f>
        <v>5154.503</v>
      </c>
      <c r="Q41" s="14">
        <f>Лист1!BD35</f>
        <v>20330.428579999996</v>
      </c>
      <c r="R41" s="33">
        <f>Лист1!BE35</f>
        <v>-6536.150000000005</v>
      </c>
    </row>
    <row r="42" spans="1:18" ht="12.75">
      <c r="A42" s="189" t="s">
        <v>50</v>
      </c>
      <c r="B42" s="186">
        <f>Лист1!B36</f>
        <v>6043.58</v>
      </c>
      <c r="C42" s="13">
        <f t="shared" si="5"/>
        <v>52276.967000000004</v>
      </c>
      <c r="D42" s="13">
        <f>Лист1!D36</f>
        <v>5123.157000000008</v>
      </c>
      <c r="E42" s="14">
        <f>Лист1!S36</f>
        <v>37576.399999999994</v>
      </c>
      <c r="F42" s="14">
        <f>Лист1!T36</f>
        <v>9577.41</v>
      </c>
      <c r="G42" s="14">
        <f>Лист1!AB36</f>
        <v>32249</v>
      </c>
      <c r="H42" s="14">
        <f>Лист1!AC36</f>
        <v>46949.56700000001</v>
      </c>
      <c r="I42" s="14">
        <f>Лист1!AF36</f>
        <v>11900.97198</v>
      </c>
      <c r="J42" s="14">
        <f>Лист1!AG36</f>
        <v>3626.1479999999997</v>
      </c>
      <c r="K42" s="14">
        <f>Лист1!AI36+Лист1!AJ36</f>
        <v>6043.58</v>
      </c>
      <c r="L42" s="14">
        <f>Лист1!AH36+Лист1!AK36+Лист1!AL36+Лист1!AM36+Лист1!AN36+Лист1!AO36+Лист1!AP36</f>
        <v>20729.4794</v>
      </c>
      <c r="M42" s="34">
        <f>Лист1!AS36+Лист1!AU36+Лист1!AQ36+Лист1!AR36+Лист1!AT36</f>
        <v>2352</v>
      </c>
      <c r="N42" s="34">
        <f>Лист1!AX36</f>
        <v>1060.1499999999999</v>
      </c>
      <c r="O42" s="14">
        <f>Лист1!BB36</f>
        <v>33811.3574</v>
      </c>
      <c r="P42" s="14">
        <f>Лист1!BC36</f>
        <v>5154.503</v>
      </c>
      <c r="Q42" s="14">
        <f>Лист1!BD36</f>
        <v>19884.67858000001</v>
      </c>
      <c r="R42" s="33">
        <f>Лист1!BE36</f>
        <v>-5327.399999999994</v>
      </c>
    </row>
    <row r="43" spans="1:18" ht="12.75">
      <c r="A43" s="189" t="s">
        <v>51</v>
      </c>
      <c r="B43" s="186">
        <f>Лист1!B37</f>
        <v>6043.58</v>
      </c>
      <c r="C43" s="13">
        <f t="shared" si="5"/>
        <v>52276.967000000004</v>
      </c>
      <c r="D43" s="13">
        <f>Лист1!D37</f>
        <v>5086.257000000002</v>
      </c>
      <c r="E43" s="14">
        <f>Лист1!S37</f>
        <v>47190.71</v>
      </c>
      <c r="F43" s="14">
        <f>Лист1!T37</f>
        <v>0</v>
      </c>
      <c r="G43" s="14">
        <f>Лист1!AB37</f>
        <v>36012.869999999995</v>
      </c>
      <c r="H43" s="14">
        <f>Лист1!AC37</f>
        <v>41099.127</v>
      </c>
      <c r="I43" s="14">
        <f>Лист1!AF37</f>
        <v>11900.97198</v>
      </c>
      <c r="J43" s="14">
        <f>Лист1!AG37</f>
        <v>3626.1479999999997</v>
      </c>
      <c r="K43" s="14">
        <f>Лист1!AI37+Лист1!AJ37</f>
        <v>6043.58</v>
      </c>
      <c r="L43" s="14">
        <f>Лист1!AH37+Лист1!AK37+Лист1!AL37+Лист1!AM37+Лист1!AN37+Лист1!AO37+Лист1!AP37</f>
        <v>20729.4794</v>
      </c>
      <c r="M43" s="34">
        <f>Лист1!AS37+Лист1!AU37+Лист1!AQ37+Лист1!AR37+Лист1!AT37</f>
        <v>31126.3266</v>
      </c>
      <c r="N43" s="34">
        <f>Лист1!AX37</f>
        <v>1128.3999999999999</v>
      </c>
      <c r="O43" s="14">
        <f>Лист1!BB37</f>
        <v>62653.934</v>
      </c>
      <c r="P43" s="14">
        <f>Лист1!BC37</f>
        <v>5154.503</v>
      </c>
      <c r="Q43" s="14">
        <f>Лист1!BD37</f>
        <v>-14808.33802</v>
      </c>
      <c r="R43" s="33">
        <f>Лист1!BE37</f>
        <v>-11177.840000000004</v>
      </c>
    </row>
    <row r="44" spans="1:18" ht="12.75">
      <c r="A44" s="189" t="s">
        <v>52</v>
      </c>
      <c r="B44" s="186">
        <f>Лист1!B38</f>
        <v>6043.58</v>
      </c>
      <c r="C44" s="13">
        <f t="shared" si="5"/>
        <v>52276.967000000004</v>
      </c>
      <c r="D44" s="13">
        <f>Лист1!D38</f>
        <v>175812.267</v>
      </c>
      <c r="E44" s="14">
        <f>Лист1!S38</f>
        <v>47264.7</v>
      </c>
      <c r="F44" s="14">
        <f>Лист1!T38</f>
        <v>0</v>
      </c>
      <c r="G44" s="14">
        <f>Лист1!AB38</f>
        <v>45798.869999999995</v>
      </c>
      <c r="H44" s="14">
        <f>Лист1!AC38</f>
        <v>221611.137</v>
      </c>
      <c r="I44" s="14">
        <f>Лист1!AF38</f>
        <v>11900.97198</v>
      </c>
      <c r="J44" s="14">
        <f>Лист1!AG38</f>
        <v>3626.1479999999997</v>
      </c>
      <c r="K44" s="14">
        <f>Лист1!AI38+Лист1!AJ38</f>
        <v>6043.58</v>
      </c>
      <c r="L44" s="14">
        <f>Лист1!AH38+Лист1!AK38+Лист1!AL38+Лист1!AM38+Лист1!AN38+Лист1!AO38+Лист1!AP38</f>
        <v>20729.4794</v>
      </c>
      <c r="M44" s="34">
        <f>Лист1!AS38+Лист1!AU38+Лист1!AQ38+Лист1!AR38+Лист1!AT38</f>
        <v>6029.644</v>
      </c>
      <c r="N44" s="34">
        <f>Лист1!AX38</f>
        <v>1333.1499999999999</v>
      </c>
      <c r="O44" s="14">
        <f>Лист1!BB38</f>
        <v>37762.0014</v>
      </c>
      <c r="P44" s="14">
        <f>Лист1!BC38</f>
        <v>5154.503</v>
      </c>
      <c r="Q44" s="14">
        <f>Лист1!BD38</f>
        <v>190595.60457999998</v>
      </c>
      <c r="R44" s="33">
        <f>Лист1!BE38</f>
        <v>-1465.8300000000017</v>
      </c>
    </row>
    <row r="45" spans="1:18" ht="12.75">
      <c r="A45" s="189" t="s">
        <v>53</v>
      </c>
      <c r="B45" s="186">
        <f>Лист1!B39</f>
        <v>6043.58</v>
      </c>
      <c r="C45" s="13">
        <f t="shared" si="5"/>
        <v>52276.967000000004</v>
      </c>
      <c r="D45" s="13">
        <f>Лист1!D39</f>
        <v>4998.256999999998</v>
      </c>
      <c r="E45" s="14">
        <f>Лист1!S39</f>
        <v>47278.71000000001</v>
      </c>
      <c r="F45" s="14">
        <f>Лист1!T39</f>
        <v>0</v>
      </c>
      <c r="G45" s="14">
        <f>Лист1!AB39</f>
        <v>43168.83</v>
      </c>
      <c r="H45" s="14">
        <f>Лист1!AC39</f>
        <v>48167.087</v>
      </c>
      <c r="I45" s="14">
        <f>Лист1!AF39</f>
        <v>11900.97198</v>
      </c>
      <c r="J45" s="14">
        <f>Лист1!AG39</f>
        <v>3626.1479999999997</v>
      </c>
      <c r="K45" s="14">
        <f>Лист1!AI39+Лист1!AJ39</f>
        <v>6043.58</v>
      </c>
      <c r="L45" s="14">
        <f>Лист1!AH39+Лист1!AK39+Лист1!AL39+Лист1!AM39+Лист1!AN39+Лист1!AO39+Лист1!AP39</f>
        <v>20729.4794</v>
      </c>
      <c r="M45" s="34">
        <f>Лист1!AS39+Лист1!AU39+Лист1!AQ39+Лист1!AR39+Лист1!AT39</f>
        <v>26873</v>
      </c>
      <c r="N45" s="34">
        <f>Лист1!AX39</f>
        <v>1587.9499999999998</v>
      </c>
      <c r="O45" s="14">
        <f>Лист1!BB39</f>
        <v>58860.1574</v>
      </c>
      <c r="P45" s="14">
        <f>Лист1!BC39</f>
        <v>5154.503</v>
      </c>
      <c r="Q45" s="14">
        <f>Лист1!BD39</f>
        <v>-3946.6014199999963</v>
      </c>
      <c r="R45" s="33">
        <f>Лист1!BE39</f>
        <v>-4109.880000000005</v>
      </c>
    </row>
    <row r="46" spans="1:18" ht="12.75">
      <c r="A46" s="189" t="s">
        <v>41</v>
      </c>
      <c r="B46" s="186">
        <f>Лист1!B40</f>
        <v>6043.58</v>
      </c>
      <c r="C46" s="13">
        <f t="shared" si="5"/>
        <v>52276.967000000004</v>
      </c>
      <c r="D46" s="13">
        <f>Лист1!D40</f>
        <v>4998.197000000002</v>
      </c>
      <c r="E46" s="14">
        <f>Лист1!S40</f>
        <v>47278.77</v>
      </c>
      <c r="F46" s="14">
        <f>Лист1!T40</f>
        <v>0</v>
      </c>
      <c r="G46" s="14">
        <f>Лист1!AB40</f>
        <v>51374.72</v>
      </c>
      <c r="H46" s="14">
        <f>Лист1!AC40</f>
        <v>56372.917</v>
      </c>
      <c r="I46" s="14">
        <f>Лист1!AF40</f>
        <v>12000.97198</v>
      </c>
      <c r="J46" s="14">
        <f>Лист1!AG40</f>
        <v>3626.1479999999997</v>
      </c>
      <c r="K46" s="14">
        <f>Лист1!AI40+Лист1!AJ40</f>
        <v>6043.58</v>
      </c>
      <c r="L46" s="14">
        <f>Лист1!AH40+Лист1!AK40+Лист1!AL40+Лист1!AM40+Лист1!AN40+Лист1!AO40+Лист1!AP40</f>
        <v>20729.4794</v>
      </c>
      <c r="M46" s="34">
        <f>Лист1!AS40+Лист1!AU40+Лист1!AQ40+Лист1!AR40+Лист1!AT40</f>
        <v>7647.6</v>
      </c>
      <c r="N46" s="34">
        <f>Лист1!AX40</f>
        <v>1933.7499999999998</v>
      </c>
      <c r="O46" s="14">
        <f>Лист1!BB40</f>
        <v>39980.5574</v>
      </c>
      <c r="P46" s="14">
        <f>Лист1!BC40</f>
        <v>5179.503</v>
      </c>
      <c r="Q46" s="14">
        <f>Лист1!BD40</f>
        <v>23213.828580000005</v>
      </c>
      <c r="R46" s="33">
        <f>Лист1!BE40</f>
        <v>4095.9500000000044</v>
      </c>
    </row>
    <row r="47" spans="1:18" ht="12.75">
      <c r="A47" s="189" t="s">
        <v>42</v>
      </c>
      <c r="B47" s="186">
        <f>Лист1!B41</f>
        <v>6043.58</v>
      </c>
      <c r="C47" s="13">
        <f t="shared" si="5"/>
        <v>52276.967000000004</v>
      </c>
      <c r="D47" s="13">
        <f>Лист1!D41</f>
        <v>4939.0270000000055</v>
      </c>
      <c r="E47" s="14">
        <f>Лист1!S41</f>
        <v>47337.94</v>
      </c>
      <c r="F47" s="14">
        <f>Лист1!T41</f>
        <v>0</v>
      </c>
      <c r="G47" s="14">
        <f>Лист1!AB41</f>
        <v>48294.81</v>
      </c>
      <c r="H47" s="14">
        <f>Лист1!AC41</f>
        <v>53233.837</v>
      </c>
      <c r="I47" s="14">
        <f>Лист1!AF41</f>
        <v>12000.97198</v>
      </c>
      <c r="J47" s="14">
        <f>Лист1!AG41</f>
        <v>3626.1479999999997</v>
      </c>
      <c r="K47" s="14">
        <f>Лист1!AI41+Лист1!AJ41</f>
        <v>6043.58</v>
      </c>
      <c r="L47" s="14">
        <f>Лист1!AH41+Лист1!AK41+Лист1!AL41+Лист1!AM41+Лист1!AN41+Лист1!AO41+Лист1!AP41</f>
        <v>20729.4794</v>
      </c>
      <c r="M47" s="34">
        <f>Лист1!AS41+Лист1!AU41+Лист1!AQ41+Лист1!AR41+Лист1!AT41</f>
        <v>9153</v>
      </c>
      <c r="N47" s="34">
        <f>Лист1!AX41</f>
        <v>2138.5</v>
      </c>
      <c r="O47" s="14">
        <f>Лист1!BB41</f>
        <v>41690.7074</v>
      </c>
      <c r="P47" s="14">
        <f>Лист1!BC41</f>
        <v>5179.503</v>
      </c>
      <c r="Q47" s="14">
        <f>Лист1!BD41</f>
        <v>18364.59858</v>
      </c>
      <c r="R47" s="33">
        <f>Лист1!BE41</f>
        <v>956.8699999999953</v>
      </c>
    </row>
    <row r="48" spans="1:18" ht="13.5" thickBot="1">
      <c r="A48" s="190" t="s">
        <v>43</v>
      </c>
      <c r="B48" s="187">
        <f>Лист1!B42</f>
        <v>6043.58</v>
      </c>
      <c r="C48" s="171">
        <f t="shared" si="5"/>
        <v>52276.967000000004</v>
      </c>
      <c r="D48" s="171">
        <f>Лист1!D42</f>
        <v>4978.867000000002</v>
      </c>
      <c r="E48" s="172">
        <f>Лист1!S42</f>
        <v>47298.1</v>
      </c>
      <c r="F48" s="172">
        <f>Лист1!T42</f>
        <v>0</v>
      </c>
      <c r="G48" s="172">
        <f>Лист1!AB42</f>
        <v>54340.42</v>
      </c>
      <c r="H48" s="172">
        <f>Лист1!AC42</f>
        <v>59319.287</v>
      </c>
      <c r="I48" s="172">
        <f>Лист1!AF42</f>
        <v>12000.97198</v>
      </c>
      <c r="J48" s="172">
        <f>Лист1!AG42</f>
        <v>3626.1479999999997</v>
      </c>
      <c r="K48" s="172">
        <f>Лист1!AI42+Лист1!AJ42</f>
        <v>6043.58</v>
      </c>
      <c r="L48" s="172">
        <f>Лист1!AH42+Лист1!AK42+Лист1!AL42+Лист1!AM42+Лист1!AN42+Лист1!AO42+Лист1!AP42</f>
        <v>20729.4794</v>
      </c>
      <c r="M48" s="173">
        <f>Лист1!AS42+Лист1!AU42+Лист1!AQ42+Лист1!AR42+Лист1!AT42</f>
        <v>11454.0336</v>
      </c>
      <c r="N48" s="173">
        <f>Лист1!AX42</f>
        <v>2338.7</v>
      </c>
      <c r="O48" s="172">
        <f>Лист1!BB42</f>
        <v>44191.941</v>
      </c>
      <c r="P48" s="172">
        <f>Лист1!BC42</f>
        <v>5179.503</v>
      </c>
      <c r="Q48" s="172">
        <f>Лист1!BD42</f>
        <v>21948.81498</v>
      </c>
      <c r="R48" s="184">
        <f>Лист1!BE42</f>
        <v>7042.32</v>
      </c>
    </row>
    <row r="49" spans="1:18" ht="13.5" thickBot="1">
      <c r="A49" s="37" t="s">
        <v>5</v>
      </c>
      <c r="B49" s="38"/>
      <c r="C49" s="38">
        <f aca="true" t="shared" si="6" ref="C49:J49">SUM(C37:C48)</f>
        <v>627279.3160000001</v>
      </c>
      <c r="D49" s="38">
        <f t="shared" si="6"/>
        <v>231234.98600000003</v>
      </c>
      <c r="E49" s="38">
        <f t="shared" si="6"/>
        <v>509407.16000000003</v>
      </c>
      <c r="F49" s="38">
        <f t="shared" si="6"/>
        <v>57437.17</v>
      </c>
      <c r="G49" s="38">
        <f t="shared" si="6"/>
        <v>470757.05000000005</v>
      </c>
      <c r="H49" s="38">
        <f t="shared" si="6"/>
        <v>759429.206</v>
      </c>
      <c r="I49" s="38">
        <f t="shared" si="6"/>
        <v>143111.66376</v>
      </c>
      <c r="J49" s="38">
        <f t="shared" si="6"/>
        <v>43510.704000000005</v>
      </c>
      <c r="K49" s="38">
        <f aca="true" t="shared" si="7" ref="K49:R49">SUM(K37:K48)</f>
        <v>72517.84000000001</v>
      </c>
      <c r="L49" s="38">
        <f t="shared" si="7"/>
        <v>251820.67120000007</v>
      </c>
      <c r="M49" s="38">
        <f t="shared" si="7"/>
        <v>167308.2542</v>
      </c>
      <c r="N49" s="38">
        <f t="shared" si="7"/>
        <v>20020</v>
      </c>
      <c r="O49" s="38">
        <f t="shared" si="7"/>
        <v>555177.4694</v>
      </c>
      <c r="P49" s="38">
        <f t="shared" si="7"/>
        <v>61929.035999999986</v>
      </c>
      <c r="Q49" s="38">
        <f t="shared" si="7"/>
        <v>285434.36436</v>
      </c>
      <c r="R49" s="74">
        <f t="shared" si="7"/>
        <v>-38650.11</v>
      </c>
    </row>
    <row r="50" spans="1:18" ht="13.5" thickBot="1">
      <c r="A50" s="261" t="s">
        <v>70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183"/>
    </row>
    <row r="51" spans="1:18" ht="13.5" thickBot="1">
      <c r="A51" s="179" t="s">
        <v>54</v>
      </c>
      <c r="B51" s="180"/>
      <c r="C51" s="180">
        <f>C34+C49</f>
        <v>1410876.761</v>
      </c>
      <c r="D51" s="180">
        <f aca="true" t="shared" si="8" ref="D51:R51">D34+D49</f>
        <v>337702.40493380005</v>
      </c>
      <c r="E51" s="180">
        <f t="shared" si="8"/>
        <v>1044061.28</v>
      </c>
      <c r="F51" s="180">
        <f t="shared" si="8"/>
        <v>192895.36</v>
      </c>
      <c r="G51" s="180">
        <f t="shared" si="8"/>
        <v>939266.45</v>
      </c>
      <c r="H51" s="180">
        <f t="shared" si="8"/>
        <v>1469864.2149338</v>
      </c>
      <c r="I51" s="180">
        <f t="shared" si="8"/>
        <v>269674.48326</v>
      </c>
      <c r="J51" s="180">
        <f t="shared" si="8"/>
        <v>96414.93</v>
      </c>
      <c r="K51" s="180">
        <f t="shared" si="8"/>
        <v>160047.085967321</v>
      </c>
      <c r="L51" s="180">
        <f t="shared" si="8"/>
        <v>569935.3659954108</v>
      </c>
      <c r="M51" s="180">
        <f t="shared" si="8"/>
        <v>582178.8119999999</v>
      </c>
      <c r="N51" s="180">
        <f t="shared" si="8"/>
        <v>44494.0496</v>
      </c>
      <c r="O51" s="180">
        <f t="shared" si="8"/>
        <v>1447495.0739627318</v>
      </c>
      <c r="P51" s="180">
        <f t="shared" si="8"/>
        <v>123543.13830989358</v>
      </c>
      <c r="Q51" s="181">
        <f t="shared" si="8"/>
        <v>168500.48592117464</v>
      </c>
      <c r="R51" s="182">
        <f t="shared" si="8"/>
        <v>-104794.83</v>
      </c>
    </row>
    <row r="54" spans="1:4" ht="12.75">
      <c r="A54" s="21" t="s">
        <v>74</v>
      </c>
      <c r="D54" s="91" t="s">
        <v>93</v>
      </c>
    </row>
    <row r="55" spans="1:4" ht="12.75">
      <c r="A55" s="22" t="s">
        <v>75</v>
      </c>
      <c r="B55" s="22" t="s">
        <v>76</v>
      </c>
      <c r="C55" s="263" t="s">
        <v>77</v>
      </c>
      <c r="D55" s="263"/>
    </row>
    <row r="56" spans="1:4" ht="12.75">
      <c r="A56" s="153">
        <v>365192.56</v>
      </c>
      <c r="B56" s="153">
        <v>21858</v>
      </c>
      <c r="C56" s="154">
        <v>343334.56</v>
      </c>
      <c r="D56" s="152"/>
    </row>
    <row r="57" ht="12.75">
      <c r="A57" s="49"/>
    </row>
    <row r="58" spans="1:7" ht="12.75">
      <c r="A58" s="2" t="s">
        <v>71</v>
      </c>
      <c r="G58" s="2" t="s">
        <v>72</v>
      </c>
    </row>
    <row r="59" ht="12.75">
      <c r="A59" s="1"/>
    </row>
    <row r="60" ht="12.75">
      <c r="A60" s="1" t="s">
        <v>90</v>
      </c>
    </row>
    <row r="61" ht="12.75">
      <c r="A61" s="2" t="s">
        <v>73</v>
      </c>
    </row>
    <row r="63" ht="12.75">
      <c r="A63" s="49"/>
    </row>
  </sheetData>
  <sheetProtection/>
  <mergeCells count="22">
    <mergeCell ref="B9:B12"/>
    <mergeCell ref="G9:H10"/>
    <mergeCell ref="O11:O12"/>
    <mergeCell ref="A33:Q33"/>
    <mergeCell ref="I9:I12"/>
    <mergeCell ref="P9:P12"/>
    <mergeCell ref="A50:Q50"/>
    <mergeCell ref="C55:D55"/>
    <mergeCell ref="J9:O10"/>
    <mergeCell ref="Q9:Q12"/>
    <mergeCell ref="C9:C12"/>
    <mergeCell ref="D9:D12"/>
    <mergeCell ref="A9:A12"/>
    <mergeCell ref="R9:R12"/>
    <mergeCell ref="E11:F11"/>
    <mergeCell ref="H11:H12"/>
    <mergeCell ref="J11:J12"/>
    <mergeCell ref="K11:K12"/>
    <mergeCell ref="L11:L12"/>
    <mergeCell ref="E9:F10"/>
    <mergeCell ref="M11:M12"/>
    <mergeCell ref="N11:N12"/>
  </mergeCells>
  <printOptions/>
  <pageMargins left="0.25" right="0.17" top="0.56" bottom="0.52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2011-02-04T11:42:19Z</cp:lastPrinted>
  <dcterms:created xsi:type="dcterms:W3CDTF">2010-04-02T05:03:24Z</dcterms:created>
  <dcterms:modified xsi:type="dcterms:W3CDTF">2011-04-12T03:31:19Z</dcterms:modified>
  <cp:category/>
  <cp:version/>
  <cp:contentType/>
  <cp:contentStatus/>
</cp:coreProperties>
</file>