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<sst xmlns="http://schemas.openxmlformats.org/spreadsheetml/2006/main" count="173" uniqueCount="94">
  <si>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</si>
  <si>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</si>
  <si>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</si>
  <si>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</si>
  <si>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</si>
  <si>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</si>
  <si>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</si>
  <si>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</si>
  <si>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</si>
  <si>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</si>
  <si>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</si>
  <si>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</si>
  <si>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</si>
  <si>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</si>
  <si>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</si>
  <si>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</si>
  <si>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</si>
  <si>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</si>
  <si>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</si>
  <si>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</si>
  <si>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</si>
  <si>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</si>
  <si>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</si>
  <si>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</si>
  <si>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</si>
  <si>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</si>
  <si>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</si>
  <si>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</si>
  <si>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</si>
  <si>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</si>
  <si>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</si>
  <si>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</si>
  <si>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</si>
  <si>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</si>
  <si>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</si>
  <si>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</si>
  <si>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</si>
  <si>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</si>
  <si>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</si>
  <si>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</si>
  <si>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</si>
  <si>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</si>
  <si>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</si>
  <si>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</si>
  <si>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</si>
  <si>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</si>
  <si>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</si>
  <si>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</si>
  <si>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</si>
  <si>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</si>
  <si>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</si>
  <si>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</si>
  <si>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</si>
  <si>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</si>
  <si>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</si>
  <si>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</si>
  <si>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</si>
  <si>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</si>
  <si>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</si>
  <si>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</si>
  <si>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</si>
  <si>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</si>
  <si>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</si>
  <si>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</si>
  <si>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</si>
  <si>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</si>
  <si>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</si>
  <si>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</si>
  <si>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</si>
  <si>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</si>
  <si>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</si>
  <si>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</si>
  <si>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</si>
  <si>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</si>
  <si>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</si>
  <si>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</si>
  <si>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</si>
  <si>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</si>
  <si>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</si>
  <si>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</si>
  <si>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</si>
  <si>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</si>
  <si>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</si>
  <si>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</si>
  <si>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</si>
  <si>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</si>
  <si>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</si>
  <si>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</si>
  <si>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</si>
  <si>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Лицевой счет по адресу г. Таштагол, ул.Станционная, д.14а</t>
  </si>
  <si>
    <t>Выписка по лицевому счету по адресу г. Таштагол ул. Станционная, д.14а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</si>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</sst>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37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14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37" borderId="17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38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1" topLeftCell="AP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28" sqref="BE28:BE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76" t="s">
        <v>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77" t="s">
        <v>0</v>
      </c>
      <c r="B3" s="180" t="s">
        <v>1</v>
      </c>
      <c r="C3" s="180" t="s">
        <v>2</v>
      </c>
      <c r="D3" s="180" t="s">
        <v>3</v>
      </c>
      <c r="E3" s="183" t="s">
        <v>4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62" t="s">
        <v>5</v>
      </c>
      <c r="T3" s="162"/>
      <c r="U3" s="163" t="s">
        <v>6</v>
      </c>
      <c r="V3" s="163"/>
      <c r="W3" s="163"/>
      <c r="X3" s="163"/>
      <c r="Y3" s="163"/>
      <c r="Z3" s="163"/>
      <c r="AA3" s="163"/>
      <c r="AB3" s="163"/>
      <c r="AC3" s="143" t="s">
        <v>86</v>
      </c>
      <c r="AD3" s="143" t="s">
        <v>8</v>
      </c>
      <c r="AE3" s="165" t="s">
        <v>9</v>
      </c>
      <c r="AF3" s="154" t="s">
        <v>74</v>
      </c>
      <c r="AG3" s="157" t="s">
        <v>10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73" t="s">
        <v>75</v>
      </c>
      <c r="BD3" s="159" t="s">
        <v>11</v>
      </c>
      <c r="BE3" s="168" t="s">
        <v>12</v>
      </c>
    </row>
    <row r="4" spans="1:57" ht="36" customHeight="1" thickBot="1">
      <c r="A4" s="178"/>
      <c r="B4" s="181"/>
      <c r="C4" s="181"/>
      <c r="D4" s="181"/>
      <c r="E4" s="158" t="s">
        <v>13</v>
      </c>
      <c r="F4" s="158"/>
      <c r="G4" s="158" t="s">
        <v>14</v>
      </c>
      <c r="H4" s="158"/>
      <c r="I4" s="158" t="s">
        <v>15</v>
      </c>
      <c r="J4" s="158"/>
      <c r="K4" s="158" t="s">
        <v>16</v>
      </c>
      <c r="L4" s="158"/>
      <c r="M4" s="158" t="s">
        <v>17</v>
      </c>
      <c r="N4" s="158"/>
      <c r="O4" s="158" t="s">
        <v>18</v>
      </c>
      <c r="P4" s="158"/>
      <c r="Q4" s="158" t="s">
        <v>19</v>
      </c>
      <c r="R4" s="158"/>
      <c r="S4" s="158"/>
      <c r="T4" s="158"/>
      <c r="U4" s="164"/>
      <c r="V4" s="164"/>
      <c r="W4" s="164"/>
      <c r="X4" s="164"/>
      <c r="Y4" s="164"/>
      <c r="Z4" s="164"/>
      <c r="AA4" s="164"/>
      <c r="AB4" s="164"/>
      <c r="AC4" s="144"/>
      <c r="AD4" s="144"/>
      <c r="AE4" s="166"/>
      <c r="AF4" s="155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74"/>
      <c r="BD4" s="160"/>
      <c r="BE4" s="169"/>
    </row>
    <row r="5" spans="1:57" ht="29.25" customHeight="1" thickBot="1">
      <c r="A5" s="178"/>
      <c r="B5" s="181"/>
      <c r="C5" s="181"/>
      <c r="D5" s="181"/>
      <c r="E5" s="136" t="s">
        <v>20</v>
      </c>
      <c r="F5" s="136" t="s">
        <v>21</v>
      </c>
      <c r="G5" s="136" t="s">
        <v>20</v>
      </c>
      <c r="H5" s="136" t="s">
        <v>21</v>
      </c>
      <c r="I5" s="136" t="s">
        <v>20</v>
      </c>
      <c r="J5" s="136" t="s">
        <v>21</v>
      </c>
      <c r="K5" s="136" t="s">
        <v>20</v>
      </c>
      <c r="L5" s="136" t="s">
        <v>21</v>
      </c>
      <c r="M5" s="136" t="s">
        <v>20</v>
      </c>
      <c r="N5" s="136" t="s">
        <v>21</v>
      </c>
      <c r="O5" s="136" t="s">
        <v>20</v>
      </c>
      <c r="P5" s="136" t="s">
        <v>21</v>
      </c>
      <c r="Q5" s="136" t="s">
        <v>20</v>
      </c>
      <c r="R5" s="136" t="s">
        <v>21</v>
      </c>
      <c r="S5" s="136" t="s">
        <v>20</v>
      </c>
      <c r="T5" s="136" t="s">
        <v>21</v>
      </c>
      <c r="U5" s="138" t="s">
        <v>22</v>
      </c>
      <c r="V5" s="138" t="s">
        <v>23</v>
      </c>
      <c r="W5" s="138" t="s">
        <v>24</v>
      </c>
      <c r="X5" s="138" t="s">
        <v>25</v>
      </c>
      <c r="Y5" s="138" t="s">
        <v>26</v>
      </c>
      <c r="Z5" s="138" t="s">
        <v>27</v>
      </c>
      <c r="AA5" s="138" t="s">
        <v>28</v>
      </c>
      <c r="AB5" s="138" t="s">
        <v>29</v>
      </c>
      <c r="AC5" s="144"/>
      <c r="AD5" s="144"/>
      <c r="AE5" s="166"/>
      <c r="AF5" s="155"/>
      <c r="AG5" s="146" t="s">
        <v>30</v>
      </c>
      <c r="AH5" s="146" t="s">
        <v>31</v>
      </c>
      <c r="AI5" s="146" t="s">
        <v>32</v>
      </c>
      <c r="AJ5" s="146" t="s">
        <v>33</v>
      </c>
      <c r="AK5" s="146" t="s">
        <v>34</v>
      </c>
      <c r="AL5" s="146" t="s">
        <v>33</v>
      </c>
      <c r="AM5" s="146" t="s">
        <v>35</v>
      </c>
      <c r="AN5" s="146" t="s">
        <v>33</v>
      </c>
      <c r="AO5" s="146" t="s">
        <v>36</v>
      </c>
      <c r="AP5" s="146" t="s">
        <v>33</v>
      </c>
      <c r="AQ5" s="148" t="s">
        <v>79</v>
      </c>
      <c r="AR5" s="150" t="s">
        <v>33</v>
      </c>
      <c r="AS5" s="171" t="s">
        <v>80</v>
      </c>
      <c r="AT5" s="152" t="s">
        <v>81</v>
      </c>
      <c r="AU5" s="152" t="s">
        <v>33</v>
      </c>
      <c r="AV5" s="140" t="s">
        <v>82</v>
      </c>
      <c r="AW5" s="141"/>
      <c r="AX5" s="142"/>
      <c r="AY5" s="146" t="s">
        <v>19</v>
      </c>
      <c r="AZ5" s="146" t="s">
        <v>38</v>
      </c>
      <c r="BA5" s="146" t="s">
        <v>33</v>
      </c>
      <c r="BB5" s="146" t="s">
        <v>39</v>
      </c>
      <c r="BC5" s="174"/>
      <c r="BD5" s="160"/>
      <c r="BE5" s="169"/>
    </row>
    <row r="6" spans="1:57" ht="54" customHeight="1" thickBot="1">
      <c r="A6" s="179"/>
      <c r="B6" s="182"/>
      <c r="C6" s="182"/>
      <c r="D6" s="182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9"/>
      <c r="V6" s="139"/>
      <c r="W6" s="139"/>
      <c r="X6" s="139"/>
      <c r="Y6" s="139"/>
      <c r="Z6" s="139"/>
      <c r="AA6" s="139"/>
      <c r="AB6" s="139"/>
      <c r="AC6" s="145"/>
      <c r="AD6" s="145"/>
      <c r="AE6" s="167"/>
      <c r="AF6" s="156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9"/>
      <c r="AR6" s="151"/>
      <c r="AS6" s="172"/>
      <c r="AT6" s="153"/>
      <c r="AU6" s="153"/>
      <c r="AV6" s="100" t="s">
        <v>83</v>
      </c>
      <c r="AW6" s="100" t="s">
        <v>84</v>
      </c>
      <c r="AX6" s="100" t="s">
        <v>85</v>
      </c>
      <c r="AY6" s="147"/>
      <c r="AZ6" s="147"/>
      <c r="BA6" s="147"/>
      <c r="BB6" s="147"/>
      <c r="BC6" s="175"/>
      <c r="BD6" s="161"/>
      <c r="BE6" s="170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3"/>
      <c r="AT8" s="43"/>
      <c r="AU8" s="43"/>
      <c r="AV8" s="43"/>
      <c r="AW8" s="43"/>
      <c r="AX8" s="6"/>
      <c r="AY8" s="6"/>
      <c r="AZ8" s="6"/>
      <c r="BA8" s="6"/>
      <c r="BB8" s="6"/>
      <c r="BC8" s="6"/>
      <c r="BD8" s="6"/>
      <c r="BE8" s="9"/>
    </row>
    <row r="9" spans="1:57" ht="12.75">
      <c r="A9" s="10" t="s">
        <v>41</v>
      </c>
      <c r="B9" s="126">
        <v>742</v>
      </c>
      <c r="C9" s="88">
        <f>B9*8.65</f>
        <v>6418.3</v>
      </c>
      <c r="D9" s="89">
        <f>C9*0.24035</f>
        <v>1542.6384050000001</v>
      </c>
      <c r="E9" s="90">
        <v>574.67</v>
      </c>
      <c r="F9" s="90">
        <v>49</v>
      </c>
      <c r="G9" s="90">
        <v>775.83</v>
      </c>
      <c r="H9" s="90">
        <v>66.15</v>
      </c>
      <c r="I9" s="90">
        <v>631.44</v>
      </c>
      <c r="J9" s="90">
        <v>53.9</v>
      </c>
      <c r="K9" s="90">
        <v>432.89</v>
      </c>
      <c r="L9" s="90">
        <v>36.75</v>
      </c>
      <c r="M9" s="90">
        <v>459.74</v>
      </c>
      <c r="N9" s="90">
        <v>39.2</v>
      </c>
      <c r="O9" s="90">
        <v>0</v>
      </c>
      <c r="P9" s="90">
        <v>0</v>
      </c>
      <c r="Q9" s="90">
        <v>0</v>
      </c>
      <c r="R9" s="90">
        <v>0</v>
      </c>
      <c r="S9" s="74">
        <f>E9+G9+I9+K9+M9+O9+Q9</f>
        <v>2874.5699999999997</v>
      </c>
      <c r="T9" s="91">
        <f>P9+N9+L9+J9+H9+F9+R9</f>
        <v>245</v>
      </c>
      <c r="U9" s="127">
        <v>682.29</v>
      </c>
      <c r="V9" s="127">
        <v>1173.55</v>
      </c>
      <c r="W9" s="127">
        <v>482.79</v>
      </c>
      <c r="X9" s="127">
        <v>333.63</v>
      </c>
      <c r="Y9" s="127">
        <v>545.82</v>
      </c>
      <c r="Z9" s="127">
        <v>0</v>
      </c>
      <c r="AA9" s="127">
        <v>0</v>
      </c>
      <c r="AB9" s="93">
        <f>SUM(U9:AA9)</f>
        <v>3218.0800000000004</v>
      </c>
      <c r="AC9" s="94">
        <f>D9+T9+AB9</f>
        <v>5005.7184050000005</v>
      </c>
      <c r="AD9" s="85">
        <f>P9+Z9</f>
        <v>0</v>
      </c>
      <c r="AE9" s="85">
        <f>R9+AA9</f>
        <v>0</v>
      </c>
      <c r="AF9" s="85"/>
      <c r="AG9" s="15">
        <f>0.6*B9</f>
        <v>445.2</v>
      </c>
      <c r="AH9" s="15">
        <f>B9*0.2*1.02524</f>
        <v>152.145616</v>
      </c>
      <c r="AI9" s="15">
        <f>0.84932*B9</f>
        <v>630.19544</v>
      </c>
      <c r="AJ9" s="15">
        <f>AI9*0.18</f>
        <v>113.4351792</v>
      </c>
      <c r="AK9" s="15">
        <f>1.04*B9*0.95033</f>
        <v>733.3506544</v>
      </c>
      <c r="AL9" s="15">
        <f>AK9*0.18</f>
        <v>132.003117792</v>
      </c>
      <c r="AM9" s="15">
        <f>(1.91)*B9*0.95033</f>
        <v>1346.8266826000001</v>
      </c>
      <c r="AN9" s="15">
        <f>AM9*0.18</f>
        <v>242.42880286800002</v>
      </c>
      <c r="AO9" s="15"/>
      <c r="AP9" s="128">
        <f>AO9*0.18</f>
        <v>0</v>
      </c>
      <c r="AQ9" s="98"/>
      <c r="AR9" s="98"/>
      <c r="AS9" s="129">
        <v>150</v>
      </c>
      <c r="AT9" s="129"/>
      <c r="AU9" s="129">
        <f>(AS9+AT9)*0.18</f>
        <v>27</v>
      </c>
      <c r="AV9" s="130"/>
      <c r="AW9" s="131"/>
      <c r="AX9" s="15">
        <f>AV9*AW9*1.12*1.18</f>
        <v>0</v>
      </c>
      <c r="AY9" s="101"/>
      <c r="AZ9" s="102"/>
      <c r="BA9" s="102">
        <f>AZ9*0.18</f>
        <v>0</v>
      </c>
      <c r="BB9" s="102">
        <f>SUM(AG9:BA9)-AV9-AW9</f>
        <v>3972.5854928599997</v>
      </c>
      <c r="BC9" s="112"/>
      <c r="BD9" s="13">
        <f>AC9-BB9</f>
        <v>1033.1329121400008</v>
      </c>
      <c r="BE9" s="27">
        <f>AB9-S9</f>
        <v>343.5100000000007</v>
      </c>
    </row>
    <row r="10" spans="1:57" s="19" customFormat="1" ht="15" customHeight="1">
      <c r="A10" s="16" t="s">
        <v>5</v>
      </c>
      <c r="B10" s="54"/>
      <c r="C10" s="54">
        <f aca="true" t="shared" si="0" ref="C10:AU10">SUM(C9:C9)</f>
        <v>6418.3</v>
      </c>
      <c r="D10" s="54">
        <f t="shared" si="0"/>
        <v>1542.6384050000001</v>
      </c>
      <c r="E10" s="51">
        <f t="shared" si="0"/>
        <v>574.67</v>
      </c>
      <c r="F10" s="51">
        <f t="shared" si="0"/>
        <v>49</v>
      </c>
      <c r="G10" s="51">
        <f t="shared" si="0"/>
        <v>775.83</v>
      </c>
      <c r="H10" s="51">
        <f t="shared" si="0"/>
        <v>66.15</v>
      </c>
      <c r="I10" s="51">
        <f t="shared" si="0"/>
        <v>631.44</v>
      </c>
      <c r="J10" s="51">
        <f t="shared" si="0"/>
        <v>53.9</v>
      </c>
      <c r="K10" s="51">
        <f t="shared" si="0"/>
        <v>432.89</v>
      </c>
      <c r="L10" s="51">
        <f t="shared" si="0"/>
        <v>36.75</v>
      </c>
      <c r="M10" s="51">
        <f t="shared" si="0"/>
        <v>459.74</v>
      </c>
      <c r="N10" s="51">
        <f t="shared" si="0"/>
        <v>39.2</v>
      </c>
      <c r="O10" s="51">
        <f t="shared" si="0"/>
        <v>0</v>
      </c>
      <c r="P10" s="51">
        <f t="shared" si="0"/>
        <v>0</v>
      </c>
      <c r="Q10" s="51">
        <f t="shared" si="0"/>
        <v>0</v>
      </c>
      <c r="R10" s="51">
        <f t="shared" si="0"/>
        <v>0</v>
      </c>
      <c r="S10" s="51">
        <f t="shared" si="0"/>
        <v>2874.5699999999997</v>
      </c>
      <c r="T10" s="51">
        <f t="shared" si="0"/>
        <v>245</v>
      </c>
      <c r="U10" s="55">
        <f t="shared" si="0"/>
        <v>682.29</v>
      </c>
      <c r="V10" s="55">
        <f t="shared" si="0"/>
        <v>1173.55</v>
      </c>
      <c r="W10" s="55">
        <f t="shared" si="0"/>
        <v>482.79</v>
      </c>
      <c r="X10" s="55">
        <f t="shared" si="0"/>
        <v>333.63</v>
      </c>
      <c r="Y10" s="55">
        <f t="shared" si="0"/>
        <v>545.82</v>
      </c>
      <c r="Z10" s="55">
        <f t="shared" si="0"/>
        <v>0</v>
      </c>
      <c r="AA10" s="55">
        <f t="shared" si="0"/>
        <v>0</v>
      </c>
      <c r="AB10" s="55">
        <f t="shared" si="0"/>
        <v>3218.0800000000004</v>
      </c>
      <c r="AC10" s="55">
        <f t="shared" si="0"/>
        <v>5005.7184050000005</v>
      </c>
      <c r="AD10" s="55">
        <f t="shared" si="0"/>
        <v>0</v>
      </c>
      <c r="AE10" s="83">
        <f t="shared" si="0"/>
        <v>0</v>
      </c>
      <c r="AF10" s="83">
        <f t="shared" si="0"/>
        <v>0</v>
      </c>
      <c r="AG10" s="17">
        <f t="shared" si="0"/>
        <v>445.2</v>
      </c>
      <c r="AH10" s="17">
        <f t="shared" si="0"/>
        <v>152.145616</v>
      </c>
      <c r="AI10" s="17">
        <f t="shared" si="0"/>
        <v>630.19544</v>
      </c>
      <c r="AJ10" s="17">
        <f t="shared" si="0"/>
        <v>113.4351792</v>
      </c>
      <c r="AK10" s="17">
        <f t="shared" si="0"/>
        <v>733.3506544</v>
      </c>
      <c r="AL10" s="17">
        <f t="shared" si="0"/>
        <v>132.003117792</v>
      </c>
      <c r="AM10" s="17">
        <f t="shared" si="0"/>
        <v>1346.8266826000001</v>
      </c>
      <c r="AN10" s="17">
        <f t="shared" si="0"/>
        <v>242.42880286800002</v>
      </c>
      <c r="AO10" s="17">
        <f t="shared" si="0"/>
        <v>0</v>
      </c>
      <c r="AP10" s="17">
        <f t="shared" si="0"/>
        <v>0</v>
      </c>
      <c r="AQ10" s="17">
        <f t="shared" si="0"/>
        <v>0</v>
      </c>
      <c r="AR10" s="17">
        <f t="shared" si="0"/>
        <v>0</v>
      </c>
      <c r="AS10" s="17">
        <f t="shared" si="0"/>
        <v>150</v>
      </c>
      <c r="AT10" s="17">
        <f t="shared" si="0"/>
        <v>0</v>
      </c>
      <c r="AU10" s="17">
        <f t="shared" si="0"/>
        <v>27</v>
      </c>
      <c r="AV10" s="17"/>
      <c r="AW10" s="17"/>
      <c r="AX10" s="17">
        <f aca="true" t="shared" si="1" ref="AX10:BE10">SUM(AX9:AX9)</f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3972.5854928599997</v>
      </c>
      <c r="BC10" s="17">
        <f t="shared" si="1"/>
        <v>0</v>
      </c>
      <c r="BD10" s="17">
        <f t="shared" si="1"/>
        <v>1033.1329121400008</v>
      </c>
      <c r="BE10" s="18">
        <f t="shared" si="1"/>
        <v>343.5100000000007</v>
      </c>
    </row>
    <row r="11" spans="1:57" ht="15" customHeight="1">
      <c r="A11" s="5" t="s">
        <v>44</v>
      </c>
      <c r="B11" s="52"/>
      <c r="C11" s="53"/>
      <c r="D11" s="5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  <c r="R11" s="49"/>
      <c r="S11" s="49"/>
      <c r="T11" s="49"/>
      <c r="U11" s="56"/>
      <c r="V11" s="56"/>
      <c r="W11" s="56"/>
      <c r="X11" s="56"/>
      <c r="Y11" s="56"/>
      <c r="Z11" s="56"/>
      <c r="AA11" s="48"/>
      <c r="AB11" s="48"/>
      <c r="AC11" s="81"/>
      <c r="AD11" s="81"/>
      <c r="AE11" s="82"/>
      <c r="AF11" s="82"/>
      <c r="AG11" s="13"/>
      <c r="AH11" s="13"/>
      <c r="AI11" s="13"/>
      <c r="AJ11" s="13"/>
      <c r="AK11" s="13"/>
      <c r="AL11" s="13"/>
      <c r="AM11" s="13"/>
      <c r="AN11" s="13"/>
      <c r="AO11" s="28"/>
      <c r="AP11" s="28"/>
      <c r="AQ11" s="28"/>
      <c r="AR11" s="28"/>
      <c r="AS11" s="78"/>
      <c r="AT11" s="78"/>
      <c r="AU11" s="44"/>
      <c r="AV11" s="44"/>
      <c r="AW11" s="44"/>
      <c r="AX11" s="28"/>
      <c r="AY11" s="28"/>
      <c r="AZ11" s="28"/>
      <c r="BA11" s="13"/>
      <c r="BB11" s="13"/>
      <c r="BC11" s="13"/>
      <c r="BD11" s="13"/>
      <c r="BE11" s="27"/>
    </row>
    <row r="12" spans="1:57" ht="12.75">
      <c r="A12" s="10" t="s">
        <v>45</v>
      </c>
      <c r="B12" s="96">
        <v>742</v>
      </c>
      <c r="C12" s="88">
        <f aca="true" t="shared" si="2" ref="C12:C23">B12*8.65</f>
        <v>6418.3</v>
      </c>
      <c r="D12" s="89">
        <f>C12*0.125</f>
        <v>802.2875</v>
      </c>
      <c r="E12" s="90">
        <v>579.62</v>
      </c>
      <c r="F12" s="90">
        <v>49</v>
      </c>
      <c r="G12" s="90">
        <v>782.51</v>
      </c>
      <c r="H12" s="90">
        <v>66.15</v>
      </c>
      <c r="I12" s="90">
        <v>634.09</v>
      </c>
      <c r="J12" s="90">
        <v>53.9</v>
      </c>
      <c r="K12" s="90">
        <v>434.75</v>
      </c>
      <c r="L12" s="90">
        <v>36.75</v>
      </c>
      <c r="M12" s="90">
        <v>463.69</v>
      </c>
      <c r="N12" s="90">
        <v>39.2</v>
      </c>
      <c r="O12" s="90">
        <v>0</v>
      </c>
      <c r="P12" s="95">
        <v>0</v>
      </c>
      <c r="Q12" s="90">
        <v>0</v>
      </c>
      <c r="R12" s="95">
        <v>0</v>
      </c>
      <c r="S12" s="75">
        <f aca="true" t="shared" si="3" ref="S12:S23">E12+G12+I12+K12+M12+O12+Q12</f>
        <v>2894.6600000000003</v>
      </c>
      <c r="T12" s="115">
        <f aca="true" t="shared" si="4" ref="T12:T23">P12+N12+L12+J12+H12+F12+R12</f>
        <v>245</v>
      </c>
      <c r="U12" s="74">
        <v>257.71</v>
      </c>
      <c r="V12" s="74">
        <v>377.75</v>
      </c>
      <c r="W12" s="74">
        <v>234.06</v>
      </c>
      <c r="X12" s="74">
        <v>161.32</v>
      </c>
      <c r="Y12" s="74">
        <v>206.16</v>
      </c>
      <c r="Z12" s="92">
        <v>0</v>
      </c>
      <c r="AA12" s="92">
        <v>0</v>
      </c>
      <c r="AB12" s="97">
        <f aca="true" t="shared" si="5" ref="AB12:AB20">SUM(U12:AA12)</f>
        <v>1237</v>
      </c>
      <c r="AC12" s="116">
        <f aca="true" t="shared" si="6" ref="AC12:AC20">D12+T12+AB12</f>
        <v>2284.2875</v>
      </c>
      <c r="AD12" s="117">
        <f aca="true" t="shared" si="7" ref="AD12:AD23">P12+Z12</f>
        <v>0</v>
      </c>
      <c r="AE12" s="117">
        <f aca="true" t="shared" si="8" ref="AE12:AE23">R12+AA12</f>
        <v>0</v>
      </c>
      <c r="AF12" s="117"/>
      <c r="AG12" s="15">
        <f>0.6*B12*0.9</f>
        <v>400.68</v>
      </c>
      <c r="AH12" s="15">
        <f>B12*0.2*0.891</f>
        <v>132.2244</v>
      </c>
      <c r="AI12" s="15">
        <f>0.85*B12*0.867-0.02</f>
        <v>546.7968999999999</v>
      </c>
      <c r="AJ12" s="104">
        <f aca="true" t="shared" si="9" ref="AJ12:AJ23">AI12*0.18</f>
        <v>98.42344199999998</v>
      </c>
      <c r="AK12" s="15">
        <f>0.83*B12*0.8686</f>
        <v>534.935996</v>
      </c>
      <c r="AL12" s="104">
        <f aca="true" t="shared" si="10" ref="AL12:AL23">AK12*0.18</f>
        <v>96.28847928</v>
      </c>
      <c r="AM12" s="15">
        <f>1.91*B12*0.8686</f>
        <v>1230.997292</v>
      </c>
      <c r="AN12" s="104">
        <f aca="true" t="shared" si="11" ref="AN12:AN23">AM12*0.18</f>
        <v>221.57951255999998</v>
      </c>
      <c r="AO12" s="104"/>
      <c r="AP12" s="104">
        <f aca="true" t="shared" si="12" ref="AP12:AP23">AO12*0.18</f>
        <v>0</v>
      </c>
      <c r="AQ12" s="118"/>
      <c r="AR12" s="98">
        <f aca="true" t="shared" si="13" ref="AR12:AR17">AQ12*0.18</f>
        <v>0</v>
      </c>
      <c r="AS12" s="119"/>
      <c r="AT12" s="119"/>
      <c r="AU12" s="80">
        <f>(AS12+AT12)*0.18</f>
        <v>0</v>
      </c>
      <c r="AV12" s="120">
        <v>508</v>
      </c>
      <c r="AW12" s="121">
        <v>0.4</v>
      </c>
      <c r="AX12" s="104">
        <f aca="true" t="shared" si="14" ref="AX12:AX23">AV12*AW12*1.12*1.18</f>
        <v>268.54912</v>
      </c>
      <c r="AY12" s="104"/>
      <c r="AZ12" s="122"/>
      <c r="BA12" s="122">
        <f>AZ12*0.18</f>
        <v>0</v>
      </c>
      <c r="BB12" s="102">
        <f>SUM(AG12:AU12)</f>
        <v>3261.92602184</v>
      </c>
      <c r="BC12" s="123"/>
      <c r="BD12" s="13">
        <f>AC12+AF12-BB12-BC12</f>
        <v>-977.6385218400001</v>
      </c>
      <c r="BE12" s="27">
        <f>AB12-S12</f>
        <v>-1657.6600000000003</v>
      </c>
    </row>
    <row r="13" spans="1:57" ht="12.75">
      <c r="A13" s="10" t="s">
        <v>46</v>
      </c>
      <c r="B13" s="96">
        <v>742</v>
      </c>
      <c r="C13" s="88">
        <f t="shared" si="2"/>
        <v>6418.3</v>
      </c>
      <c r="D13" s="89">
        <f>C13*0.125</f>
        <v>802.2875</v>
      </c>
      <c r="E13" s="90">
        <v>579.62</v>
      </c>
      <c r="F13" s="90">
        <v>49</v>
      </c>
      <c r="G13" s="90">
        <v>782.51</v>
      </c>
      <c r="H13" s="90">
        <v>66.15</v>
      </c>
      <c r="I13" s="90">
        <v>634.09</v>
      </c>
      <c r="J13" s="90">
        <v>53.9</v>
      </c>
      <c r="K13" s="90">
        <v>434.75</v>
      </c>
      <c r="L13" s="90">
        <v>36.75</v>
      </c>
      <c r="M13" s="90">
        <v>463.69</v>
      </c>
      <c r="N13" s="90">
        <v>39.2</v>
      </c>
      <c r="O13" s="90">
        <v>0</v>
      </c>
      <c r="P13" s="95">
        <v>0</v>
      </c>
      <c r="Q13" s="90">
        <v>0</v>
      </c>
      <c r="R13" s="95">
        <v>0</v>
      </c>
      <c r="S13" s="74">
        <f t="shared" si="3"/>
        <v>2894.6600000000003</v>
      </c>
      <c r="T13" s="91">
        <f t="shared" si="4"/>
        <v>245</v>
      </c>
      <c r="U13" s="74">
        <v>143.95</v>
      </c>
      <c r="V13" s="74">
        <v>194.35</v>
      </c>
      <c r="W13" s="74">
        <v>158.08</v>
      </c>
      <c r="X13" s="74">
        <v>107.98</v>
      </c>
      <c r="Y13" s="74">
        <v>115.17</v>
      </c>
      <c r="Z13" s="92">
        <v>0</v>
      </c>
      <c r="AA13" s="92">
        <v>0</v>
      </c>
      <c r="AB13" s="93">
        <f t="shared" si="5"/>
        <v>719.53</v>
      </c>
      <c r="AC13" s="94">
        <f t="shared" si="6"/>
        <v>1766.8174999999999</v>
      </c>
      <c r="AD13" s="85">
        <f t="shared" si="7"/>
        <v>0</v>
      </c>
      <c r="AE13" s="85">
        <f t="shared" si="8"/>
        <v>0</v>
      </c>
      <c r="AF13" s="117"/>
      <c r="AG13" s="15">
        <f>0.6*B13*0.9</f>
        <v>400.68</v>
      </c>
      <c r="AH13" s="15">
        <f>B13*0.2*0.9153</f>
        <v>135.83052</v>
      </c>
      <c r="AI13" s="15">
        <f>0.85*B13*0.866</f>
        <v>546.1862</v>
      </c>
      <c r="AJ13" s="15">
        <f t="shared" si="9"/>
        <v>98.31351599999999</v>
      </c>
      <c r="AK13" s="15">
        <f>0.83*B13*0.8685</f>
        <v>534.87441</v>
      </c>
      <c r="AL13" s="15">
        <f t="shared" si="10"/>
        <v>96.2773938</v>
      </c>
      <c r="AM13" s="15">
        <f>(1.91)*B13*0.8684</f>
        <v>1230.7138479999999</v>
      </c>
      <c r="AN13" s="15">
        <f t="shared" si="11"/>
        <v>221.52849263999997</v>
      </c>
      <c r="AO13" s="15"/>
      <c r="AP13" s="104">
        <f t="shared" si="12"/>
        <v>0</v>
      </c>
      <c r="AQ13" s="118"/>
      <c r="AR13" s="98">
        <f t="shared" si="13"/>
        <v>0</v>
      </c>
      <c r="AS13" s="119"/>
      <c r="AT13" s="119"/>
      <c r="AU13" s="80">
        <f aca="true" t="shared" si="15" ref="AU13:AU23">(AS13+AT13)*0.18</f>
        <v>0</v>
      </c>
      <c r="AV13" s="120">
        <v>407</v>
      </c>
      <c r="AW13" s="121">
        <v>0.4</v>
      </c>
      <c r="AX13" s="15">
        <f t="shared" si="14"/>
        <v>215.15648000000004</v>
      </c>
      <c r="AY13" s="101"/>
      <c r="AZ13" s="102"/>
      <c r="BA13" s="102">
        <f>AZ13*0.18</f>
        <v>0</v>
      </c>
      <c r="BB13" s="102">
        <f>SUM(AG13:AU13)+AY13</f>
        <v>3264.40438044</v>
      </c>
      <c r="BC13" s="124"/>
      <c r="BD13" s="13">
        <f aca="true" t="shared" si="16" ref="BD13:BD20">AC13+AF13-BB13-BC13</f>
        <v>-1497.58688044</v>
      </c>
      <c r="BE13" s="27">
        <f aca="true" t="shared" si="17" ref="BE13:BE18">AB13-S13</f>
        <v>-2175.13</v>
      </c>
    </row>
    <row r="14" spans="1:57" ht="12.75">
      <c r="A14" s="10" t="s">
        <v>47</v>
      </c>
      <c r="B14" s="109">
        <v>742</v>
      </c>
      <c r="C14" s="88">
        <f t="shared" si="2"/>
        <v>6418.3</v>
      </c>
      <c r="D14" s="89">
        <f>C14*0.125</f>
        <v>802.2875</v>
      </c>
      <c r="E14" s="90">
        <v>85.89</v>
      </c>
      <c r="F14" s="90">
        <v>49</v>
      </c>
      <c r="G14" s="90">
        <v>115.97</v>
      </c>
      <c r="H14" s="90">
        <v>66.15</v>
      </c>
      <c r="I14" s="90">
        <v>93.33</v>
      </c>
      <c r="J14" s="90">
        <v>53.9</v>
      </c>
      <c r="K14" s="90">
        <v>64.44</v>
      </c>
      <c r="L14" s="90">
        <v>36.75</v>
      </c>
      <c r="M14" s="90">
        <v>68.69</v>
      </c>
      <c r="N14" s="90">
        <v>39.2</v>
      </c>
      <c r="O14" s="90">
        <v>0</v>
      </c>
      <c r="P14" s="95">
        <v>0</v>
      </c>
      <c r="Q14" s="90">
        <v>0</v>
      </c>
      <c r="R14" s="95">
        <v>0</v>
      </c>
      <c r="S14" s="75">
        <f t="shared" si="3"/>
        <v>428.32</v>
      </c>
      <c r="T14" s="115">
        <f t="shared" si="4"/>
        <v>245</v>
      </c>
      <c r="U14" s="75">
        <v>623.78</v>
      </c>
      <c r="V14" s="75">
        <v>842.13</v>
      </c>
      <c r="W14" s="75">
        <v>683.94</v>
      </c>
      <c r="X14" s="75">
        <v>467.84</v>
      </c>
      <c r="Y14" s="75">
        <v>498.99</v>
      </c>
      <c r="Z14" s="103">
        <v>0</v>
      </c>
      <c r="AA14" s="103">
        <v>0</v>
      </c>
      <c r="AB14" s="97">
        <f t="shared" si="5"/>
        <v>3116.6800000000003</v>
      </c>
      <c r="AC14" s="116">
        <f t="shared" si="6"/>
        <v>4163.967500000001</v>
      </c>
      <c r="AD14" s="117">
        <f t="shared" si="7"/>
        <v>0</v>
      </c>
      <c r="AE14" s="117">
        <f t="shared" si="8"/>
        <v>0</v>
      </c>
      <c r="AF14" s="117"/>
      <c r="AG14" s="104">
        <f>0.6*B14*0.9</f>
        <v>400.68</v>
      </c>
      <c r="AH14" s="104">
        <f>B14*0.2*0.9082-0.01</f>
        <v>134.76688000000001</v>
      </c>
      <c r="AI14" s="15">
        <f>0.85*B14*0.8675+0.01</f>
        <v>547.14225</v>
      </c>
      <c r="AJ14" s="104">
        <f t="shared" si="9"/>
        <v>98.48560499999999</v>
      </c>
      <c r="AK14" s="104">
        <f>0.83*B14*0.838</f>
        <v>516.09068</v>
      </c>
      <c r="AL14" s="15">
        <f t="shared" si="10"/>
        <v>92.8963224</v>
      </c>
      <c r="AM14" s="15">
        <f>1.91*B14*0.838</f>
        <v>1187.6303599999999</v>
      </c>
      <c r="AN14" s="104">
        <f t="shared" si="11"/>
        <v>213.77346479999997</v>
      </c>
      <c r="AO14" s="104"/>
      <c r="AP14" s="104">
        <f t="shared" si="12"/>
        <v>0</v>
      </c>
      <c r="AQ14" s="118"/>
      <c r="AR14" s="98">
        <f t="shared" si="13"/>
        <v>0</v>
      </c>
      <c r="AS14" s="119"/>
      <c r="AT14" s="119"/>
      <c r="AU14" s="80">
        <f t="shared" si="15"/>
        <v>0</v>
      </c>
      <c r="AV14" s="120">
        <v>383</v>
      </c>
      <c r="AW14" s="121">
        <v>0.4</v>
      </c>
      <c r="AX14" s="104">
        <f t="shared" si="14"/>
        <v>202.46912000000003</v>
      </c>
      <c r="AY14" s="104"/>
      <c r="AZ14" s="122"/>
      <c r="BA14" s="122">
        <f>AZ14*0.18</f>
        <v>0</v>
      </c>
      <c r="BB14" s="102">
        <f>SUM(AG14:AU14)</f>
        <v>3191.4655621999996</v>
      </c>
      <c r="BC14" s="124"/>
      <c r="BD14" s="13">
        <f t="shared" si="16"/>
        <v>972.5019378000011</v>
      </c>
      <c r="BE14" s="27">
        <f t="shared" si="17"/>
        <v>2688.36</v>
      </c>
    </row>
    <row r="15" spans="1:57" ht="12.75">
      <c r="A15" s="10" t="s">
        <v>48</v>
      </c>
      <c r="B15" s="105">
        <v>742</v>
      </c>
      <c r="C15" s="88">
        <f t="shared" si="2"/>
        <v>6418.3</v>
      </c>
      <c r="D15" s="89">
        <f>C15*0.125</f>
        <v>802.2875</v>
      </c>
      <c r="E15" s="106">
        <v>613.6</v>
      </c>
      <c r="F15" s="106">
        <v>49</v>
      </c>
      <c r="G15" s="106">
        <v>828.38</v>
      </c>
      <c r="H15" s="106">
        <v>66.15</v>
      </c>
      <c r="I15" s="106">
        <v>671.3</v>
      </c>
      <c r="J15" s="106">
        <v>53.9</v>
      </c>
      <c r="K15" s="106">
        <v>460.23</v>
      </c>
      <c r="L15" s="106">
        <v>36.75</v>
      </c>
      <c r="M15" s="106">
        <v>490.87</v>
      </c>
      <c r="N15" s="106">
        <v>39.2</v>
      </c>
      <c r="O15" s="106">
        <v>0</v>
      </c>
      <c r="P15" s="107">
        <v>0</v>
      </c>
      <c r="Q15" s="106">
        <v>0</v>
      </c>
      <c r="R15" s="107">
        <v>0</v>
      </c>
      <c r="S15" s="75">
        <f t="shared" si="3"/>
        <v>3064.3799999999997</v>
      </c>
      <c r="T15" s="115">
        <f t="shared" si="4"/>
        <v>245</v>
      </c>
      <c r="U15" s="74">
        <v>218.25</v>
      </c>
      <c r="V15" s="74">
        <v>294.66</v>
      </c>
      <c r="W15" s="74">
        <v>239.3</v>
      </c>
      <c r="X15" s="74">
        <v>163.73</v>
      </c>
      <c r="Y15" s="74">
        <v>174.61</v>
      </c>
      <c r="Z15" s="74">
        <v>0</v>
      </c>
      <c r="AA15" s="74">
        <v>0</v>
      </c>
      <c r="AB15" s="97">
        <f t="shared" si="5"/>
        <v>1090.5500000000002</v>
      </c>
      <c r="AC15" s="116">
        <f t="shared" si="6"/>
        <v>2137.8375</v>
      </c>
      <c r="AD15" s="117">
        <f t="shared" si="7"/>
        <v>0</v>
      </c>
      <c r="AE15" s="117">
        <f t="shared" si="8"/>
        <v>0</v>
      </c>
      <c r="AF15" s="117"/>
      <c r="AG15" s="15">
        <f>0.6*B15*0.9</f>
        <v>400.68</v>
      </c>
      <c r="AH15" s="104">
        <f>B15*0.2*0.9234</f>
        <v>137.03256000000002</v>
      </c>
      <c r="AI15" s="15">
        <f>0.85*B15*0.893</f>
        <v>563.2150999999999</v>
      </c>
      <c r="AJ15" s="15">
        <f t="shared" si="9"/>
        <v>101.37871799999998</v>
      </c>
      <c r="AK15" s="15">
        <f>0.83*B15*0.8498</f>
        <v>523.357828</v>
      </c>
      <c r="AL15" s="15">
        <f t="shared" si="10"/>
        <v>94.20440904</v>
      </c>
      <c r="AM15" s="15">
        <f>(1.91)*B15*0.8498</f>
        <v>1204.353556</v>
      </c>
      <c r="AN15" s="15">
        <f t="shared" si="11"/>
        <v>216.78364008</v>
      </c>
      <c r="AO15" s="104"/>
      <c r="AP15" s="104">
        <f t="shared" si="12"/>
        <v>0</v>
      </c>
      <c r="AQ15" s="98"/>
      <c r="AR15" s="118">
        <f t="shared" si="13"/>
        <v>0</v>
      </c>
      <c r="AS15" s="80">
        <v>0</v>
      </c>
      <c r="AT15" s="80"/>
      <c r="AU15" s="80">
        <f t="shared" si="15"/>
        <v>0</v>
      </c>
      <c r="AV15" s="120">
        <v>307</v>
      </c>
      <c r="AW15" s="121">
        <v>0.4</v>
      </c>
      <c r="AX15" s="15">
        <f t="shared" si="14"/>
        <v>162.29248000000004</v>
      </c>
      <c r="AY15"/>
      <c r="AZ15" s="102"/>
      <c r="BA15" s="102">
        <f>AZ15*0.18</f>
        <v>0</v>
      </c>
      <c r="BB15" s="102">
        <f>SUM(AG15:BA15)-AV15-AW15+AX12+AX13+AX14</f>
        <v>4089.4730111200006</v>
      </c>
      <c r="BC15" s="108"/>
      <c r="BD15" s="13">
        <f t="shared" si="16"/>
        <v>-1951.6355111200005</v>
      </c>
      <c r="BE15" s="27">
        <f t="shared" si="17"/>
        <v>-1973.8299999999995</v>
      </c>
    </row>
    <row r="16" spans="1:57" ht="12.75">
      <c r="A16" s="10" t="s">
        <v>49</v>
      </c>
      <c r="B16" s="109">
        <v>739.1</v>
      </c>
      <c r="C16" s="88">
        <f t="shared" si="2"/>
        <v>6393.215</v>
      </c>
      <c r="D16" s="110">
        <f aca="true" t="shared" si="18" ref="D16:D23">C16-E16-F16-G16-H16-I16-J16-K16-L16-M16-N16</f>
        <v>1775.4550000000017</v>
      </c>
      <c r="E16" s="106">
        <v>628.31</v>
      </c>
      <c r="F16" s="106">
        <v>54.28</v>
      </c>
      <c r="G16" s="106">
        <v>850.78</v>
      </c>
      <c r="H16" s="106">
        <v>73.57</v>
      </c>
      <c r="I16" s="106">
        <v>1339.86</v>
      </c>
      <c r="J16" s="106">
        <v>115.77</v>
      </c>
      <c r="K16" s="106">
        <v>928.92</v>
      </c>
      <c r="L16" s="106">
        <v>80.2</v>
      </c>
      <c r="M16" s="106">
        <v>502.66</v>
      </c>
      <c r="N16" s="106">
        <v>43.41</v>
      </c>
      <c r="O16" s="106">
        <v>0</v>
      </c>
      <c r="P16" s="107">
        <v>0</v>
      </c>
      <c r="Q16" s="106">
        <v>0</v>
      </c>
      <c r="R16" s="107">
        <v>0</v>
      </c>
      <c r="S16" s="75">
        <f t="shared" si="3"/>
        <v>4250.53</v>
      </c>
      <c r="T16" s="115">
        <f t="shared" si="4"/>
        <v>367.23</v>
      </c>
      <c r="U16" s="75">
        <v>329.61</v>
      </c>
      <c r="V16" s="75">
        <v>445</v>
      </c>
      <c r="W16" s="75">
        <v>360.67</v>
      </c>
      <c r="X16" s="75">
        <v>247.26</v>
      </c>
      <c r="Y16" s="75">
        <v>263.68</v>
      </c>
      <c r="Z16" s="103">
        <v>0</v>
      </c>
      <c r="AA16" s="103">
        <v>0</v>
      </c>
      <c r="AB16" s="97">
        <f t="shared" si="5"/>
        <v>1646.22</v>
      </c>
      <c r="AC16" s="116">
        <f t="shared" si="6"/>
        <v>3788.9050000000016</v>
      </c>
      <c r="AD16" s="117">
        <f t="shared" si="7"/>
        <v>0</v>
      </c>
      <c r="AE16" s="117">
        <f t="shared" si="8"/>
        <v>0</v>
      </c>
      <c r="AF16" s="117"/>
      <c r="AG16" s="15">
        <f aca="true" t="shared" si="19" ref="AG16:AG23">0.6*B16</f>
        <v>443.46</v>
      </c>
      <c r="AH16" s="15">
        <f>B16*0.2*1.01</f>
        <v>149.29820000000004</v>
      </c>
      <c r="AI16" s="15">
        <f>0.85*B16</f>
        <v>628.235</v>
      </c>
      <c r="AJ16" s="104">
        <f t="shared" si="9"/>
        <v>113.0823</v>
      </c>
      <c r="AK16" s="104">
        <f>0.83*B16</f>
        <v>613.453</v>
      </c>
      <c r="AL16" s="104">
        <f t="shared" si="10"/>
        <v>110.42154</v>
      </c>
      <c r="AM16" s="15">
        <f>(1.91)*B16</f>
        <v>1411.681</v>
      </c>
      <c r="AN16" s="104">
        <f t="shared" si="11"/>
        <v>254.10258</v>
      </c>
      <c r="AO16" s="104"/>
      <c r="AP16" s="104">
        <f t="shared" si="12"/>
        <v>0</v>
      </c>
      <c r="AQ16" s="98"/>
      <c r="AR16" s="118">
        <f t="shared" si="13"/>
        <v>0</v>
      </c>
      <c r="AS16" s="119"/>
      <c r="AT16" s="119"/>
      <c r="AU16" s="80">
        <f t="shared" si="15"/>
        <v>0</v>
      </c>
      <c r="AV16" s="120">
        <v>263</v>
      </c>
      <c r="AW16" s="121">
        <v>0.4</v>
      </c>
      <c r="AX16" s="104">
        <f t="shared" si="14"/>
        <v>139.03232</v>
      </c>
      <c r="AY16" s="104"/>
      <c r="AZ16" s="122"/>
      <c r="BA16" s="122">
        <f aca="true" t="shared" si="20" ref="BA16:BA23">AZ16*0.18</f>
        <v>0</v>
      </c>
      <c r="BB16" s="122">
        <f>SUM(AG16:BA16)-AV16-AW16</f>
        <v>3862.76594</v>
      </c>
      <c r="BC16" s="124"/>
      <c r="BD16" s="13">
        <f t="shared" si="16"/>
        <v>-73.86093999999821</v>
      </c>
      <c r="BE16" s="27">
        <f t="shared" si="17"/>
        <v>-2604.3099999999995</v>
      </c>
    </row>
    <row r="17" spans="1:57" ht="12.75">
      <c r="A17" s="10" t="s">
        <v>50</v>
      </c>
      <c r="B17" s="109">
        <v>739.1</v>
      </c>
      <c r="C17" s="88">
        <f t="shared" si="2"/>
        <v>6393.215</v>
      </c>
      <c r="D17" s="110">
        <f t="shared" si="18"/>
        <v>1775.4550000000017</v>
      </c>
      <c r="E17" s="106">
        <v>628.31</v>
      </c>
      <c r="F17" s="106">
        <v>54.28</v>
      </c>
      <c r="G17" s="106">
        <v>850.78</v>
      </c>
      <c r="H17" s="106">
        <v>73.57</v>
      </c>
      <c r="I17" s="106">
        <v>1339.86</v>
      </c>
      <c r="J17" s="106">
        <v>115.77</v>
      </c>
      <c r="K17" s="106">
        <v>928.92</v>
      </c>
      <c r="L17" s="106">
        <v>80.2</v>
      </c>
      <c r="M17" s="106">
        <v>502.66</v>
      </c>
      <c r="N17" s="106">
        <v>43.41</v>
      </c>
      <c r="O17" s="106">
        <v>0</v>
      </c>
      <c r="P17" s="107">
        <v>0</v>
      </c>
      <c r="Q17" s="106">
        <v>0</v>
      </c>
      <c r="R17" s="107">
        <v>0</v>
      </c>
      <c r="S17" s="75">
        <f t="shared" si="3"/>
        <v>4250.53</v>
      </c>
      <c r="T17" s="115">
        <f t="shared" si="4"/>
        <v>367.23</v>
      </c>
      <c r="U17" s="75">
        <v>307.83</v>
      </c>
      <c r="V17" s="75">
        <v>403.65</v>
      </c>
      <c r="W17" s="75">
        <v>559.52</v>
      </c>
      <c r="X17" s="75">
        <v>386.76</v>
      </c>
      <c r="Y17" s="75">
        <v>246.26</v>
      </c>
      <c r="Z17" s="103">
        <v>0</v>
      </c>
      <c r="AA17" s="103">
        <v>0</v>
      </c>
      <c r="AB17" s="97">
        <f t="shared" si="5"/>
        <v>1904.02</v>
      </c>
      <c r="AC17" s="116">
        <f t="shared" si="6"/>
        <v>4046.7050000000017</v>
      </c>
      <c r="AD17" s="117">
        <f t="shared" si="7"/>
        <v>0</v>
      </c>
      <c r="AE17" s="117">
        <f t="shared" si="8"/>
        <v>0</v>
      </c>
      <c r="AF17" s="117"/>
      <c r="AG17" s="15">
        <f t="shared" si="19"/>
        <v>443.46</v>
      </c>
      <c r="AH17" s="15">
        <f>B17*0.2*1.01045</f>
        <v>149.36471900000004</v>
      </c>
      <c r="AI17" s="15">
        <f>0.85*B17</f>
        <v>628.235</v>
      </c>
      <c r="AJ17" s="15">
        <f t="shared" si="9"/>
        <v>113.0823</v>
      </c>
      <c r="AK17" s="15">
        <f>0.83*B17</f>
        <v>613.453</v>
      </c>
      <c r="AL17" s="15">
        <f t="shared" si="10"/>
        <v>110.42154</v>
      </c>
      <c r="AM17" s="15">
        <f>(1.91)*B17</f>
        <v>1411.681</v>
      </c>
      <c r="AN17" s="104">
        <f t="shared" si="11"/>
        <v>254.10258</v>
      </c>
      <c r="AO17" s="104"/>
      <c r="AP17" s="104">
        <f t="shared" si="12"/>
        <v>0</v>
      </c>
      <c r="AQ17" s="98"/>
      <c r="AR17" s="98">
        <f t="shared" si="13"/>
        <v>0</v>
      </c>
      <c r="AS17" s="119"/>
      <c r="AT17" s="119"/>
      <c r="AU17" s="80">
        <f t="shared" si="15"/>
        <v>0</v>
      </c>
      <c r="AV17" s="120">
        <v>233</v>
      </c>
      <c r="AW17" s="121">
        <v>0.4</v>
      </c>
      <c r="AX17" s="104">
        <f t="shared" si="14"/>
        <v>123.17312000000001</v>
      </c>
      <c r="AY17" s="101"/>
      <c r="AZ17" s="102"/>
      <c r="BA17" s="102">
        <f t="shared" si="20"/>
        <v>0</v>
      </c>
      <c r="BB17" s="102">
        <f>SUM(AG17:BA17)-AV17-AW17</f>
        <v>3846.973259</v>
      </c>
      <c r="BC17" s="124"/>
      <c r="BD17" s="13">
        <f t="shared" si="16"/>
        <v>199.73174100000188</v>
      </c>
      <c r="BE17" s="27">
        <f t="shared" si="17"/>
        <v>-2346.5099999999998</v>
      </c>
    </row>
    <row r="18" spans="1:57" ht="12.75">
      <c r="A18" s="10" t="s">
        <v>51</v>
      </c>
      <c r="B18" s="125">
        <v>739.1</v>
      </c>
      <c r="C18" s="88">
        <f t="shared" si="2"/>
        <v>6393.215</v>
      </c>
      <c r="D18" s="110">
        <f t="shared" si="18"/>
        <v>1775.4550000000017</v>
      </c>
      <c r="E18" s="106">
        <v>628.31</v>
      </c>
      <c r="F18" s="106">
        <v>54.28</v>
      </c>
      <c r="G18" s="106">
        <v>850.78</v>
      </c>
      <c r="H18" s="106">
        <v>73.57</v>
      </c>
      <c r="I18" s="106">
        <v>1339.86</v>
      </c>
      <c r="J18" s="106">
        <v>115.77</v>
      </c>
      <c r="K18" s="106">
        <v>928.92</v>
      </c>
      <c r="L18" s="106">
        <v>80.2</v>
      </c>
      <c r="M18" s="106">
        <v>502.66</v>
      </c>
      <c r="N18" s="106">
        <v>43.41</v>
      </c>
      <c r="O18" s="106">
        <v>0</v>
      </c>
      <c r="P18" s="107">
        <v>0</v>
      </c>
      <c r="Q18" s="106">
        <v>0</v>
      </c>
      <c r="R18" s="107">
        <v>0</v>
      </c>
      <c r="S18" s="74">
        <f t="shared" si="3"/>
        <v>4250.53</v>
      </c>
      <c r="T18" s="115">
        <f t="shared" si="4"/>
        <v>367.23</v>
      </c>
      <c r="U18" s="75">
        <v>78.14</v>
      </c>
      <c r="V18" s="75">
        <v>105.92</v>
      </c>
      <c r="W18" s="75">
        <v>166.59</v>
      </c>
      <c r="X18" s="75">
        <v>115.42</v>
      </c>
      <c r="Y18" s="75">
        <v>62.51</v>
      </c>
      <c r="Z18" s="103">
        <v>0</v>
      </c>
      <c r="AA18" s="103">
        <v>0</v>
      </c>
      <c r="AB18" s="97">
        <f t="shared" si="5"/>
        <v>528.58</v>
      </c>
      <c r="AC18" s="116">
        <f t="shared" si="6"/>
        <v>2671.2650000000017</v>
      </c>
      <c r="AD18" s="117">
        <f t="shared" si="7"/>
        <v>0</v>
      </c>
      <c r="AE18" s="117">
        <f t="shared" si="8"/>
        <v>0</v>
      </c>
      <c r="AF18" s="117"/>
      <c r="AG18" s="104">
        <f t="shared" si="19"/>
        <v>443.46</v>
      </c>
      <c r="AH18" s="15">
        <f>B18*0.2*0.99425</f>
        <v>146.97003500000002</v>
      </c>
      <c r="AI18" s="15">
        <f>0.85*B18*0.9858</f>
        <v>619.314063</v>
      </c>
      <c r="AJ18" s="104">
        <f t="shared" si="9"/>
        <v>111.47653134000001</v>
      </c>
      <c r="AK18" s="15">
        <f>0.83*B18*0.9905</f>
        <v>607.6251965</v>
      </c>
      <c r="AL18" s="104">
        <f t="shared" si="10"/>
        <v>109.37253537</v>
      </c>
      <c r="AM18" s="15">
        <f>(1.91)*B18*0.9904</f>
        <v>1398.1288624</v>
      </c>
      <c r="AN18" s="104">
        <f t="shared" si="11"/>
        <v>251.66319523199996</v>
      </c>
      <c r="AO18" s="104"/>
      <c r="AP18" s="104">
        <f t="shared" si="12"/>
        <v>0</v>
      </c>
      <c r="AQ18" s="98"/>
      <c r="AR18" s="118">
        <f aca="true" t="shared" si="21" ref="AR18:AR23">AQ18*0.18</f>
        <v>0</v>
      </c>
      <c r="AS18" s="119"/>
      <c r="AT18" s="80"/>
      <c r="AU18" s="80">
        <f t="shared" si="15"/>
        <v>0</v>
      </c>
      <c r="AV18" s="120">
        <v>248</v>
      </c>
      <c r="AW18" s="121">
        <v>0.4</v>
      </c>
      <c r="AX18" s="104">
        <f t="shared" si="14"/>
        <v>131.10272</v>
      </c>
      <c r="AY18" s="104"/>
      <c r="AZ18" s="122"/>
      <c r="BA18" s="122">
        <f t="shared" si="20"/>
        <v>0</v>
      </c>
      <c r="BB18" s="122">
        <f>SUM(AG18:BA18)-AV18-AW18</f>
        <v>3819.1131388419994</v>
      </c>
      <c r="BC18" s="124"/>
      <c r="BD18" s="13">
        <f t="shared" si="16"/>
        <v>-1147.8481388419978</v>
      </c>
      <c r="BE18" s="27">
        <f t="shared" si="17"/>
        <v>-3721.95</v>
      </c>
    </row>
    <row r="19" spans="1:57" ht="12.75">
      <c r="A19" s="10" t="s">
        <v>52</v>
      </c>
      <c r="B19" s="96">
        <v>739.1</v>
      </c>
      <c r="C19" s="88">
        <f t="shared" si="2"/>
        <v>6393.215</v>
      </c>
      <c r="D19" s="110">
        <f t="shared" si="18"/>
        <v>1775.4550000000017</v>
      </c>
      <c r="E19" s="106">
        <v>628.31</v>
      </c>
      <c r="F19" s="106">
        <v>54.28</v>
      </c>
      <c r="G19" s="106">
        <v>850.78</v>
      </c>
      <c r="H19" s="106">
        <v>73.57</v>
      </c>
      <c r="I19" s="106">
        <v>1339.86</v>
      </c>
      <c r="J19" s="106">
        <v>115.77</v>
      </c>
      <c r="K19" s="106">
        <v>928.92</v>
      </c>
      <c r="L19" s="106">
        <v>80.2</v>
      </c>
      <c r="M19" s="106">
        <v>502.66</v>
      </c>
      <c r="N19" s="106">
        <v>43.41</v>
      </c>
      <c r="O19" s="106">
        <v>0</v>
      </c>
      <c r="P19" s="107">
        <v>0</v>
      </c>
      <c r="Q19" s="75">
        <v>0</v>
      </c>
      <c r="R19" s="75">
        <v>0</v>
      </c>
      <c r="S19" s="74">
        <f t="shared" si="3"/>
        <v>4250.53</v>
      </c>
      <c r="T19" s="91">
        <f t="shared" si="4"/>
        <v>367.23</v>
      </c>
      <c r="U19" s="75">
        <v>761.15</v>
      </c>
      <c r="V19" s="75">
        <v>1033.43</v>
      </c>
      <c r="W19" s="75">
        <v>1426.02</v>
      </c>
      <c r="X19" s="75">
        <v>987.16</v>
      </c>
      <c r="Y19" s="75">
        <v>608.92</v>
      </c>
      <c r="Z19" s="103">
        <v>0</v>
      </c>
      <c r="AA19" s="103">
        <v>0</v>
      </c>
      <c r="AB19" s="97">
        <f t="shared" si="5"/>
        <v>4816.68</v>
      </c>
      <c r="AC19" s="94">
        <f t="shared" si="6"/>
        <v>6959.365000000002</v>
      </c>
      <c r="AD19" s="85">
        <f t="shared" si="7"/>
        <v>0</v>
      </c>
      <c r="AE19" s="85">
        <f t="shared" si="8"/>
        <v>0</v>
      </c>
      <c r="AF19" s="117"/>
      <c r="AG19" s="15">
        <f t="shared" si="19"/>
        <v>443.46</v>
      </c>
      <c r="AH19" s="15">
        <f>B19*0.2*0.99876</f>
        <v>147.63670320000003</v>
      </c>
      <c r="AI19" s="15">
        <f>0.85*B19*0.98525</f>
        <v>618.96853375</v>
      </c>
      <c r="AJ19" s="15">
        <f t="shared" si="9"/>
        <v>111.414336075</v>
      </c>
      <c r="AK19" s="15">
        <f>0.83*B19*0.99</f>
        <v>607.3184699999999</v>
      </c>
      <c r="AL19" s="15">
        <f t="shared" si="10"/>
        <v>109.31732459999998</v>
      </c>
      <c r="AM19" s="15">
        <f>(1.91)*B19*0.9899</f>
        <v>1397.4230219</v>
      </c>
      <c r="AN19" s="104">
        <f t="shared" si="11"/>
        <v>251.536143942</v>
      </c>
      <c r="AO19" s="104"/>
      <c r="AP19" s="104">
        <f t="shared" si="12"/>
        <v>0</v>
      </c>
      <c r="AQ19" s="98"/>
      <c r="AR19" s="98">
        <f t="shared" si="21"/>
        <v>0</v>
      </c>
      <c r="AS19" s="119"/>
      <c r="AT19" s="80"/>
      <c r="AU19" s="80">
        <f t="shared" si="15"/>
        <v>0</v>
      </c>
      <c r="AV19" s="120">
        <v>293</v>
      </c>
      <c r="AW19" s="121">
        <v>0.4</v>
      </c>
      <c r="AX19" s="104">
        <f t="shared" si="14"/>
        <v>154.89152</v>
      </c>
      <c r="AY19" s="104"/>
      <c r="AZ19" s="122"/>
      <c r="BA19" s="122">
        <f t="shared" si="20"/>
        <v>0</v>
      </c>
      <c r="BB19" s="122">
        <f>SUM(AG19:BA19)-AV19-AW19</f>
        <v>3841.9660534669997</v>
      </c>
      <c r="BC19" s="124"/>
      <c r="BD19" s="13">
        <f t="shared" si="16"/>
        <v>3117.398946533002</v>
      </c>
      <c r="BE19" s="27">
        <f>AB19-S19</f>
        <v>566.1500000000005</v>
      </c>
    </row>
    <row r="20" spans="1:57" ht="12.75">
      <c r="A20" s="10" t="s">
        <v>53</v>
      </c>
      <c r="B20" s="87">
        <v>739.1</v>
      </c>
      <c r="C20" s="88">
        <f t="shared" si="2"/>
        <v>6393.215</v>
      </c>
      <c r="D20" s="110">
        <f t="shared" si="18"/>
        <v>1775.4550000000017</v>
      </c>
      <c r="E20" s="90">
        <v>628.31</v>
      </c>
      <c r="F20" s="90">
        <v>54.28</v>
      </c>
      <c r="G20" s="90">
        <v>850.78</v>
      </c>
      <c r="H20" s="90">
        <v>73.57</v>
      </c>
      <c r="I20" s="90">
        <v>1339.86</v>
      </c>
      <c r="J20" s="90">
        <v>115.77</v>
      </c>
      <c r="K20" s="90">
        <v>928.92</v>
      </c>
      <c r="L20" s="90">
        <v>80.2</v>
      </c>
      <c r="M20" s="90">
        <v>502.66</v>
      </c>
      <c r="N20" s="90">
        <v>43.41</v>
      </c>
      <c r="O20" s="90">
        <v>0</v>
      </c>
      <c r="P20" s="95">
        <v>0</v>
      </c>
      <c r="Q20" s="90">
        <v>0</v>
      </c>
      <c r="R20" s="95">
        <v>0</v>
      </c>
      <c r="S20" s="74">
        <f t="shared" si="3"/>
        <v>4250.53</v>
      </c>
      <c r="T20" s="91">
        <f t="shared" si="4"/>
        <v>367.23</v>
      </c>
      <c r="U20" s="74">
        <v>297.41</v>
      </c>
      <c r="V20" s="74">
        <v>403.11</v>
      </c>
      <c r="W20" s="74">
        <v>634.43</v>
      </c>
      <c r="X20" s="74">
        <v>439.49</v>
      </c>
      <c r="Y20" s="74">
        <v>237.94</v>
      </c>
      <c r="Z20" s="92">
        <v>0</v>
      </c>
      <c r="AA20" s="92">
        <v>0</v>
      </c>
      <c r="AB20" s="97">
        <f t="shared" si="5"/>
        <v>2012.3799999999999</v>
      </c>
      <c r="AC20" s="94">
        <f t="shared" si="6"/>
        <v>4155.065000000001</v>
      </c>
      <c r="AD20" s="85">
        <f t="shared" si="7"/>
        <v>0</v>
      </c>
      <c r="AE20" s="85">
        <f t="shared" si="8"/>
        <v>0</v>
      </c>
      <c r="AF20" s="117"/>
      <c r="AG20" s="15">
        <f t="shared" si="19"/>
        <v>443.46</v>
      </c>
      <c r="AH20" s="15">
        <f>B20*0.2*0.9996</f>
        <v>147.76087200000003</v>
      </c>
      <c r="AI20" s="15">
        <f>0.85*B20*0.98508</f>
        <v>618.8617338</v>
      </c>
      <c r="AJ20" s="15">
        <f t="shared" si="9"/>
        <v>111.395112084</v>
      </c>
      <c r="AK20" s="15">
        <f>0.83*B20*0.98981</f>
        <v>607.2019139299999</v>
      </c>
      <c r="AL20" s="15">
        <f t="shared" si="10"/>
        <v>109.29634450739998</v>
      </c>
      <c r="AM20" s="15">
        <f>(1.91)*B20*0.98981</f>
        <v>1397.29597061</v>
      </c>
      <c r="AN20" s="104">
        <f t="shared" si="11"/>
        <v>251.5132747098</v>
      </c>
      <c r="AO20" s="104"/>
      <c r="AP20" s="104">
        <f t="shared" si="12"/>
        <v>0</v>
      </c>
      <c r="AQ20" s="98"/>
      <c r="AR20" s="98">
        <f t="shared" si="21"/>
        <v>0</v>
      </c>
      <c r="AS20" s="119"/>
      <c r="AT20" s="80"/>
      <c r="AU20" s="80">
        <f t="shared" si="15"/>
        <v>0</v>
      </c>
      <c r="AV20" s="120">
        <v>349</v>
      </c>
      <c r="AW20" s="121">
        <v>0.4</v>
      </c>
      <c r="AX20" s="104">
        <f t="shared" si="14"/>
        <v>184.49536</v>
      </c>
      <c r="AY20" s="104"/>
      <c r="AZ20" s="122"/>
      <c r="BA20" s="122">
        <f t="shared" si="20"/>
        <v>0</v>
      </c>
      <c r="BB20" s="122">
        <f>SUM(AG20:BA20)-AV20-AW20</f>
        <v>3871.2805816411997</v>
      </c>
      <c r="BC20" s="124"/>
      <c r="BD20" s="13">
        <f t="shared" si="16"/>
        <v>283.78441835880176</v>
      </c>
      <c r="BE20" s="27">
        <f>AB20-S20</f>
        <v>-2238.1499999999996</v>
      </c>
    </row>
    <row r="21" spans="1:57" ht="12.75">
      <c r="A21" s="10" t="s">
        <v>41</v>
      </c>
      <c r="B21" s="87">
        <v>739.1</v>
      </c>
      <c r="C21" s="111">
        <f t="shared" si="2"/>
        <v>6393.215</v>
      </c>
      <c r="D21" s="110">
        <f t="shared" si="18"/>
        <v>1775.455</v>
      </c>
      <c r="E21" s="76">
        <v>637.72</v>
      </c>
      <c r="F21" s="74">
        <v>44.87</v>
      </c>
      <c r="G21" s="74">
        <v>863.53</v>
      </c>
      <c r="H21" s="74">
        <v>60.82</v>
      </c>
      <c r="I21" s="74">
        <v>1359.92</v>
      </c>
      <c r="J21" s="74">
        <v>95.71</v>
      </c>
      <c r="K21" s="74">
        <v>942.82</v>
      </c>
      <c r="L21" s="74">
        <v>66.3</v>
      </c>
      <c r="M21" s="74">
        <v>510.18</v>
      </c>
      <c r="N21" s="74">
        <v>35.89</v>
      </c>
      <c r="O21" s="74">
        <v>0</v>
      </c>
      <c r="P21" s="92">
        <v>0</v>
      </c>
      <c r="Q21" s="74">
        <v>0</v>
      </c>
      <c r="R21" s="74">
        <v>0</v>
      </c>
      <c r="S21" s="74">
        <f t="shared" si="3"/>
        <v>4314.17</v>
      </c>
      <c r="T21" s="91">
        <f t="shared" si="4"/>
        <v>303.59</v>
      </c>
      <c r="U21" s="77">
        <f>529.66+55.18</f>
        <v>584.8399999999999</v>
      </c>
      <c r="V21" s="74">
        <f>717.4+74.8</f>
        <v>792.1999999999999</v>
      </c>
      <c r="W21" s="74">
        <f>1129.51+117.72</f>
        <v>1247.23</v>
      </c>
      <c r="X21" s="74">
        <f>782.91+81.54</f>
        <v>864.4499999999999</v>
      </c>
      <c r="Y21" s="74">
        <f>423.72+44.15</f>
        <v>467.87</v>
      </c>
      <c r="Z21" s="92">
        <v>0</v>
      </c>
      <c r="AA21" s="92">
        <v>0</v>
      </c>
      <c r="AB21" s="92">
        <f>SUM(U21:AA21)</f>
        <v>3956.5899999999997</v>
      </c>
      <c r="AC21" s="94">
        <f>AB21+T21+D21</f>
        <v>6035.634999999999</v>
      </c>
      <c r="AD21" s="85">
        <f t="shared" si="7"/>
        <v>0</v>
      </c>
      <c r="AE21" s="85">
        <f t="shared" si="8"/>
        <v>0</v>
      </c>
      <c r="AF21" s="85"/>
      <c r="AG21" s="15">
        <f t="shared" si="19"/>
        <v>443.46</v>
      </c>
      <c r="AH21" s="15">
        <f>B21*0.2</f>
        <v>147.82000000000002</v>
      </c>
      <c r="AI21" s="15">
        <f>(0.847*B21)</f>
        <v>626.0177</v>
      </c>
      <c r="AJ21" s="15">
        <f t="shared" si="9"/>
        <v>112.68318599999999</v>
      </c>
      <c r="AK21" s="15">
        <f>0.83*B21</f>
        <v>613.453</v>
      </c>
      <c r="AL21" s="15">
        <f t="shared" si="10"/>
        <v>110.42154</v>
      </c>
      <c r="AM21" s="15">
        <f>(2.25/1.18)*B21</f>
        <v>1409.3008474576272</v>
      </c>
      <c r="AN21" s="15">
        <f t="shared" si="11"/>
        <v>253.6741525423729</v>
      </c>
      <c r="AO21" s="15"/>
      <c r="AP21" s="15">
        <f t="shared" si="12"/>
        <v>0</v>
      </c>
      <c r="AQ21" s="98"/>
      <c r="AR21" s="118">
        <f t="shared" si="21"/>
        <v>0</v>
      </c>
      <c r="AS21" s="80">
        <v>0</v>
      </c>
      <c r="AT21" s="119"/>
      <c r="AU21" s="80">
        <f t="shared" si="15"/>
        <v>0</v>
      </c>
      <c r="AV21" s="99">
        <v>425</v>
      </c>
      <c r="AW21" s="114">
        <v>0.4</v>
      </c>
      <c r="AX21" s="15">
        <f t="shared" si="14"/>
        <v>224.672</v>
      </c>
      <c r="AY21" s="101"/>
      <c r="AZ21" s="102"/>
      <c r="BA21" s="102">
        <f t="shared" si="20"/>
        <v>0</v>
      </c>
      <c r="BB21" s="102">
        <f>SUM(AG21:AU21)+AX21+AY21+AZ21+BA21</f>
        <v>3941.5024260000005</v>
      </c>
      <c r="BC21" s="108"/>
      <c r="BD21" s="13">
        <f>AC21+AF21-BB21-BC21</f>
        <v>2094.132573999999</v>
      </c>
      <c r="BE21" s="27">
        <f>AB21-S21</f>
        <v>-357.5800000000004</v>
      </c>
    </row>
    <row r="22" spans="1:57" ht="12.75">
      <c r="A22" s="10" t="s">
        <v>42</v>
      </c>
      <c r="B22" s="96">
        <v>739.1</v>
      </c>
      <c r="C22" s="111">
        <f t="shared" si="2"/>
        <v>6393.215</v>
      </c>
      <c r="D22" s="110">
        <f t="shared" si="18"/>
        <v>1775.4650000000015</v>
      </c>
      <c r="E22" s="90">
        <v>628.31</v>
      </c>
      <c r="F22" s="90">
        <v>54.28</v>
      </c>
      <c r="G22" s="90">
        <v>850.78</v>
      </c>
      <c r="H22" s="90">
        <v>73.57</v>
      </c>
      <c r="I22" s="90">
        <v>1339.85</v>
      </c>
      <c r="J22" s="90">
        <v>115.77</v>
      </c>
      <c r="K22" s="90">
        <v>928.92</v>
      </c>
      <c r="L22" s="90">
        <v>80.2</v>
      </c>
      <c r="M22" s="90">
        <v>502.66</v>
      </c>
      <c r="N22" s="90">
        <v>43.41</v>
      </c>
      <c r="O22" s="90">
        <v>0</v>
      </c>
      <c r="P22" s="95">
        <v>0</v>
      </c>
      <c r="Q22" s="95">
        <v>0</v>
      </c>
      <c r="R22" s="95">
        <v>0</v>
      </c>
      <c r="S22" s="74">
        <f t="shared" si="3"/>
        <v>4250.5199999999995</v>
      </c>
      <c r="T22" s="91">
        <f t="shared" si="4"/>
        <v>367.23</v>
      </c>
      <c r="U22" s="74">
        <v>530.19</v>
      </c>
      <c r="V22" s="74">
        <v>718.15</v>
      </c>
      <c r="W22" s="74">
        <v>1354.43</v>
      </c>
      <c r="X22" s="74">
        <v>941.61</v>
      </c>
      <c r="Y22" s="74">
        <v>424.19</v>
      </c>
      <c r="Z22" s="92">
        <v>0</v>
      </c>
      <c r="AA22" s="92">
        <v>0</v>
      </c>
      <c r="AB22" s="92">
        <f>SUM(U22:AA22)</f>
        <v>3968.5700000000006</v>
      </c>
      <c r="AC22" s="94">
        <f>D22+T22+AB22</f>
        <v>6111.265000000002</v>
      </c>
      <c r="AD22" s="85">
        <f t="shared" si="7"/>
        <v>0</v>
      </c>
      <c r="AE22" s="85">
        <f t="shared" si="8"/>
        <v>0</v>
      </c>
      <c r="AF22" s="85"/>
      <c r="AG22" s="15">
        <f t="shared" si="19"/>
        <v>443.46</v>
      </c>
      <c r="AH22" s="15">
        <f>B22*0.2</f>
        <v>147.82000000000002</v>
      </c>
      <c r="AI22" s="15">
        <f>0.85*B22</f>
        <v>628.235</v>
      </c>
      <c r="AJ22" s="15">
        <f t="shared" si="9"/>
        <v>113.0823</v>
      </c>
      <c r="AK22" s="15">
        <f>0.83*B22</f>
        <v>613.453</v>
      </c>
      <c r="AL22" s="15">
        <f t="shared" si="10"/>
        <v>110.42154</v>
      </c>
      <c r="AM22" s="15">
        <f>(1.91)*B22</f>
        <v>1411.681</v>
      </c>
      <c r="AN22" s="15">
        <f t="shared" si="11"/>
        <v>254.10258</v>
      </c>
      <c r="AO22" s="15"/>
      <c r="AP22" s="15">
        <f t="shared" si="12"/>
        <v>0</v>
      </c>
      <c r="AQ22" s="98"/>
      <c r="AR22" s="118">
        <f t="shared" si="21"/>
        <v>0</v>
      </c>
      <c r="AS22" s="80">
        <v>0</v>
      </c>
      <c r="AT22" s="119"/>
      <c r="AU22" s="80">
        <f t="shared" si="15"/>
        <v>0</v>
      </c>
      <c r="AV22" s="99">
        <v>470</v>
      </c>
      <c r="AW22" s="114">
        <v>0.4</v>
      </c>
      <c r="AX22" s="15">
        <f t="shared" si="14"/>
        <v>248.46080000000003</v>
      </c>
      <c r="AY22" s="101"/>
      <c r="AZ22" s="102"/>
      <c r="BA22" s="102">
        <f t="shared" si="20"/>
        <v>0</v>
      </c>
      <c r="BB22" s="102">
        <f>SUM(AG22:AU22)+AX22+AY22+AZ22+BA22</f>
        <v>3970.7162199999993</v>
      </c>
      <c r="BC22" s="112"/>
      <c r="BD22" s="13">
        <f>AC22+AF22-BB22-BC22</f>
        <v>2140.548780000003</v>
      </c>
      <c r="BE22" s="27">
        <f>AB22-S22</f>
        <v>-281.9499999999989</v>
      </c>
    </row>
    <row r="23" spans="1:57" ht="12.75">
      <c r="A23" s="10" t="s">
        <v>43</v>
      </c>
      <c r="B23" s="87">
        <v>739.1</v>
      </c>
      <c r="C23" s="111">
        <f t="shared" si="2"/>
        <v>6393.215</v>
      </c>
      <c r="D23" s="110">
        <f t="shared" si="18"/>
        <v>1775.4550000000017</v>
      </c>
      <c r="E23" s="90">
        <v>628.31</v>
      </c>
      <c r="F23" s="90">
        <v>54.28</v>
      </c>
      <c r="G23" s="90">
        <v>850.78</v>
      </c>
      <c r="H23" s="90">
        <v>73.57</v>
      </c>
      <c r="I23" s="90">
        <v>1339.86</v>
      </c>
      <c r="J23" s="90">
        <v>115.77</v>
      </c>
      <c r="K23" s="90">
        <v>928.92</v>
      </c>
      <c r="L23" s="90">
        <v>80.2</v>
      </c>
      <c r="M23" s="90">
        <v>502.66</v>
      </c>
      <c r="N23" s="90">
        <v>43.41</v>
      </c>
      <c r="O23" s="90">
        <v>0</v>
      </c>
      <c r="P23" s="95">
        <v>0</v>
      </c>
      <c r="Q23" s="95"/>
      <c r="R23" s="95"/>
      <c r="S23" s="74">
        <f t="shared" si="3"/>
        <v>4250.53</v>
      </c>
      <c r="T23" s="91">
        <f t="shared" si="4"/>
        <v>367.23</v>
      </c>
      <c r="U23" s="74">
        <v>1017.8</v>
      </c>
      <c r="V23" s="74">
        <v>1378.5</v>
      </c>
      <c r="W23" s="74">
        <v>2141.87</v>
      </c>
      <c r="X23" s="74">
        <v>1484.46</v>
      </c>
      <c r="Y23" s="74">
        <v>814.26</v>
      </c>
      <c r="Z23" s="92">
        <v>0</v>
      </c>
      <c r="AA23" s="92">
        <v>0</v>
      </c>
      <c r="AB23" s="92">
        <f>SUM(U23:AA23)</f>
        <v>6836.89</v>
      </c>
      <c r="AC23" s="94">
        <f>D23+T23+AB23</f>
        <v>8979.575000000003</v>
      </c>
      <c r="AD23" s="85">
        <f t="shared" si="7"/>
        <v>0</v>
      </c>
      <c r="AE23" s="85">
        <f t="shared" si="8"/>
        <v>0</v>
      </c>
      <c r="AF23" s="85"/>
      <c r="AG23" s="15">
        <f t="shared" si="19"/>
        <v>443.46</v>
      </c>
      <c r="AH23" s="15">
        <f>B23*0.2</f>
        <v>147.82000000000002</v>
      </c>
      <c r="AI23" s="15">
        <f>0.85*B23</f>
        <v>628.235</v>
      </c>
      <c r="AJ23" s="15">
        <f t="shared" si="9"/>
        <v>113.0823</v>
      </c>
      <c r="AK23" s="15">
        <f>0.83*B23</f>
        <v>613.453</v>
      </c>
      <c r="AL23" s="15">
        <f t="shared" si="10"/>
        <v>110.42154</v>
      </c>
      <c r="AM23" s="15">
        <f>(1.91)*B23</f>
        <v>1411.681</v>
      </c>
      <c r="AN23" s="15">
        <f t="shared" si="11"/>
        <v>254.10258</v>
      </c>
      <c r="AO23" s="15"/>
      <c r="AP23" s="15">
        <f t="shared" si="12"/>
        <v>0</v>
      </c>
      <c r="AQ23" s="98"/>
      <c r="AR23" s="118">
        <f t="shared" si="21"/>
        <v>0</v>
      </c>
      <c r="AS23" s="80">
        <v>0</v>
      </c>
      <c r="AT23" s="119"/>
      <c r="AU23" s="80">
        <f t="shared" si="15"/>
        <v>0</v>
      </c>
      <c r="AV23" s="99">
        <v>514</v>
      </c>
      <c r="AW23" s="114">
        <v>0.4</v>
      </c>
      <c r="AX23" s="15">
        <f t="shared" si="14"/>
        <v>271.72096000000005</v>
      </c>
      <c r="AY23" s="101"/>
      <c r="AZ23" s="102"/>
      <c r="BA23" s="102">
        <f t="shared" si="20"/>
        <v>0</v>
      </c>
      <c r="BB23" s="102">
        <f>SUM(AG23:BA23)-AV23-AW23</f>
        <v>3993.9763799999987</v>
      </c>
      <c r="BC23" s="112"/>
      <c r="BD23" s="13">
        <f>AC23+AF23-BB23-BC23</f>
        <v>4985.598620000004</v>
      </c>
      <c r="BE23" s="27">
        <f>AB23-S23</f>
        <v>2586.3600000000006</v>
      </c>
    </row>
    <row r="24" spans="1:57" s="19" customFormat="1" ht="12.75">
      <c r="A24" s="16" t="s">
        <v>5</v>
      </c>
      <c r="B24" s="54"/>
      <c r="C24" s="54">
        <f aca="true" t="shared" si="22" ref="C24:BC24">SUM(C12:C23)</f>
        <v>76818.91999999998</v>
      </c>
      <c r="D24" s="54">
        <f t="shared" si="22"/>
        <v>17412.80000000001</v>
      </c>
      <c r="E24" s="51">
        <f t="shared" si="22"/>
        <v>6894.619999999999</v>
      </c>
      <c r="F24" s="51">
        <f t="shared" si="22"/>
        <v>620.8299999999999</v>
      </c>
      <c r="G24" s="51">
        <f t="shared" si="22"/>
        <v>9328.359999999999</v>
      </c>
      <c r="H24" s="51">
        <f t="shared" si="22"/>
        <v>840.4100000000001</v>
      </c>
      <c r="I24" s="51">
        <f t="shared" si="22"/>
        <v>12771.74</v>
      </c>
      <c r="J24" s="51">
        <f t="shared" si="22"/>
        <v>1121.7</v>
      </c>
      <c r="K24" s="51">
        <f t="shared" si="22"/>
        <v>8839.43</v>
      </c>
      <c r="L24" s="51">
        <f t="shared" si="22"/>
        <v>774.7</v>
      </c>
      <c r="M24" s="51">
        <f t="shared" si="22"/>
        <v>5515.74</v>
      </c>
      <c r="N24" s="51">
        <f t="shared" si="22"/>
        <v>496.55999999999983</v>
      </c>
      <c r="O24" s="51">
        <f t="shared" si="22"/>
        <v>0</v>
      </c>
      <c r="P24" s="51">
        <f t="shared" si="22"/>
        <v>0</v>
      </c>
      <c r="Q24" s="51">
        <f t="shared" si="22"/>
        <v>0</v>
      </c>
      <c r="R24" s="51">
        <f t="shared" si="22"/>
        <v>0</v>
      </c>
      <c r="S24" s="51">
        <f t="shared" si="22"/>
        <v>43349.88999999999</v>
      </c>
      <c r="T24" s="51">
        <f t="shared" si="22"/>
        <v>3854.2000000000003</v>
      </c>
      <c r="U24" s="55">
        <f t="shared" si="22"/>
        <v>5150.660000000001</v>
      </c>
      <c r="V24" s="55">
        <f t="shared" si="22"/>
        <v>6988.849999999999</v>
      </c>
      <c r="W24" s="55">
        <f t="shared" si="22"/>
        <v>9206.14</v>
      </c>
      <c r="X24" s="55">
        <f t="shared" si="22"/>
        <v>6367.48</v>
      </c>
      <c r="Y24" s="55">
        <f t="shared" si="22"/>
        <v>4120.5599999999995</v>
      </c>
      <c r="Z24" s="55">
        <f t="shared" si="22"/>
        <v>0</v>
      </c>
      <c r="AA24" s="55">
        <f t="shared" si="22"/>
        <v>0</v>
      </c>
      <c r="AB24" s="55">
        <f t="shared" si="22"/>
        <v>31833.69</v>
      </c>
      <c r="AC24" s="55">
        <f t="shared" si="22"/>
        <v>53100.69000000002</v>
      </c>
      <c r="AD24" s="55">
        <f t="shared" si="22"/>
        <v>0</v>
      </c>
      <c r="AE24" s="83">
        <f t="shared" si="22"/>
        <v>0</v>
      </c>
      <c r="AF24" s="83">
        <f t="shared" si="22"/>
        <v>0</v>
      </c>
      <c r="AG24" s="17">
        <f t="shared" si="22"/>
        <v>5150.4</v>
      </c>
      <c r="AH24" s="17">
        <f t="shared" si="22"/>
        <v>1724.3448892000001</v>
      </c>
      <c r="AI24" s="17">
        <f t="shared" si="22"/>
        <v>7199.44248055</v>
      </c>
      <c r="AJ24" s="17">
        <f t="shared" si="22"/>
        <v>1295.8996464989998</v>
      </c>
      <c r="AK24" s="17">
        <f t="shared" si="22"/>
        <v>6998.66949443</v>
      </c>
      <c r="AL24" s="17">
        <f t="shared" si="22"/>
        <v>1259.7605089974002</v>
      </c>
      <c r="AM24" s="17">
        <f t="shared" si="22"/>
        <v>16102.567758367626</v>
      </c>
      <c r="AN24" s="17">
        <f t="shared" si="22"/>
        <v>2898.4621965061724</v>
      </c>
      <c r="AO24" s="17">
        <f t="shared" si="22"/>
        <v>0</v>
      </c>
      <c r="AP24" s="17">
        <f t="shared" si="22"/>
        <v>0</v>
      </c>
      <c r="AQ24" s="17">
        <f>SUM(AQ12:AQ23)</f>
        <v>0</v>
      </c>
      <c r="AR24" s="17">
        <f>SUM(AR12:AR23)</f>
        <v>0</v>
      </c>
      <c r="AS24" s="17">
        <f>SUM(AS12:AS23)</f>
        <v>0</v>
      </c>
      <c r="AT24" s="17">
        <f>SUM(AT12:AT23)</f>
        <v>0</v>
      </c>
      <c r="AU24" s="17">
        <f>SUM(AU12:AU23)</f>
        <v>0</v>
      </c>
      <c r="AV24" s="17"/>
      <c r="AW24" s="17"/>
      <c r="AX24" s="17">
        <f t="shared" si="22"/>
        <v>2326.016</v>
      </c>
      <c r="AY24" s="17">
        <f t="shared" si="22"/>
        <v>0</v>
      </c>
      <c r="AZ24" s="17">
        <f t="shared" si="22"/>
        <v>0</v>
      </c>
      <c r="BA24" s="17">
        <f t="shared" si="22"/>
        <v>0</v>
      </c>
      <c r="BB24" s="17">
        <f t="shared" si="22"/>
        <v>44955.5629745502</v>
      </c>
      <c r="BC24" s="17">
        <f t="shared" si="22"/>
        <v>0</v>
      </c>
      <c r="BD24" s="17">
        <f>SUM(BD12:BD23)</f>
        <v>8145.127025449816</v>
      </c>
      <c r="BE24" s="18">
        <f>SUM(BE12:BE23)</f>
        <v>-11516.199999999995</v>
      </c>
    </row>
    <row r="25" spans="1:57" ht="12.75">
      <c r="A25" s="10"/>
      <c r="B25" s="11"/>
      <c r="C25" s="12"/>
      <c r="D25" s="1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4"/>
      <c r="T25" s="44"/>
      <c r="U25" s="47"/>
      <c r="V25" s="47"/>
      <c r="W25" s="47"/>
      <c r="X25" s="47"/>
      <c r="Y25" s="47"/>
      <c r="Z25" s="47"/>
      <c r="AA25" s="47"/>
      <c r="AB25" s="47"/>
      <c r="AC25" s="84"/>
      <c r="AD25" s="84"/>
      <c r="AE25" s="85"/>
      <c r="AF25" s="85"/>
      <c r="AG25" s="15"/>
      <c r="AH25" s="15"/>
      <c r="AI25" s="15"/>
      <c r="AJ25" s="15"/>
      <c r="AK25" s="15"/>
      <c r="AL25" s="15"/>
      <c r="AM25" s="15"/>
      <c r="AN25" s="15"/>
      <c r="AO25" s="14"/>
      <c r="AP25" s="14"/>
      <c r="AQ25" s="14"/>
      <c r="AR25" s="14"/>
      <c r="AS25" s="79"/>
      <c r="AT25" s="79"/>
      <c r="AU25" s="80"/>
      <c r="AV25" s="80"/>
      <c r="AW25" s="80"/>
      <c r="AX25" s="20"/>
      <c r="AY25" s="14"/>
      <c r="AZ25" s="14"/>
      <c r="BA25" s="15"/>
      <c r="BB25" s="15"/>
      <c r="BC25" s="15"/>
      <c r="BD25" s="15"/>
      <c r="BE25" s="9"/>
    </row>
    <row r="26" spans="1:57" s="19" customFormat="1" ht="13.5" thickBot="1">
      <c r="A26" s="21" t="s">
        <v>54</v>
      </c>
      <c r="B26" s="22"/>
      <c r="C26" s="22">
        <f>C10+C24</f>
        <v>83237.21999999999</v>
      </c>
      <c r="D26" s="22">
        <f aca="true" t="shared" si="23" ref="D26:BE26">D10+D24</f>
        <v>18955.43840500001</v>
      </c>
      <c r="E26" s="22">
        <f t="shared" si="23"/>
        <v>7469.289999999999</v>
      </c>
      <c r="F26" s="22">
        <f t="shared" si="23"/>
        <v>669.8299999999999</v>
      </c>
      <c r="G26" s="22">
        <f t="shared" si="23"/>
        <v>10104.189999999999</v>
      </c>
      <c r="H26" s="22">
        <f t="shared" si="23"/>
        <v>906.5600000000001</v>
      </c>
      <c r="I26" s="22">
        <f t="shared" si="23"/>
        <v>13403.18</v>
      </c>
      <c r="J26" s="22">
        <f t="shared" si="23"/>
        <v>1175.6000000000001</v>
      </c>
      <c r="K26" s="22">
        <f t="shared" si="23"/>
        <v>9272.32</v>
      </c>
      <c r="L26" s="22">
        <f t="shared" si="23"/>
        <v>811.45</v>
      </c>
      <c r="M26" s="22">
        <f t="shared" si="23"/>
        <v>5975.48</v>
      </c>
      <c r="N26" s="22">
        <f t="shared" si="23"/>
        <v>535.7599999999999</v>
      </c>
      <c r="O26" s="22">
        <f t="shared" si="23"/>
        <v>0</v>
      </c>
      <c r="P26" s="22">
        <f t="shared" si="23"/>
        <v>0</v>
      </c>
      <c r="Q26" s="22">
        <f t="shared" si="23"/>
        <v>0</v>
      </c>
      <c r="R26" s="22">
        <f t="shared" si="23"/>
        <v>0</v>
      </c>
      <c r="S26" s="22">
        <f t="shared" si="23"/>
        <v>46224.45999999999</v>
      </c>
      <c r="T26" s="22">
        <f t="shared" si="23"/>
        <v>4099.200000000001</v>
      </c>
      <c r="U26" s="22">
        <f t="shared" si="23"/>
        <v>5832.950000000001</v>
      </c>
      <c r="V26" s="22">
        <f t="shared" si="23"/>
        <v>8162.4</v>
      </c>
      <c r="W26" s="22">
        <f t="shared" si="23"/>
        <v>9688.93</v>
      </c>
      <c r="X26" s="22">
        <f t="shared" si="23"/>
        <v>6701.11</v>
      </c>
      <c r="Y26" s="22">
        <f t="shared" si="23"/>
        <v>4666.379999999999</v>
      </c>
      <c r="Z26" s="22">
        <f t="shared" si="23"/>
        <v>0</v>
      </c>
      <c r="AA26" s="22">
        <f t="shared" si="23"/>
        <v>0</v>
      </c>
      <c r="AB26" s="22">
        <f t="shared" si="23"/>
        <v>35051.77</v>
      </c>
      <c r="AC26" s="22">
        <f t="shared" si="23"/>
        <v>58106.40840500002</v>
      </c>
      <c r="AD26" s="22">
        <f t="shared" si="23"/>
        <v>0</v>
      </c>
      <c r="AE26" s="22">
        <f t="shared" si="23"/>
        <v>0</v>
      </c>
      <c r="AF26" s="22">
        <f t="shared" si="23"/>
        <v>0</v>
      </c>
      <c r="AG26" s="22">
        <f t="shared" si="23"/>
        <v>5595.599999999999</v>
      </c>
      <c r="AH26" s="22">
        <f t="shared" si="23"/>
        <v>1876.4905052000001</v>
      </c>
      <c r="AI26" s="22">
        <f t="shared" si="23"/>
        <v>7829.63792055</v>
      </c>
      <c r="AJ26" s="22">
        <f t="shared" si="23"/>
        <v>1409.3348256989998</v>
      </c>
      <c r="AK26" s="22">
        <f t="shared" si="23"/>
        <v>7732.02014883</v>
      </c>
      <c r="AL26" s="22">
        <f t="shared" si="23"/>
        <v>1391.7636267894002</v>
      </c>
      <c r="AM26" s="22">
        <f t="shared" si="23"/>
        <v>17449.394440967626</v>
      </c>
      <c r="AN26" s="22">
        <f t="shared" si="23"/>
        <v>3140.890999374172</v>
      </c>
      <c r="AO26" s="22">
        <f t="shared" si="23"/>
        <v>0</v>
      </c>
      <c r="AP26" s="22">
        <f t="shared" si="23"/>
        <v>0</v>
      </c>
      <c r="AQ26" s="22">
        <f t="shared" si="23"/>
        <v>0</v>
      </c>
      <c r="AR26" s="22">
        <f t="shared" si="23"/>
        <v>0</v>
      </c>
      <c r="AS26" s="22">
        <f t="shared" si="23"/>
        <v>150</v>
      </c>
      <c r="AT26" s="22">
        <f t="shared" si="23"/>
        <v>0</v>
      </c>
      <c r="AU26" s="22">
        <f t="shared" si="23"/>
        <v>27</v>
      </c>
      <c r="AV26" s="22">
        <f t="shared" si="23"/>
        <v>0</v>
      </c>
      <c r="AW26" s="22">
        <f t="shared" si="23"/>
        <v>0</v>
      </c>
      <c r="AX26" s="22">
        <f t="shared" si="23"/>
        <v>2326.016</v>
      </c>
      <c r="AY26" s="22">
        <f t="shared" si="23"/>
        <v>0</v>
      </c>
      <c r="AZ26" s="22">
        <f t="shared" si="23"/>
        <v>0</v>
      </c>
      <c r="BA26" s="22">
        <f t="shared" si="23"/>
        <v>0</v>
      </c>
      <c r="BB26" s="22">
        <f t="shared" si="23"/>
        <v>48928.1484674102</v>
      </c>
      <c r="BC26" s="22">
        <f t="shared" si="23"/>
        <v>0</v>
      </c>
      <c r="BD26" s="22">
        <f t="shared" si="23"/>
        <v>9178.259937589817</v>
      </c>
      <c r="BE26" s="22">
        <f t="shared" si="23"/>
        <v>-11172.689999999995</v>
      </c>
    </row>
    <row r="27" spans="1:57" ht="15" customHeight="1">
      <c r="A27" s="5" t="s">
        <v>91</v>
      </c>
      <c r="B27" s="52"/>
      <c r="C27" s="53"/>
      <c r="D27" s="5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49"/>
      <c r="R27" s="49"/>
      <c r="S27" s="49"/>
      <c r="T27" s="49"/>
      <c r="U27" s="56"/>
      <c r="V27" s="56"/>
      <c r="W27" s="56"/>
      <c r="X27" s="56"/>
      <c r="Y27" s="56"/>
      <c r="Z27" s="56"/>
      <c r="AA27" s="48"/>
      <c r="AB27" s="48"/>
      <c r="AC27" s="81"/>
      <c r="AD27" s="81"/>
      <c r="AE27" s="82"/>
      <c r="AF27" s="82"/>
      <c r="AG27" s="13"/>
      <c r="AH27" s="13"/>
      <c r="AI27" s="13"/>
      <c r="AJ27" s="13"/>
      <c r="AK27" s="13"/>
      <c r="AL27" s="13"/>
      <c r="AM27" s="13"/>
      <c r="AN27" s="13"/>
      <c r="AO27" s="28"/>
      <c r="AP27" s="28"/>
      <c r="AQ27" s="28"/>
      <c r="AR27" s="28"/>
      <c r="AS27" s="78"/>
      <c r="AT27" s="78"/>
      <c r="AU27" s="44"/>
      <c r="AV27" s="44"/>
      <c r="AW27" s="44"/>
      <c r="AX27" s="28"/>
      <c r="AY27" s="28"/>
      <c r="AZ27" s="28"/>
      <c r="BA27" s="13"/>
      <c r="BB27" s="13"/>
      <c r="BC27" s="13"/>
      <c r="BD27" s="13"/>
      <c r="BE27" s="27"/>
    </row>
    <row r="28" spans="1:57" ht="12.75">
      <c r="A28" s="10" t="s">
        <v>45</v>
      </c>
      <c r="B28" s="87">
        <v>739.1</v>
      </c>
      <c r="C28" s="111">
        <f aca="true" t="shared" si="24" ref="C28:C39">B28*8.65</f>
        <v>6393.215</v>
      </c>
      <c r="D28" s="110">
        <f aca="true" t="shared" si="25" ref="D28:D39">C28-E28-F28-G28-H28-I28-J28-K28-L28-M28-N28</f>
        <v>1775.4550000000017</v>
      </c>
      <c r="E28" s="90">
        <v>628.31</v>
      </c>
      <c r="F28" s="90">
        <v>54.28</v>
      </c>
      <c r="G28" s="90">
        <v>850.78</v>
      </c>
      <c r="H28" s="90">
        <v>73.57</v>
      </c>
      <c r="I28" s="90">
        <v>1339.86</v>
      </c>
      <c r="J28" s="90">
        <v>115.77</v>
      </c>
      <c r="K28" s="90">
        <v>928.92</v>
      </c>
      <c r="L28" s="90">
        <v>80.2</v>
      </c>
      <c r="M28" s="90">
        <v>502.66</v>
      </c>
      <c r="N28" s="90">
        <v>43.41</v>
      </c>
      <c r="O28" s="90">
        <v>0</v>
      </c>
      <c r="P28" s="95">
        <v>0</v>
      </c>
      <c r="Q28" s="95"/>
      <c r="R28" s="95"/>
      <c r="S28" s="74">
        <f aca="true" t="shared" si="26" ref="S28:S39">E28+G28+I28+K28+M28+O28+Q28</f>
        <v>4250.53</v>
      </c>
      <c r="T28" s="91">
        <f aca="true" t="shared" si="27" ref="T28:T39">P28+N28+L28+J28+H28+F28+R28</f>
        <v>367.23</v>
      </c>
      <c r="U28" s="74">
        <v>63.9</v>
      </c>
      <c r="V28" s="74">
        <v>86.34</v>
      </c>
      <c r="W28" s="74">
        <v>836.14</v>
      </c>
      <c r="X28" s="74">
        <v>94.53</v>
      </c>
      <c r="Y28" s="74">
        <v>51.11</v>
      </c>
      <c r="Z28" s="92">
        <v>0</v>
      </c>
      <c r="AA28" s="92">
        <v>0</v>
      </c>
      <c r="AB28" s="92">
        <f>SUM(U28:AA28)</f>
        <v>1132.02</v>
      </c>
      <c r="AC28" s="94">
        <f aca="true" t="shared" si="28" ref="AC28:AC39">D28+T28+AB28</f>
        <v>3274.7050000000017</v>
      </c>
      <c r="AD28" s="85">
        <f aca="true" t="shared" si="29" ref="AD28:AD39">P28+Z28</f>
        <v>0</v>
      </c>
      <c r="AE28" s="85">
        <f aca="true" t="shared" si="30" ref="AE28:AE39">R28+AA28</f>
        <v>0</v>
      </c>
      <c r="AF28" s="85"/>
      <c r="AG28" s="15">
        <f aca="true" t="shared" si="31" ref="AG28:AG39">0.6*B28</f>
        <v>443.46</v>
      </c>
      <c r="AH28" s="15">
        <f aca="true" t="shared" si="32" ref="AH28:AH39">B28*0.2</f>
        <v>147.82000000000002</v>
      </c>
      <c r="AI28" s="15">
        <f aca="true" t="shared" si="33" ref="AI28:AI39">1*B28</f>
        <v>739.1</v>
      </c>
      <c r="AJ28" s="15">
        <v>0</v>
      </c>
      <c r="AK28" s="15">
        <f aca="true" t="shared" si="34" ref="AK28:AK39">0.98*B28</f>
        <v>724.318</v>
      </c>
      <c r="AL28" s="15">
        <v>0</v>
      </c>
      <c r="AM28" s="15">
        <f aca="true" t="shared" si="35" ref="AM28:AM39">2.25*B28</f>
        <v>1662.9750000000001</v>
      </c>
      <c r="AN28" s="15">
        <v>0</v>
      </c>
      <c r="AO28" s="15"/>
      <c r="AP28" s="15">
        <v>0</v>
      </c>
      <c r="AQ28" s="98"/>
      <c r="AR28" s="98"/>
      <c r="AS28" s="80">
        <v>0</v>
      </c>
      <c r="AT28" s="80"/>
      <c r="AU28" s="80">
        <f aca="true" t="shared" si="36" ref="AU28:AU39">AT28*0.18</f>
        <v>0</v>
      </c>
      <c r="AV28" s="99">
        <v>508</v>
      </c>
      <c r="AW28" s="114">
        <v>0.4</v>
      </c>
      <c r="AX28" s="128">
        <f aca="true" t="shared" si="37" ref="AX28:AX39">AV28*AW28*1.4</f>
        <v>284.48</v>
      </c>
      <c r="AY28" s="101"/>
      <c r="AZ28" s="102"/>
      <c r="BA28" s="102">
        <f aca="true" t="shared" si="38" ref="BA28:BA39">AZ28*0.18</f>
        <v>0</v>
      </c>
      <c r="BB28" s="102">
        <f aca="true" t="shared" si="39" ref="BB28:BB39">SUM(AG28:BA28)-AV28-AW28</f>
        <v>4002.153</v>
      </c>
      <c r="BC28" s="112"/>
      <c r="BD28" s="13">
        <f>AC28+AF28-BB28-BC28</f>
        <v>-727.447999999998</v>
      </c>
      <c r="BE28" s="27">
        <f>AB28-S28</f>
        <v>-3118.5099999999998</v>
      </c>
    </row>
    <row r="29" spans="1:57" ht="12.75">
      <c r="A29" s="10" t="s">
        <v>46</v>
      </c>
      <c r="B29" s="96">
        <v>739.1</v>
      </c>
      <c r="C29" s="111">
        <f t="shared" si="24"/>
        <v>6393.215</v>
      </c>
      <c r="D29" s="110">
        <f t="shared" si="25"/>
        <v>1775.4350000000015</v>
      </c>
      <c r="E29" s="133">
        <v>628.31</v>
      </c>
      <c r="F29" s="90">
        <v>54.28</v>
      </c>
      <c r="G29" s="90">
        <v>850.78</v>
      </c>
      <c r="H29" s="90">
        <v>73.57</v>
      </c>
      <c r="I29" s="90">
        <v>1339.87</v>
      </c>
      <c r="J29" s="90">
        <v>115.77</v>
      </c>
      <c r="K29" s="90">
        <v>928.92</v>
      </c>
      <c r="L29" s="90">
        <v>80.2</v>
      </c>
      <c r="M29" s="90">
        <v>502.67</v>
      </c>
      <c r="N29" s="90">
        <v>43.41</v>
      </c>
      <c r="O29" s="90">
        <v>0</v>
      </c>
      <c r="P29" s="95">
        <v>0</v>
      </c>
      <c r="Q29" s="74">
        <v>0</v>
      </c>
      <c r="R29" s="92">
        <v>0</v>
      </c>
      <c r="S29" s="74">
        <f t="shared" si="26"/>
        <v>4250.55</v>
      </c>
      <c r="T29" s="91">
        <f t="shared" si="27"/>
        <v>367.23</v>
      </c>
      <c r="U29" s="74">
        <v>282.36</v>
      </c>
      <c r="V29" s="74">
        <v>385</v>
      </c>
      <c r="W29" s="74">
        <v>439.96</v>
      </c>
      <c r="X29" s="74">
        <v>398.2</v>
      </c>
      <c r="Y29" s="74">
        <v>225.91</v>
      </c>
      <c r="Z29" s="92">
        <v>0</v>
      </c>
      <c r="AA29" s="92">
        <v>0</v>
      </c>
      <c r="AB29" s="92">
        <f>SUM(U29:AA29)</f>
        <v>1731.43</v>
      </c>
      <c r="AC29" s="94">
        <f t="shared" si="28"/>
        <v>3874.095000000002</v>
      </c>
      <c r="AD29" s="85">
        <f t="shared" si="29"/>
        <v>0</v>
      </c>
      <c r="AE29" s="85">
        <f t="shared" si="30"/>
        <v>0</v>
      </c>
      <c r="AF29" s="85"/>
      <c r="AG29" s="15">
        <f t="shared" si="31"/>
        <v>443.46</v>
      </c>
      <c r="AH29" s="15">
        <f t="shared" si="32"/>
        <v>147.82000000000002</v>
      </c>
      <c r="AI29" s="15">
        <f t="shared" si="33"/>
        <v>739.1</v>
      </c>
      <c r="AJ29" s="15">
        <v>0</v>
      </c>
      <c r="AK29" s="15">
        <f t="shared" si="34"/>
        <v>724.318</v>
      </c>
      <c r="AL29" s="15">
        <v>0</v>
      </c>
      <c r="AM29" s="15">
        <f t="shared" si="35"/>
        <v>1662.9750000000001</v>
      </c>
      <c r="AN29" s="15">
        <v>0</v>
      </c>
      <c r="AO29" s="15"/>
      <c r="AP29" s="15"/>
      <c r="AQ29" s="98"/>
      <c r="AR29" s="98"/>
      <c r="AS29" s="80"/>
      <c r="AT29" s="80"/>
      <c r="AU29" s="80">
        <f t="shared" si="36"/>
        <v>0</v>
      </c>
      <c r="AV29" s="99">
        <v>407</v>
      </c>
      <c r="AW29" s="114">
        <v>0.4</v>
      </c>
      <c r="AX29" s="15">
        <f t="shared" si="37"/>
        <v>227.92</v>
      </c>
      <c r="AY29" s="101"/>
      <c r="AZ29" s="102"/>
      <c r="BA29" s="102">
        <f t="shared" si="38"/>
        <v>0</v>
      </c>
      <c r="BB29" s="102">
        <f t="shared" si="39"/>
        <v>3945.5930000000003</v>
      </c>
      <c r="BC29" s="112"/>
      <c r="BD29" s="13">
        <f aca="true" t="shared" si="40" ref="BD29:BD39">AC29+AF29-BB29-BC29</f>
        <v>-71.49799999999823</v>
      </c>
      <c r="BE29" s="27">
        <f aca="true" t="shared" si="41" ref="BE29:BE39">AB29-S29</f>
        <v>-2519.12</v>
      </c>
    </row>
    <row r="30" spans="1:57" ht="12.75">
      <c r="A30" s="10" t="s">
        <v>47</v>
      </c>
      <c r="B30" s="87">
        <v>739.1</v>
      </c>
      <c r="C30" s="111">
        <f t="shared" si="24"/>
        <v>6393.215</v>
      </c>
      <c r="D30" s="110">
        <f t="shared" si="25"/>
        <v>1754.7750000000005</v>
      </c>
      <c r="E30" s="90">
        <v>645.28</v>
      </c>
      <c r="F30" s="90">
        <v>40.39</v>
      </c>
      <c r="G30" s="90">
        <v>873.62</v>
      </c>
      <c r="H30" s="90">
        <v>54.74</v>
      </c>
      <c r="I30" s="90">
        <v>1375.99</v>
      </c>
      <c r="J30" s="90">
        <v>86.13</v>
      </c>
      <c r="K30" s="90">
        <v>954.08</v>
      </c>
      <c r="L30" s="90">
        <v>59.67</v>
      </c>
      <c r="M30" s="90">
        <v>516.24</v>
      </c>
      <c r="N30" s="90">
        <v>32.3</v>
      </c>
      <c r="O30" s="90">
        <v>0</v>
      </c>
      <c r="P30" s="95">
        <v>0</v>
      </c>
      <c r="Q30" s="95">
        <v>0</v>
      </c>
      <c r="R30" s="95">
        <v>0</v>
      </c>
      <c r="S30" s="74">
        <f t="shared" si="26"/>
        <v>4365.21</v>
      </c>
      <c r="T30" s="91">
        <f t="shared" si="27"/>
        <v>273.23</v>
      </c>
      <c r="U30" s="74">
        <v>636.29</v>
      </c>
      <c r="V30" s="74">
        <v>865.57</v>
      </c>
      <c r="W30" s="74">
        <v>1299.83</v>
      </c>
      <c r="X30" s="74">
        <v>994.21</v>
      </c>
      <c r="Y30" s="74">
        <v>509.03</v>
      </c>
      <c r="Z30" s="92">
        <v>0</v>
      </c>
      <c r="AA30" s="92">
        <v>0</v>
      </c>
      <c r="AB30" s="92">
        <f>SUM(U30:AA30)</f>
        <v>4304.93</v>
      </c>
      <c r="AC30" s="94">
        <f t="shared" si="28"/>
        <v>6332.935000000001</v>
      </c>
      <c r="AD30" s="85">
        <f t="shared" si="29"/>
        <v>0</v>
      </c>
      <c r="AE30" s="85">
        <f t="shared" si="30"/>
        <v>0</v>
      </c>
      <c r="AF30" s="85"/>
      <c r="AG30" s="15">
        <f t="shared" si="31"/>
        <v>443.46</v>
      </c>
      <c r="AH30" s="15">
        <f t="shared" si="32"/>
        <v>147.82000000000002</v>
      </c>
      <c r="AI30" s="15">
        <f t="shared" si="33"/>
        <v>739.1</v>
      </c>
      <c r="AJ30" s="15">
        <v>0</v>
      </c>
      <c r="AK30" s="15">
        <f t="shared" si="34"/>
        <v>724.318</v>
      </c>
      <c r="AL30" s="15">
        <v>0</v>
      </c>
      <c r="AM30" s="15">
        <f t="shared" si="35"/>
        <v>1662.9750000000001</v>
      </c>
      <c r="AN30" s="15">
        <v>0</v>
      </c>
      <c r="AO30" s="15"/>
      <c r="AP30" s="15"/>
      <c r="AQ30" s="98"/>
      <c r="AR30" s="98"/>
      <c r="AS30" s="80"/>
      <c r="AT30" s="80"/>
      <c r="AU30" s="80">
        <f t="shared" si="36"/>
        <v>0</v>
      </c>
      <c r="AV30" s="99">
        <v>383</v>
      </c>
      <c r="AW30" s="114">
        <v>0.4</v>
      </c>
      <c r="AX30" s="15">
        <f t="shared" si="37"/>
        <v>214.48000000000002</v>
      </c>
      <c r="AY30" s="101"/>
      <c r="AZ30" s="102"/>
      <c r="BA30" s="102">
        <f t="shared" si="38"/>
        <v>0</v>
      </c>
      <c r="BB30" s="102">
        <f t="shared" si="39"/>
        <v>3932.153</v>
      </c>
      <c r="BC30" s="112"/>
      <c r="BD30" s="13">
        <f t="shared" si="40"/>
        <v>2400.7820000000015</v>
      </c>
      <c r="BE30" s="27">
        <f t="shared" si="41"/>
        <v>-60.279999999999745</v>
      </c>
    </row>
    <row r="31" spans="1:57" ht="12.75">
      <c r="A31" s="10" t="s">
        <v>48</v>
      </c>
      <c r="B31" s="87">
        <v>739.1</v>
      </c>
      <c r="C31" s="111">
        <f t="shared" si="24"/>
        <v>6393.215</v>
      </c>
      <c r="D31" s="110">
        <f t="shared" si="25"/>
        <v>1753.345</v>
      </c>
      <c r="E31" s="90">
        <v>646.46</v>
      </c>
      <c r="F31" s="90">
        <v>39.43</v>
      </c>
      <c r="G31" s="90">
        <v>875.2</v>
      </c>
      <c r="H31" s="90">
        <v>53.44</v>
      </c>
      <c r="I31" s="90">
        <v>1378.47</v>
      </c>
      <c r="J31" s="90">
        <v>84.09</v>
      </c>
      <c r="K31" s="90">
        <v>955.82</v>
      </c>
      <c r="L31" s="90">
        <v>58.25</v>
      </c>
      <c r="M31" s="90">
        <v>517.18</v>
      </c>
      <c r="N31" s="90">
        <v>31.53</v>
      </c>
      <c r="O31" s="90">
        <v>0</v>
      </c>
      <c r="P31" s="95">
        <v>0</v>
      </c>
      <c r="Q31" s="95"/>
      <c r="R31" s="95"/>
      <c r="S31" s="74">
        <f t="shared" si="26"/>
        <v>4373.13</v>
      </c>
      <c r="T31" s="91">
        <f t="shared" si="27"/>
        <v>266.74</v>
      </c>
      <c r="U31" s="74">
        <v>218.25</v>
      </c>
      <c r="V31" s="74">
        <v>294.66</v>
      </c>
      <c r="W31" s="74">
        <v>239.3</v>
      </c>
      <c r="X31" s="74">
        <v>163.73</v>
      </c>
      <c r="Y31" s="74">
        <v>174.61</v>
      </c>
      <c r="Z31" s="92">
        <v>0</v>
      </c>
      <c r="AA31" s="92">
        <v>0</v>
      </c>
      <c r="AB31" s="92">
        <f>SUM(U31:AA31)</f>
        <v>1090.5500000000002</v>
      </c>
      <c r="AC31" s="94">
        <f t="shared" si="28"/>
        <v>3110.635</v>
      </c>
      <c r="AD31" s="85">
        <f t="shared" si="29"/>
        <v>0</v>
      </c>
      <c r="AE31" s="85">
        <f t="shared" si="30"/>
        <v>0</v>
      </c>
      <c r="AF31" s="85"/>
      <c r="AG31" s="15">
        <f t="shared" si="31"/>
        <v>443.46</v>
      </c>
      <c r="AH31" s="15">
        <f t="shared" si="32"/>
        <v>147.82000000000002</v>
      </c>
      <c r="AI31" s="15">
        <f t="shared" si="33"/>
        <v>739.1</v>
      </c>
      <c r="AJ31" s="15">
        <v>0</v>
      </c>
      <c r="AK31" s="15">
        <f t="shared" si="34"/>
        <v>724.318</v>
      </c>
      <c r="AL31" s="15">
        <v>0</v>
      </c>
      <c r="AM31" s="15">
        <f t="shared" si="35"/>
        <v>1662.9750000000001</v>
      </c>
      <c r="AN31" s="15">
        <v>0</v>
      </c>
      <c r="AO31" s="15"/>
      <c r="AP31" s="15"/>
      <c r="AQ31" s="98"/>
      <c r="AR31" s="98"/>
      <c r="AS31" s="80"/>
      <c r="AT31" s="80"/>
      <c r="AU31" s="80">
        <f t="shared" si="36"/>
        <v>0</v>
      </c>
      <c r="AV31" s="99">
        <v>307</v>
      </c>
      <c r="AW31" s="114">
        <v>0.4</v>
      </c>
      <c r="AX31" s="15">
        <f t="shared" si="37"/>
        <v>171.92000000000002</v>
      </c>
      <c r="AY31" s="101"/>
      <c r="AZ31" s="102"/>
      <c r="BA31" s="102">
        <f t="shared" si="38"/>
        <v>0</v>
      </c>
      <c r="BB31" s="102">
        <f t="shared" si="39"/>
        <v>3889.5930000000003</v>
      </c>
      <c r="BC31" s="112"/>
      <c r="BD31" s="13">
        <f t="shared" si="40"/>
        <v>-778.9580000000001</v>
      </c>
      <c r="BE31" s="27">
        <f t="shared" si="41"/>
        <v>-3282.58</v>
      </c>
    </row>
    <row r="32" spans="1:57" ht="12.75">
      <c r="A32" s="10" t="s">
        <v>49</v>
      </c>
      <c r="B32" s="87">
        <v>739.1</v>
      </c>
      <c r="C32" s="111">
        <f t="shared" si="24"/>
        <v>6393.215</v>
      </c>
      <c r="D32" s="110">
        <f t="shared" si="25"/>
        <v>1453.4050000000004</v>
      </c>
      <c r="E32" s="90">
        <v>646.46</v>
      </c>
      <c r="F32" s="90">
        <v>39.43</v>
      </c>
      <c r="G32" s="90">
        <v>875.17</v>
      </c>
      <c r="H32" s="90">
        <v>53.44</v>
      </c>
      <c r="I32" s="90">
        <v>1378.45</v>
      </c>
      <c r="J32" s="90">
        <v>84.09</v>
      </c>
      <c r="K32" s="90">
        <v>955.81</v>
      </c>
      <c r="L32" s="90">
        <v>58.25</v>
      </c>
      <c r="M32" s="90">
        <v>817.18</v>
      </c>
      <c r="N32" s="90">
        <v>31.53</v>
      </c>
      <c r="O32" s="90">
        <v>0</v>
      </c>
      <c r="P32" s="95">
        <v>0</v>
      </c>
      <c r="Q32" s="95"/>
      <c r="R32" s="95"/>
      <c r="S32" s="74">
        <f t="shared" si="26"/>
        <v>4673.07</v>
      </c>
      <c r="T32" s="91">
        <f t="shared" si="27"/>
        <v>266.74</v>
      </c>
      <c r="U32" s="134">
        <v>142.7</v>
      </c>
      <c r="V32" s="134">
        <v>193.2</v>
      </c>
      <c r="W32" s="134">
        <v>304.3</v>
      </c>
      <c r="X32" s="134">
        <v>210.97</v>
      </c>
      <c r="Y32" s="134">
        <v>114.18</v>
      </c>
      <c r="Z32" s="135">
        <v>0</v>
      </c>
      <c r="AA32" s="135">
        <v>0</v>
      </c>
      <c r="AB32" s="92">
        <f aca="true" t="shared" si="42" ref="AB32:AB39">SUM(U32:AA32)</f>
        <v>965.3500000000001</v>
      </c>
      <c r="AC32" s="94">
        <f t="shared" si="28"/>
        <v>2685.495000000001</v>
      </c>
      <c r="AD32" s="85">
        <f t="shared" si="29"/>
        <v>0</v>
      </c>
      <c r="AE32" s="85">
        <f t="shared" si="30"/>
        <v>0</v>
      </c>
      <c r="AF32" s="85"/>
      <c r="AG32" s="15">
        <f t="shared" si="31"/>
        <v>443.46</v>
      </c>
      <c r="AH32" s="15">
        <f t="shared" si="32"/>
        <v>147.82000000000002</v>
      </c>
      <c r="AI32" s="15">
        <f t="shared" si="33"/>
        <v>739.1</v>
      </c>
      <c r="AJ32" s="15">
        <v>0</v>
      </c>
      <c r="AK32" s="15">
        <f t="shared" si="34"/>
        <v>724.318</v>
      </c>
      <c r="AL32" s="15">
        <v>0</v>
      </c>
      <c r="AM32" s="15">
        <f t="shared" si="35"/>
        <v>1662.9750000000001</v>
      </c>
      <c r="AN32" s="15">
        <v>0</v>
      </c>
      <c r="AO32" s="15"/>
      <c r="AP32" s="15"/>
      <c r="AQ32" s="98"/>
      <c r="AR32" s="98"/>
      <c r="AS32" s="80"/>
      <c r="AT32" s="80"/>
      <c r="AU32" s="80">
        <f t="shared" si="36"/>
        <v>0</v>
      </c>
      <c r="AV32" s="99">
        <v>263</v>
      </c>
      <c r="AW32" s="114">
        <v>0.4</v>
      </c>
      <c r="AX32" s="15">
        <f t="shared" si="37"/>
        <v>147.28</v>
      </c>
      <c r="AY32" s="101"/>
      <c r="AZ32" s="102"/>
      <c r="BA32" s="102">
        <f t="shared" si="38"/>
        <v>0</v>
      </c>
      <c r="BB32" s="102">
        <f t="shared" si="39"/>
        <v>3864.953000000001</v>
      </c>
      <c r="BC32" s="112"/>
      <c r="BD32" s="13">
        <f t="shared" si="40"/>
        <v>-1179.458</v>
      </c>
      <c r="BE32" s="27">
        <f t="shared" si="41"/>
        <v>-3707.7199999999993</v>
      </c>
    </row>
    <row r="33" spans="1:57" ht="12.75">
      <c r="A33" s="10" t="s">
        <v>50</v>
      </c>
      <c r="B33" s="87">
        <v>739.1</v>
      </c>
      <c r="C33" s="111">
        <f t="shared" si="24"/>
        <v>6393.215</v>
      </c>
      <c r="D33" s="110">
        <f t="shared" si="25"/>
        <v>1747.5250000000008</v>
      </c>
      <c r="E33" s="90">
        <v>656.75</v>
      </c>
      <c r="F33" s="90">
        <v>30.02</v>
      </c>
      <c r="G33" s="90">
        <v>889.06</v>
      </c>
      <c r="H33" s="90">
        <v>40.69</v>
      </c>
      <c r="I33" s="90">
        <v>1400.35</v>
      </c>
      <c r="J33" s="90">
        <v>64.03</v>
      </c>
      <c r="K33" s="90">
        <v>971.03</v>
      </c>
      <c r="L33" s="90">
        <v>44.35</v>
      </c>
      <c r="M33" s="90">
        <v>525.4</v>
      </c>
      <c r="N33" s="90">
        <v>24.01</v>
      </c>
      <c r="O33" s="90">
        <v>0</v>
      </c>
      <c r="P33" s="95">
        <v>0</v>
      </c>
      <c r="Q33" s="90">
        <v>0</v>
      </c>
      <c r="R33" s="95">
        <v>0</v>
      </c>
      <c r="S33" s="74">
        <f t="shared" si="26"/>
        <v>4442.589999999999</v>
      </c>
      <c r="T33" s="91">
        <f t="shared" si="27"/>
        <v>203.1</v>
      </c>
      <c r="U33" s="74">
        <v>749.34</v>
      </c>
      <c r="V33" s="74">
        <v>1016.02</v>
      </c>
      <c r="W33" s="74">
        <v>1378.23</v>
      </c>
      <c r="X33" s="74">
        <v>1101.76</v>
      </c>
      <c r="Y33" s="74">
        <v>599.48</v>
      </c>
      <c r="Z33" s="92">
        <v>0</v>
      </c>
      <c r="AA33" s="92">
        <v>0</v>
      </c>
      <c r="AB33" s="92">
        <f t="shared" si="42"/>
        <v>4844.83</v>
      </c>
      <c r="AC33" s="94">
        <f t="shared" si="28"/>
        <v>6795.455000000001</v>
      </c>
      <c r="AD33" s="85">
        <f t="shared" si="29"/>
        <v>0</v>
      </c>
      <c r="AE33" s="85">
        <f t="shared" si="30"/>
        <v>0</v>
      </c>
      <c r="AF33" s="85"/>
      <c r="AG33" s="15">
        <f t="shared" si="31"/>
        <v>443.46</v>
      </c>
      <c r="AH33" s="15">
        <f t="shared" si="32"/>
        <v>147.82000000000002</v>
      </c>
      <c r="AI33" s="15">
        <f t="shared" si="33"/>
        <v>739.1</v>
      </c>
      <c r="AJ33" s="15">
        <v>0</v>
      </c>
      <c r="AK33" s="15">
        <f t="shared" si="34"/>
        <v>724.318</v>
      </c>
      <c r="AL33" s="15">
        <v>0</v>
      </c>
      <c r="AM33" s="15">
        <f t="shared" si="35"/>
        <v>1662.9750000000001</v>
      </c>
      <c r="AN33" s="15">
        <v>0</v>
      </c>
      <c r="AO33" s="15"/>
      <c r="AP33" s="15"/>
      <c r="AQ33" s="98"/>
      <c r="AR33" s="98"/>
      <c r="AS33" s="80"/>
      <c r="AT33" s="80"/>
      <c r="AU33" s="80">
        <f t="shared" si="36"/>
        <v>0</v>
      </c>
      <c r="AV33" s="99">
        <v>233</v>
      </c>
      <c r="AW33" s="114">
        <v>0.4</v>
      </c>
      <c r="AX33" s="15">
        <f t="shared" si="37"/>
        <v>130.48</v>
      </c>
      <c r="AY33" s="101"/>
      <c r="AZ33" s="102"/>
      <c r="BA33" s="102">
        <f t="shared" si="38"/>
        <v>0</v>
      </c>
      <c r="BB33" s="102">
        <f t="shared" si="39"/>
        <v>3848.1530000000007</v>
      </c>
      <c r="BC33" s="112"/>
      <c r="BD33" s="13">
        <f t="shared" si="40"/>
        <v>2947.302</v>
      </c>
      <c r="BE33" s="27">
        <f t="shared" si="41"/>
        <v>402.2400000000007</v>
      </c>
    </row>
    <row r="34" spans="1:57" ht="12.75">
      <c r="A34" s="10" t="s">
        <v>51</v>
      </c>
      <c r="B34" s="87">
        <v>739.1</v>
      </c>
      <c r="C34" s="111">
        <f t="shared" si="24"/>
        <v>6393.215</v>
      </c>
      <c r="D34" s="110">
        <f t="shared" si="25"/>
        <v>1743.8450000000007</v>
      </c>
      <c r="E34" s="133">
        <v>687.32</v>
      </c>
      <c r="F34" s="90">
        <v>0</v>
      </c>
      <c r="G34" s="90">
        <v>930.46</v>
      </c>
      <c r="H34" s="90">
        <v>0</v>
      </c>
      <c r="I34" s="90">
        <v>1465.53</v>
      </c>
      <c r="J34" s="90">
        <v>0</v>
      </c>
      <c r="K34" s="90">
        <v>1016.21</v>
      </c>
      <c r="L34" s="90">
        <v>0</v>
      </c>
      <c r="M34" s="90">
        <v>549.85</v>
      </c>
      <c r="N34" s="90">
        <v>0</v>
      </c>
      <c r="O34" s="90">
        <v>0</v>
      </c>
      <c r="P34" s="95">
        <v>0</v>
      </c>
      <c r="Q34" s="95"/>
      <c r="R34" s="95"/>
      <c r="S34" s="74">
        <f t="shared" si="26"/>
        <v>4649.370000000001</v>
      </c>
      <c r="T34" s="91">
        <f t="shared" si="27"/>
        <v>0</v>
      </c>
      <c r="U34" s="76">
        <v>475.98</v>
      </c>
      <c r="V34" s="74">
        <v>644.28</v>
      </c>
      <c r="W34" s="74">
        <v>1014.89</v>
      </c>
      <c r="X34" s="74">
        <v>703.81</v>
      </c>
      <c r="Y34" s="74">
        <v>380.79</v>
      </c>
      <c r="Z34" s="92">
        <v>0</v>
      </c>
      <c r="AA34" s="92">
        <v>0</v>
      </c>
      <c r="AB34" s="92">
        <f t="shared" si="42"/>
        <v>3219.75</v>
      </c>
      <c r="AC34" s="94">
        <f t="shared" si="28"/>
        <v>4963.595000000001</v>
      </c>
      <c r="AD34" s="85">
        <f t="shared" si="29"/>
        <v>0</v>
      </c>
      <c r="AE34" s="85">
        <f t="shared" si="30"/>
        <v>0</v>
      </c>
      <c r="AF34" s="85"/>
      <c r="AG34" s="15">
        <f t="shared" si="31"/>
        <v>443.46</v>
      </c>
      <c r="AH34" s="15">
        <f t="shared" si="32"/>
        <v>147.82000000000002</v>
      </c>
      <c r="AI34" s="15">
        <f t="shared" si="33"/>
        <v>739.1</v>
      </c>
      <c r="AJ34" s="15">
        <v>0</v>
      </c>
      <c r="AK34" s="15">
        <f t="shared" si="34"/>
        <v>724.318</v>
      </c>
      <c r="AL34" s="15">
        <v>0</v>
      </c>
      <c r="AM34" s="15">
        <f t="shared" si="35"/>
        <v>1662.9750000000001</v>
      </c>
      <c r="AN34" s="15">
        <v>0</v>
      </c>
      <c r="AO34" s="15"/>
      <c r="AP34" s="15"/>
      <c r="AQ34" s="98"/>
      <c r="AR34" s="98"/>
      <c r="AS34" s="80"/>
      <c r="AT34" s="80"/>
      <c r="AU34" s="80">
        <f t="shared" si="36"/>
        <v>0</v>
      </c>
      <c r="AV34" s="99">
        <v>248</v>
      </c>
      <c r="AW34" s="114">
        <v>0.4</v>
      </c>
      <c r="AX34" s="15">
        <f t="shared" si="37"/>
        <v>138.88</v>
      </c>
      <c r="AY34" s="101"/>
      <c r="AZ34" s="102"/>
      <c r="BA34" s="102">
        <f t="shared" si="38"/>
        <v>0</v>
      </c>
      <c r="BB34" s="102">
        <f t="shared" si="39"/>
        <v>3856.5530000000003</v>
      </c>
      <c r="BC34" s="112"/>
      <c r="BD34" s="13">
        <f t="shared" si="40"/>
        <v>1107.0420000000008</v>
      </c>
      <c r="BE34" s="27">
        <f t="shared" si="41"/>
        <v>-1429.6200000000008</v>
      </c>
    </row>
    <row r="35" spans="1:57" ht="12.75">
      <c r="A35" s="10" t="s">
        <v>52</v>
      </c>
      <c r="B35" s="87">
        <v>739.1</v>
      </c>
      <c r="C35" s="111">
        <f t="shared" si="24"/>
        <v>6393.215</v>
      </c>
      <c r="D35" s="110">
        <f t="shared" si="25"/>
        <v>1743.855000000001</v>
      </c>
      <c r="E35" s="133">
        <v>687.32</v>
      </c>
      <c r="F35" s="90">
        <v>0</v>
      </c>
      <c r="G35" s="90">
        <v>930.45</v>
      </c>
      <c r="H35" s="90">
        <v>0</v>
      </c>
      <c r="I35" s="90">
        <v>1465.53</v>
      </c>
      <c r="J35" s="90">
        <v>0</v>
      </c>
      <c r="K35" s="90">
        <v>1016.21</v>
      </c>
      <c r="L35" s="90">
        <v>0</v>
      </c>
      <c r="M35" s="90">
        <v>549.85</v>
      </c>
      <c r="N35" s="90">
        <v>0</v>
      </c>
      <c r="O35" s="90">
        <v>0</v>
      </c>
      <c r="P35" s="95">
        <v>0</v>
      </c>
      <c r="Q35" s="95"/>
      <c r="R35" s="95"/>
      <c r="S35" s="74">
        <f t="shared" si="26"/>
        <v>4649.360000000001</v>
      </c>
      <c r="T35" s="91">
        <f t="shared" si="27"/>
        <v>0</v>
      </c>
      <c r="U35" s="134">
        <v>374.09</v>
      </c>
      <c r="V35" s="134">
        <v>505.88</v>
      </c>
      <c r="W35" s="134">
        <v>2137.28</v>
      </c>
      <c r="X35" s="134">
        <v>553.27</v>
      </c>
      <c r="Y35" s="134">
        <v>299.26</v>
      </c>
      <c r="Z35" s="135">
        <v>0</v>
      </c>
      <c r="AA35" s="135">
        <v>0</v>
      </c>
      <c r="AB35" s="92">
        <f t="shared" si="42"/>
        <v>3869.7799999999997</v>
      </c>
      <c r="AC35" s="94">
        <f t="shared" si="28"/>
        <v>5613.635</v>
      </c>
      <c r="AD35" s="85">
        <f t="shared" si="29"/>
        <v>0</v>
      </c>
      <c r="AE35" s="85">
        <f t="shared" si="30"/>
        <v>0</v>
      </c>
      <c r="AF35" s="85"/>
      <c r="AG35" s="15">
        <f t="shared" si="31"/>
        <v>443.46</v>
      </c>
      <c r="AH35" s="15">
        <f t="shared" si="32"/>
        <v>147.82000000000002</v>
      </c>
      <c r="AI35" s="15">
        <f t="shared" si="33"/>
        <v>739.1</v>
      </c>
      <c r="AJ35" s="15">
        <v>0</v>
      </c>
      <c r="AK35" s="15">
        <f t="shared" si="34"/>
        <v>724.318</v>
      </c>
      <c r="AL35" s="15">
        <v>0</v>
      </c>
      <c r="AM35" s="15">
        <f t="shared" si="35"/>
        <v>1662.9750000000001</v>
      </c>
      <c r="AN35" s="15">
        <v>0</v>
      </c>
      <c r="AO35" s="15"/>
      <c r="AP35" s="15"/>
      <c r="AQ35" s="98"/>
      <c r="AR35" s="98"/>
      <c r="AS35" s="80"/>
      <c r="AT35" s="80">
        <f>47.8</f>
        <v>47.8</v>
      </c>
      <c r="AU35" s="80">
        <f t="shared" si="36"/>
        <v>8.604</v>
      </c>
      <c r="AV35" s="99">
        <v>293</v>
      </c>
      <c r="AW35" s="114">
        <v>0.4</v>
      </c>
      <c r="AX35" s="15">
        <f t="shared" si="37"/>
        <v>164.07999999999998</v>
      </c>
      <c r="AY35" s="101"/>
      <c r="AZ35" s="102"/>
      <c r="BA35" s="102">
        <f t="shared" si="38"/>
        <v>0</v>
      </c>
      <c r="BB35" s="102">
        <f t="shared" si="39"/>
        <v>3938.1570000000006</v>
      </c>
      <c r="BC35" s="112"/>
      <c r="BD35" s="13">
        <f t="shared" si="40"/>
        <v>1675.4779999999996</v>
      </c>
      <c r="BE35" s="27">
        <f t="shared" si="41"/>
        <v>-779.5800000000008</v>
      </c>
    </row>
    <row r="36" spans="1:57" ht="12.75">
      <c r="A36" s="10" t="s">
        <v>53</v>
      </c>
      <c r="B36" s="87">
        <v>739.1</v>
      </c>
      <c r="C36" s="111">
        <f t="shared" si="24"/>
        <v>6393.215</v>
      </c>
      <c r="D36" s="110">
        <f t="shared" si="25"/>
        <v>1743.855000000001</v>
      </c>
      <c r="E36" s="90">
        <v>687.32</v>
      </c>
      <c r="F36" s="90">
        <v>0</v>
      </c>
      <c r="G36" s="90">
        <v>930.45</v>
      </c>
      <c r="H36" s="90">
        <v>0</v>
      </c>
      <c r="I36" s="90">
        <v>1465.53</v>
      </c>
      <c r="J36" s="90">
        <v>0</v>
      </c>
      <c r="K36" s="90">
        <v>1016.21</v>
      </c>
      <c r="L36" s="90">
        <v>0</v>
      </c>
      <c r="M36" s="90">
        <v>549.85</v>
      </c>
      <c r="N36" s="90">
        <v>0</v>
      </c>
      <c r="O36" s="90">
        <v>0</v>
      </c>
      <c r="P36" s="95">
        <v>0</v>
      </c>
      <c r="Q36" s="95"/>
      <c r="R36" s="95"/>
      <c r="S36" s="74">
        <f t="shared" si="26"/>
        <v>4649.360000000001</v>
      </c>
      <c r="T36" s="91">
        <f t="shared" si="27"/>
        <v>0</v>
      </c>
      <c r="U36" s="74">
        <v>523.86</v>
      </c>
      <c r="V36" s="74">
        <v>709.29</v>
      </c>
      <c r="W36" s="74">
        <v>1117.07</v>
      </c>
      <c r="X36" s="74">
        <v>774.48</v>
      </c>
      <c r="Y36" s="74">
        <v>419.07</v>
      </c>
      <c r="Z36" s="92">
        <v>0</v>
      </c>
      <c r="AA36" s="92">
        <v>0</v>
      </c>
      <c r="AB36" s="92">
        <f t="shared" si="42"/>
        <v>3543.7700000000004</v>
      </c>
      <c r="AC36" s="94">
        <f t="shared" si="28"/>
        <v>5287.625000000002</v>
      </c>
      <c r="AD36" s="85">
        <f t="shared" si="29"/>
        <v>0</v>
      </c>
      <c r="AE36" s="85">
        <f t="shared" si="30"/>
        <v>0</v>
      </c>
      <c r="AF36" s="85"/>
      <c r="AG36" s="15">
        <f t="shared" si="31"/>
        <v>443.46</v>
      </c>
      <c r="AH36" s="15">
        <f t="shared" si="32"/>
        <v>147.82000000000002</v>
      </c>
      <c r="AI36" s="15">
        <f t="shared" si="33"/>
        <v>739.1</v>
      </c>
      <c r="AJ36" s="15">
        <v>0</v>
      </c>
      <c r="AK36" s="15">
        <f t="shared" si="34"/>
        <v>724.318</v>
      </c>
      <c r="AL36" s="15">
        <v>0</v>
      </c>
      <c r="AM36" s="15">
        <f t="shared" si="35"/>
        <v>1662.9750000000001</v>
      </c>
      <c r="AN36" s="15">
        <v>0</v>
      </c>
      <c r="AO36" s="15"/>
      <c r="AP36" s="15"/>
      <c r="AQ36" s="98"/>
      <c r="AR36" s="98"/>
      <c r="AS36" s="80"/>
      <c r="AT36" s="80"/>
      <c r="AU36" s="129">
        <f t="shared" si="36"/>
        <v>0</v>
      </c>
      <c r="AV36" s="99">
        <v>349</v>
      </c>
      <c r="AW36" s="114">
        <v>0.4</v>
      </c>
      <c r="AX36" s="15">
        <f t="shared" si="37"/>
        <v>195.43999999999997</v>
      </c>
      <c r="AY36" s="101"/>
      <c r="AZ36" s="102"/>
      <c r="BA36" s="102">
        <f t="shared" si="38"/>
        <v>0</v>
      </c>
      <c r="BB36" s="102">
        <f t="shared" si="39"/>
        <v>3913.1130000000007</v>
      </c>
      <c r="BC36" s="112"/>
      <c r="BD36" s="13">
        <f t="shared" si="40"/>
        <v>1374.512000000001</v>
      </c>
      <c r="BE36" s="27">
        <f t="shared" si="41"/>
        <v>-1105.5900000000001</v>
      </c>
    </row>
    <row r="37" spans="1:57" ht="12.75">
      <c r="A37" s="10" t="s">
        <v>41</v>
      </c>
      <c r="B37" s="87">
        <v>739.1</v>
      </c>
      <c r="C37" s="111">
        <f t="shared" si="24"/>
        <v>6393.215</v>
      </c>
      <c r="D37" s="110">
        <f t="shared" si="25"/>
        <v>1743.8450000000007</v>
      </c>
      <c r="E37" s="106">
        <v>687.32</v>
      </c>
      <c r="F37" s="106">
        <v>0</v>
      </c>
      <c r="G37" s="106">
        <v>930.46</v>
      </c>
      <c r="H37" s="106">
        <v>0</v>
      </c>
      <c r="I37" s="106">
        <v>1465.53</v>
      </c>
      <c r="J37" s="106">
        <v>0</v>
      </c>
      <c r="K37" s="106">
        <v>1016.21</v>
      </c>
      <c r="L37" s="106">
        <v>0</v>
      </c>
      <c r="M37" s="106">
        <v>549.85</v>
      </c>
      <c r="N37" s="106">
        <v>0</v>
      </c>
      <c r="O37" s="106">
        <v>0</v>
      </c>
      <c r="P37" s="107">
        <v>0</v>
      </c>
      <c r="Q37" s="107"/>
      <c r="R37" s="107"/>
      <c r="S37" s="74">
        <f t="shared" si="26"/>
        <v>4649.370000000001</v>
      </c>
      <c r="T37" s="91">
        <f t="shared" si="27"/>
        <v>0</v>
      </c>
      <c r="U37" s="74">
        <v>412.37</v>
      </c>
      <c r="V37" s="74">
        <v>558.53</v>
      </c>
      <c r="W37" s="74">
        <v>589.34</v>
      </c>
      <c r="X37" s="74">
        <v>609.58</v>
      </c>
      <c r="Y37" s="74">
        <v>329.89</v>
      </c>
      <c r="Z37" s="92">
        <v>0</v>
      </c>
      <c r="AA37" s="92">
        <v>0</v>
      </c>
      <c r="AB37" s="92">
        <f t="shared" si="42"/>
        <v>2499.71</v>
      </c>
      <c r="AC37" s="94">
        <f t="shared" si="28"/>
        <v>4243.555</v>
      </c>
      <c r="AD37" s="85">
        <f t="shared" si="29"/>
        <v>0</v>
      </c>
      <c r="AE37" s="85">
        <f t="shared" si="30"/>
        <v>0</v>
      </c>
      <c r="AF37" s="85"/>
      <c r="AG37" s="15">
        <f t="shared" si="31"/>
        <v>443.46</v>
      </c>
      <c r="AH37" s="15">
        <f t="shared" si="32"/>
        <v>147.82000000000002</v>
      </c>
      <c r="AI37" s="15">
        <f t="shared" si="33"/>
        <v>739.1</v>
      </c>
      <c r="AJ37" s="15">
        <v>0</v>
      </c>
      <c r="AK37" s="15">
        <f t="shared" si="34"/>
        <v>724.318</v>
      </c>
      <c r="AL37" s="15">
        <v>0</v>
      </c>
      <c r="AM37" s="15">
        <f t="shared" si="35"/>
        <v>1662.9750000000001</v>
      </c>
      <c r="AN37" s="15">
        <v>0</v>
      </c>
      <c r="AO37" s="15"/>
      <c r="AP37" s="15"/>
      <c r="AQ37" s="98"/>
      <c r="AR37" s="98"/>
      <c r="AS37" s="80"/>
      <c r="AT37" s="80"/>
      <c r="AU37" s="80">
        <f t="shared" si="36"/>
        <v>0</v>
      </c>
      <c r="AV37" s="99">
        <v>425</v>
      </c>
      <c r="AW37" s="114">
        <v>0.4</v>
      </c>
      <c r="AX37" s="15">
        <f t="shared" si="37"/>
        <v>237.99999999999997</v>
      </c>
      <c r="AY37" s="101"/>
      <c r="AZ37" s="102"/>
      <c r="BA37" s="102">
        <f t="shared" si="38"/>
        <v>0</v>
      </c>
      <c r="BB37" s="102">
        <f t="shared" si="39"/>
        <v>3955.6730000000002</v>
      </c>
      <c r="BC37" s="112"/>
      <c r="BD37" s="13">
        <f t="shared" si="40"/>
        <v>287.88200000000006</v>
      </c>
      <c r="BE37" s="27">
        <f t="shared" si="41"/>
        <v>-2149.6600000000008</v>
      </c>
    </row>
    <row r="38" spans="1:57" ht="12.75">
      <c r="A38" s="10" t="s">
        <v>42</v>
      </c>
      <c r="B38" s="87">
        <v>739.1</v>
      </c>
      <c r="C38" s="111">
        <f t="shared" si="24"/>
        <v>6393.215</v>
      </c>
      <c r="D38" s="110">
        <f t="shared" si="25"/>
        <v>1743.8450000000007</v>
      </c>
      <c r="E38" s="90">
        <v>687.32</v>
      </c>
      <c r="F38" s="90">
        <v>0</v>
      </c>
      <c r="G38" s="90">
        <v>930.46</v>
      </c>
      <c r="H38" s="90">
        <v>0</v>
      </c>
      <c r="I38" s="90">
        <v>1465.53</v>
      </c>
      <c r="J38" s="90">
        <v>0</v>
      </c>
      <c r="K38" s="90">
        <v>1016.21</v>
      </c>
      <c r="L38" s="90">
        <v>0</v>
      </c>
      <c r="M38" s="90">
        <v>549.85</v>
      </c>
      <c r="N38" s="90">
        <v>0</v>
      </c>
      <c r="O38" s="90">
        <v>0</v>
      </c>
      <c r="P38" s="95">
        <v>0</v>
      </c>
      <c r="Q38" s="95"/>
      <c r="R38" s="95"/>
      <c r="S38" s="74">
        <f t="shared" si="26"/>
        <v>4649.370000000001</v>
      </c>
      <c r="T38" s="91">
        <f t="shared" si="27"/>
        <v>0</v>
      </c>
      <c r="U38" s="76">
        <v>372.11</v>
      </c>
      <c r="V38" s="74">
        <v>503.85</v>
      </c>
      <c r="W38" s="74">
        <v>656.09</v>
      </c>
      <c r="X38" s="74">
        <v>550.16</v>
      </c>
      <c r="Y38" s="74">
        <v>297.7</v>
      </c>
      <c r="Z38" s="92">
        <v>0</v>
      </c>
      <c r="AA38" s="92">
        <v>0</v>
      </c>
      <c r="AB38" s="92">
        <f t="shared" si="42"/>
        <v>2379.91</v>
      </c>
      <c r="AC38" s="94">
        <f t="shared" si="28"/>
        <v>4123.755000000001</v>
      </c>
      <c r="AD38" s="85">
        <f t="shared" si="29"/>
        <v>0</v>
      </c>
      <c r="AE38" s="85">
        <f t="shared" si="30"/>
        <v>0</v>
      </c>
      <c r="AF38" s="85"/>
      <c r="AG38" s="15">
        <f t="shared" si="31"/>
        <v>443.46</v>
      </c>
      <c r="AH38" s="15">
        <f t="shared" si="32"/>
        <v>147.82000000000002</v>
      </c>
      <c r="AI38" s="15">
        <f t="shared" si="33"/>
        <v>739.1</v>
      </c>
      <c r="AJ38" s="15">
        <v>0</v>
      </c>
      <c r="AK38" s="15">
        <f t="shared" si="34"/>
        <v>724.318</v>
      </c>
      <c r="AL38" s="15">
        <v>0</v>
      </c>
      <c r="AM38" s="15">
        <f t="shared" si="35"/>
        <v>1662.9750000000001</v>
      </c>
      <c r="AN38" s="15">
        <v>0</v>
      </c>
      <c r="AO38" s="15"/>
      <c r="AP38" s="15"/>
      <c r="AQ38" s="98"/>
      <c r="AR38" s="98"/>
      <c r="AS38" s="80"/>
      <c r="AT38" s="80"/>
      <c r="AU38" s="80">
        <f t="shared" si="36"/>
        <v>0</v>
      </c>
      <c r="AV38" s="99">
        <v>470</v>
      </c>
      <c r="AW38" s="114">
        <v>0.4</v>
      </c>
      <c r="AX38" s="15">
        <f t="shared" si="37"/>
        <v>263.2</v>
      </c>
      <c r="AY38" s="101"/>
      <c r="AZ38" s="102"/>
      <c r="BA38" s="102">
        <f t="shared" si="38"/>
        <v>0</v>
      </c>
      <c r="BB38" s="102">
        <f t="shared" si="39"/>
        <v>3980.873</v>
      </c>
      <c r="BC38" s="112"/>
      <c r="BD38" s="13">
        <f t="shared" si="40"/>
        <v>142.88200000000097</v>
      </c>
      <c r="BE38" s="27">
        <f t="shared" si="41"/>
        <v>-2269.460000000001</v>
      </c>
    </row>
    <row r="39" spans="1:57" ht="12.75">
      <c r="A39" s="10" t="s">
        <v>43</v>
      </c>
      <c r="B39" s="87">
        <v>739.1</v>
      </c>
      <c r="C39" s="111">
        <f t="shared" si="24"/>
        <v>6393.215</v>
      </c>
      <c r="D39" s="110">
        <f t="shared" si="25"/>
        <v>1743.8450000000007</v>
      </c>
      <c r="E39" s="90">
        <v>687.32</v>
      </c>
      <c r="F39" s="90">
        <v>0</v>
      </c>
      <c r="G39" s="90">
        <v>930.46</v>
      </c>
      <c r="H39" s="90">
        <v>0</v>
      </c>
      <c r="I39" s="90">
        <v>1465.53</v>
      </c>
      <c r="J39" s="90">
        <v>0</v>
      </c>
      <c r="K39" s="90">
        <v>1016.21</v>
      </c>
      <c r="L39" s="90">
        <v>0</v>
      </c>
      <c r="M39" s="90">
        <v>549.85</v>
      </c>
      <c r="N39" s="90">
        <v>0</v>
      </c>
      <c r="O39" s="90">
        <v>0</v>
      </c>
      <c r="P39" s="95">
        <v>0</v>
      </c>
      <c r="Q39" s="95"/>
      <c r="R39" s="95"/>
      <c r="S39" s="74">
        <f t="shared" si="26"/>
        <v>4649.370000000001</v>
      </c>
      <c r="T39" s="91">
        <f t="shared" si="27"/>
        <v>0</v>
      </c>
      <c r="U39" s="74">
        <v>378.77</v>
      </c>
      <c r="V39" s="74">
        <v>512.72</v>
      </c>
      <c r="W39" s="74">
        <v>934.89</v>
      </c>
      <c r="X39" s="74">
        <v>648.16</v>
      </c>
      <c r="Y39" s="74">
        <v>303.01</v>
      </c>
      <c r="Z39" s="92">
        <v>0</v>
      </c>
      <c r="AA39" s="92">
        <v>0</v>
      </c>
      <c r="AB39" s="92">
        <f t="shared" si="42"/>
        <v>2777.55</v>
      </c>
      <c r="AC39" s="94">
        <f t="shared" si="28"/>
        <v>4521.395</v>
      </c>
      <c r="AD39" s="85">
        <f t="shared" si="29"/>
        <v>0</v>
      </c>
      <c r="AE39" s="85">
        <f t="shared" si="30"/>
        <v>0</v>
      </c>
      <c r="AF39" s="85"/>
      <c r="AG39" s="15">
        <f t="shared" si="31"/>
        <v>443.46</v>
      </c>
      <c r="AH39" s="15">
        <f t="shared" si="32"/>
        <v>147.82000000000002</v>
      </c>
      <c r="AI39" s="15">
        <f t="shared" si="33"/>
        <v>739.1</v>
      </c>
      <c r="AJ39" s="15">
        <v>0</v>
      </c>
      <c r="AK39" s="15">
        <f t="shared" si="34"/>
        <v>724.318</v>
      </c>
      <c r="AL39" s="15">
        <v>0</v>
      </c>
      <c r="AM39" s="15">
        <f t="shared" si="35"/>
        <v>1662.9750000000001</v>
      </c>
      <c r="AN39" s="15">
        <v>0</v>
      </c>
      <c r="AO39" s="15"/>
      <c r="AP39" s="15"/>
      <c r="AQ39" s="98"/>
      <c r="AR39" s="98"/>
      <c r="AS39" s="80"/>
      <c r="AT39" s="80"/>
      <c r="AU39" s="80">
        <f t="shared" si="36"/>
        <v>0</v>
      </c>
      <c r="AV39" s="99">
        <v>514</v>
      </c>
      <c r="AW39" s="114">
        <v>0.4</v>
      </c>
      <c r="AX39" s="15">
        <f t="shared" si="37"/>
        <v>287.84000000000003</v>
      </c>
      <c r="AY39" s="101"/>
      <c r="AZ39" s="102"/>
      <c r="BA39" s="102">
        <f t="shared" si="38"/>
        <v>0</v>
      </c>
      <c r="BB39" s="102">
        <f t="shared" si="39"/>
        <v>4005.5130000000004</v>
      </c>
      <c r="BC39" s="112"/>
      <c r="BD39" s="13">
        <f t="shared" si="40"/>
        <v>515.8820000000001</v>
      </c>
      <c r="BE39" s="27">
        <f t="shared" si="41"/>
        <v>-1871.8200000000006</v>
      </c>
    </row>
    <row r="40" spans="1:57" s="19" customFormat="1" ht="12.75">
      <c r="A40" s="16" t="s">
        <v>5</v>
      </c>
      <c r="B40" s="54"/>
      <c r="C40" s="54">
        <f aca="true" t="shared" si="43" ref="C40:AU40">SUM(C28:C39)</f>
        <v>76718.57999999999</v>
      </c>
      <c r="D40" s="54">
        <f t="shared" si="43"/>
        <v>20723.030000000013</v>
      </c>
      <c r="E40" s="51">
        <f t="shared" si="43"/>
        <v>7975.489999999998</v>
      </c>
      <c r="F40" s="51">
        <f t="shared" si="43"/>
        <v>257.83</v>
      </c>
      <c r="G40" s="51">
        <f t="shared" si="43"/>
        <v>10797.349999999999</v>
      </c>
      <c r="H40" s="51">
        <f t="shared" si="43"/>
        <v>349.45</v>
      </c>
      <c r="I40" s="51">
        <f t="shared" si="43"/>
        <v>17006.170000000002</v>
      </c>
      <c r="J40" s="51">
        <f t="shared" si="43"/>
        <v>549.88</v>
      </c>
      <c r="K40" s="51">
        <f t="shared" si="43"/>
        <v>11791.839999999997</v>
      </c>
      <c r="L40" s="51">
        <f t="shared" si="43"/>
        <v>380.92</v>
      </c>
      <c r="M40" s="51">
        <f t="shared" si="43"/>
        <v>6680.430000000001</v>
      </c>
      <c r="N40" s="51">
        <f t="shared" si="43"/>
        <v>206.18999999999997</v>
      </c>
      <c r="O40" s="51">
        <f t="shared" si="43"/>
        <v>0</v>
      </c>
      <c r="P40" s="51">
        <f t="shared" si="43"/>
        <v>0</v>
      </c>
      <c r="Q40" s="51">
        <f t="shared" si="43"/>
        <v>0</v>
      </c>
      <c r="R40" s="51">
        <f t="shared" si="43"/>
        <v>0</v>
      </c>
      <c r="S40" s="51">
        <f t="shared" si="43"/>
        <v>54251.28000000001</v>
      </c>
      <c r="T40" s="51">
        <f t="shared" si="43"/>
        <v>1744.27</v>
      </c>
      <c r="U40" s="55">
        <f t="shared" si="43"/>
        <v>4630.02</v>
      </c>
      <c r="V40" s="55">
        <f t="shared" si="43"/>
        <v>6275.34</v>
      </c>
      <c r="W40" s="55">
        <f t="shared" si="43"/>
        <v>10947.32</v>
      </c>
      <c r="X40" s="55">
        <f t="shared" si="43"/>
        <v>6802.859999999999</v>
      </c>
      <c r="Y40" s="55">
        <f t="shared" si="43"/>
        <v>3704.04</v>
      </c>
      <c r="Z40" s="55">
        <f t="shared" si="43"/>
        <v>0</v>
      </c>
      <c r="AA40" s="55">
        <f t="shared" si="43"/>
        <v>0</v>
      </c>
      <c r="AB40" s="55">
        <f t="shared" si="43"/>
        <v>32359.579999999998</v>
      </c>
      <c r="AC40" s="55">
        <f t="shared" si="43"/>
        <v>54826.88000000002</v>
      </c>
      <c r="AD40" s="55">
        <f t="shared" si="43"/>
        <v>0</v>
      </c>
      <c r="AE40" s="83">
        <f t="shared" si="43"/>
        <v>0</v>
      </c>
      <c r="AF40" s="83">
        <f t="shared" si="43"/>
        <v>0</v>
      </c>
      <c r="AG40" s="17">
        <f t="shared" si="43"/>
        <v>5321.5199999999995</v>
      </c>
      <c r="AH40" s="17">
        <f t="shared" si="43"/>
        <v>1773.84</v>
      </c>
      <c r="AI40" s="17">
        <f t="shared" si="43"/>
        <v>8869.200000000003</v>
      </c>
      <c r="AJ40" s="17">
        <f t="shared" si="43"/>
        <v>0</v>
      </c>
      <c r="AK40" s="17">
        <f t="shared" si="43"/>
        <v>8691.816</v>
      </c>
      <c r="AL40" s="17">
        <f t="shared" si="43"/>
        <v>0</v>
      </c>
      <c r="AM40" s="17">
        <f t="shared" si="43"/>
        <v>19955.699999999997</v>
      </c>
      <c r="AN40" s="17">
        <f t="shared" si="43"/>
        <v>0</v>
      </c>
      <c r="AO40" s="17">
        <f t="shared" si="43"/>
        <v>0</v>
      </c>
      <c r="AP40" s="17">
        <f t="shared" si="43"/>
        <v>0</v>
      </c>
      <c r="AQ40" s="17">
        <f t="shared" si="43"/>
        <v>0</v>
      </c>
      <c r="AR40" s="17">
        <f t="shared" si="43"/>
        <v>0</v>
      </c>
      <c r="AS40" s="17">
        <f t="shared" si="43"/>
        <v>0</v>
      </c>
      <c r="AT40" s="17">
        <f t="shared" si="43"/>
        <v>47.8</v>
      </c>
      <c r="AU40" s="17">
        <f t="shared" si="43"/>
        <v>8.604</v>
      </c>
      <c r="AV40" s="17"/>
      <c r="AW40" s="17"/>
      <c r="AX40" s="17">
        <f aca="true" t="shared" si="44" ref="AX40:BE40">SUM(AX28:AX39)</f>
        <v>2464</v>
      </c>
      <c r="AY40" s="17">
        <f t="shared" si="44"/>
        <v>0</v>
      </c>
      <c r="AZ40" s="17">
        <f t="shared" si="44"/>
        <v>0</v>
      </c>
      <c r="BA40" s="17">
        <f t="shared" si="44"/>
        <v>0</v>
      </c>
      <c r="BB40" s="17">
        <f t="shared" si="44"/>
        <v>47132.48</v>
      </c>
      <c r="BC40" s="17">
        <f t="shared" si="44"/>
        <v>0</v>
      </c>
      <c r="BD40" s="17">
        <f t="shared" si="44"/>
        <v>7694.400000000007</v>
      </c>
      <c r="BE40" s="18">
        <f t="shared" si="44"/>
        <v>-21891.699999999997</v>
      </c>
    </row>
    <row r="41" spans="1:57" ht="12.75">
      <c r="A41" s="10"/>
      <c r="B41" s="11"/>
      <c r="C41" s="12"/>
      <c r="D41" s="12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4"/>
      <c r="T41" s="44"/>
      <c r="U41" s="47"/>
      <c r="V41" s="47"/>
      <c r="W41" s="47"/>
      <c r="X41" s="47"/>
      <c r="Y41" s="47"/>
      <c r="Z41" s="47"/>
      <c r="AA41" s="47"/>
      <c r="AB41" s="47"/>
      <c r="AC41" s="84"/>
      <c r="AD41" s="84"/>
      <c r="AE41" s="85"/>
      <c r="AF41" s="85"/>
      <c r="AG41" s="15"/>
      <c r="AH41" s="15"/>
      <c r="AI41" s="15"/>
      <c r="AJ41" s="15"/>
      <c r="AK41" s="15"/>
      <c r="AL41" s="15"/>
      <c r="AM41" s="15"/>
      <c r="AN41" s="15"/>
      <c r="AO41" s="14"/>
      <c r="AP41" s="14"/>
      <c r="AQ41" s="14"/>
      <c r="AR41" s="14"/>
      <c r="AS41" s="79"/>
      <c r="AT41" s="79"/>
      <c r="AU41" s="80"/>
      <c r="AV41" s="80"/>
      <c r="AW41" s="80"/>
      <c r="AX41" s="20"/>
      <c r="AY41" s="14"/>
      <c r="AZ41" s="14"/>
      <c r="BA41" s="15"/>
      <c r="BB41" s="15"/>
      <c r="BC41" s="15"/>
      <c r="BD41" s="15"/>
      <c r="BE41" s="9"/>
    </row>
    <row r="42" spans="1:57" s="19" customFormat="1" ht="13.5" thickBot="1">
      <c r="A42" s="21" t="s">
        <v>54</v>
      </c>
      <c r="B42" s="22"/>
      <c r="C42" s="22">
        <f>C26+C40</f>
        <v>159955.8</v>
      </c>
      <c r="D42" s="22">
        <f aca="true" t="shared" si="45" ref="D42:BE42">D26+D40</f>
        <v>39678.46840500002</v>
      </c>
      <c r="E42" s="22">
        <f t="shared" si="45"/>
        <v>15444.779999999997</v>
      </c>
      <c r="F42" s="22">
        <f t="shared" si="45"/>
        <v>927.6599999999999</v>
      </c>
      <c r="G42" s="22">
        <f t="shared" si="45"/>
        <v>20901.539999999997</v>
      </c>
      <c r="H42" s="22">
        <f t="shared" si="45"/>
        <v>1256.01</v>
      </c>
      <c r="I42" s="22">
        <f t="shared" si="45"/>
        <v>30409.350000000002</v>
      </c>
      <c r="J42" s="22">
        <f t="shared" si="45"/>
        <v>1725.48</v>
      </c>
      <c r="K42" s="22">
        <f t="shared" si="45"/>
        <v>21064.159999999996</v>
      </c>
      <c r="L42" s="22">
        <f t="shared" si="45"/>
        <v>1192.3700000000001</v>
      </c>
      <c r="M42" s="22">
        <f t="shared" si="45"/>
        <v>12655.91</v>
      </c>
      <c r="N42" s="22">
        <f t="shared" si="45"/>
        <v>741.9499999999998</v>
      </c>
      <c r="O42" s="22">
        <f t="shared" si="45"/>
        <v>0</v>
      </c>
      <c r="P42" s="22">
        <f t="shared" si="45"/>
        <v>0</v>
      </c>
      <c r="Q42" s="22">
        <f t="shared" si="45"/>
        <v>0</v>
      </c>
      <c r="R42" s="22">
        <f t="shared" si="45"/>
        <v>0</v>
      </c>
      <c r="S42" s="22">
        <f t="shared" si="45"/>
        <v>100475.74</v>
      </c>
      <c r="T42" s="22">
        <f t="shared" si="45"/>
        <v>5843.470000000001</v>
      </c>
      <c r="U42" s="22">
        <f t="shared" si="45"/>
        <v>10462.970000000001</v>
      </c>
      <c r="V42" s="22">
        <f t="shared" si="45"/>
        <v>14437.74</v>
      </c>
      <c r="W42" s="22">
        <f t="shared" si="45"/>
        <v>20636.25</v>
      </c>
      <c r="X42" s="22">
        <f t="shared" si="45"/>
        <v>13503.969999999998</v>
      </c>
      <c r="Y42" s="22">
        <f t="shared" si="45"/>
        <v>8370.419999999998</v>
      </c>
      <c r="Z42" s="22">
        <f t="shared" si="45"/>
        <v>0</v>
      </c>
      <c r="AA42" s="22">
        <f t="shared" si="45"/>
        <v>0</v>
      </c>
      <c r="AB42" s="22">
        <f t="shared" si="45"/>
        <v>67411.34999999999</v>
      </c>
      <c r="AC42" s="22">
        <f t="shared" si="45"/>
        <v>112933.28840500003</v>
      </c>
      <c r="AD42" s="22">
        <f t="shared" si="45"/>
        <v>0</v>
      </c>
      <c r="AE42" s="22">
        <f t="shared" si="45"/>
        <v>0</v>
      </c>
      <c r="AF42" s="22">
        <f t="shared" si="45"/>
        <v>0</v>
      </c>
      <c r="AG42" s="22">
        <f t="shared" si="45"/>
        <v>10917.119999999999</v>
      </c>
      <c r="AH42" s="22">
        <f t="shared" si="45"/>
        <v>3650.3305052</v>
      </c>
      <c r="AI42" s="22">
        <f t="shared" si="45"/>
        <v>16698.837920550002</v>
      </c>
      <c r="AJ42" s="22">
        <f t="shared" si="45"/>
        <v>1409.3348256989998</v>
      </c>
      <c r="AK42" s="22">
        <f t="shared" si="45"/>
        <v>16423.83614883</v>
      </c>
      <c r="AL42" s="22">
        <f t="shared" si="45"/>
        <v>1391.7636267894002</v>
      </c>
      <c r="AM42" s="22">
        <f t="shared" si="45"/>
        <v>37405.09444096762</v>
      </c>
      <c r="AN42" s="22">
        <f t="shared" si="45"/>
        <v>3140.890999374172</v>
      </c>
      <c r="AO42" s="22">
        <f t="shared" si="45"/>
        <v>0</v>
      </c>
      <c r="AP42" s="22">
        <f t="shared" si="45"/>
        <v>0</v>
      </c>
      <c r="AQ42" s="22">
        <f t="shared" si="45"/>
        <v>0</v>
      </c>
      <c r="AR42" s="22">
        <f t="shared" si="45"/>
        <v>0</v>
      </c>
      <c r="AS42" s="22">
        <f t="shared" si="45"/>
        <v>150</v>
      </c>
      <c r="AT42" s="22">
        <f t="shared" si="45"/>
        <v>47.8</v>
      </c>
      <c r="AU42" s="22">
        <f t="shared" si="45"/>
        <v>35.604</v>
      </c>
      <c r="AV42" s="22">
        <f t="shared" si="45"/>
        <v>0</v>
      </c>
      <c r="AW42" s="22">
        <f t="shared" si="45"/>
        <v>0</v>
      </c>
      <c r="AX42" s="22">
        <f t="shared" si="45"/>
        <v>4790.016</v>
      </c>
      <c r="AY42" s="22">
        <f t="shared" si="45"/>
        <v>0</v>
      </c>
      <c r="AZ42" s="22">
        <f t="shared" si="45"/>
        <v>0</v>
      </c>
      <c r="BA42" s="22">
        <f t="shared" si="45"/>
        <v>0</v>
      </c>
      <c r="BB42" s="22">
        <f t="shared" si="45"/>
        <v>96060.6284674102</v>
      </c>
      <c r="BC42" s="22">
        <f t="shared" si="45"/>
        <v>0</v>
      </c>
      <c r="BD42" s="22">
        <f t="shared" si="45"/>
        <v>16872.659937589822</v>
      </c>
      <c r="BE42" s="22">
        <f t="shared" si="45"/>
        <v>-33064.38999999999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22">
      <selection activeCell="B54" sqref="B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22" t="s">
        <v>55</v>
      </c>
      <c r="C1" s="222"/>
      <c r="D1" s="222"/>
      <c r="E1" s="222"/>
      <c r="F1" s="222"/>
      <c r="G1" s="222"/>
      <c r="H1" s="222"/>
    </row>
    <row r="2" spans="2:8" ht="21" customHeight="1">
      <c r="B2" s="222" t="s">
        <v>56</v>
      </c>
      <c r="C2" s="222"/>
      <c r="D2" s="222"/>
      <c r="E2" s="222"/>
      <c r="F2" s="222"/>
      <c r="G2" s="222"/>
      <c r="H2" s="222"/>
    </row>
    <row r="5" spans="1:15" ht="12.75">
      <c r="A5" s="224" t="s">
        <v>90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2.75">
      <c r="A6" s="225" t="s">
        <v>93</v>
      </c>
      <c r="B6" s="225"/>
      <c r="C6" s="225"/>
      <c r="D6" s="225"/>
      <c r="E6" s="225"/>
      <c r="F6" s="225"/>
      <c r="G6" s="225"/>
      <c r="H6" s="86"/>
      <c r="I6" s="86"/>
      <c r="J6" s="86"/>
      <c r="K6" s="86"/>
      <c r="L6" s="86"/>
      <c r="M6" s="86"/>
      <c r="N6" s="86"/>
      <c r="O6" s="86"/>
    </row>
    <row r="7" spans="1:15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6" ht="13.5" thickBot="1">
      <c r="A8" s="223" t="s">
        <v>57</v>
      </c>
      <c r="B8" s="223"/>
      <c r="C8" s="223"/>
      <c r="D8" s="223"/>
      <c r="E8" s="223">
        <v>8.65</v>
      </c>
      <c r="F8" s="223"/>
    </row>
    <row r="9" spans="1:16" ht="12.75" customHeight="1">
      <c r="A9" s="177" t="s">
        <v>58</v>
      </c>
      <c r="B9" s="195" t="s">
        <v>1</v>
      </c>
      <c r="C9" s="198" t="s">
        <v>59</v>
      </c>
      <c r="D9" s="201" t="s">
        <v>3</v>
      </c>
      <c r="E9" s="214" t="s">
        <v>60</v>
      </c>
      <c r="F9" s="215"/>
      <c r="G9" s="218" t="s">
        <v>61</v>
      </c>
      <c r="H9" s="219"/>
      <c r="I9" s="204" t="s">
        <v>10</v>
      </c>
      <c r="J9" s="157"/>
      <c r="K9" s="157"/>
      <c r="L9" s="157"/>
      <c r="M9" s="157"/>
      <c r="N9" s="205"/>
      <c r="O9" s="191" t="s">
        <v>62</v>
      </c>
      <c r="P9" s="191" t="s">
        <v>12</v>
      </c>
    </row>
    <row r="10" spans="1:16" ht="12.75">
      <c r="A10" s="178"/>
      <c r="B10" s="196"/>
      <c r="C10" s="199"/>
      <c r="D10" s="202"/>
      <c r="E10" s="216"/>
      <c r="F10" s="217"/>
      <c r="G10" s="220"/>
      <c r="H10" s="221"/>
      <c r="I10" s="206"/>
      <c r="J10" s="146"/>
      <c r="K10" s="146"/>
      <c r="L10" s="146"/>
      <c r="M10" s="146"/>
      <c r="N10" s="207"/>
      <c r="O10" s="192"/>
      <c r="P10" s="192"/>
    </row>
    <row r="11" spans="1:16" ht="26.25" customHeight="1">
      <c r="A11" s="178"/>
      <c r="B11" s="196"/>
      <c r="C11" s="199"/>
      <c r="D11" s="202"/>
      <c r="E11" s="208" t="s">
        <v>63</v>
      </c>
      <c r="F11" s="209"/>
      <c r="G11" s="73" t="s">
        <v>64</v>
      </c>
      <c r="H11" s="186" t="s">
        <v>7</v>
      </c>
      <c r="I11" s="210" t="s">
        <v>65</v>
      </c>
      <c r="J11" s="212" t="s">
        <v>32</v>
      </c>
      <c r="K11" s="212" t="s">
        <v>66</v>
      </c>
      <c r="L11" s="212" t="s">
        <v>37</v>
      </c>
      <c r="M11" s="212" t="s">
        <v>67</v>
      </c>
      <c r="N11" s="186" t="s">
        <v>39</v>
      </c>
      <c r="O11" s="192"/>
      <c r="P11" s="192"/>
    </row>
    <row r="12" spans="1:16" ht="66.75" customHeight="1" thickBot="1">
      <c r="A12" s="194"/>
      <c r="B12" s="197"/>
      <c r="C12" s="200"/>
      <c r="D12" s="203"/>
      <c r="E12" s="57" t="s">
        <v>68</v>
      </c>
      <c r="F12" s="60" t="s">
        <v>21</v>
      </c>
      <c r="G12" s="70" t="s">
        <v>69</v>
      </c>
      <c r="H12" s="187"/>
      <c r="I12" s="211"/>
      <c r="J12" s="213"/>
      <c r="K12" s="213"/>
      <c r="L12" s="213"/>
      <c r="M12" s="213"/>
      <c r="N12" s="187"/>
      <c r="O12" s="193"/>
      <c r="P12" s="193"/>
    </row>
    <row r="13" spans="1:16" ht="12.75" customHeight="1" thickBot="1">
      <c r="A13" s="58">
        <v>1</v>
      </c>
      <c r="B13" s="59">
        <v>2</v>
      </c>
      <c r="C13" s="58">
        <v>3</v>
      </c>
      <c r="D13" s="59">
        <v>4</v>
      </c>
      <c r="E13" s="58">
        <v>5</v>
      </c>
      <c r="F13" s="59">
        <v>6</v>
      </c>
      <c r="G13" s="58">
        <v>7</v>
      </c>
      <c r="H13" s="59">
        <v>8</v>
      </c>
      <c r="I13" s="58">
        <v>9</v>
      </c>
      <c r="J13" s="59">
        <v>10</v>
      </c>
      <c r="K13" s="58">
        <v>11</v>
      </c>
      <c r="L13" s="59">
        <v>12</v>
      </c>
      <c r="M13" s="58">
        <v>13</v>
      </c>
      <c r="N13" s="59">
        <v>14</v>
      </c>
      <c r="O13" s="58">
        <v>15</v>
      </c>
      <c r="P13" s="132">
        <v>16</v>
      </c>
    </row>
    <row r="14" spans="1:18" ht="12.75">
      <c r="A14" s="7" t="s">
        <v>40</v>
      </c>
      <c r="B14" s="36"/>
      <c r="C14" s="37"/>
      <c r="D14" s="38"/>
      <c r="E14" s="39"/>
      <c r="F14" s="41"/>
      <c r="G14" s="40"/>
      <c r="H14" s="41"/>
      <c r="I14" s="40"/>
      <c r="J14" s="13"/>
      <c r="K14" s="13"/>
      <c r="L14" s="28"/>
      <c r="M14" s="63"/>
      <c r="N14" s="27"/>
      <c r="O14" s="66"/>
      <c r="P14" s="66"/>
      <c r="Q14" s="1"/>
      <c r="R14" s="1"/>
    </row>
    <row r="15" spans="1:18" ht="13.5" thickBot="1">
      <c r="A15" s="10" t="s">
        <v>45</v>
      </c>
      <c r="B15" s="71">
        <f>Лист1!B9</f>
        <v>742</v>
      </c>
      <c r="C15" s="24">
        <f>B15*8.65</f>
        <v>6418.3</v>
      </c>
      <c r="D15" s="25">
        <f>Лист1!D10</f>
        <v>1542.6384050000001</v>
      </c>
      <c r="E15" s="13">
        <f>Лист1!S10</f>
        <v>2874.5699999999997</v>
      </c>
      <c r="F15" s="27">
        <f>Лист1!T10</f>
        <v>245</v>
      </c>
      <c r="G15" s="26">
        <f>Лист1!AB10</f>
        <v>3218.0800000000004</v>
      </c>
      <c r="H15" s="27">
        <f>Лист1!AC10</f>
        <v>5005.7184050000005</v>
      </c>
      <c r="I15" s="26">
        <f>Лист1!AG10</f>
        <v>445.2</v>
      </c>
      <c r="J15" s="13">
        <f>Лист1!AI10+Лист1!AJ10</f>
        <v>743.6306192</v>
      </c>
      <c r="K15" s="13">
        <f>Лист1!AH10+Лист1!AK10+Лист1!AL10+Лист1!AM10+Лист1!AN10+Лист1!AO10+Лист1!AP10+Лист1!AQ10+Лист1!AR10</f>
        <v>2606.75487366</v>
      </c>
      <c r="L15" s="28">
        <f>Лист1!AS10+Лист1!AT10+Лист1!AU10+Лист1!AZ10+Лист1!BA10</f>
        <v>177</v>
      </c>
      <c r="M15" s="28">
        <f>Лист1!AX10</f>
        <v>0</v>
      </c>
      <c r="N15" s="27">
        <f>Лист1!BB10</f>
        <v>3972.5854928599997</v>
      </c>
      <c r="O15" s="66">
        <f>Лист1!BD10</f>
        <v>1033.1329121400008</v>
      </c>
      <c r="P15" s="66">
        <f>Лист1!BE10</f>
        <v>343.5100000000007</v>
      </c>
      <c r="Q15" s="1"/>
      <c r="R15" s="1"/>
    </row>
    <row r="16" spans="1:18" s="19" customFormat="1" ht="13.5" thickBot="1">
      <c r="A16" s="31" t="s">
        <v>5</v>
      </c>
      <c r="B16" s="32"/>
      <c r="C16" s="33">
        <f>SUM(C15)</f>
        <v>6418.3</v>
      </c>
      <c r="D16" s="33">
        <f aca="true" t="shared" si="0" ref="D16:P16">SUM(D15)</f>
        <v>1542.6384050000001</v>
      </c>
      <c r="E16" s="33">
        <f t="shared" si="0"/>
        <v>2874.5699999999997</v>
      </c>
      <c r="F16" s="33">
        <f t="shared" si="0"/>
        <v>245</v>
      </c>
      <c r="G16" s="33">
        <f t="shared" si="0"/>
        <v>3218.0800000000004</v>
      </c>
      <c r="H16" s="33">
        <f t="shared" si="0"/>
        <v>5005.7184050000005</v>
      </c>
      <c r="I16" s="33">
        <f t="shared" si="0"/>
        <v>445.2</v>
      </c>
      <c r="J16" s="33">
        <f t="shared" si="0"/>
        <v>743.6306192</v>
      </c>
      <c r="K16" s="33">
        <f t="shared" si="0"/>
        <v>2606.75487366</v>
      </c>
      <c r="L16" s="33">
        <f t="shared" si="0"/>
        <v>177</v>
      </c>
      <c r="M16" s="33">
        <f t="shared" si="0"/>
        <v>0</v>
      </c>
      <c r="N16" s="33">
        <f t="shared" si="0"/>
        <v>3972.5854928599997</v>
      </c>
      <c r="O16" s="33">
        <f t="shared" si="0"/>
        <v>1033.1329121400008</v>
      </c>
      <c r="P16" s="62">
        <f t="shared" si="0"/>
        <v>343.5100000000007</v>
      </c>
      <c r="Q16" s="64"/>
      <c r="R16" s="64"/>
    </row>
    <row r="17" spans="1:18" ht="12.75">
      <c r="A17" s="7" t="s">
        <v>44</v>
      </c>
      <c r="B17" s="36"/>
      <c r="C17" s="37"/>
      <c r="D17" s="38"/>
      <c r="E17" s="39"/>
      <c r="F17" s="41"/>
      <c r="G17" s="40"/>
      <c r="H17" s="41"/>
      <c r="I17" s="40"/>
      <c r="J17" s="13"/>
      <c r="K17" s="13"/>
      <c r="L17" s="28"/>
      <c r="M17" s="63"/>
      <c r="N17" s="27"/>
      <c r="O17" s="66"/>
      <c r="P17" s="66"/>
      <c r="Q17" s="1"/>
      <c r="R17" s="1"/>
    </row>
    <row r="18" spans="1:18" ht="12.75">
      <c r="A18" s="10" t="s">
        <v>45</v>
      </c>
      <c r="B18" s="71">
        <f>Лист1!B12</f>
        <v>742</v>
      </c>
      <c r="C18" s="24">
        <f aca="true" t="shared" si="1" ref="C18:C29">B18*8.65</f>
        <v>6418.3</v>
      </c>
      <c r="D18" s="25">
        <f>Лист1!D12</f>
        <v>802.2875</v>
      </c>
      <c r="E18" s="13">
        <f>Лист1!S12</f>
        <v>2894.6600000000003</v>
      </c>
      <c r="F18" s="27">
        <f>Лист1!T12</f>
        <v>245</v>
      </c>
      <c r="G18" s="26">
        <f>Лист1!AB12</f>
        <v>1237</v>
      </c>
      <c r="H18" s="27">
        <f>Лист1!AC12</f>
        <v>2284.2875</v>
      </c>
      <c r="I18" s="26">
        <f>Лист1!AG12</f>
        <v>400.68</v>
      </c>
      <c r="J18" s="13">
        <f>Лист1!AI12+Лист1!AJ12</f>
        <v>645.220342</v>
      </c>
      <c r="K18" s="13">
        <f>Лист1!AH12+Лист1!AK12+Лист1!AL12+Лист1!AM12+Лист1!AN12+Лист1!AO12+Лист1!AP12+Лист1!AQ12+Лист1!AR12</f>
        <v>2216.02567984</v>
      </c>
      <c r="L18" s="28">
        <f>Лист1!AS12+Лист1!AT12+Лист1!AU12+Лист1!AZ12+Лист1!BA12</f>
        <v>0</v>
      </c>
      <c r="M18" s="28">
        <f>Лист1!AX12</f>
        <v>268.54912</v>
      </c>
      <c r="N18" s="27">
        <f>Лист1!BB12</f>
        <v>3261.92602184</v>
      </c>
      <c r="O18" s="66">
        <f>Лист1!BD12</f>
        <v>-977.6385218400001</v>
      </c>
      <c r="P18" s="66">
        <f>Лист1!BE12</f>
        <v>-1657.6600000000003</v>
      </c>
      <c r="Q18" s="1"/>
      <c r="R18" s="1"/>
    </row>
    <row r="19" spans="1:18" ht="12.75">
      <c r="A19" s="10" t="s">
        <v>46</v>
      </c>
      <c r="B19" s="71">
        <f>Лист1!B13</f>
        <v>742</v>
      </c>
      <c r="C19" s="24">
        <f t="shared" si="1"/>
        <v>6418.3</v>
      </c>
      <c r="D19" s="25">
        <f>Лист1!D13</f>
        <v>802.2875</v>
      </c>
      <c r="E19" s="13">
        <f>Лист1!S13</f>
        <v>2894.6600000000003</v>
      </c>
      <c r="F19" s="27">
        <f>Лист1!T13</f>
        <v>245</v>
      </c>
      <c r="G19" s="26">
        <f>Лист1!AB13</f>
        <v>719.53</v>
      </c>
      <c r="H19" s="27">
        <f>Лист1!AC13</f>
        <v>1766.8174999999999</v>
      </c>
      <c r="I19" s="26">
        <f>Лист1!AG13</f>
        <v>400.68</v>
      </c>
      <c r="J19" s="13">
        <f>Лист1!AI13+Лист1!AJ13</f>
        <v>644.499716</v>
      </c>
      <c r="K19" s="13">
        <f>Лист1!AH13+Лист1!AK13+Лист1!AL13+Лист1!AM13+Лист1!AN13+Лист1!AO13+Лист1!AP13+Лист1!AQ13+Лист1!AR13</f>
        <v>2219.2246644399997</v>
      </c>
      <c r="L19" s="28">
        <f>Лист1!AS13+Лист1!AT13+Лист1!AU13+Лист1!AZ13+Лист1!BA13</f>
        <v>0</v>
      </c>
      <c r="M19" s="28">
        <f>Лист1!AX13</f>
        <v>215.15648000000004</v>
      </c>
      <c r="N19" s="27">
        <f>Лист1!BB13</f>
        <v>3264.40438044</v>
      </c>
      <c r="O19" s="66">
        <f>Лист1!BD13</f>
        <v>-1497.58688044</v>
      </c>
      <c r="P19" s="66">
        <f>Лист1!BE13</f>
        <v>-2175.13</v>
      </c>
      <c r="Q19" s="1"/>
      <c r="R19" s="1"/>
    </row>
    <row r="20" spans="1:18" ht="12.75">
      <c r="A20" s="10" t="s">
        <v>47</v>
      </c>
      <c r="B20" s="71">
        <f>Лист1!B14</f>
        <v>742</v>
      </c>
      <c r="C20" s="24">
        <f t="shared" si="1"/>
        <v>6418.3</v>
      </c>
      <c r="D20" s="25">
        <f>Лист1!D14</f>
        <v>802.2875</v>
      </c>
      <c r="E20" s="13">
        <f>Лист1!S14</f>
        <v>428.32</v>
      </c>
      <c r="F20" s="27">
        <f>Лист1!T14</f>
        <v>245</v>
      </c>
      <c r="G20" s="26">
        <f>Лист1!AB14</f>
        <v>3116.6800000000003</v>
      </c>
      <c r="H20" s="27">
        <f>Лист1!AC14</f>
        <v>4163.967500000001</v>
      </c>
      <c r="I20" s="26">
        <f>Лист1!AG14</f>
        <v>400.68</v>
      </c>
      <c r="J20" s="13">
        <f>Лист1!AI14+Лист1!AJ14</f>
        <v>645.627855</v>
      </c>
      <c r="K20" s="13">
        <f>Лист1!AH14+Лист1!AK14+Лист1!AL14+Лист1!AM14+Лист1!AN14+Лист1!AO14+Лист1!AP14+Лист1!AQ14+Лист1!AR14</f>
        <v>2145.1577072</v>
      </c>
      <c r="L20" s="28">
        <f>Лист1!AS14+Лист1!AT14+Лист1!AU14+Лист1!AZ14+Лист1!BA14</f>
        <v>0</v>
      </c>
      <c r="M20" s="28">
        <f>Лист1!AX14</f>
        <v>202.46912000000003</v>
      </c>
      <c r="N20" s="27">
        <f>Лист1!BB14</f>
        <v>3191.4655621999996</v>
      </c>
      <c r="O20" s="66">
        <f>Лист1!BD14</f>
        <v>972.5019378000011</v>
      </c>
      <c r="P20" s="66">
        <f>Лист1!BE14</f>
        <v>2688.36</v>
      </c>
      <c r="Q20" s="1"/>
      <c r="R20" s="1"/>
    </row>
    <row r="21" spans="1:18" ht="12.75">
      <c r="A21" s="10" t="s">
        <v>48</v>
      </c>
      <c r="B21" s="71">
        <f>Лист1!B15</f>
        <v>742</v>
      </c>
      <c r="C21" s="24">
        <f t="shared" si="1"/>
        <v>6418.3</v>
      </c>
      <c r="D21" s="25">
        <f>Лист1!D15</f>
        <v>802.2875</v>
      </c>
      <c r="E21" s="13">
        <f>Лист1!S15</f>
        <v>3064.3799999999997</v>
      </c>
      <c r="F21" s="27">
        <f>Лист1!T15</f>
        <v>245</v>
      </c>
      <c r="G21" s="26">
        <f>Лист1!AB15</f>
        <v>1090.5500000000002</v>
      </c>
      <c r="H21" s="27">
        <f>Лист1!AC15</f>
        <v>2137.8375</v>
      </c>
      <c r="I21" s="26">
        <f>Лист1!AG15</f>
        <v>400.68</v>
      </c>
      <c r="J21" s="13">
        <f>Лист1!AI15+Лист1!AJ15</f>
        <v>664.5938179999998</v>
      </c>
      <c r="K21" s="13">
        <f>Лист1!AH15+Лист1!AK15+Лист1!AL15+Лист1!AM15+Лист1!AN15+Лист1!AO15+Лист1!AP15+Лист1!AQ15+Лист1!AR15</f>
        <v>2175.73199312</v>
      </c>
      <c r="L21" s="28">
        <f>Лист1!AS15+Лист1!AT15+Лист1!AU15+Лист1!AY15+Лист1!AZ15</f>
        <v>0</v>
      </c>
      <c r="M21" s="28">
        <f>Лист1!AX15</f>
        <v>162.29248000000004</v>
      </c>
      <c r="N21" s="27">
        <f>Лист1!BB15</f>
        <v>4089.4730111200006</v>
      </c>
      <c r="O21" s="66">
        <f>Лист1!BD15</f>
        <v>-1951.6355111200005</v>
      </c>
      <c r="P21" s="66">
        <f>Лист1!BE15</f>
        <v>-1973.8299999999995</v>
      </c>
      <c r="Q21" s="1"/>
      <c r="R21" s="1"/>
    </row>
    <row r="22" spans="1:18" ht="12.75">
      <c r="A22" s="10" t="s">
        <v>49</v>
      </c>
      <c r="B22" s="71">
        <f>Лист1!B16</f>
        <v>739.1</v>
      </c>
      <c r="C22" s="24">
        <f t="shared" si="1"/>
        <v>6393.215</v>
      </c>
      <c r="D22" s="25">
        <f>Лист1!D16</f>
        <v>1775.4550000000017</v>
      </c>
      <c r="E22" s="13">
        <f>Лист1!S16</f>
        <v>4250.53</v>
      </c>
      <c r="F22" s="27">
        <f>Лист1!T16</f>
        <v>367.23</v>
      </c>
      <c r="G22" s="26">
        <f>Лист1!AB16</f>
        <v>1646.22</v>
      </c>
      <c r="H22" s="27">
        <f>Лист1!AC16</f>
        <v>3788.9050000000016</v>
      </c>
      <c r="I22" s="26">
        <f>Лист1!AG16</f>
        <v>443.46</v>
      </c>
      <c r="J22" s="13">
        <f>Лист1!AI16+Лист1!AJ16</f>
        <v>741.3173</v>
      </c>
      <c r="K22" s="13">
        <f>Лист1!AH16+Лист1!AK16+Лист1!AL16+Лист1!AM16+Лист1!AN16+Лист1!AO16+Лист1!AP16+Лист1!AQ16+Лист1!AR16</f>
        <v>2538.9563200000002</v>
      </c>
      <c r="L22" s="28">
        <f>Лист1!AS16+Лист1!AT16+Лист1!AU16+Лист1!AZ16+Лист1!BA16</f>
        <v>0</v>
      </c>
      <c r="M22" s="28">
        <f>Лист1!AX16</f>
        <v>139.03232</v>
      </c>
      <c r="N22" s="27">
        <f>Лист1!BB16</f>
        <v>3862.76594</v>
      </c>
      <c r="O22" s="66">
        <f>Лист1!BD16</f>
        <v>-73.86093999999821</v>
      </c>
      <c r="P22" s="66">
        <f>Лист1!BE16</f>
        <v>-2604.3099999999995</v>
      </c>
      <c r="Q22" s="1"/>
      <c r="R22" s="1"/>
    </row>
    <row r="23" spans="1:18" ht="12.75">
      <c r="A23" s="10" t="s">
        <v>50</v>
      </c>
      <c r="B23" s="71">
        <f>Лист1!B17</f>
        <v>739.1</v>
      </c>
      <c r="C23" s="24">
        <f t="shared" si="1"/>
        <v>6393.215</v>
      </c>
      <c r="D23" s="25">
        <f>Лист1!D17</f>
        <v>1775.4550000000017</v>
      </c>
      <c r="E23" s="13">
        <f>Лист1!S17</f>
        <v>4250.53</v>
      </c>
      <c r="F23" s="27">
        <f>Лист1!T17</f>
        <v>367.23</v>
      </c>
      <c r="G23" s="26">
        <f>Лист1!AB17</f>
        <v>1904.02</v>
      </c>
      <c r="H23" s="27">
        <f>Лист1!AC17</f>
        <v>4046.7050000000017</v>
      </c>
      <c r="I23" s="26">
        <f>Лист1!AG17</f>
        <v>443.46</v>
      </c>
      <c r="J23" s="13">
        <f>Лист1!AI17+Лист1!AJ17</f>
        <v>741.3173</v>
      </c>
      <c r="K23" s="13">
        <f>Лист1!AH17+Лист1!AK17+Лист1!AL17+Лист1!AM17+Лист1!AN17+Лист1!AO17+Лист1!AP17+Лист1!AQ17+Лист1!AR17</f>
        <v>2539.022839</v>
      </c>
      <c r="L23" s="28">
        <f>Лист1!AS17+Лист1!AT17+Лист1!AU17+Лист1!AZ17+Лист1!BA17</f>
        <v>0</v>
      </c>
      <c r="M23" s="28">
        <f>Лист1!AX17</f>
        <v>123.17312000000001</v>
      </c>
      <c r="N23" s="27">
        <f>Лист1!BB17</f>
        <v>3846.973259</v>
      </c>
      <c r="O23" s="66">
        <f>Лист1!BD17</f>
        <v>199.73174100000188</v>
      </c>
      <c r="P23" s="66">
        <f>Лист1!BE17</f>
        <v>-2346.5099999999998</v>
      </c>
      <c r="Q23" s="1"/>
      <c r="R23" s="1"/>
    </row>
    <row r="24" spans="1:18" ht="12.75">
      <c r="A24" s="10" t="s">
        <v>51</v>
      </c>
      <c r="B24" s="71">
        <f>Лист1!B18</f>
        <v>739.1</v>
      </c>
      <c r="C24" s="24">
        <f t="shared" si="1"/>
        <v>6393.215</v>
      </c>
      <c r="D24" s="25">
        <f>Лист1!D18</f>
        <v>1775.4550000000017</v>
      </c>
      <c r="E24" s="13">
        <f>Лист1!S18</f>
        <v>4250.53</v>
      </c>
      <c r="F24" s="27">
        <f>Лист1!T18</f>
        <v>367.23</v>
      </c>
      <c r="G24" s="26">
        <f>Лист1!AB18</f>
        <v>528.58</v>
      </c>
      <c r="H24" s="27">
        <f>Лист1!AC18</f>
        <v>2671.2650000000017</v>
      </c>
      <c r="I24" s="26">
        <f>Лист1!AG18</f>
        <v>443.46</v>
      </c>
      <c r="J24" s="13">
        <f>Лист1!AI18+Лист1!AJ18</f>
        <v>730.7905943400001</v>
      </c>
      <c r="K24" s="13">
        <f>Лист1!AH18+Лист1!AK18+Лист1!AL18+Лист1!AM18+Лист1!AN18+Лист1!AO18+Лист1!AP18+Лист1!AQ18+Лист1!AR18</f>
        <v>2513.759824502</v>
      </c>
      <c r="L24" s="28">
        <f>Лист1!AS18+Лист1!AT18+Лист1!AU18+Лист1!AZ18+Лист1!BA18</f>
        <v>0</v>
      </c>
      <c r="M24" s="28">
        <f>Лист1!AX18</f>
        <v>131.10272</v>
      </c>
      <c r="N24" s="27">
        <f>Лист1!BB18</f>
        <v>3819.1131388419994</v>
      </c>
      <c r="O24" s="66">
        <f>Лист1!BD18</f>
        <v>-1147.8481388419978</v>
      </c>
      <c r="P24" s="66">
        <f>Лист1!BE18</f>
        <v>-3721.95</v>
      </c>
      <c r="Q24" s="1"/>
      <c r="R24" s="1"/>
    </row>
    <row r="25" spans="1:18" ht="12.75">
      <c r="A25" s="10" t="s">
        <v>52</v>
      </c>
      <c r="B25" s="71">
        <f>Лист1!B19</f>
        <v>739.1</v>
      </c>
      <c r="C25" s="24">
        <f t="shared" si="1"/>
        <v>6393.215</v>
      </c>
      <c r="D25" s="25">
        <f>Лист1!D19</f>
        <v>1775.4550000000017</v>
      </c>
      <c r="E25" s="13">
        <f>Лист1!S19</f>
        <v>4250.53</v>
      </c>
      <c r="F25" s="27">
        <f>Лист1!T19</f>
        <v>367.23</v>
      </c>
      <c r="G25" s="26">
        <f>Лист1!AB19</f>
        <v>4816.68</v>
      </c>
      <c r="H25" s="27">
        <f>Лист1!AC19</f>
        <v>6959.365000000002</v>
      </c>
      <c r="I25" s="26">
        <f>Лист1!AG19</f>
        <v>443.46</v>
      </c>
      <c r="J25" s="13">
        <f>Лист1!AI19+Лист1!AJ19</f>
        <v>730.382869825</v>
      </c>
      <c r="K25" s="13">
        <f>Лист1!AH19+Лист1!AK19+Лист1!AL19+Лист1!AM19+Лист1!AN19+Лист1!AO19+Лист1!AP19+Лист1!AQ19+Лист1!AR19</f>
        <v>2513.231663642</v>
      </c>
      <c r="L25" s="28">
        <f>Лист1!AS19+Лист1!AT19+Лист1!AU19+Лист1!AZ19+Лист1!BA19</f>
        <v>0</v>
      </c>
      <c r="M25" s="28">
        <f>Лист1!AX19</f>
        <v>154.89152</v>
      </c>
      <c r="N25" s="27">
        <f>Лист1!BB19</f>
        <v>3841.9660534669997</v>
      </c>
      <c r="O25" s="66">
        <f>Лист1!BD19</f>
        <v>3117.398946533002</v>
      </c>
      <c r="P25" s="66">
        <f>Лист1!BE19</f>
        <v>566.1500000000005</v>
      </c>
      <c r="Q25" s="1"/>
      <c r="R25" s="1"/>
    </row>
    <row r="26" spans="1:18" ht="12.75">
      <c r="A26" s="10" t="s">
        <v>53</v>
      </c>
      <c r="B26" s="71">
        <f>Лист1!B20</f>
        <v>739.1</v>
      </c>
      <c r="C26" s="24">
        <f t="shared" si="1"/>
        <v>6393.215</v>
      </c>
      <c r="D26" s="25">
        <f>Лист1!D20</f>
        <v>1775.4550000000017</v>
      </c>
      <c r="E26" s="13">
        <f>Лист1!S20</f>
        <v>4250.53</v>
      </c>
      <c r="F26" s="27">
        <f>Лист1!T20</f>
        <v>367.23</v>
      </c>
      <c r="G26" s="26">
        <f>Лист1!AB20</f>
        <v>2012.3799999999999</v>
      </c>
      <c r="H26" s="27">
        <f>Лист1!AC20</f>
        <v>4155.065000000001</v>
      </c>
      <c r="I26" s="26">
        <f>Лист1!AG20</f>
        <v>443.46</v>
      </c>
      <c r="J26" s="13">
        <f>Лист1!AI20+Лист1!AJ20</f>
        <v>730.2568458840001</v>
      </c>
      <c r="K26" s="13">
        <f>Лист1!AH20+Лист1!AK20+Лист1!AL20+Лист1!AM20+Лист1!AN20+Лист1!AO20+Лист1!AP20+Лист1!AQ20+Лист1!AR20</f>
        <v>2513.0683757572</v>
      </c>
      <c r="L26" s="28">
        <f>Лист1!AS20+Лист1!AT20+Лист1!AU20+Лист1!AZ20+Лист1!BA20</f>
        <v>0</v>
      </c>
      <c r="M26" s="28">
        <f>Лист1!AX20</f>
        <v>184.49536</v>
      </c>
      <c r="N26" s="27">
        <f>Лист1!BB20</f>
        <v>3871.2805816411997</v>
      </c>
      <c r="O26" s="66">
        <f>Лист1!BD20</f>
        <v>283.78441835880176</v>
      </c>
      <c r="P26" s="66">
        <f>Лист1!BE20</f>
        <v>-2238.1499999999996</v>
      </c>
      <c r="Q26" s="1"/>
      <c r="R26" s="1"/>
    </row>
    <row r="27" spans="1:18" ht="12.75">
      <c r="A27" s="10" t="s">
        <v>41</v>
      </c>
      <c r="B27" s="71">
        <f>Лист1!B21</f>
        <v>739.1</v>
      </c>
      <c r="C27" s="24">
        <f>B27*8.65</f>
        <v>6393.215</v>
      </c>
      <c r="D27" s="25">
        <f>Лист1!D21</f>
        <v>1775.455</v>
      </c>
      <c r="E27" s="13">
        <f>Лист1!S21</f>
        <v>4314.17</v>
      </c>
      <c r="F27" s="27">
        <f>Лист1!T21</f>
        <v>303.59</v>
      </c>
      <c r="G27" s="26">
        <f>Лист1!AB21</f>
        <v>3956.5899999999997</v>
      </c>
      <c r="H27" s="27">
        <f>Лист1!AC21</f>
        <v>6035.634999999999</v>
      </c>
      <c r="I27" s="26">
        <f>Лист1!AG21</f>
        <v>443.46</v>
      </c>
      <c r="J27" s="13">
        <f>Лист1!AI21+Лист1!AJ21</f>
        <v>738.700886</v>
      </c>
      <c r="K27" s="13">
        <f>Лист1!AH21+Лист1!AK21+Лист1!AL21+Лист1!AM21+Лист1!AN21+Лист1!AO21+Лист1!AP21+Лист1!AQ21+Лист1!AR21</f>
        <v>2534.66954</v>
      </c>
      <c r="L27" s="28">
        <f>Лист1!AS21+Лист1!AT21+Лист1!AU21+Лист1!AZ21+Лист1!BA21</f>
        <v>0</v>
      </c>
      <c r="M27" s="28">
        <f>Лист1!AX21</f>
        <v>224.672</v>
      </c>
      <c r="N27" s="27">
        <f>Лист1!BB21</f>
        <v>3941.5024260000005</v>
      </c>
      <c r="O27" s="66">
        <f>Лист1!BD21</f>
        <v>2094.132573999999</v>
      </c>
      <c r="P27" s="66">
        <f>Лист1!BE21</f>
        <v>-357.5800000000004</v>
      </c>
      <c r="Q27" s="1"/>
      <c r="R27" s="1"/>
    </row>
    <row r="28" spans="1:18" ht="12.75">
      <c r="A28" s="10" t="s">
        <v>42</v>
      </c>
      <c r="B28" s="71">
        <f>Лист1!B22</f>
        <v>739.1</v>
      </c>
      <c r="C28" s="24">
        <f t="shared" si="1"/>
        <v>6393.215</v>
      </c>
      <c r="D28" s="25">
        <f>Лист1!D22</f>
        <v>1775.4650000000015</v>
      </c>
      <c r="E28" s="13">
        <f>Лист1!S22</f>
        <v>4250.5199999999995</v>
      </c>
      <c r="F28" s="27">
        <f>Лист1!T22</f>
        <v>367.23</v>
      </c>
      <c r="G28" s="26">
        <f>Лист1!AB22</f>
        <v>3968.5700000000006</v>
      </c>
      <c r="H28" s="27">
        <f>Лист1!AC22</f>
        <v>6111.265000000002</v>
      </c>
      <c r="I28" s="26">
        <f>Лист1!AG22</f>
        <v>443.46</v>
      </c>
      <c r="J28" s="13">
        <f>Лист1!AI22+Лист1!AJ22</f>
        <v>741.3173</v>
      </c>
      <c r="K28" s="13">
        <f>Лист1!AH22+Лист1!AK22+Лист1!AL22+Лист1!AM22+Лист1!AN22+Лист1!AO22+Лист1!AP22+Лист1!AQ22+Лист1!AR22</f>
        <v>2537.4781199999998</v>
      </c>
      <c r="L28" s="28">
        <f>Лист1!AS22+Лист1!AT22+Лист1!AU22+Лист1!AZ22+Лист1!BA22</f>
        <v>0</v>
      </c>
      <c r="M28" s="28">
        <f>Лист1!AX22</f>
        <v>248.46080000000003</v>
      </c>
      <c r="N28" s="27">
        <f>Лист1!BB22</f>
        <v>3970.7162199999993</v>
      </c>
      <c r="O28" s="66">
        <f>Лист1!BD22</f>
        <v>2140.548780000003</v>
      </c>
      <c r="P28" s="66">
        <f>Лист1!BE22</f>
        <v>-281.9499999999989</v>
      </c>
      <c r="Q28" s="1"/>
      <c r="R28" s="1"/>
    </row>
    <row r="29" spans="1:18" ht="13.5" thickBot="1">
      <c r="A29" s="29" t="s">
        <v>43</v>
      </c>
      <c r="B29" s="71">
        <f>Лист1!B23</f>
        <v>739.1</v>
      </c>
      <c r="C29" s="30">
        <f t="shared" si="1"/>
        <v>6393.215</v>
      </c>
      <c r="D29" s="25">
        <f>Лист1!D23</f>
        <v>1775.4550000000017</v>
      </c>
      <c r="E29" s="13">
        <f>Лист1!S23</f>
        <v>4250.53</v>
      </c>
      <c r="F29" s="27">
        <f>Лист1!T23</f>
        <v>367.23</v>
      </c>
      <c r="G29" s="26">
        <f>Лист1!AB23</f>
        <v>6836.89</v>
      </c>
      <c r="H29" s="27">
        <f>Лист1!AC23</f>
        <v>8979.575000000003</v>
      </c>
      <c r="I29" s="26">
        <f>Лист1!AG23</f>
        <v>443.46</v>
      </c>
      <c r="J29" s="13">
        <f>Лист1!AI23+Лист1!AJ23</f>
        <v>741.3173</v>
      </c>
      <c r="K29" s="13">
        <f>Лист1!AH23+Лист1!AK23+Лист1!AL23+Лист1!AM23+Лист1!AN23+Лист1!AO23+Лист1!AP23+Лист1!AQ23+Лист1!AR23</f>
        <v>2537.4781199999998</v>
      </c>
      <c r="L29" s="28">
        <f>Лист1!AS23+Лист1!AT23+Лист1!AU23+Лист1!AZ23+Лист1!BA23</f>
        <v>0</v>
      </c>
      <c r="M29" s="28">
        <f>Лист1!AX23</f>
        <v>271.72096000000005</v>
      </c>
      <c r="N29" s="27">
        <f>Лист1!BB23</f>
        <v>3993.9763799999987</v>
      </c>
      <c r="O29" s="66">
        <f>Лист1!BD23</f>
        <v>4985.598620000004</v>
      </c>
      <c r="P29" s="66">
        <f>Лист1!BE23</f>
        <v>2586.3600000000006</v>
      </c>
      <c r="Q29" s="1"/>
      <c r="R29" s="1"/>
    </row>
    <row r="30" spans="1:18" s="19" customFormat="1" ht="13.5" thickBot="1">
      <c r="A30" s="31" t="s">
        <v>5</v>
      </c>
      <c r="B30" s="32"/>
      <c r="C30" s="33">
        <f aca="true" t="shared" si="2" ref="C30:P30">SUM(C18:C29)</f>
        <v>76818.91999999998</v>
      </c>
      <c r="D30" s="61">
        <f t="shared" si="2"/>
        <v>17412.80000000001</v>
      </c>
      <c r="E30" s="33">
        <f t="shared" si="2"/>
        <v>43349.88999999999</v>
      </c>
      <c r="F30" s="62">
        <f t="shared" si="2"/>
        <v>3854.2000000000003</v>
      </c>
      <c r="G30" s="61">
        <f t="shared" si="2"/>
        <v>31833.69</v>
      </c>
      <c r="H30" s="62">
        <f t="shared" si="2"/>
        <v>53100.69000000002</v>
      </c>
      <c r="I30" s="61">
        <f t="shared" si="2"/>
        <v>5150.4</v>
      </c>
      <c r="J30" s="33">
        <f t="shared" si="2"/>
        <v>8495.342127049</v>
      </c>
      <c r="K30" s="33">
        <f t="shared" si="2"/>
        <v>28983.804847501204</v>
      </c>
      <c r="L30" s="33">
        <f>SUM(L18:L29)</f>
        <v>0</v>
      </c>
      <c r="M30" s="33">
        <f t="shared" si="2"/>
        <v>2326.016</v>
      </c>
      <c r="N30" s="62">
        <f t="shared" si="2"/>
        <v>44955.5629745502</v>
      </c>
      <c r="O30" s="67">
        <f t="shared" si="2"/>
        <v>8145.127025449816</v>
      </c>
      <c r="P30" s="67">
        <f t="shared" si="2"/>
        <v>-11516.199999999995</v>
      </c>
      <c r="Q30" s="64"/>
      <c r="R30" s="64"/>
    </row>
    <row r="31" spans="1:18" ht="13.5" thickBot="1">
      <c r="A31" s="188" t="s">
        <v>70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68"/>
      <c r="Q31" s="1"/>
      <c r="R31" s="1"/>
    </row>
    <row r="32" spans="1:18" s="19" customFormat="1" ht="13.5" thickBot="1">
      <c r="A32" s="69" t="s">
        <v>54</v>
      </c>
      <c r="B32" s="34"/>
      <c r="C32" s="35">
        <f>C16+C30</f>
        <v>83237.21999999999</v>
      </c>
      <c r="D32" s="35">
        <f aca="true" t="shared" si="3" ref="D32:P32">D16+D30</f>
        <v>18955.43840500001</v>
      </c>
      <c r="E32" s="35">
        <f t="shared" si="3"/>
        <v>46224.45999999999</v>
      </c>
      <c r="F32" s="35">
        <f t="shared" si="3"/>
        <v>4099.200000000001</v>
      </c>
      <c r="G32" s="35">
        <f t="shared" si="3"/>
        <v>35051.77</v>
      </c>
      <c r="H32" s="35">
        <f t="shared" si="3"/>
        <v>58106.40840500002</v>
      </c>
      <c r="I32" s="35">
        <f t="shared" si="3"/>
        <v>5595.599999999999</v>
      </c>
      <c r="J32" s="35">
        <f t="shared" si="3"/>
        <v>9238.972746249</v>
      </c>
      <c r="K32" s="35">
        <f t="shared" si="3"/>
        <v>31590.559721161204</v>
      </c>
      <c r="L32" s="35">
        <f t="shared" si="3"/>
        <v>177</v>
      </c>
      <c r="M32" s="35">
        <f t="shared" si="3"/>
        <v>2326.016</v>
      </c>
      <c r="N32" s="35">
        <f t="shared" si="3"/>
        <v>48928.1484674102</v>
      </c>
      <c r="O32" s="35">
        <f t="shared" si="3"/>
        <v>9178.259937589817</v>
      </c>
      <c r="P32" s="35">
        <f t="shared" si="3"/>
        <v>-11172.689999999995</v>
      </c>
      <c r="Q32" s="65"/>
      <c r="R32" s="64"/>
    </row>
    <row r="33" spans="1:18" ht="12.75">
      <c r="A33" s="7" t="s">
        <v>91</v>
      </c>
      <c r="B33" s="36"/>
      <c r="C33" s="37"/>
      <c r="D33" s="38"/>
      <c r="E33" s="39"/>
      <c r="F33" s="41"/>
      <c r="G33" s="40"/>
      <c r="H33" s="41"/>
      <c r="I33" s="40"/>
      <c r="J33" s="13"/>
      <c r="K33" s="13"/>
      <c r="L33" s="28"/>
      <c r="M33" s="63"/>
      <c r="N33" s="27"/>
      <c r="O33" s="66"/>
      <c r="P33" s="66"/>
      <c r="Q33" s="1"/>
      <c r="R33" s="1"/>
    </row>
    <row r="34" spans="1:18" ht="12.75">
      <c r="A34" s="10" t="s">
        <v>45</v>
      </c>
      <c r="B34" s="71">
        <f>Лист1!B28</f>
        <v>739.1</v>
      </c>
      <c r="C34" s="24">
        <f aca="true" t="shared" si="4" ref="C34:C45">B34*8.65</f>
        <v>6393.215</v>
      </c>
      <c r="D34" s="25">
        <f>Лист1!D28</f>
        <v>1775.4550000000017</v>
      </c>
      <c r="E34" s="13">
        <f>Лист1!S28</f>
        <v>4250.53</v>
      </c>
      <c r="F34" s="27">
        <f>Лист1!T28</f>
        <v>367.23</v>
      </c>
      <c r="G34" s="26">
        <f>Лист1!AB28</f>
        <v>1132.02</v>
      </c>
      <c r="H34" s="27">
        <f>Лист1!AC28</f>
        <v>3274.7050000000017</v>
      </c>
      <c r="I34" s="26">
        <f>Лист1!AG28</f>
        <v>443.46</v>
      </c>
      <c r="J34" s="13">
        <f>Лист1!AI28+Лист1!AJ28</f>
        <v>739.1</v>
      </c>
      <c r="K34" s="13">
        <f>Лист1!AH28+Лист1!AK28+Лист1!AL28+Лист1!AM28+Лист1!AN28+Лист1!AO28+Лист1!AP28+Лист1!AQ28+Лист1!AR28</f>
        <v>2535.1130000000003</v>
      </c>
      <c r="L34" s="28">
        <f>Лист1!AS28+Лист1!AT28+Лист1!AU28+Лист1!AZ28+Лист1!BA28</f>
        <v>0</v>
      </c>
      <c r="M34" s="28">
        <f>Лист1!AX28</f>
        <v>284.48</v>
      </c>
      <c r="N34" s="27">
        <f>Лист1!BB28</f>
        <v>4002.153</v>
      </c>
      <c r="O34" s="66">
        <f>Лист1!BD28</f>
        <v>-727.447999999998</v>
      </c>
      <c r="P34" s="66">
        <f>Лист1!BE28</f>
        <v>-3118.5099999999998</v>
      </c>
      <c r="Q34" s="1"/>
      <c r="R34" s="1"/>
    </row>
    <row r="35" spans="1:18" ht="12.75">
      <c r="A35" s="10" t="s">
        <v>46</v>
      </c>
      <c r="B35" s="71">
        <f>Лист1!B29</f>
        <v>739.1</v>
      </c>
      <c r="C35" s="24">
        <f t="shared" si="4"/>
        <v>6393.215</v>
      </c>
      <c r="D35" s="25">
        <f>Лист1!D29</f>
        <v>1775.4350000000015</v>
      </c>
      <c r="E35" s="13">
        <f>Лист1!S29</f>
        <v>4250.55</v>
      </c>
      <c r="F35" s="27">
        <f>Лист1!T29</f>
        <v>367.23</v>
      </c>
      <c r="G35" s="26">
        <f>Лист1!AB29</f>
        <v>1731.43</v>
      </c>
      <c r="H35" s="27">
        <f>Лист1!AC29</f>
        <v>3874.095000000002</v>
      </c>
      <c r="I35" s="26">
        <f>Лист1!AG29</f>
        <v>443.46</v>
      </c>
      <c r="J35" s="13">
        <f>Лист1!AI29+Лист1!AJ29</f>
        <v>739.1</v>
      </c>
      <c r="K35" s="13">
        <f>Лист1!AH29+Лист1!AK29+Лист1!AL29+Лист1!AM29+Лист1!AN29+Лист1!AO29+Лист1!AP29+Лист1!AQ29+Лист1!AR29</f>
        <v>2535.1130000000003</v>
      </c>
      <c r="L35" s="28">
        <f>Лист1!AS29+Лист1!AT29+Лист1!AU29+Лист1!AZ29+Лист1!BA29</f>
        <v>0</v>
      </c>
      <c r="M35" s="28">
        <f>Лист1!AX29</f>
        <v>227.92</v>
      </c>
      <c r="N35" s="27">
        <f>Лист1!BB29</f>
        <v>3945.5930000000003</v>
      </c>
      <c r="O35" s="66">
        <f>Лист1!BD29</f>
        <v>-71.49799999999823</v>
      </c>
      <c r="P35" s="66">
        <f>Лист1!BE29</f>
        <v>-2519.12</v>
      </c>
      <c r="Q35" s="1"/>
      <c r="R35" s="1"/>
    </row>
    <row r="36" spans="1:18" ht="12.75">
      <c r="A36" s="10" t="s">
        <v>47</v>
      </c>
      <c r="B36" s="71">
        <f>Лист1!B30</f>
        <v>739.1</v>
      </c>
      <c r="C36" s="24">
        <f t="shared" si="4"/>
        <v>6393.215</v>
      </c>
      <c r="D36" s="25">
        <f>Лист1!D30</f>
        <v>1754.7750000000005</v>
      </c>
      <c r="E36" s="13">
        <f>Лист1!S30</f>
        <v>4365.21</v>
      </c>
      <c r="F36" s="27">
        <f>Лист1!T30</f>
        <v>273.23</v>
      </c>
      <c r="G36" s="26">
        <f>Лист1!AB30</f>
        <v>4304.93</v>
      </c>
      <c r="H36" s="27">
        <f>Лист1!AC30</f>
        <v>6332.935000000001</v>
      </c>
      <c r="I36" s="26">
        <f>Лист1!AG30</f>
        <v>443.46</v>
      </c>
      <c r="J36" s="13">
        <f>Лист1!AI30+Лист1!AJ30</f>
        <v>739.1</v>
      </c>
      <c r="K36" s="13">
        <f>Лист1!AH30+Лист1!AK30+Лист1!AL30+Лист1!AM30+Лист1!AN30+Лист1!AO30+Лист1!AP30+Лист1!AQ30+Лист1!AR30</f>
        <v>2535.1130000000003</v>
      </c>
      <c r="L36" s="28">
        <f>Лист1!AS30+Лист1!AT30+Лист1!AU30+Лист1!AZ30+Лист1!BA30</f>
        <v>0</v>
      </c>
      <c r="M36" s="28">
        <f>Лист1!AX30</f>
        <v>214.48000000000002</v>
      </c>
      <c r="N36" s="27">
        <f>Лист1!BB30</f>
        <v>3932.153</v>
      </c>
      <c r="O36" s="66">
        <f>Лист1!BD30</f>
        <v>2400.7820000000015</v>
      </c>
      <c r="P36" s="66">
        <f>Лист1!BE30</f>
        <v>-60.279999999999745</v>
      </c>
      <c r="Q36" s="1"/>
      <c r="R36" s="1"/>
    </row>
    <row r="37" spans="1:18" ht="12.75">
      <c r="A37" s="10" t="s">
        <v>48</v>
      </c>
      <c r="B37" s="71">
        <f>Лист1!B31</f>
        <v>739.1</v>
      </c>
      <c r="C37" s="24">
        <f t="shared" si="4"/>
        <v>6393.215</v>
      </c>
      <c r="D37" s="25">
        <f>Лист1!D31</f>
        <v>1753.345</v>
      </c>
      <c r="E37" s="13">
        <f>Лист1!S31</f>
        <v>4373.13</v>
      </c>
      <c r="F37" s="27">
        <f>Лист1!T31</f>
        <v>266.74</v>
      </c>
      <c r="G37" s="26">
        <f>Лист1!AB31</f>
        <v>1090.5500000000002</v>
      </c>
      <c r="H37" s="27">
        <f>Лист1!AC31</f>
        <v>3110.635</v>
      </c>
      <c r="I37" s="26">
        <f>Лист1!AG31</f>
        <v>443.46</v>
      </c>
      <c r="J37" s="13">
        <f>Лист1!AI31+Лист1!AJ31</f>
        <v>739.1</v>
      </c>
      <c r="K37" s="13">
        <f>Лист1!AH31+Лист1!AK31+Лист1!AL31+Лист1!AM31+Лист1!AN31+Лист1!AO31+Лист1!AP31+Лист1!AQ31+Лист1!AR31</f>
        <v>2535.1130000000003</v>
      </c>
      <c r="L37" s="28">
        <f>Лист1!AS31+Лист1!AT31+Лист1!AU31+Лист1!AY31+Лист1!AZ31</f>
        <v>0</v>
      </c>
      <c r="M37" s="28">
        <f>Лист1!AX31</f>
        <v>171.92000000000002</v>
      </c>
      <c r="N37" s="27">
        <f>Лист1!BB31</f>
        <v>3889.5930000000003</v>
      </c>
      <c r="O37" s="66">
        <f>Лист1!BD31</f>
        <v>-778.9580000000001</v>
      </c>
      <c r="P37" s="66">
        <f>Лист1!BE31</f>
        <v>-3282.58</v>
      </c>
      <c r="Q37" s="1"/>
      <c r="R37" s="1"/>
    </row>
    <row r="38" spans="1:18" ht="12.75">
      <c r="A38" s="10" t="s">
        <v>49</v>
      </c>
      <c r="B38" s="71">
        <f>Лист1!B32</f>
        <v>739.1</v>
      </c>
      <c r="C38" s="24">
        <f t="shared" si="4"/>
        <v>6393.215</v>
      </c>
      <c r="D38" s="25">
        <f>Лист1!D32</f>
        <v>1453.4050000000004</v>
      </c>
      <c r="E38" s="13">
        <f>Лист1!S32</f>
        <v>4673.07</v>
      </c>
      <c r="F38" s="27">
        <f>Лист1!T32</f>
        <v>266.74</v>
      </c>
      <c r="G38" s="26">
        <f>Лист1!AB32</f>
        <v>965.3500000000001</v>
      </c>
      <c r="H38" s="27">
        <f>Лист1!AC32</f>
        <v>2685.495000000001</v>
      </c>
      <c r="I38" s="26">
        <f>Лист1!AG32</f>
        <v>443.46</v>
      </c>
      <c r="J38" s="13">
        <f>Лист1!AI32+Лист1!AJ32</f>
        <v>739.1</v>
      </c>
      <c r="K38" s="13">
        <f>Лист1!AH32+Лист1!AK32+Лист1!AL32+Лист1!AM32+Лист1!AN32+Лист1!AO32+Лист1!AP32+Лист1!AQ32+Лист1!AR32</f>
        <v>2535.1130000000003</v>
      </c>
      <c r="L38" s="28">
        <f>Лист1!AS32+Лист1!AT32+Лист1!AU32+Лист1!AZ32+Лист1!BA32</f>
        <v>0</v>
      </c>
      <c r="M38" s="28">
        <f>Лист1!AX32</f>
        <v>147.28</v>
      </c>
      <c r="N38" s="27">
        <f>Лист1!BB32</f>
        <v>3864.953000000001</v>
      </c>
      <c r="O38" s="66">
        <f>Лист1!BD32</f>
        <v>-1179.458</v>
      </c>
      <c r="P38" s="66">
        <f>Лист1!BE32</f>
        <v>-3707.7199999999993</v>
      </c>
      <c r="Q38" s="1"/>
      <c r="R38" s="1"/>
    </row>
    <row r="39" spans="1:18" ht="12.75">
      <c r="A39" s="10" t="s">
        <v>50</v>
      </c>
      <c r="B39" s="71">
        <f>Лист1!B33</f>
        <v>739.1</v>
      </c>
      <c r="C39" s="24">
        <f t="shared" si="4"/>
        <v>6393.215</v>
      </c>
      <c r="D39" s="25">
        <f>Лист1!D33</f>
        <v>1747.5250000000008</v>
      </c>
      <c r="E39" s="13">
        <f>Лист1!S33</f>
        <v>4442.589999999999</v>
      </c>
      <c r="F39" s="27">
        <f>Лист1!T33</f>
        <v>203.1</v>
      </c>
      <c r="G39" s="26">
        <f>Лист1!AB33</f>
        <v>4844.83</v>
      </c>
      <c r="H39" s="27">
        <f>Лист1!AC33</f>
        <v>6795.455000000001</v>
      </c>
      <c r="I39" s="26">
        <f>Лист1!AG33</f>
        <v>443.46</v>
      </c>
      <c r="J39" s="13">
        <f>Лист1!AI33+Лист1!AJ33</f>
        <v>739.1</v>
      </c>
      <c r="K39" s="13">
        <f>Лист1!AH33+Лист1!AK33+Лист1!AL33+Лист1!AM33+Лист1!AN33+Лист1!AO33+Лист1!AP33+Лист1!AQ33+Лист1!AR33</f>
        <v>2535.1130000000003</v>
      </c>
      <c r="L39" s="28">
        <f>Лист1!AS33+Лист1!AT33+Лист1!AU33+Лист1!AZ33+Лист1!BA33</f>
        <v>0</v>
      </c>
      <c r="M39" s="28">
        <f>Лист1!AX33</f>
        <v>130.48</v>
      </c>
      <c r="N39" s="27">
        <f>Лист1!BB33</f>
        <v>3848.1530000000007</v>
      </c>
      <c r="O39" s="66">
        <f>Лист1!BD33</f>
        <v>2947.302</v>
      </c>
      <c r="P39" s="66">
        <f>Лист1!BE33</f>
        <v>402.2400000000007</v>
      </c>
      <c r="Q39" s="1"/>
      <c r="R39" s="1"/>
    </row>
    <row r="40" spans="1:18" ht="12.75">
      <c r="A40" s="10" t="s">
        <v>51</v>
      </c>
      <c r="B40" s="71">
        <f>Лист1!B34</f>
        <v>739.1</v>
      </c>
      <c r="C40" s="24">
        <f t="shared" si="4"/>
        <v>6393.215</v>
      </c>
      <c r="D40" s="25">
        <f>Лист1!D34</f>
        <v>1743.8450000000007</v>
      </c>
      <c r="E40" s="13">
        <f>Лист1!S34</f>
        <v>4649.370000000001</v>
      </c>
      <c r="F40" s="27">
        <f>Лист1!T34</f>
        <v>0</v>
      </c>
      <c r="G40" s="26">
        <f>Лист1!AB34</f>
        <v>3219.75</v>
      </c>
      <c r="H40" s="27">
        <f>Лист1!AC34</f>
        <v>4963.595000000001</v>
      </c>
      <c r="I40" s="26">
        <f>Лист1!AG34</f>
        <v>443.46</v>
      </c>
      <c r="J40" s="13">
        <f>Лист1!AI34+Лист1!AJ34</f>
        <v>739.1</v>
      </c>
      <c r="K40" s="13">
        <f>Лист1!AH34+Лист1!AK34+Лист1!AL34+Лист1!AM34+Лист1!AN34+Лист1!AO34+Лист1!AP34+Лист1!AQ34+Лист1!AR34</f>
        <v>2535.1130000000003</v>
      </c>
      <c r="L40" s="28">
        <f>Лист1!AS34+Лист1!AT34+Лист1!AU34+Лист1!AZ34+Лист1!BA34</f>
        <v>0</v>
      </c>
      <c r="M40" s="28">
        <f>Лист1!AX34</f>
        <v>138.88</v>
      </c>
      <c r="N40" s="27">
        <f>Лист1!BB34</f>
        <v>3856.5530000000003</v>
      </c>
      <c r="O40" s="66">
        <f>Лист1!BD34</f>
        <v>1107.0420000000008</v>
      </c>
      <c r="P40" s="66">
        <f>Лист1!BE34</f>
        <v>-1429.6200000000008</v>
      </c>
      <c r="Q40" s="1"/>
      <c r="R40" s="1"/>
    </row>
    <row r="41" spans="1:18" ht="12.75">
      <c r="A41" s="10" t="s">
        <v>52</v>
      </c>
      <c r="B41" s="71">
        <f>Лист1!B35</f>
        <v>739.1</v>
      </c>
      <c r="C41" s="24">
        <f t="shared" si="4"/>
        <v>6393.215</v>
      </c>
      <c r="D41" s="25">
        <f>Лист1!D35</f>
        <v>1743.855000000001</v>
      </c>
      <c r="E41" s="13">
        <f>Лист1!S35</f>
        <v>4649.360000000001</v>
      </c>
      <c r="F41" s="27">
        <f>Лист1!T35</f>
        <v>0</v>
      </c>
      <c r="G41" s="26">
        <f>Лист1!AB35</f>
        <v>3869.7799999999997</v>
      </c>
      <c r="H41" s="27">
        <f>Лист1!AC35</f>
        <v>5613.635</v>
      </c>
      <c r="I41" s="26">
        <f>Лист1!AG35</f>
        <v>443.46</v>
      </c>
      <c r="J41" s="13">
        <f>Лист1!AI35+Лист1!AJ35</f>
        <v>739.1</v>
      </c>
      <c r="K41" s="13">
        <f>Лист1!AH35+Лист1!AK35+Лист1!AL35+Лист1!AM35+Лист1!AN35+Лист1!AO35+Лист1!AP35+Лист1!AQ35+Лист1!AR35</f>
        <v>2535.1130000000003</v>
      </c>
      <c r="L41" s="28">
        <f>Лист1!AS35+Лист1!AT35+Лист1!AU35+Лист1!AZ35+Лист1!BA35</f>
        <v>56.403999999999996</v>
      </c>
      <c r="M41" s="28">
        <f>Лист1!AX35</f>
        <v>164.07999999999998</v>
      </c>
      <c r="N41" s="27">
        <f>Лист1!BB35</f>
        <v>3938.1570000000006</v>
      </c>
      <c r="O41" s="66">
        <f>Лист1!BD35</f>
        <v>1675.4779999999996</v>
      </c>
      <c r="P41" s="66">
        <f>Лист1!BE35</f>
        <v>-779.5800000000008</v>
      </c>
      <c r="Q41" s="1"/>
      <c r="R41" s="1"/>
    </row>
    <row r="42" spans="1:18" ht="12.75">
      <c r="A42" s="10" t="s">
        <v>53</v>
      </c>
      <c r="B42" s="71">
        <f>Лист1!B36</f>
        <v>739.1</v>
      </c>
      <c r="C42" s="24">
        <f t="shared" si="4"/>
        <v>6393.215</v>
      </c>
      <c r="D42" s="25">
        <f>Лист1!D36</f>
        <v>1743.855000000001</v>
      </c>
      <c r="E42" s="13">
        <f>Лист1!S36</f>
        <v>4649.360000000001</v>
      </c>
      <c r="F42" s="27">
        <f>Лист1!T36</f>
        <v>0</v>
      </c>
      <c r="G42" s="26">
        <f>Лист1!AB36</f>
        <v>3543.7700000000004</v>
      </c>
      <c r="H42" s="27">
        <f>Лист1!AC36</f>
        <v>5287.625000000002</v>
      </c>
      <c r="I42" s="26">
        <f>Лист1!AG36</f>
        <v>443.46</v>
      </c>
      <c r="J42" s="13">
        <f>Лист1!AI36+Лист1!AJ36</f>
        <v>739.1</v>
      </c>
      <c r="K42" s="13">
        <f>Лист1!AH36+Лист1!AK36+Лист1!AL36+Лист1!AM36+Лист1!AN36+Лист1!AO36+Лист1!AP36+Лист1!AQ36+Лист1!AR36</f>
        <v>2535.1130000000003</v>
      </c>
      <c r="L42" s="28">
        <f>Лист1!AS36+Лист1!AT36+Лист1!AU36+Лист1!AZ36+Лист1!BA36</f>
        <v>0</v>
      </c>
      <c r="M42" s="28">
        <f>Лист1!AX36</f>
        <v>195.43999999999997</v>
      </c>
      <c r="N42" s="27">
        <f>Лист1!BB36</f>
        <v>3913.1130000000007</v>
      </c>
      <c r="O42" s="66">
        <f>Лист1!BD36</f>
        <v>1374.512000000001</v>
      </c>
      <c r="P42" s="66">
        <f>Лист1!BE36</f>
        <v>-1105.5900000000001</v>
      </c>
      <c r="Q42" s="1"/>
      <c r="R42" s="1"/>
    </row>
    <row r="43" spans="1:18" ht="12.75">
      <c r="A43" s="10" t="s">
        <v>41</v>
      </c>
      <c r="B43" s="71">
        <f>Лист1!B37</f>
        <v>739.1</v>
      </c>
      <c r="C43" s="24">
        <f>B43*8.65</f>
        <v>6393.215</v>
      </c>
      <c r="D43" s="25">
        <f>Лист1!D37</f>
        <v>1743.8450000000007</v>
      </c>
      <c r="E43" s="13">
        <f>Лист1!S37</f>
        <v>4649.370000000001</v>
      </c>
      <c r="F43" s="27">
        <f>Лист1!T37</f>
        <v>0</v>
      </c>
      <c r="G43" s="26">
        <f>Лист1!AB37</f>
        <v>2499.71</v>
      </c>
      <c r="H43" s="27">
        <f>Лист1!AC37</f>
        <v>4243.555</v>
      </c>
      <c r="I43" s="26">
        <f>Лист1!AG37</f>
        <v>443.46</v>
      </c>
      <c r="J43" s="13">
        <f>Лист1!AI37+Лист1!AJ37</f>
        <v>739.1</v>
      </c>
      <c r="K43" s="13">
        <f>Лист1!AH37+Лист1!AK37+Лист1!AL37+Лист1!AM37+Лист1!AN37+Лист1!AO37+Лист1!AP37+Лист1!AQ37+Лист1!AR37</f>
        <v>2535.1130000000003</v>
      </c>
      <c r="L43" s="28">
        <f>Лист1!AS37+Лист1!AT37+Лист1!AU37+Лист1!AZ37+Лист1!BA37</f>
        <v>0</v>
      </c>
      <c r="M43" s="28">
        <f>Лист1!AX37</f>
        <v>237.99999999999997</v>
      </c>
      <c r="N43" s="27">
        <f>Лист1!BB37</f>
        <v>3955.6730000000002</v>
      </c>
      <c r="O43" s="66">
        <f>Лист1!BD37</f>
        <v>287.88200000000006</v>
      </c>
      <c r="P43" s="66">
        <f>Лист1!BE37</f>
        <v>-2149.6600000000008</v>
      </c>
      <c r="Q43" s="1"/>
      <c r="R43" s="1"/>
    </row>
    <row r="44" spans="1:18" ht="12.75">
      <c r="A44" s="10" t="s">
        <v>42</v>
      </c>
      <c r="B44" s="71">
        <f>Лист1!B38</f>
        <v>739.1</v>
      </c>
      <c r="C44" s="24">
        <f t="shared" si="4"/>
        <v>6393.215</v>
      </c>
      <c r="D44" s="25">
        <f>Лист1!D38</f>
        <v>1743.8450000000007</v>
      </c>
      <c r="E44" s="13">
        <f>Лист1!S38</f>
        <v>4649.370000000001</v>
      </c>
      <c r="F44" s="27">
        <f>Лист1!T38</f>
        <v>0</v>
      </c>
      <c r="G44" s="26">
        <f>Лист1!AB38</f>
        <v>2379.91</v>
      </c>
      <c r="H44" s="27">
        <f>Лист1!AC38</f>
        <v>4123.755000000001</v>
      </c>
      <c r="I44" s="26">
        <f>Лист1!AG38</f>
        <v>443.46</v>
      </c>
      <c r="J44" s="13">
        <f>Лист1!AI38+Лист1!AJ38</f>
        <v>739.1</v>
      </c>
      <c r="K44" s="13">
        <f>Лист1!AH38+Лист1!AK38+Лист1!AL38+Лист1!AM38+Лист1!AN38+Лист1!AO38+Лист1!AP38+Лист1!AQ38+Лист1!AR38</f>
        <v>2535.1130000000003</v>
      </c>
      <c r="L44" s="28">
        <f>Лист1!AS38+Лист1!AT38+Лист1!AU38+Лист1!AZ38+Лист1!BA38</f>
        <v>0</v>
      </c>
      <c r="M44" s="28">
        <f>Лист1!AX38</f>
        <v>263.2</v>
      </c>
      <c r="N44" s="27">
        <f>Лист1!BB38</f>
        <v>3980.873</v>
      </c>
      <c r="O44" s="66">
        <f>Лист1!BD38</f>
        <v>142.88200000000097</v>
      </c>
      <c r="P44" s="66">
        <f>Лист1!BE38</f>
        <v>-2269.460000000001</v>
      </c>
      <c r="Q44" s="1"/>
      <c r="R44" s="1"/>
    </row>
    <row r="45" spans="1:18" ht="13.5" thickBot="1">
      <c r="A45" s="29" t="s">
        <v>43</v>
      </c>
      <c r="B45" s="71">
        <f>Лист1!B39</f>
        <v>739.1</v>
      </c>
      <c r="C45" s="30">
        <f t="shared" si="4"/>
        <v>6393.215</v>
      </c>
      <c r="D45" s="25">
        <f>Лист1!D39</f>
        <v>1743.8450000000007</v>
      </c>
      <c r="E45" s="13">
        <f>Лист1!S39</f>
        <v>4649.370000000001</v>
      </c>
      <c r="F45" s="27">
        <f>Лист1!T39</f>
        <v>0</v>
      </c>
      <c r="G45" s="26">
        <f>Лист1!AB39</f>
        <v>2777.55</v>
      </c>
      <c r="H45" s="27">
        <f>Лист1!AC39</f>
        <v>4521.395</v>
      </c>
      <c r="I45" s="26">
        <f>Лист1!AG39</f>
        <v>443.46</v>
      </c>
      <c r="J45" s="13">
        <f>Лист1!AI39+Лист1!AJ39</f>
        <v>739.1</v>
      </c>
      <c r="K45" s="13">
        <f>Лист1!AH39+Лист1!AK39+Лист1!AL39+Лист1!AM39+Лист1!AN39+Лист1!AO39+Лист1!AP39+Лист1!AQ39+Лист1!AR39</f>
        <v>2535.1130000000003</v>
      </c>
      <c r="L45" s="28">
        <f>Лист1!AS39+Лист1!AT39+Лист1!AU39+Лист1!AZ39+Лист1!BA39</f>
        <v>0</v>
      </c>
      <c r="M45" s="28">
        <f>Лист1!AX39</f>
        <v>287.84000000000003</v>
      </c>
      <c r="N45" s="27">
        <f>Лист1!BB39</f>
        <v>4005.5130000000004</v>
      </c>
      <c r="O45" s="66">
        <f>Лист1!BD39</f>
        <v>515.8820000000001</v>
      </c>
      <c r="P45" s="66">
        <f>Лист1!BE39</f>
        <v>-1871.8200000000006</v>
      </c>
      <c r="Q45" s="1"/>
      <c r="R45" s="1"/>
    </row>
    <row r="46" spans="1:18" s="19" customFormat="1" ht="13.5" thickBot="1">
      <c r="A46" s="31" t="s">
        <v>5</v>
      </c>
      <c r="B46" s="32"/>
      <c r="C46" s="33">
        <f aca="true" t="shared" si="5" ref="C46:P46">SUM(C34:C45)</f>
        <v>76718.57999999999</v>
      </c>
      <c r="D46" s="61">
        <f t="shared" si="5"/>
        <v>20723.030000000013</v>
      </c>
      <c r="E46" s="33">
        <f t="shared" si="5"/>
        <v>54251.28000000001</v>
      </c>
      <c r="F46" s="62">
        <f t="shared" si="5"/>
        <v>1744.27</v>
      </c>
      <c r="G46" s="61">
        <f t="shared" si="5"/>
        <v>32359.579999999998</v>
      </c>
      <c r="H46" s="62">
        <f t="shared" si="5"/>
        <v>54826.88000000002</v>
      </c>
      <c r="I46" s="61">
        <f t="shared" si="5"/>
        <v>5321.5199999999995</v>
      </c>
      <c r="J46" s="33">
        <f t="shared" si="5"/>
        <v>8869.200000000003</v>
      </c>
      <c r="K46" s="33">
        <f t="shared" si="5"/>
        <v>30421.35600000001</v>
      </c>
      <c r="L46" s="33">
        <f t="shared" si="5"/>
        <v>56.403999999999996</v>
      </c>
      <c r="M46" s="33">
        <f t="shared" si="5"/>
        <v>2464</v>
      </c>
      <c r="N46" s="62">
        <f t="shared" si="5"/>
        <v>47132.48</v>
      </c>
      <c r="O46" s="67">
        <f t="shared" si="5"/>
        <v>7694.400000000007</v>
      </c>
      <c r="P46" s="67">
        <f t="shared" si="5"/>
        <v>-21891.699999999997</v>
      </c>
      <c r="Q46" s="64"/>
      <c r="R46" s="64"/>
    </row>
    <row r="47" spans="1:18" ht="13.5" thickBot="1">
      <c r="A47" s="188" t="s">
        <v>70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68"/>
      <c r="Q47" s="1"/>
      <c r="R47" s="1"/>
    </row>
    <row r="48" spans="1:18" s="19" customFormat="1" ht="13.5" thickBot="1">
      <c r="A48" s="69" t="s">
        <v>54</v>
      </c>
      <c r="B48" s="34"/>
      <c r="C48" s="35">
        <f>C32+C46</f>
        <v>159955.8</v>
      </c>
      <c r="D48" s="35">
        <f aca="true" t="shared" si="6" ref="D48:P48">D32+D46</f>
        <v>39678.46840500002</v>
      </c>
      <c r="E48" s="35">
        <f t="shared" si="6"/>
        <v>100475.74</v>
      </c>
      <c r="F48" s="35">
        <f t="shared" si="6"/>
        <v>5843.470000000001</v>
      </c>
      <c r="G48" s="35">
        <f t="shared" si="6"/>
        <v>67411.34999999999</v>
      </c>
      <c r="H48" s="35">
        <f t="shared" si="6"/>
        <v>112933.28840500003</v>
      </c>
      <c r="I48" s="35">
        <f t="shared" si="6"/>
        <v>10917.119999999999</v>
      </c>
      <c r="J48" s="35">
        <f t="shared" si="6"/>
        <v>18108.172746249</v>
      </c>
      <c r="K48" s="35">
        <f t="shared" si="6"/>
        <v>62011.91572116122</v>
      </c>
      <c r="L48" s="35">
        <f t="shared" si="6"/>
        <v>233.404</v>
      </c>
      <c r="M48" s="35">
        <f t="shared" si="6"/>
        <v>4790.016</v>
      </c>
      <c r="N48" s="35">
        <f t="shared" si="6"/>
        <v>96060.6284674102</v>
      </c>
      <c r="O48" s="35">
        <f t="shared" si="6"/>
        <v>16872.659937589822</v>
      </c>
      <c r="P48" s="35">
        <f t="shared" si="6"/>
        <v>-33064.38999999999</v>
      </c>
      <c r="Q48" s="65"/>
      <c r="R48" s="64"/>
    </row>
    <row r="52" spans="1:18" ht="12.75">
      <c r="A52" s="19" t="s">
        <v>88</v>
      </c>
      <c r="D52" s="72" t="s">
        <v>92</v>
      </c>
      <c r="Q52" s="1"/>
      <c r="R52" s="1"/>
    </row>
    <row r="53" spans="1:18" ht="12.75">
      <c r="A53" s="20" t="s">
        <v>71</v>
      </c>
      <c r="B53" s="20" t="s">
        <v>72</v>
      </c>
      <c r="C53" s="190" t="s">
        <v>73</v>
      </c>
      <c r="D53" s="190"/>
      <c r="Q53" s="1"/>
      <c r="R53" s="1"/>
    </row>
    <row r="54" spans="1:18" ht="12.75">
      <c r="A54" s="113">
        <v>22076.59</v>
      </c>
      <c r="B54" s="113">
        <v>0</v>
      </c>
      <c r="C54" s="184">
        <f>A54-B54</f>
        <v>22076.59</v>
      </c>
      <c r="D54" s="185"/>
      <c r="Q54" s="1"/>
      <c r="R54" s="1"/>
    </row>
    <row r="55" spans="1:18" ht="12.75">
      <c r="A55" s="42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7:O47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1:O31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2011-04-18T07:23:23Z</dcterms:modified>
  <cp:category/>
  <cp:version/>
  <cp:contentType/>
  <cp:contentStatus/>
</cp:coreProperties>
</file>