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1" sheetId="3" r:id="rId3"/>
    <sheet name="2011 печать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<sst xmlns="http://schemas.openxmlformats.org/spreadsheetml/2006/main" count="257" uniqueCount="105">
  <si>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</si>
  <si>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</si>
  <si>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</si>
  <si>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</si>
  <si>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</si>
  <si>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</si>
  <si>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</si>
  <si>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</si>
  <si>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</si>
  <si>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</si>
  <si>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</si>
  <si>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</si>
  <si>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</si>
  <si>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</si>
  <si>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</si>
  <si>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</si>
  <si>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</si>
  <si>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</si>
  <si>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</si>
  <si>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</si>
  <si>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</si>
  <si>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</si>
  <si>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</si>
  <si>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</si>
  <si>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</si>
  <si>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</si>
  <si>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</si>
  <si>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</si>
  <si>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</si>
  <si>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</si>
  <si>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</si>
  <si>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</si>
  <si>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</si>
  <si>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</si>
  <si>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</si>
  <si>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</si>
  <si>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</si>
  <si>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</si>
  <si>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</si>
  <si>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</si>
  <si>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</si>
  <si>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</si>
  <si>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</si>
  <si>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</si>
  <si>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</si>
  <si>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</si>
  <si>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</si>
  <si>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</si>
  <si>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</si>
  <si>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</si>
  <si>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</si>
  <si>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</si>
  <si>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</si>
  <si>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</si>
  <si>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</si>
  <si>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</si>
  <si>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</si>
  <si>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</si>
  <si>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</si>
  <si>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</si>
  <si>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</si>
  <si>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</si>
  <si>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</si>
  <si>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</si>
  <si>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</si>
  <si>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</si>
  <si>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</si>
  <si>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</si>
  <si>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</si>
  <si>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</si>
  <si>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</si>
  <si>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</si>
  <si>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</si>
  <si>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</si>
  <si>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</si>
  <si>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</si>
  <si>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</si>
  <si>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</si>
  <si>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</si>
  <si>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</si>
  <si>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</si>
  <si>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Собрано за содержание и тек.рем.</t>
  </si>
  <si>
    <t>Выписка по лицевому счету по адресу г. Таштагол ул. Спортивная, д. 6</t>
  </si>
  <si>
    <t>Лицевой счет по адресу г. Таштагол, ул. Спортивная, д. 6</t>
  </si>
  <si>
    <t>2010 год</t>
  </si>
  <si>
    <t>*по состоянию на 01.01.2011 г.</t>
  </si>
  <si>
    <t>за период с октября 2008 г. по декабрь 2010 г.</t>
  </si>
  <si>
    <t>Начислено населению</t>
  </si>
  <si>
    <t>Льгота</t>
  </si>
  <si>
    <t>Собрано всего по жил. услугам</t>
  </si>
  <si>
    <t>для счетов-фактур</t>
  </si>
  <si>
    <t>Расходы по жил. помещениям</t>
  </si>
  <si>
    <t>Содержание жилья</t>
  </si>
  <si>
    <t>Тек. ремонт ООО "Форум"</t>
  </si>
  <si>
    <t>Тек. ремонт ООО "ТУК"</t>
  </si>
  <si>
    <t>Доп. Материалы</t>
  </si>
  <si>
    <t>электроэнергия</t>
  </si>
  <si>
    <t>2011 год</t>
  </si>
  <si>
    <t>ВСЕГО</t>
  </si>
  <si>
    <t>на 01.01.2012 г.</t>
  </si>
  <si>
    <t>Тариф по содержанию и тек.ремонту 100 % (8,55руб.*площадь)</t>
  </si>
  <si>
    <t>Услуга начисления</t>
  </si>
  <si>
    <t>*по состоянию на 01.01.2012 г.</t>
  </si>
  <si>
    <t>Исп. В.В. Колмогорова</t>
  </si>
  <si>
    <t>Лицевой счет по адресу г. Таштагол, ул. Спортивная, д.6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</si>
</sst>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_(* #,##0.00_);_(* \(#,##0.00\);_(* &quot;-&quot;??_);_(@_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4" xfId="6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4" fontId="2" fillId="0" borderId="14" xfId="33" applyNumberFormat="1" applyFont="1" applyFill="1" applyBorder="1" applyAlignment="1">
      <alignment horizontal="center" vertical="center" wrapText="1"/>
      <protection/>
    </xf>
    <xf numFmtId="43" fontId="2" fillId="34" borderId="12" xfId="61" applyFont="1" applyFill="1" applyBorder="1" applyAlignment="1">
      <alignment vertical="center" wrapText="1"/>
    </xf>
    <xf numFmtId="0" fontId="0" fillId="0" borderId="32" xfId="0" applyBorder="1" applyAlignment="1">
      <alignment horizontal="right"/>
    </xf>
    <xf numFmtId="0" fontId="0" fillId="0" borderId="14" xfId="0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34" borderId="17" xfId="0" applyNumberFormat="1" applyFont="1" applyFill="1" applyBorder="1" applyAlignment="1">
      <alignment horizontal="right"/>
    </xf>
    <xf numFmtId="4" fontId="0" fillId="36" borderId="14" xfId="0" applyNumberFormat="1" applyFont="1" applyFill="1" applyBorder="1" applyAlignment="1">
      <alignment/>
    </xf>
    <xf numFmtId="43" fontId="2" fillId="34" borderId="12" xfId="61" applyFont="1" applyFill="1" applyBorder="1" applyAlignment="1">
      <alignment horizontal="center" vertical="center" wrapText="1"/>
    </xf>
    <xf numFmtId="4" fontId="0" fillId="34" borderId="3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4" fontId="3" fillId="0" borderId="13" xfId="33" applyNumberFormat="1" applyFont="1" applyBorder="1" applyAlignment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4" fontId="0" fillId="35" borderId="17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4" fontId="1" fillId="33" borderId="16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4" fontId="0" fillId="0" borderId="32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3" xfId="54" applyNumberFormat="1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" fontId="0" fillId="34" borderId="17" xfId="54" applyNumberFormat="1" applyFont="1" applyFill="1" applyBorder="1">
      <alignment/>
      <protection/>
    </xf>
    <xf numFmtId="4" fontId="0" fillId="0" borderId="14" xfId="54" applyNumberFormat="1" applyFont="1" applyFill="1" applyBorder="1">
      <alignment/>
      <protection/>
    </xf>
    <xf numFmtId="4" fontId="0" fillId="33" borderId="14" xfId="54" applyNumberFormat="1" applyFont="1" applyFill="1" applyBorder="1">
      <alignment/>
      <protection/>
    </xf>
    <xf numFmtId="4" fontId="0" fillId="0" borderId="17" xfId="54" applyNumberFormat="1" applyFont="1" applyFill="1" applyBorder="1">
      <alignment/>
      <protection/>
    </xf>
    <xf numFmtId="4" fontId="0" fillId="37" borderId="14" xfId="54" applyNumberFormat="1" applyFont="1" applyFill="1" applyBorder="1">
      <alignment/>
      <protection/>
    </xf>
    <xf numFmtId="4" fontId="0" fillId="0" borderId="29" xfId="54" applyNumberFormat="1" applyFont="1" applyFill="1" applyBorder="1" applyAlignment="1">
      <alignment horizontal="center"/>
      <protection/>
    </xf>
    <xf numFmtId="0" fontId="0" fillId="0" borderId="29" xfId="54" applyBorder="1" applyAlignment="1">
      <alignment horizontal="center"/>
      <protection/>
    </xf>
    <xf numFmtId="4" fontId="0" fillId="34" borderId="35" xfId="54" applyNumberFormat="1" applyFont="1" applyFill="1" applyBorder="1">
      <alignment/>
      <protection/>
    </xf>
    <xf numFmtId="0" fontId="2" fillId="0" borderId="13" xfId="0" applyFont="1" applyBorder="1" applyAlignment="1">
      <alignment horizontal="center"/>
    </xf>
    <xf numFmtId="43" fontId="2" fillId="34" borderId="17" xfId="64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0" fillId="0" borderId="14" xfId="54" applyFont="1" applyBorder="1">
      <alignment/>
      <protection/>
    </xf>
    <xf numFmtId="4" fontId="0" fillId="0" borderId="19" xfId="54" applyNumberFormat="1" applyFont="1" applyFill="1" applyBorder="1">
      <alignment/>
      <protection/>
    </xf>
    <xf numFmtId="4" fontId="1" fillId="0" borderId="17" xfId="54" applyNumberFormat="1" applyFont="1" applyFill="1" applyBorder="1">
      <alignment/>
      <protection/>
    </xf>
    <xf numFmtId="4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" fontId="1" fillId="34" borderId="17" xfId="54" applyNumberFormat="1" applyFont="1" applyFill="1" applyBorder="1">
      <alignment/>
      <protection/>
    </xf>
    <xf numFmtId="4" fontId="1" fillId="0" borderId="0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0" fillId="0" borderId="26" xfId="0" applyFont="1" applyFill="1" applyBorder="1" applyAlignment="1">
      <alignment/>
    </xf>
    <xf numFmtId="4" fontId="0" fillId="33" borderId="14" xfId="54" applyNumberFormat="1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167" fontId="2" fillId="34" borderId="14" xfId="61" applyNumberFormat="1" applyFont="1" applyFill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/>
    </xf>
    <xf numFmtId="4" fontId="0" fillId="33" borderId="17" xfId="54" applyNumberFormat="1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47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39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0" fontId="1" fillId="39" borderId="46" xfId="0" applyFont="1" applyFill="1" applyBorder="1" applyAlignment="1">
      <alignment horizontal="center" vertical="center" wrapText="1"/>
    </xf>
    <xf numFmtId="0" fontId="1" fillId="39" borderId="47" xfId="0" applyFont="1" applyFill="1" applyBorder="1" applyAlignment="1">
      <alignment horizontal="center" vertical="center" wrapText="1"/>
    </xf>
    <xf numFmtId="2" fontId="1" fillId="37" borderId="46" xfId="0" applyNumberFormat="1" applyFont="1" applyFill="1" applyBorder="1" applyAlignment="1">
      <alignment horizontal="center" vertical="center" wrapText="1"/>
    </xf>
    <xf numFmtId="2" fontId="1" fillId="37" borderId="47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3" fontId="7" fillId="34" borderId="46" xfId="63" applyFont="1" applyFill="1" applyBorder="1" applyAlignment="1">
      <alignment horizontal="center" vertical="center" wrapText="1"/>
    </xf>
    <xf numFmtId="43" fontId="7" fillId="34" borderId="47" xfId="63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Ц СЧЕТА 1 кв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ЛИЦ СЧЕТА 1 кв 201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&#1088;&#1099;&#1083;&#1086;&#1074;&#1072;,%2019%20&#1089;%202011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&#1086;&#1084;&#1084;&#1091;&#1085;&#1080;&#1089;&#1090;&#1080;&#1095;&#1077;&#1089;&#1082;&#1072;&#1103;,%2025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  <sheetDataSet>
      <sheetData sheetId="0">
        <row r="23">
          <cell r="U23">
            <v>0</v>
          </cell>
        </row>
        <row r="39">
          <cell r="AL39">
            <v>47.8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  <sheetDataSet>
      <sheetData sheetId="0">
        <row r="37">
          <cell r="X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zoomScalePageLayoutView="0" workbookViewId="0" topLeftCell="A1">
      <pane xSplit="2" ySplit="7" topLeftCell="AH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42" sqref="AM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218" t="s">
        <v>83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219" t="s">
        <v>0</v>
      </c>
      <c r="B3" s="222" t="s">
        <v>1</v>
      </c>
      <c r="C3" s="222" t="s">
        <v>2</v>
      </c>
      <c r="D3" s="222" t="s">
        <v>3</v>
      </c>
      <c r="E3" s="225" t="s">
        <v>4</v>
      </c>
      <c r="F3" s="225"/>
      <c r="G3" s="225"/>
      <c r="H3" s="225"/>
      <c r="I3" s="225"/>
      <c r="J3" s="225"/>
      <c r="K3" s="225"/>
      <c r="L3" s="225"/>
      <c r="M3" s="225"/>
      <c r="N3" s="225"/>
      <c r="O3" s="242" t="s">
        <v>5</v>
      </c>
      <c r="P3" s="242"/>
      <c r="Q3" s="243" t="s">
        <v>6</v>
      </c>
      <c r="R3" s="243"/>
      <c r="S3" s="243"/>
      <c r="T3" s="243"/>
      <c r="U3" s="243"/>
      <c r="V3" s="243"/>
      <c r="W3" s="245" t="s">
        <v>78</v>
      </c>
      <c r="X3" s="252" t="s">
        <v>66</v>
      </c>
      <c r="Y3" s="255" t="s">
        <v>8</v>
      </c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34" t="s">
        <v>67</v>
      </c>
      <c r="AU3" s="239" t="s">
        <v>9</v>
      </c>
      <c r="AV3" s="227" t="s">
        <v>10</v>
      </c>
    </row>
    <row r="4" spans="1:48" ht="36" customHeight="1" thickBot="1">
      <c r="A4" s="220"/>
      <c r="B4" s="223"/>
      <c r="C4" s="223"/>
      <c r="D4" s="223"/>
      <c r="E4" s="226" t="s">
        <v>11</v>
      </c>
      <c r="F4" s="226"/>
      <c r="G4" s="226" t="s">
        <v>12</v>
      </c>
      <c r="H4" s="226"/>
      <c r="I4" s="226" t="s">
        <v>13</v>
      </c>
      <c r="J4" s="226"/>
      <c r="K4" s="226" t="s">
        <v>14</v>
      </c>
      <c r="L4" s="226"/>
      <c r="M4" s="226" t="s">
        <v>15</v>
      </c>
      <c r="N4" s="226"/>
      <c r="O4" s="226"/>
      <c r="P4" s="226"/>
      <c r="Q4" s="244"/>
      <c r="R4" s="244"/>
      <c r="S4" s="244"/>
      <c r="T4" s="244"/>
      <c r="U4" s="244"/>
      <c r="V4" s="244"/>
      <c r="W4" s="246"/>
      <c r="X4" s="253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5"/>
      <c r="AU4" s="240"/>
      <c r="AV4" s="228"/>
    </row>
    <row r="5" spans="1:48" ht="29.25" customHeight="1" thickBot="1">
      <c r="A5" s="220"/>
      <c r="B5" s="223"/>
      <c r="C5" s="223"/>
      <c r="D5" s="223"/>
      <c r="E5" s="237" t="s">
        <v>16</v>
      </c>
      <c r="F5" s="237" t="s">
        <v>17</v>
      </c>
      <c r="G5" s="237" t="s">
        <v>16</v>
      </c>
      <c r="H5" s="237" t="s">
        <v>17</v>
      </c>
      <c r="I5" s="237" t="s">
        <v>16</v>
      </c>
      <c r="J5" s="237" t="s">
        <v>17</v>
      </c>
      <c r="K5" s="237" t="s">
        <v>16</v>
      </c>
      <c r="L5" s="237" t="s">
        <v>17</v>
      </c>
      <c r="M5" s="237" t="s">
        <v>16</v>
      </c>
      <c r="N5" s="237" t="s">
        <v>17</v>
      </c>
      <c r="O5" s="237" t="s">
        <v>16</v>
      </c>
      <c r="P5" s="237" t="s">
        <v>17</v>
      </c>
      <c r="Q5" s="248" t="s">
        <v>18</v>
      </c>
      <c r="R5" s="248" t="s">
        <v>19</v>
      </c>
      <c r="S5" s="248" t="s">
        <v>20</v>
      </c>
      <c r="T5" s="248" t="s">
        <v>21</v>
      </c>
      <c r="U5" s="248" t="s">
        <v>22</v>
      </c>
      <c r="V5" s="248" t="s">
        <v>23</v>
      </c>
      <c r="W5" s="246"/>
      <c r="X5" s="253"/>
      <c r="Y5" s="230" t="s">
        <v>24</v>
      </c>
      <c r="Z5" s="230" t="s">
        <v>25</v>
      </c>
      <c r="AA5" s="230" t="s">
        <v>26</v>
      </c>
      <c r="AB5" s="230" t="s">
        <v>27</v>
      </c>
      <c r="AC5" s="230" t="s">
        <v>28</v>
      </c>
      <c r="AD5" s="230" t="s">
        <v>27</v>
      </c>
      <c r="AE5" s="230" t="s">
        <v>29</v>
      </c>
      <c r="AF5" s="230" t="s">
        <v>27</v>
      </c>
      <c r="AG5" s="230" t="s">
        <v>30</v>
      </c>
      <c r="AH5" s="230" t="s">
        <v>27</v>
      </c>
      <c r="AI5" s="259" t="s">
        <v>71</v>
      </c>
      <c r="AJ5" s="261" t="s">
        <v>27</v>
      </c>
      <c r="AK5" s="232" t="s">
        <v>72</v>
      </c>
      <c r="AL5" s="250" t="s">
        <v>73</v>
      </c>
      <c r="AM5" s="250" t="s">
        <v>27</v>
      </c>
      <c r="AN5" s="256" t="s">
        <v>74</v>
      </c>
      <c r="AO5" s="257"/>
      <c r="AP5" s="258"/>
      <c r="AQ5" s="230" t="s">
        <v>32</v>
      </c>
      <c r="AR5" s="230" t="s">
        <v>27</v>
      </c>
      <c r="AS5" s="230" t="s">
        <v>33</v>
      </c>
      <c r="AT5" s="235"/>
      <c r="AU5" s="240"/>
      <c r="AV5" s="228"/>
    </row>
    <row r="6" spans="1:48" ht="54" customHeight="1" thickBot="1">
      <c r="A6" s="221"/>
      <c r="B6" s="224"/>
      <c r="C6" s="224"/>
      <c r="D6" s="224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49"/>
      <c r="R6" s="249"/>
      <c r="S6" s="249"/>
      <c r="T6" s="249"/>
      <c r="U6" s="249"/>
      <c r="V6" s="249"/>
      <c r="W6" s="247"/>
      <c r="X6" s="254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60"/>
      <c r="AJ6" s="262"/>
      <c r="AK6" s="233"/>
      <c r="AL6" s="251"/>
      <c r="AM6" s="251"/>
      <c r="AN6" s="87" t="s">
        <v>75</v>
      </c>
      <c r="AO6" s="87" t="s">
        <v>76</v>
      </c>
      <c r="AP6" s="87" t="s">
        <v>77</v>
      </c>
      <c r="AQ6" s="231"/>
      <c r="AR6" s="231"/>
      <c r="AS6" s="231"/>
      <c r="AT6" s="236"/>
      <c r="AU6" s="241"/>
      <c r="AV6" s="229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>
      <c r="A8" s="5" t="s">
        <v>37</v>
      </c>
      <c r="B8" s="48"/>
      <c r="C8" s="49"/>
      <c r="D8" s="49"/>
      <c r="E8" s="46"/>
      <c r="F8" s="46"/>
      <c r="G8" s="46"/>
      <c r="H8" s="46"/>
      <c r="I8" s="46"/>
      <c r="J8" s="46"/>
      <c r="K8" s="46"/>
      <c r="L8" s="46"/>
      <c r="M8" s="46"/>
      <c r="N8" s="46"/>
      <c r="O8" s="45"/>
      <c r="P8" s="45"/>
      <c r="Q8" s="52"/>
      <c r="R8" s="52"/>
      <c r="S8" s="52"/>
      <c r="T8" s="52"/>
      <c r="U8" s="52"/>
      <c r="V8" s="44"/>
      <c r="W8" s="74"/>
      <c r="X8" s="75"/>
      <c r="Y8" s="12"/>
      <c r="Z8" s="12"/>
      <c r="AA8" s="12"/>
      <c r="AB8" s="12"/>
      <c r="AC8" s="12"/>
      <c r="AD8" s="12"/>
      <c r="AE8" s="12"/>
      <c r="AF8" s="12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12"/>
      <c r="AS8" s="12"/>
      <c r="AT8" s="12"/>
      <c r="AU8" s="12"/>
      <c r="AV8" s="26"/>
    </row>
    <row r="9" spans="1:48" ht="12.75">
      <c r="A9" s="9" t="s">
        <v>38</v>
      </c>
      <c r="B9" s="112">
        <v>78.2</v>
      </c>
      <c r="C9" s="113">
        <f aca="true" t="shared" si="0" ref="C9:C20">B9*8.65</f>
        <v>676.4300000000001</v>
      </c>
      <c r="D9" s="114">
        <f>C9*0.125</f>
        <v>84.55375000000001</v>
      </c>
      <c r="E9" s="81">
        <v>37.53</v>
      </c>
      <c r="F9" s="81">
        <v>0</v>
      </c>
      <c r="G9" s="81">
        <v>50.67</v>
      </c>
      <c r="H9" s="81">
        <v>0</v>
      </c>
      <c r="I9" s="81">
        <v>121.99</v>
      </c>
      <c r="J9" s="81">
        <v>0</v>
      </c>
      <c r="K9" s="81">
        <v>84.45</v>
      </c>
      <c r="L9" s="81">
        <v>0</v>
      </c>
      <c r="M9" s="81">
        <v>30.03</v>
      </c>
      <c r="N9" s="107">
        <v>0</v>
      </c>
      <c r="O9" s="70">
        <f>E9+G9+I9+K9+M9</f>
        <v>324.66999999999996</v>
      </c>
      <c r="P9" s="82">
        <f>N9+L9+J9+H9+F9</f>
        <v>0</v>
      </c>
      <c r="Q9" s="115">
        <v>17.04</v>
      </c>
      <c r="R9" s="116">
        <v>9.09</v>
      </c>
      <c r="S9" s="116">
        <v>23</v>
      </c>
      <c r="T9" s="116">
        <v>55.39</v>
      </c>
      <c r="U9" s="116">
        <v>38.34</v>
      </c>
      <c r="V9" s="117">
        <f aca="true" t="shared" si="1" ref="V9:V20">SUM(Q9:U9)</f>
        <v>142.86</v>
      </c>
      <c r="W9" s="118">
        <f>D9+P9+V9</f>
        <v>227.41375000000002</v>
      </c>
      <c r="X9" s="99"/>
      <c r="Y9" s="98">
        <f>0.6*B9*0.9</f>
        <v>42.228</v>
      </c>
      <c r="Z9" s="98">
        <f>B9*0.2*0.8913</f>
        <v>13.939932</v>
      </c>
      <c r="AA9" s="98">
        <f>0.85*B9*0.8852+0.01</f>
        <v>58.849244</v>
      </c>
      <c r="AB9" s="98">
        <f aca="true" t="shared" si="2" ref="AB9:AB20">AA9*0.18</f>
        <v>10.59286392</v>
      </c>
      <c r="AC9" s="98">
        <f>0.83*B9*0.887</f>
        <v>57.571622000000005</v>
      </c>
      <c r="AD9" s="98">
        <f aca="true" t="shared" si="3" ref="AD9:AD20">AC9*0.18</f>
        <v>10.36289196</v>
      </c>
      <c r="AE9" s="98">
        <f>(1.91)*B9*0.887</f>
        <v>132.484094</v>
      </c>
      <c r="AF9" s="98">
        <f aca="true" t="shared" si="4" ref="AF9:AF20">AE9*0.18</f>
        <v>23.84713692</v>
      </c>
      <c r="AG9" s="98">
        <v>0</v>
      </c>
      <c r="AH9" s="98">
        <f aca="true" t="shared" si="5" ref="AH9:AJ20">AG9*0.18</f>
        <v>0</v>
      </c>
      <c r="AI9" s="119"/>
      <c r="AJ9" s="119"/>
      <c r="AK9" s="45"/>
      <c r="AL9" s="45"/>
      <c r="AM9" s="45">
        <f>AK9*0.18</f>
        <v>0</v>
      </c>
      <c r="AN9" s="101">
        <v>508</v>
      </c>
      <c r="AO9" s="102">
        <v>0</v>
      </c>
      <c r="AP9" s="98">
        <f aca="true" t="shared" si="6" ref="AP9:AP20">AN9*AO9*1.12*1.18</f>
        <v>0</v>
      </c>
      <c r="AQ9" s="103"/>
      <c r="AR9" s="103">
        <f>AQ9*0.18</f>
        <v>0</v>
      </c>
      <c r="AS9" s="103">
        <f>SUM(Y9:AM9)</f>
        <v>349.8757848</v>
      </c>
      <c r="AT9" s="111"/>
      <c r="AU9" s="12">
        <f aca="true" t="shared" si="7" ref="AU9:AU20">W9+X9-AS9-AT9</f>
        <v>-122.4620348</v>
      </c>
      <c r="AV9" s="26">
        <f aca="true" t="shared" si="8" ref="AV9:AV20">V9-O9</f>
        <v>-181.80999999999995</v>
      </c>
    </row>
    <row r="10" spans="1:48" ht="12.75">
      <c r="A10" s="9" t="s">
        <v>39</v>
      </c>
      <c r="B10" s="104">
        <v>78.2</v>
      </c>
      <c r="C10" s="93">
        <f t="shared" si="0"/>
        <v>676.4300000000001</v>
      </c>
      <c r="D10" s="114">
        <f>C10*0.125</f>
        <v>84.55375000000001</v>
      </c>
      <c r="E10" s="81">
        <v>37.53</v>
      </c>
      <c r="F10" s="81">
        <v>0</v>
      </c>
      <c r="G10" s="81">
        <v>50.67</v>
      </c>
      <c r="H10" s="81">
        <v>0</v>
      </c>
      <c r="I10" s="81">
        <v>121.99</v>
      </c>
      <c r="J10" s="81">
        <v>0</v>
      </c>
      <c r="K10" s="81">
        <v>84.45</v>
      </c>
      <c r="L10" s="81">
        <v>0</v>
      </c>
      <c r="M10" s="81">
        <v>30.03</v>
      </c>
      <c r="N10" s="107">
        <v>0</v>
      </c>
      <c r="O10" s="70">
        <f>E10+G10+I10+K10+M10</f>
        <v>324.66999999999996</v>
      </c>
      <c r="P10" s="82">
        <f>N10+L10+J10+H10+F10</f>
        <v>0</v>
      </c>
      <c r="Q10" s="109">
        <v>1.16</v>
      </c>
      <c r="R10" s="109">
        <v>1.57</v>
      </c>
      <c r="S10" s="109">
        <v>3.78</v>
      </c>
      <c r="T10" s="109">
        <v>2.62</v>
      </c>
      <c r="U10" s="109">
        <v>0.93</v>
      </c>
      <c r="V10" s="104">
        <f t="shared" si="1"/>
        <v>10.059999999999999</v>
      </c>
      <c r="W10" s="99">
        <f>D10+P10+V10</f>
        <v>94.61375000000001</v>
      </c>
      <c r="X10" s="99"/>
      <c r="Y10" s="98">
        <f>0.6*B10*0.9</f>
        <v>42.228</v>
      </c>
      <c r="Z10" s="98">
        <f>B10*0.2*0.9152</f>
        <v>14.313728000000001</v>
      </c>
      <c r="AA10" s="98">
        <f>0.85*B10*0.8853-0.01</f>
        <v>58.835891</v>
      </c>
      <c r="AB10" s="98">
        <f t="shared" si="2"/>
        <v>10.59046038</v>
      </c>
      <c r="AC10" s="98">
        <f>0.83*B10*0.9</f>
        <v>58.415400000000005</v>
      </c>
      <c r="AD10" s="98">
        <f t="shared" si="3"/>
        <v>10.514772</v>
      </c>
      <c r="AE10" s="98">
        <f>(1.91)*B10*0.9</f>
        <v>134.4258</v>
      </c>
      <c r="AF10" s="98">
        <f t="shared" si="4"/>
        <v>24.196644</v>
      </c>
      <c r="AG10" s="98">
        <v>0</v>
      </c>
      <c r="AH10" s="98">
        <f t="shared" si="5"/>
        <v>0</v>
      </c>
      <c r="AI10" s="119"/>
      <c r="AJ10" s="119"/>
      <c r="AK10" s="45">
        <v>600</v>
      </c>
      <c r="AL10" s="45"/>
      <c r="AM10" s="73">
        <f>(AK10+AL10)*0.18</f>
        <v>108</v>
      </c>
      <c r="AN10" s="101">
        <v>407</v>
      </c>
      <c r="AO10" s="102">
        <v>0</v>
      </c>
      <c r="AP10" s="98">
        <f t="shared" si="6"/>
        <v>0</v>
      </c>
      <c r="AQ10" s="103"/>
      <c r="AR10" s="103">
        <f>AQ10*0.18</f>
        <v>0</v>
      </c>
      <c r="AS10" s="103">
        <f>SUM(Y10:AM10)</f>
        <v>1061.52069538</v>
      </c>
      <c r="AT10" s="111"/>
      <c r="AU10" s="12">
        <f t="shared" si="7"/>
        <v>-966.90694538</v>
      </c>
      <c r="AV10" s="26">
        <f t="shared" si="8"/>
        <v>-314.60999999999996</v>
      </c>
    </row>
    <row r="11" spans="1:48" ht="12.75">
      <c r="A11" s="9" t="s">
        <v>40</v>
      </c>
      <c r="B11" s="104">
        <v>78.2</v>
      </c>
      <c r="C11" s="93">
        <f t="shared" si="0"/>
        <v>676.4300000000001</v>
      </c>
      <c r="D11" s="120">
        <f>C11*0.125</f>
        <v>84.55375000000001</v>
      </c>
      <c r="E11" s="81">
        <v>37.53</v>
      </c>
      <c r="F11" s="81">
        <v>0</v>
      </c>
      <c r="G11" s="81">
        <v>50.67</v>
      </c>
      <c r="H11" s="81">
        <v>0</v>
      </c>
      <c r="I11" s="81">
        <v>121.99</v>
      </c>
      <c r="J11" s="81">
        <v>0</v>
      </c>
      <c r="K11" s="81">
        <v>84.45</v>
      </c>
      <c r="L11" s="81">
        <v>0</v>
      </c>
      <c r="M11" s="81">
        <v>30.03</v>
      </c>
      <c r="N11" s="107">
        <v>0</v>
      </c>
      <c r="O11" s="70">
        <f>E11+G11+I11+K11+M11</f>
        <v>324.66999999999996</v>
      </c>
      <c r="P11" s="82">
        <f>N11+L11+J11+H11+F11</f>
        <v>0</v>
      </c>
      <c r="Q11" s="109">
        <v>36.04</v>
      </c>
      <c r="R11" s="109">
        <v>48.65</v>
      </c>
      <c r="S11" s="109">
        <v>117.12</v>
      </c>
      <c r="T11" s="109">
        <v>81.07</v>
      </c>
      <c r="U11" s="109">
        <v>28.83</v>
      </c>
      <c r="V11" s="104">
        <f t="shared" si="1"/>
        <v>311.71</v>
      </c>
      <c r="W11" s="99">
        <f>D11+P11+V11</f>
        <v>396.26374999999996</v>
      </c>
      <c r="X11" s="99"/>
      <c r="Y11" s="98">
        <f>0.6*B11*0.9</f>
        <v>42.228</v>
      </c>
      <c r="Z11" s="98">
        <f>B11*0.2*0.9081</f>
        <v>14.202684000000001</v>
      </c>
      <c r="AA11" s="98">
        <f>0.85*B11*0.891</f>
        <v>59.22477</v>
      </c>
      <c r="AB11" s="98">
        <f t="shared" si="2"/>
        <v>10.6604586</v>
      </c>
      <c r="AC11" s="98">
        <f>(0.83*B11)*0.8928</f>
        <v>57.94807680000001</v>
      </c>
      <c r="AD11" s="98">
        <f t="shared" si="3"/>
        <v>10.430653824000002</v>
      </c>
      <c r="AE11" s="98">
        <f>1.91*B11*0.8927</f>
        <v>133.3354574</v>
      </c>
      <c r="AF11" s="98">
        <f t="shared" si="4"/>
        <v>24.000382331999997</v>
      </c>
      <c r="AG11" s="98">
        <v>0</v>
      </c>
      <c r="AH11" s="98">
        <f t="shared" si="5"/>
        <v>0</v>
      </c>
      <c r="AI11" s="119"/>
      <c r="AJ11" s="119">
        <f t="shared" si="5"/>
        <v>0</v>
      </c>
      <c r="AK11" s="100">
        <v>660</v>
      </c>
      <c r="AL11" s="100"/>
      <c r="AM11" s="73">
        <f>(AK11+AL11)*0.18</f>
        <v>118.8</v>
      </c>
      <c r="AN11" s="101">
        <v>383</v>
      </c>
      <c r="AO11" s="102">
        <v>0</v>
      </c>
      <c r="AP11" s="98">
        <f t="shared" si="6"/>
        <v>0</v>
      </c>
      <c r="AQ11" s="103"/>
      <c r="AR11" s="103">
        <f>AQ11*0.18</f>
        <v>0</v>
      </c>
      <c r="AS11" s="103">
        <f>SUM(Y11:AM11)</f>
        <v>1130.830482956</v>
      </c>
      <c r="AT11" s="111"/>
      <c r="AU11" s="12">
        <f t="shared" si="7"/>
        <v>-734.566732956</v>
      </c>
      <c r="AV11" s="26">
        <f t="shared" si="8"/>
        <v>-12.95999999999998</v>
      </c>
    </row>
    <row r="12" spans="1:48" ht="12.75">
      <c r="A12" s="9" t="s">
        <v>41</v>
      </c>
      <c r="B12" s="104">
        <v>78.2</v>
      </c>
      <c r="C12" s="105">
        <f t="shared" si="0"/>
        <v>676.4300000000001</v>
      </c>
      <c r="D12" s="120">
        <f>C12*0.125</f>
        <v>84.55375000000001</v>
      </c>
      <c r="E12" s="81">
        <v>37.53</v>
      </c>
      <c r="F12" s="81">
        <v>0</v>
      </c>
      <c r="G12" s="81">
        <v>50.67</v>
      </c>
      <c r="H12" s="81">
        <v>0</v>
      </c>
      <c r="I12" s="81">
        <v>121.99</v>
      </c>
      <c r="J12" s="81">
        <v>0</v>
      </c>
      <c r="K12" s="81">
        <v>84.45</v>
      </c>
      <c r="L12" s="81">
        <v>0</v>
      </c>
      <c r="M12" s="81">
        <v>30.03</v>
      </c>
      <c r="N12" s="107">
        <v>0</v>
      </c>
      <c r="O12" s="71">
        <f aca="true" t="shared" si="9" ref="O12:O20">E12+G12+I12+K12+M12</f>
        <v>324.66999999999996</v>
      </c>
      <c r="P12" s="82">
        <f aca="true" t="shared" si="10" ref="P12:P20">N12+L12+J12+H12+F12</f>
        <v>0</v>
      </c>
      <c r="Q12" s="108">
        <v>37.58</v>
      </c>
      <c r="R12" s="109">
        <v>50.74</v>
      </c>
      <c r="S12" s="109">
        <v>122.16</v>
      </c>
      <c r="T12" s="109">
        <v>84.57</v>
      </c>
      <c r="U12" s="109">
        <v>30.07</v>
      </c>
      <c r="V12" s="104">
        <f t="shared" si="1"/>
        <v>325.11999999999995</v>
      </c>
      <c r="W12" s="121">
        <f aca="true" t="shared" si="11" ref="W12:W20">D12+P12+V12</f>
        <v>409.6737499999999</v>
      </c>
      <c r="X12" s="99"/>
      <c r="Y12" s="98">
        <f>0.6*B12*0.9</f>
        <v>42.228</v>
      </c>
      <c r="Z12" s="98">
        <f>B12*0.2*0.9234</f>
        <v>14.441976</v>
      </c>
      <c r="AA12" s="98">
        <f>0.85*B12*0.891</f>
        <v>59.22477</v>
      </c>
      <c r="AB12" s="98">
        <f t="shared" si="2"/>
        <v>10.6604586</v>
      </c>
      <c r="AC12" s="98">
        <f>(0.83*B12)*0.8928</f>
        <v>57.94807680000001</v>
      </c>
      <c r="AD12" s="98">
        <f t="shared" si="3"/>
        <v>10.430653824000002</v>
      </c>
      <c r="AE12" s="98">
        <f>1.91*B12*0.8927</f>
        <v>133.3354574</v>
      </c>
      <c r="AF12" s="98">
        <f t="shared" si="4"/>
        <v>24.000382331999997</v>
      </c>
      <c r="AG12" s="98">
        <v>0</v>
      </c>
      <c r="AH12" s="98">
        <f t="shared" si="5"/>
        <v>0</v>
      </c>
      <c r="AI12" s="119"/>
      <c r="AJ12" s="85">
        <f t="shared" si="5"/>
        <v>0</v>
      </c>
      <c r="AK12" s="100">
        <v>600</v>
      </c>
      <c r="AL12" s="100"/>
      <c r="AM12" s="73">
        <f>(AK12+AL12)*0.18</f>
        <v>108</v>
      </c>
      <c r="AN12" s="86">
        <v>307</v>
      </c>
      <c r="AO12" s="102">
        <v>0</v>
      </c>
      <c r="AP12" s="98">
        <f t="shared" si="6"/>
        <v>0</v>
      </c>
      <c r="AQ12" s="88"/>
      <c r="AR12" s="97">
        <f aca="true" t="shared" si="12" ref="AR12:AR20">AQ12*0.18</f>
        <v>0</v>
      </c>
      <c r="AS12" s="89">
        <f>SUM(Y12:AM12)+AP12+AP9+AP10+AP11</f>
        <v>1060.269774956</v>
      </c>
      <c r="AT12" s="92"/>
      <c r="AU12" s="12">
        <f t="shared" si="7"/>
        <v>-650.5960249560001</v>
      </c>
      <c r="AV12" s="26">
        <f t="shared" si="8"/>
        <v>0.44999999999998863</v>
      </c>
    </row>
    <row r="13" spans="1:48" ht="12.75">
      <c r="A13" s="9" t="s">
        <v>42</v>
      </c>
      <c r="B13" s="104">
        <v>78.2</v>
      </c>
      <c r="C13" s="105">
        <f t="shared" si="0"/>
        <v>676.4300000000001</v>
      </c>
      <c r="D13" s="120">
        <f>C13-E13-F13-G13-H13-I13-J13-K13-L13-M13-N13</f>
        <v>310.45000000000005</v>
      </c>
      <c r="E13" s="90">
        <v>42.23</v>
      </c>
      <c r="F13" s="90">
        <v>0</v>
      </c>
      <c r="G13" s="90">
        <v>57.24</v>
      </c>
      <c r="H13" s="90">
        <v>0</v>
      </c>
      <c r="I13" s="90">
        <v>137.48</v>
      </c>
      <c r="J13" s="90">
        <v>0</v>
      </c>
      <c r="K13" s="90">
        <v>95.25</v>
      </c>
      <c r="L13" s="90">
        <v>0</v>
      </c>
      <c r="M13" s="90">
        <v>33.78</v>
      </c>
      <c r="N13" s="91">
        <v>0</v>
      </c>
      <c r="O13" s="122">
        <f t="shared" si="9"/>
        <v>365.98</v>
      </c>
      <c r="P13" s="123">
        <f t="shared" si="10"/>
        <v>0</v>
      </c>
      <c r="Q13" s="109">
        <v>37.47</v>
      </c>
      <c r="R13" s="109">
        <v>50.59</v>
      </c>
      <c r="S13" s="109">
        <v>121.81</v>
      </c>
      <c r="T13" s="109">
        <v>84.33</v>
      </c>
      <c r="U13" s="109">
        <v>29.99</v>
      </c>
      <c r="V13" s="104">
        <f t="shared" si="1"/>
        <v>324.19</v>
      </c>
      <c r="W13" s="99">
        <f t="shared" si="11"/>
        <v>634.6400000000001</v>
      </c>
      <c r="X13" s="99"/>
      <c r="Y13" s="98">
        <f aca="true" t="shared" si="13" ref="Y13:Y20">0.6*B13</f>
        <v>46.92</v>
      </c>
      <c r="Z13" s="98">
        <f>B13*0.2*1.011</f>
        <v>15.81204</v>
      </c>
      <c r="AA13" s="98">
        <f>0.85*B13*0.99</f>
        <v>65.8053</v>
      </c>
      <c r="AB13" s="98">
        <f t="shared" si="2"/>
        <v>11.844954</v>
      </c>
      <c r="AC13" s="98">
        <f>(0.83*B13)*0.992</f>
        <v>64.386752</v>
      </c>
      <c r="AD13" s="98">
        <f t="shared" si="3"/>
        <v>11.58961536</v>
      </c>
      <c r="AE13" s="98">
        <f>1.91*B13*0.992</f>
        <v>148.167104</v>
      </c>
      <c r="AF13" s="98">
        <f t="shared" si="4"/>
        <v>26.67007872</v>
      </c>
      <c r="AG13" s="98">
        <v>0</v>
      </c>
      <c r="AH13" s="98">
        <f t="shared" si="5"/>
        <v>0</v>
      </c>
      <c r="AI13" s="119"/>
      <c r="AJ13" s="85">
        <f t="shared" si="5"/>
        <v>0</v>
      </c>
      <c r="AK13" s="100"/>
      <c r="AL13" s="100"/>
      <c r="AM13" s="73">
        <f>(AK13+AL13)*0.18</f>
        <v>0</v>
      </c>
      <c r="AN13" s="86">
        <v>263</v>
      </c>
      <c r="AO13" s="102">
        <v>0</v>
      </c>
      <c r="AP13" s="98">
        <f t="shared" si="6"/>
        <v>0</v>
      </c>
      <c r="AQ13" s="103"/>
      <c r="AR13" s="103">
        <f t="shared" si="12"/>
        <v>0</v>
      </c>
      <c r="AS13" s="103">
        <f aca="true" t="shared" si="14" ref="AS13:AS20">SUM(Y13:AM13)+AP13</f>
        <v>391.19584408000003</v>
      </c>
      <c r="AT13" s="111"/>
      <c r="AU13" s="12">
        <f t="shared" si="7"/>
        <v>243.44415592000007</v>
      </c>
      <c r="AV13" s="26">
        <f t="shared" si="8"/>
        <v>-41.79000000000002</v>
      </c>
    </row>
    <row r="14" spans="1:48" ht="12.75">
      <c r="A14" s="9" t="s">
        <v>43</v>
      </c>
      <c r="B14" s="104">
        <v>78.2</v>
      </c>
      <c r="C14" s="105">
        <f t="shared" si="0"/>
        <v>676.4300000000001</v>
      </c>
      <c r="D14" s="120">
        <v>310.44</v>
      </c>
      <c r="E14" s="90">
        <v>70.38</v>
      </c>
      <c r="F14" s="90">
        <v>0</v>
      </c>
      <c r="G14" s="90">
        <v>95.41</v>
      </c>
      <c r="H14" s="90">
        <v>0</v>
      </c>
      <c r="I14" s="90">
        <v>137.48</v>
      </c>
      <c r="J14" s="90">
        <v>0</v>
      </c>
      <c r="K14" s="90">
        <v>158.75</v>
      </c>
      <c r="L14" s="90">
        <v>0</v>
      </c>
      <c r="M14" s="90">
        <v>56.31</v>
      </c>
      <c r="N14" s="124">
        <v>0</v>
      </c>
      <c r="O14" s="71">
        <f t="shared" si="9"/>
        <v>518.3299999999999</v>
      </c>
      <c r="P14" s="82">
        <f t="shared" si="10"/>
        <v>0</v>
      </c>
      <c r="Q14" s="109">
        <v>42.23</v>
      </c>
      <c r="R14" s="109">
        <v>57.24</v>
      </c>
      <c r="S14" s="109">
        <v>137.48</v>
      </c>
      <c r="T14" s="109">
        <v>95.24</v>
      </c>
      <c r="U14" s="109">
        <v>33.77</v>
      </c>
      <c r="V14" s="104">
        <f t="shared" si="1"/>
        <v>365.96</v>
      </c>
      <c r="W14" s="99">
        <f t="shared" si="11"/>
        <v>676.4</v>
      </c>
      <c r="X14" s="99"/>
      <c r="Y14" s="98">
        <f t="shared" si="13"/>
        <v>46.92</v>
      </c>
      <c r="Z14" s="98">
        <f>B14*0.2*1.01045</f>
        <v>15.803438000000002</v>
      </c>
      <c r="AA14" s="98">
        <f>0.85*B14*0.98824</f>
        <v>65.6883128</v>
      </c>
      <c r="AB14" s="98">
        <f t="shared" si="2"/>
        <v>11.823896304</v>
      </c>
      <c r="AC14" s="98">
        <f>(0.83*B14)*0.99023</f>
        <v>64.27186838000002</v>
      </c>
      <c r="AD14" s="98">
        <f t="shared" si="3"/>
        <v>11.568936308400001</v>
      </c>
      <c r="AE14" s="98">
        <f>(1.91)*B14*0.99023</f>
        <v>147.90273326</v>
      </c>
      <c r="AF14" s="98">
        <f t="shared" si="4"/>
        <v>26.622491986799997</v>
      </c>
      <c r="AG14" s="98">
        <v>0</v>
      </c>
      <c r="AH14" s="98">
        <f t="shared" si="5"/>
        <v>0</v>
      </c>
      <c r="AI14" s="119">
        <v>2799.24</v>
      </c>
      <c r="AJ14" s="119">
        <f t="shared" si="5"/>
        <v>503.86319999999995</v>
      </c>
      <c r="AK14" s="100"/>
      <c r="AL14" s="100"/>
      <c r="AM14" s="73">
        <f>(AK14+AL14)*0.18</f>
        <v>0</v>
      </c>
      <c r="AN14" s="86">
        <v>233</v>
      </c>
      <c r="AO14" s="102">
        <v>0</v>
      </c>
      <c r="AP14" s="98">
        <f t="shared" si="6"/>
        <v>0</v>
      </c>
      <c r="AQ14" s="103"/>
      <c r="AR14" s="103">
        <f t="shared" si="12"/>
        <v>0</v>
      </c>
      <c r="AS14" s="103">
        <f t="shared" si="14"/>
        <v>3693.7048770391993</v>
      </c>
      <c r="AT14" s="111"/>
      <c r="AU14" s="12">
        <f t="shared" si="7"/>
        <v>-3017.3048770391993</v>
      </c>
      <c r="AV14" s="26">
        <f t="shared" si="8"/>
        <v>-152.36999999999995</v>
      </c>
    </row>
    <row r="15" spans="1:48" ht="12.75">
      <c r="A15" s="9" t="s">
        <v>44</v>
      </c>
      <c r="B15" s="104">
        <v>78.2</v>
      </c>
      <c r="C15" s="105">
        <f t="shared" si="0"/>
        <v>676.4300000000001</v>
      </c>
      <c r="D15" s="120">
        <v>310.46</v>
      </c>
      <c r="E15" s="90">
        <v>14.08</v>
      </c>
      <c r="F15" s="90">
        <v>0</v>
      </c>
      <c r="G15" s="90">
        <v>19.07</v>
      </c>
      <c r="H15" s="90">
        <v>0</v>
      </c>
      <c r="I15" s="90">
        <v>137.48</v>
      </c>
      <c r="J15" s="90">
        <v>0</v>
      </c>
      <c r="K15" s="90">
        <v>31.75</v>
      </c>
      <c r="L15" s="90">
        <v>0</v>
      </c>
      <c r="M15" s="90">
        <v>11.25</v>
      </c>
      <c r="N15" s="124">
        <v>0</v>
      </c>
      <c r="O15" s="71">
        <f t="shared" si="9"/>
        <v>213.63</v>
      </c>
      <c r="P15" s="82">
        <f t="shared" si="10"/>
        <v>0</v>
      </c>
      <c r="Q15" s="109">
        <v>70.5</v>
      </c>
      <c r="R15" s="109">
        <v>95.6</v>
      </c>
      <c r="S15" s="109">
        <v>138.17</v>
      </c>
      <c r="T15" s="109">
        <v>159.06</v>
      </c>
      <c r="U15" s="109">
        <v>56.43</v>
      </c>
      <c r="V15" s="104">
        <f t="shared" si="1"/>
        <v>519.76</v>
      </c>
      <c r="W15" s="99">
        <f t="shared" si="11"/>
        <v>830.22</v>
      </c>
      <c r="X15" s="99"/>
      <c r="Y15" s="98">
        <f t="shared" si="13"/>
        <v>46.92</v>
      </c>
      <c r="Z15" s="98">
        <f>B15*0.2*0.99426</f>
        <v>15.550226400000001</v>
      </c>
      <c r="AA15" s="98">
        <f>0.85*B15*0.98824</f>
        <v>65.6883128</v>
      </c>
      <c r="AB15" s="98">
        <f t="shared" si="2"/>
        <v>11.823896304</v>
      </c>
      <c r="AC15" s="98">
        <f>0.83*B15*0.99023</f>
        <v>64.27186838000002</v>
      </c>
      <c r="AD15" s="98">
        <f t="shared" si="3"/>
        <v>11.568936308400001</v>
      </c>
      <c r="AE15" s="98">
        <f>1.91*B15*0.99023</f>
        <v>147.90273326</v>
      </c>
      <c r="AF15" s="98">
        <f t="shared" si="4"/>
        <v>26.622491986799997</v>
      </c>
      <c r="AG15" s="98">
        <v>0</v>
      </c>
      <c r="AH15" s="98">
        <f t="shared" si="5"/>
        <v>0</v>
      </c>
      <c r="AI15" s="119"/>
      <c r="AJ15" s="85">
        <f t="shared" si="5"/>
        <v>0</v>
      </c>
      <c r="AK15" s="100">
        <v>330</v>
      </c>
      <c r="AL15" s="100"/>
      <c r="AM15" s="100">
        <f>AK15*0.18</f>
        <v>59.4</v>
      </c>
      <c r="AN15" s="96">
        <v>248</v>
      </c>
      <c r="AO15" s="102">
        <v>0</v>
      </c>
      <c r="AP15" s="98">
        <f t="shared" si="6"/>
        <v>0</v>
      </c>
      <c r="AQ15" s="103"/>
      <c r="AR15" s="103">
        <f t="shared" si="12"/>
        <v>0</v>
      </c>
      <c r="AS15" s="103">
        <f t="shared" si="14"/>
        <v>779.7484654392</v>
      </c>
      <c r="AT15" s="111"/>
      <c r="AU15" s="12">
        <f t="shared" si="7"/>
        <v>50.47153456080002</v>
      </c>
      <c r="AV15" s="26">
        <f t="shared" si="8"/>
        <v>306.13</v>
      </c>
    </row>
    <row r="16" spans="1:48" ht="12.75">
      <c r="A16" s="9" t="s">
        <v>45</v>
      </c>
      <c r="B16" s="104">
        <v>78.2</v>
      </c>
      <c r="C16" s="105">
        <f t="shared" si="0"/>
        <v>676.4300000000001</v>
      </c>
      <c r="D16" s="120">
        <f>C16-E16-F16-G16-H16-I16-J16-K16-L16-M16-N16</f>
        <v>310.45000000000005</v>
      </c>
      <c r="E16" s="90">
        <v>42.23</v>
      </c>
      <c r="F16" s="90">
        <v>0</v>
      </c>
      <c r="G16" s="90">
        <v>57.24</v>
      </c>
      <c r="H16" s="90">
        <v>0</v>
      </c>
      <c r="I16" s="90">
        <v>137.48</v>
      </c>
      <c r="J16" s="90">
        <v>0</v>
      </c>
      <c r="K16" s="90">
        <v>95.25</v>
      </c>
      <c r="L16" s="90">
        <v>0</v>
      </c>
      <c r="M16" s="90">
        <v>33.78</v>
      </c>
      <c r="N16" s="124">
        <v>0</v>
      </c>
      <c r="O16" s="71">
        <f t="shared" si="9"/>
        <v>365.98</v>
      </c>
      <c r="P16" s="82">
        <f t="shared" si="10"/>
        <v>0</v>
      </c>
      <c r="Q16" s="109">
        <v>7.31</v>
      </c>
      <c r="R16" s="109">
        <v>9.88</v>
      </c>
      <c r="S16" s="109">
        <v>66.09</v>
      </c>
      <c r="T16" s="109">
        <v>16.44</v>
      </c>
      <c r="U16" s="109">
        <v>5.82</v>
      </c>
      <c r="V16" s="104">
        <f t="shared" si="1"/>
        <v>105.53999999999999</v>
      </c>
      <c r="W16" s="99">
        <f t="shared" si="11"/>
        <v>415.99</v>
      </c>
      <c r="X16" s="99"/>
      <c r="Y16" s="98">
        <f t="shared" si="13"/>
        <v>46.92</v>
      </c>
      <c r="Z16" s="98">
        <f>B16*0.2*0.99875</f>
        <v>15.620450000000002</v>
      </c>
      <c r="AA16" s="98">
        <f>0.85*B16*0.9883</f>
        <v>65.692301</v>
      </c>
      <c r="AB16" s="98">
        <f t="shared" si="2"/>
        <v>11.82461418</v>
      </c>
      <c r="AC16" s="98">
        <f>0.83*B16*0.9903</f>
        <v>64.2764118</v>
      </c>
      <c r="AD16" s="98">
        <f t="shared" si="3"/>
        <v>11.569754124000001</v>
      </c>
      <c r="AE16" s="98">
        <f>1.91*B16*0.9902</f>
        <v>147.8982524</v>
      </c>
      <c r="AF16" s="98">
        <f t="shared" si="4"/>
        <v>26.621685431999996</v>
      </c>
      <c r="AG16" s="98">
        <v>0</v>
      </c>
      <c r="AH16" s="98">
        <f t="shared" si="5"/>
        <v>0</v>
      </c>
      <c r="AI16" s="119"/>
      <c r="AJ16" s="85">
        <f t="shared" si="5"/>
        <v>0</v>
      </c>
      <c r="AK16" s="100"/>
      <c r="AL16" s="100"/>
      <c r="AM16" s="73">
        <f>(AK16+AL16)*0.18</f>
        <v>0</v>
      </c>
      <c r="AN16" s="96">
        <v>293</v>
      </c>
      <c r="AO16" s="102">
        <v>0</v>
      </c>
      <c r="AP16" s="98">
        <f t="shared" si="6"/>
        <v>0</v>
      </c>
      <c r="AQ16" s="103"/>
      <c r="AR16" s="103">
        <f t="shared" si="12"/>
        <v>0</v>
      </c>
      <c r="AS16" s="103">
        <f t="shared" si="14"/>
        <v>390.423468936</v>
      </c>
      <c r="AT16" s="111"/>
      <c r="AU16" s="12">
        <f t="shared" si="7"/>
        <v>25.566531064000003</v>
      </c>
      <c r="AV16" s="26">
        <f t="shared" si="8"/>
        <v>-260.44000000000005</v>
      </c>
    </row>
    <row r="17" spans="1:48" ht="12.75">
      <c r="A17" s="9" t="s">
        <v>46</v>
      </c>
      <c r="B17" s="104">
        <v>78.2</v>
      </c>
      <c r="C17" s="105">
        <f t="shared" si="0"/>
        <v>676.4300000000001</v>
      </c>
      <c r="D17" s="120">
        <f>C17-E17-F17-G17-H17-I17-J17-K17-L17-M17-N17</f>
        <v>310.45000000000005</v>
      </c>
      <c r="E17" s="81">
        <v>42.23</v>
      </c>
      <c r="F17" s="81">
        <v>0</v>
      </c>
      <c r="G17" s="81">
        <v>57.24</v>
      </c>
      <c r="H17" s="81">
        <v>0</v>
      </c>
      <c r="I17" s="81">
        <v>137.48</v>
      </c>
      <c r="J17" s="81">
        <v>0</v>
      </c>
      <c r="K17" s="81">
        <v>95.25</v>
      </c>
      <c r="L17" s="81">
        <v>0</v>
      </c>
      <c r="M17" s="81">
        <v>33.78</v>
      </c>
      <c r="N17" s="107">
        <v>0</v>
      </c>
      <c r="O17" s="71">
        <f t="shared" si="9"/>
        <v>365.98</v>
      </c>
      <c r="P17" s="82">
        <f t="shared" si="10"/>
        <v>0</v>
      </c>
      <c r="Q17" s="109">
        <v>33.73</v>
      </c>
      <c r="R17" s="109">
        <v>45.72</v>
      </c>
      <c r="S17" s="109">
        <v>133.81</v>
      </c>
      <c r="T17" s="109">
        <v>76.11</v>
      </c>
      <c r="U17" s="109">
        <v>26.99</v>
      </c>
      <c r="V17" s="104">
        <f t="shared" si="1"/>
        <v>316.36</v>
      </c>
      <c r="W17" s="99">
        <f t="shared" si="11"/>
        <v>626.8100000000001</v>
      </c>
      <c r="X17" s="99"/>
      <c r="Y17" s="98">
        <f t="shared" si="13"/>
        <v>46.92</v>
      </c>
      <c r="Z17" s="98">
        <f>B17*0.2*0.9997</f>
        <v>15.635308</v>
      </c>
      <c r="AA17" s="98">
        <f>0.85*B17*0.9883</f>
        <v>65.692301</v>
      </c>
      <c r="AB17" s="98">
        <f t="shared" si="2"/>
        <v>11.82461418</v>
      </c>
      <c r="AC17" s="98">
        <f>(0.83*B17)*0.9902</f>
        <v>64.2699212</v>
      </c>
      <c r="AD17" s="98">
        <f t="shared" si="3"/>
        <v>11.568585815999999</v>
      </c>
      <c r="AE17" s="98">
        <f>1.91*B17*0.9903</f>
        <v>147.91318859999998</v>
      </c>
      <c r="AF17" s="98">
        <f t="shared" si="4"/>
        <v>26.624373947999995</v>
      </c>
      <c r="AG17" s="98">
        <v>0</v>
      </c>
      <c r="AH17" s="98">
        <f t="shared" si="5"/>
        <v>0</v>
      </c>
      <c r="AI17" s="119"/>
      <c r="AJ17" s="85">
        <f t="shared" si="5"/>
        <v>0</v>
      </c>
      <c r="AK17" s="100"/>
      <c r="AL17" s="100"/>
      <c r="AM17" s="73">
        <f>(AK17+AL17)*0.18</f>
        <v>0</v>
      </c>
      <c r="AN17" s="96">
        <v>349</v>
      </c>
      <c r="AO17" s="102">
        <v>0</v>
      </c>
      <c r="AP17" s="98">
        <f t="shared" si="6"/>
        <v>0</v>
      </c>
      <c r="AQ17" s="103"/>
      <c r="AR17" s="103">
        <f t="shared" si="12"/>
        <v>0</v>
      </c>
      <c r="AS17" s="103">
        <f t="shared" si="14"/>
        <v>390.44829274399996</v>
      </c>
      <c r="AT17" s="111"/>
      <c r="AU17" s="12">
        <f t="shared" si="7"/>
        <v>236.3617072560001</v>
      </c>
      <c r="AV17" s="26">
        <f t="shared" si="8"/>
        <v>-49.620000000000005</v>
      </c>
    </row>
    <row r="18" spans="1:48" ht="12.75">
      <c r="A18" s="9" t="s">
        <v>34</v>
      </c>
      <c r="B18" s="128">
        <v>78.2</v>
      </c>
      <c r="C18" s="80">
        <f t="shared" si="0"/>
        <v>676.4300000000001</v>
      </c>
      <c r="D18" s="120">
        <f>C18-O18-P18</f>
        <v>310.45000000000005</v>
      </c>
      <c r="E18" s="81">
        <v>42.23</v>
      </c>
      <c r="F18" s="81">
        <v>0</v>
      </c>
      <c r="G18" s="81">
        <v>57.24</v>
      </c>
      <c r="H18" s="81">
        <v>0</v>
      </c>
      <c r="I18" s="81">
        <v>137.48</v>
      </c>
      <c r="J18" s="81">
        <v>0</v>
      </c>
      <c r="K18" s="81">
        <v>95.25</v>
      </c>
      <c r="L18" s="81">
        <v>0</v>
      </c>
      <c r="M18" s="81">
        <v>33.78</v>
      </c>
      <c r="N18" s="84">
        <v>0</v>
      </c>
      <c r="O18" s="125">
        <f t="shared" si="9"/>
        <v>365.98</v>
      </c>
      <c r="P18" s="126">
        <f t="shared" si="10"/>
        <v>0</v>
      </c>
      <c r="Q18" s="109">
        <v>36.65</v>
      </c>
      <c r="R18" s="109">
        <v>49.67</v>
      </c>
      <c r="S18" s="109">
        <v>126.21</v>
      </c>
      <c r="T18" s="109">
        <v>82.65</v>
      </c>
      <c r="U18" s="109">
        <v>29.31</v>
      </c>
      <c r="V18" s="84">
        <f t="shared" si="1"/>
        <v>324.48999999999995</v>
      </c>
      <c r="W18" s="83">
        <f t="shared" si="11"/>
        <v>634.94</v>
      </c>
      <c r="X18" s="78"/>
      <c r="Y18" s="127">
        <f t="shared" si="13"/>
        <v>46.92</v>
      </c>
      <c r="Z18" s="14">
        <f>B18*0.2</f>
        <v>15.64</v>
      </c>
      <c r="AA18" s="14">
        <f>0.85*B18</f>
        <v>66.47</v>
      </c>
      <c r="AB18" s="14">
        <f t="shared" si="2"/>
        <v>11.964599999999999</v>
      </c>
      <c r="AC18" s="14">
        <f>(0.83*B18)</f>
        <v>64.906</v>
      </c>
      <c r="AD18" s="14">
        <f t="shared" si="3"/>
        <v>11.68308</v>
      </c>
      <c r="AE18" s="14">
        <f>1.91*B18</f>
        <v>149.362</v>
      </c>
      <c r="AF18" s="14">
        <f t="shared" si="4"/>
        <v>26.88516</v>
      </c>
      <c r="AG18" s="14">
        <v>0</v>
      </c>
      <c r="AH18" s="14">
        <f t="shared" si="5"/>
        <v>0</v>
      </c>
      <c r="AI18" s="119">
        <v>2071.55</v>
      </c>
      <c r="AJ18" s="85">
        <f t="shared" si="5"/>
        <v>372.879</v>
      </c>
      <c r="AK18" s="73"/>
      <c r="AL18" s="73"/>
      <c r="AM18" s="73">
        <f>(AK18+AL18)*0.18</f>
        <v>0</v>
      </c>
      <c r="AN18" s="110">
        <v>425</v>
      </c>
      <c r="AO18" s="95">
        <v>0</v>
      </c>
      <c r="AP18" s="14">
        <f t="shared" si="6"/>
        <v>0</v>
      </c>
      <c r="AQ18" s="89"/>
      <c r="AR18" s="89">
        <f t="shared" si="12"/>
        <v>0</v>
      </c>
      <c r="AS18" s="89">
        <f t="shared" si="14"/>
        <v>2838.25984</v>
      </c>
      <c r="AT18" s="92"/>
      <c r="AU18" s="12">
        <f t="shared" si="7"/>
        <v>-2203.31984</v>
      </c>
      <c r="AV18" s="26">
        <f t="shared" si="8"/>
        <v>-41.490000000000066</v>
      </c>
    </row>
    <row r="19" spans="1:48" ht="12.75">
      <c r="A19" s="9" t="s">
        <v>35</v>
      </c>
      <c r="B19" s="128">
        <v>78.2</v>
      </c>
      <c r="C19" s="80">
        <f t="shared" si="0"/>
        <v>676.4300000000001</v>
      </c>
      <c r="D19" s="120">
        <f>C19-O19-P19</f>
        <v>310.45000000000005</v>
      </c>
      <c r="E19" s="81">
        <v>42.23</v>
      </c>
      <c r="F19" s="81">
        <v>0</v>
      </c>
      <c r="G19" s="81">
        <v>57.24</v>
      </c>
      <c r="H19" s="81">
        <v>0</v>
      </c>
      <c r="I19" s="81">
        <v>137.48</v>
      </c>
      <c r="J19" s="81">
        <v>0</v>
      </c>
      <c r="K19" s="81">
        <v>95.25</v>
      </c>
      <c r="L19" s="81">
        <v>0</v>
      </c>
      <c r="M19" s="81">
        <v>33.78</v>
      </c>
      <c r="N19" s="107">
        <v>0</v>
      </c>
      <c r="O19" s="125">
        <f t="shared" si="9"/>
        <v>365.98</v>
      </c>
      <c r="P19" s="126">
        <f t="shared" si="10"/>
        <v>0</v>
      </c>
      <c r="Q19" s="129">
        <v>57.87</v>
      </c>
      <c r="R19" s="129">
        <v>78.44</v>
      </c>
      <c r="S19" s="129">
        <v>201.83</v>
      </c>
      <c r="T19" s="129">
        <v>130.55</v>
      </c>
      <c r="U19" s="129">
        <v>46.3</v>
      </c>
      <c r="V19" s="84">
        <f t="shared" si="1"/>
        <v>514.99</v>
      </c>
      <c r="W19" s="83">
        <f t="shared" si="11"/>
        <v>825.44</v>
      </c>
      <c r="X19" s="83"/>
      <c r="Y19" s="14">
        <f t="shared" si="13"/>
        <v>46.92</v>
      </c>
      <c r="Z19" s="14">
        <f>B19*0.2</f>
        <v>15.64</v>
      </c>
      <c r="AA19" s="14">
        <f>0.85*B19</f>
        <v>66.47</v>
      </c>
      <c r="AB19" s="14">
        <f t="shared" si="2"/>
        <v>11.964599999999999</v>
      </c>
      <c r="AC19" s="14">
        <f>(0.83*B19)</f>
        <v>64.906</v>
      </c>
      <c r="AD19" s="14">
        <f t="shared" si="3"/>
        <v>11.68308</v>
      </c>
      <c r="AE19" s="14">
        <f>1.91*B19</f>
        <v>149.362</v>
      </c>
      <c r="AF19" s="14">
        <f t="shared" si="4"/>
        <v>26.88516</v>
      </c>
      <c r="AG19" s="14">
        <v>0</v>
      </c>
      <c r="AH19" s="14">
        <f t="shared" si="5"/>
        <v>0</v>
      </c>
      <c r="AI19" s="119"/>
      <c r="AJ19" s="85">
        <f t="shared" si="5"/>
        <v>0</v>
      </c>
      <c r="AK19" s="73"/>
      <c r="AL19" s="73"/>
      <c r="AM19" s="73">
        <f>AK19*0.18</f>
        <v>0</v>
      </c>
      <c r="AN19" s="110">
        <v>470</v>
      </c>
      <c r="AO19" s="95">
        <v>0</v>
      </c>
      <c r="AP19" s="14">
        <f t="shared" si="6"/>
        <v>0</v>
      </c>
      <c r="AQ19" s="89"/>
      <c r="AR19" s="89">
        <f t="shared" si="12"/>
        <v>0</v>
      </c>
      <c r="AS19" s="89">
        <f t="shared" si="14"/>
        <v>393.83083999999997</v>
      </c>
      <c r="AT19" s="92"/>
      <c r="AU19" s="12">
        <f t="shared" si="7"/>
        <v>431.6091600000001</v>
      </c>
      <c r="AV19" s="26">
        <f t="shared" si="8"/>
        <v>149.01</v>
      </c>
    </row>
    <row r="20" spans="1:48" ht="12.75">
      <c r="A20" s="9" t="s">
        <v>36</v>
      </c>
      <c r="B20" s="130">
        <v>78.2</v>
      </c>
      <c r="C20" s="105">
        <f t="shared" si="0"/>
        <v>676.4300000000001</v>
      </c>
      <c r="D20" s="106">
        <f>C20-E20-F20-G20-H20-I20-J20-K20-L20-M20-N20</f>
        <v>310.45000000000005</v>
      </c>
      <c r="E20" s="131">
        <v>42.23</v>
      </c>
      <c r="F20" s="131">
        <v>0</v>
      </c>
      <c r="G20" s="131">
        <v>57.24</v>
      </c>
      <c r="H20" s="131">
        <v>0</v>
      </c>
      <c r="I20" s="131">
        <v>137.48</v>
      </c>
      <c r="J20" s="131">
        <v>0</v>
      </c>
      <c r="K20" s="131">
        <v>95.25</v>
      </c>
      <c r="L20" s="131">
        <v>0</v>
      </c>
      <c r="M20" s="131">
        <v>33.78</v>
      </c>
      <c r="N20" s="131">
        <v>0</v>
      </c>
      <c r="O20" s="70">
        <f t="shared" si="9"/>
        <v>365.98</v>
      </c>
      <c r="P20" s="82">
        <f t="shared" si="10"/>
        <v>0</v>
      </c>
      <c r="Q20" s="109">
        <v>33.46</v>
      </c>
      <c r="R20" s="109">
        <v>45.43</v>
      </c>
      <c r="S20" s="109">
        <v>108.97</v>
      </c>
      <c r="T20" s="109">
        <v>75.52</v>
      </c>
      <c r="U20" s="109">
        <v>26.74</v>
      </c>
      <c r="V20" s="84">
        <f t="shared" si="1"/>
        <v>290.12</v>
      </c>
      <c r="W20" s="83">
        <f t="shared" si="11"/>
        <v>600.57</v>
      </c>
      <c r="X20" s="83"/>
      <c r="Y20" s="14">
        <f t="shared" si="13"/>
        <v>46.92</v>
      </c>
      <c r="Z20" s="14">
        <f>B20*0.2</f>
        <v>15.64</v>
      </c>
      <c r="AA20" s="14">
        <f>0.85*B20</f>
        <v>66.47</v>
      </c>
      <c r="AB20" s="14">
        <f t="shared" si="2"/>
        <v>11.964599999999999</v>
      </c>
      <c r="AC20" s="14">
        <f>(0.83*B20)</f>
        <v>64.906</v>
      </c>
      <c r="AD20" s="14">
        <f t="shared" si="3"/>
        <v>11.68308</v>
      </c>
      <c r="AE20" s="14">
        <f>1.91*B20</f>
        <v>149.362</v>
      </c>
      <c r="AF20" s="14">
        <f t="shared" si="4"/>
        <v>26.88516</v>
      </c>
      <c r="AG20" s="14">
        <v>0</v>
      </c>
      <c r="AH20" s="14">
        <f t="shared" si="5"/>
        <v>0</v>
      </c>
      <c r="AI20" s="119"/>
      <c r="AJ20" s="85">
        <f t="shared" si="5"/>
        <v>0</v>
      </c>
      <c r="AK20" s="73"/>
      <c r="AL20" s="73"/>
      <c r="AM20" s="73">
        <f>AK20*0.18</f>
        <v>0</v>
      </c>
      <c r="AN20" s="110">
        <v>514</v>
      </c>
      <c r="AO20" s="95">
        <v>0</v>
      </c>
      <c r="AP20" s="14">
        <f t="shared" si="6"/>
        <v>0</v>
      </c>
      <c r="AQ20" s="89"/>
      <c r="AR20" s="89">
        <f t="shared" si="12"/>
        <v>0</v>
      </c>
      <c r="AS20" s="89">
        <f t="shared" si="14"/>
        <v>393.83083999999997</v>
      </c>
      <c r="AT20" s="92"/>
      <c r="AU20" s="12">
        <f t="shared" si="7"/>
        <v>206.73916000000008</v>
      </c>
      <c r="AV20" s="26">
        <f t="shared" si="8"/>
        <v>-75.86000000000001</v>
      </c>
    </row>
    <row r="21" spans="1:48" s="18" customFormat="1" ht="12.75">
      <c r="A21" s="15" t="s">
        <v>5</v>
      </c>
      <c r="B21" s="50"/>
      <c r="C21" s="50">
        <f aca="true" t="shared" si="15" ref="C21:AT21">SUM(C9:C20)</f>
        <v>8117.160000000003</v>
      </c>
      <c r="D21" s="50">
        <f t="shared" si="15"/>
        <v>2821.8149999999996</v>
      </c>
      <c r="E21" s="47">
        <f t="shared" si="15"/>
        <v>487.9600000000001</v>
      </c>
      <c r="F21" s="47">
        <f t="shared" si="15"/>
        <v>0</v>
      </c>
      <c r="G21" s="47">
        <f t="shared" si="15"/>
        <v>660.6</v>
      </c>
      <c r="H21" s="47">
        <f t="shared" si="15"/>
        <v>0</v>
      </c>
      <c r="I21" s="47">
        <f t="shared" si="15"/>
        <v>1587.8</v>
      </c>
      <c r="J21" s="47">
        <f t="shared" si="15"/>
        <v>0</v>
      </c>
      <c r="K21" s="47">
        <f t="shared" si="15"/>
        <v>1099.8</v>
      </c>
      <c r="L21" s="47">
        <f t="shared" si="15"/>
        <v>0</v>
      </c>
      <c r="M21" s="47">
        <f t="shared" si="15"/>
        <v>390.3599999999999</v>
      </c>
      <c r="N21" s="47">
        <f t="shared" si="15"/>
        <v>0</v>
      </c>
      <c r="O21" s="47">
        <f t="shared" si="15"/>
        <v>4226.52</v>
      </c>
      <c r="P21" s="47">
        <f t="shared" si="15"/>
        <v>0</v>
      </c>
      <c r="Q21" s="51">
        <f t="shared" si="15"/>
        <v>411.03999999999996</v>
      </c>
      <c r="R21" s="51">
        <f t="shared" si="15"/>
        <v>542.62</v>
      </c>
      <c r="S21" s="51">
        <f t="shared" si="15"/>
        <v>1300.43</v>
      </c>
      <c r="T21" s="51">
        <f t="shared" si="15"/>
        <v>943.55</v>
      </c>
      <c r="U21" s="51">
        <f t="shared" si="15"/>
        <v>353.52000000000004</v>
      </c>
      <c r="V21" s="51">
        <f t="shared" si="15"/>
        <v>3551.16</v>
      </c>
      <c r="W21" s="51">
        <f t="shared" si="15"/>
        <v>6372.975</v>
      </c>
      <c r="X21" s="76">
        <f t="shared" si="15"/>
        <v>0</v>
      </c>
      <c r="Y21" s="16">
        <f t="shared" si="15"/>
        <v>544.272</v>
      </c>
      <c r="Z21" s="16">
        <f t="shared" si="15"/>
        <v>182.23978239999997</v>
      </c>
      <c r="AA21" s="16">
        <f t="shared" si="15"/>
        <v>764.1112026000001</v>
      </c>
      <c r="AB21" s="16">
        <f t="shared" si="15"/>
        <v>137.540016468</v>
      </c>
      <c r="AC21" s="16">
        <f t="shared" si="15"/>
        <v>748.0779973599999</v>
      </c>
      <c r="AD21" s="16">
        <f t="shared" si="15"/>
        <v>134.6540395248</v>
      </c>
      <c r="AE21" s="16">
        <f t="shared" si="15"/>
        <v>1721.4508203200003</v>
      </c>
      <c r="AF21" s="16">
        <f t="shared" si="15"/>
        <v>309.86114765759993</v>
      </c>
      <c r="AG21" s="16">
        <f t="shared" si="15"/>
        <v>0</v>
      </c>
      <c r="AH21" s="16">
        <f t="shared" si="15"/>
        <v>0</v>
      </c>
      <c r="AI21" s="16">
        <f>SUM(AI9:AI20)</f>
        <v>4870.79</v>
      </c>
      <c r="AJ21" s="16">
        <f>SUM(AJ9:AJ20)</f>
        <v>876.7421999999999</v>
      </c>
      <c r="AK21" s="16">
        <f>SUM(AK9:AK20)</f>
        <v>2190</v>
      </c>
      <c r="AL21" s="16">
        <f>SUM(AL9:AL20)</f>
        <v>0</v>
      </c>
      <c r="AM21" s="16">
        <f>SUM(AM9:AM20)</f>
        <v>394.2</v>
      </c>
      <c r="AN21" s="16"/>
      <c r="AO21" s="16"/>
      <c r="AP21" s="16">
        <f t="shared" si="15"/>
        <v>0</v>
      </c>
      <c r="AQ21" s="16">
        <f t="shared" si="15"/>
        <v>0</v>
      </c>
      <c r="AR21" s="16">
        <f t="shared" si="15"/>
        <v>0</v>
      </c>
      <c r="AS21" s="16">
        <f t="shared" si="15"/>
        <v>12873.9392063304</v>
      </c>
      <c r="AT21" s="16">
        <f t="shared" si="15"/>
        <v>0</v>
      </c>
      <c r="AU21" s="16">
        <f>SUM(AU9:AU20)</f>
        <v>-6500.9642063304</v>
      </c>
      <c r="AV21" s="17">
        <f>SUM(AV9:AV20)</f>
        <v>-675.36</v>
      </c>
    </row>
    <row r="22" spans="1:48" ht="12.75">
      <c r="A22" s="9"/>
      <c r="B22" s="10"/>
      <c r="C22" s="11"/>
      <c r="D22" s="1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1"/>
      <c r="P22" s="41"/>
      <c r="Q22" s="43"/>
      <c r="R22" s="43"/>
      <c r="S22" s="43"/>
      <c r="T22" s="43"/>
      <c r="U22" s="43"/>
      <c r="V22" s="43"/>
      <c r="W22" s="77"/>
      <c r="X22" s="78"/>
      <c r="Y22" s="14"/>
      <c r="Z22" s="14"/>
      <c r="AA22" s="14"/>
      <c r="AB22" s="14"/>
      <c r="AC22" s="14"/>
      <c r="AD22" s="14"/>
      <c r="AE22" s="14"/>
      <c r="AF22" s="14"/>
      <c r="AG22" s="13"/>
      <c r="AH22" s="13"/>
      <c r="AI22" s="13"/>
      <c r="AJ22" s="13"/>
      <c r="AK22" s="72"/>
      <c r="AL22" s="72"/>
      <c r="AM22" s="73"/>
      <c r="AN22" s="73"/>
      <c r="AO22" s="73"/>
      <c r="AP22" s="19"/>
      <c r="AQ22" s="13"/>
      <c r="AR22" s="14"/>
      <c r="AS22" s="14"/>
      <c r="AT22" s="14"/>
      <c r="AU22" s="14"/>
      <c r="AV22" s="8"/>
    </row>
    <row r="23" spans="1:48" s="18" customFormat="1" ht="13.5" thickBot="1">
      <c r="A23" s="20" t="s">
        <v>47</v>
      </c>
      <c r="B23" s="21"/>
      <c r="C23" s="21">
        <f>C21</f>
        <v>8117.160000000003</v>
      </c>
      <c r="D23" s="21">
        <f aca="true" t="shared" si="16" ref="D23:AV23">D21</f>
        <v>2821.8149999999996</v>
      </c>
      <c r="E23" s="21">
        <f t="shared" si="16"/>
        <v>487.9600000000001</v>
      </c>
      <c r="F23" s="21">
        <f t="shared" si="16"/>
        <v>0</v>
      </c>
      <c r="G23" s="21">
        <f t="shared" si="16"/>
        <v>660.6</v>
      </c>
      <c r="H23" s="21">
        <f t="shared" si="16"/>
        <v>0</v>
      </c>
      <c r="I23" s="21">
        <f t="shared" si="16"/>
        <v>1587.8</v>
      </c>
      <c r="J23" s="21">
        <f t="shared" si="16"/>
        <v>0</v>
      </c>
      <c r="K23" s="21">
        <f t="shared" si="16"/>
        <v>1099.8</v>
      </c>
      <c r="L23" s="21">
        <f t="shared" si="16"/>
        <v>0</v>
      </c>
      <c r="M23" s="21">
        <f t="shared" si="16"/>
        <v>390.3599999999999</v>
      </c>
      <c r="N23" s="21">
        <f t="shared" si="16"/>
        <v>0</v>
      </c>
      <c r="O23" s="21">
        <f t="shared" si="16"/>
        <v>4226.52</v>
      </c>
      <c r="P23" s="21">
        <f t="shared" si="16"/>
        <v>0</v>
      </c>
      <c r="Q23" s="21">
        <f t="shared" si="16"/>
        <v>411.03999999999996</v>
      </c>
      <c r="R23" s="21">
        <f t="shared" si="16"/>
        <v>542.62</v>
      </c>
      <c r="S23" s="21">
        <f t="shared" si="16"/>
        <v>1300.43</v>
      </c>
      <c r="T23" s="21">
        <f t="shared" si="16"/>
        <v>943.55</v>
      </c>
      <c r="U23" s="21">
        <f t="shared" si="16"/>
        <v>353.52000000000004</v>
      </c>
      <c r="V23" s="21">
        <f t="shared" si="16"/>
        <v>3551.16</v>
      </c>
      <c r="W23" s="21">
        <f t="shared" si="16"/>
        <v>6372.975</v>
      </c>
      <c r="X23" s="21">
        <f t="shared" si="16"/>
        <v>0</v>
      </c>
      <c r="Y23" s="21">
        <f t="shared" si="16"/>
        <v>544.272</v>
      </c>
      <c r="Z23" s="21">
        <f t="shared" si="16"/>
        <v>182.23978239999997</v>
      </c>
      <c r="AA23" s="21">
        <f t="shared" si="16"/>
        <v>764.1112026000001</v>
      </c>
      <c r="AB23" s="21">
        <f t="shared" si="16"/>
        <v>137.540016468</v>
      </c>
      <c r="AC23" s="21">
        <f t="shared" si="16"/>
        <v>748.0779973599999</v>
      </c>
      <c r="AD23" s="21">
        <f t="shared" si="16"/>
        <v>134.6540395248</v>
      </c>
      <c r="AE23" s="21">
        <f t="shared" si="16"/>
        <v>1721.4508203200003</v>
      </c>
      <c r="AF23" s="21">
        <f t="shared" si="16"/>
        <v>309.86114765759993</v>
      </c>
      <c r="AG23" s="21">
        <f t="shared" si="16"/>
        <v>0</v>
      </c>
      <c r="AH23" s="21">
        <f t="shared" si="16"/>
        <v>0</v>
      </c>
      <c r="AI23" s="21">
        <f t="shared" si="16"/>
        <v>4870.79</v>
      </c>
      <c r="AJ23" s="21">
        <f t="shared" si="16"/>
        <v>876.7421999999999</v>
      </c>
      <c r="AK23" s="21">
        <f t="shared" si="16"/>
        <v>2190</v>
      </c>
      <c r="AL23" s="21">
        <f t="shared" si="16"/>
        <v>0</v>
      </c>
      <c r="AM23" s="21">
        <f t="shared" si="16"/>
        <v>394.2</v>
      </c>
      <c r="AN23" s="21">
        <f t="shared" si="16"/>
        <v>0</v>
      </c>
      <c r="AO23" s="21">
        <f t="shared" si="16"/>
        <v>0</v>
      </c>
      <c r="AP23" s="21">
        <f t="shared" si="16"/>
        <v>0</v>
      </c>
      <c r="AQ23" s="21">
        <f t="shared" si="16"/>
        <v>0</v>
      </c>
      <c r="AR23" s="21">
        <f t="shared" si="16"/>
        <v>0</v>
      </c>
      <c r="AS23" s="21">
        <f t="shared" si="16"/>
        <v>12873.9392063304</v>
      </c>
      <c r="AT23" s="21">
        <f t="shared" si="16"/>
        <v>0</v>
      </c>
      <c r="AU23" s="21">
        <f t="shared" si="16"/>
        <v>-6500.9642063304</v>
      </c>
      <c r="AV23" s="21">
        <f t="shared" si="16"/>
        <v>-675.36</v>
      </c>
    </row>
    <row r="24" spans="1:48" ht="15" customHeight="1">
      <c r="A24" s="5" t="s">
        <v>84</v>
      </c>
      <c r="B24" s="48"/>
      <c r="C24" s="49"/>
      <c r="D24" s="49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5"/>
      <c r="P24" s="45"/>
      <c r="Q24" s="52"/>
      <c r="R24" s="52"/>
      <c r="S24" s="52"/>
      <c r="T24" s="52"/>
      <c r="U24" s="52"/>
      <c r="V24" s="44"/>
      <c r="W24" s="74"/>
      <c r="X24" s="75"/>
      <c r="Y24" s="12"/>
      <c r="Z24" s="12"/>
      <c r="AA24" s="12"/>
      <c r="AB24" s="12"/>
      <c r="AC24" s="12"/>
      <c r="AD24" s="12"/>
      <c r="AE24" s="12"/>
      <c r="AF24" s="12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12"/>
      <c r="AS24" s="12"/>
      <c r="AT24" s="12"/>
      <c r="AU24" s="12"/>
      <c r="AV24" s="26"/>
    </row>
    <row r="25" spans="1:48" ht="12.75">
      <c r="A25" s="9" t="s">
        <v>38</v>
      </c>
      <c r="B25" s="130">
        <v>78.2</v>
      </c>
      <c r="C25" s="105">
        <f aca="true" t="shared" si="17" ref="C25:C36">B25*8.65</f>
        <v>676.4300000000001</v>
      </c>
      <c r="D25" s="106">
        <f>C25-E25-F25-G25-H25-I25-J25-K25-L25-M25-N25</f>
        <v>310.45000000000005</v>
      </c>
      <c r="E25" s="81">
        <v>42.23</v>
      </c>
      <c r="F25" s="81">
        <v>0</v>
      </c>
      <c r="G25" s="81">
        <v>57.24</v>
      </c>
      <c r="H25" s="81">
        <v>0</v>
      </c>
      <c r="I25" s="81">
        <v>137.48</v>
      </c>
      <c r="J25" s="81">
        <v>0</v>
      </c>
      <c r="K25" s="81">
        <v>95.25</v>
      </c>
      <c r="L25" s="81">
        <v>0</v>
      </c>
      <c r="M25" s="81">
        <v>33.78</v>
      </c>
      <c r="N25" s="107">
        <v>0</v>
      </c>
      <c r="O25" s="70">
        <f aca="true" t="shared" si="18" ref="O25:O36">E25+G25+I25+K25+M25</f>
        <v>365.98</v>
      </c>
      <c r="P25" s="132">
        <f aca="true" t="shared" si="19" ref="P25:P36">N25+L25+J25+H25+F25</f>
        <v>0</v>
      </c>
      <c r="Q25" s="108">
        <v>64.72</v>
      </c>
      <c r="R25" s="109">
        <v>87.72</v>
      </c>
      <c r="S25" s="109">
        <v>215.44</v>
      </c>
      <c r="T25" s="109">
        <v>145.98</v>
      </c>
      <c r="U25" s="109">
        <v>51.78</v>
      </c>
      <c r="V25" s="104">
        <f>SUM(Q25:U25)</f>
        <v>565.64</v>
      </c>
      <c r="W25" s="133">
        <f aca="true" t="shared" si="20" ref="W25:W36">D25+P25+V25</f>
        <v>876.09</v>
      </c>
      <c r="X25" s="83"/>
      <c r="Y25" s="14">
        <f aca="true" t="shared" si="21" ref="Y25:Y36">0.6*B25</f>
        <v>46.92</v>
      </c>
      <c r="Z25" s="14">
        <f aca="true" t="shared" si="22" ref="Z25:Z36">B25*0.2</f>
        <v>15.64</v>
      </c>
      <c r="AA25" s="14">
        <f aca="true" t="shared" si="23" ref="AA25:AA36">1*B25</f>
        <v>78.2</v>
      </c>
      <c r="AB25" s="14">
        <v>0</v>
      </c>
      <c r="AC25" s="14">
        <f>0.98*B25</f>
        <v>76.636</v>
      </c>
      <c r="AD25" s="14">
        <v>0</v>
      </c>
      <c r="AE25" s="14">
        <f aca="true" t="shared" si="24" ref="AE25:AE36">2.25*B25</f>
        <v>175.95000000000002</v>
      </c>
      <c r="AF25" s="14">
        <v>0</v>
      </c>
      <c r="AG25" s="14">
        <v>0</v>
      </c>
      <c r="AH25" s="14">
        <f>AG25*0.18</f>
        <v>0</v>
      </c>
      <c r="AI25" s="85"/>
      <c r="AJ25" s="85"/>
      <c r="AK25" s="73"/>
      <c r="AL25" s="73"/>
      <c r="AM25" s="73"/>
      <c r="AN25" s="110">
        <v>508</v>
      </c>
      <c r="AO25" s="95">
        <v>0</v>
      </c>
      <c r="AP25" s="14">
        <f aca="true" t="shared" si="25" ref="AP25:AP36">AN25*AO25*1.4</f>
        <v>0</v>
      </c>
      <c r="AQ25" s="89"/>
      <c r="AR25" s="89">
        <f aca="true" t="shared" si="26" ref="AR25:AR36">AQ25*0.18</f>
        <v>0</v>
      </c>
      <c r="AS25" s="89">
        <f aca="true" t="shared" si="27" ref="AS25:AS36">SUM(Y25:AR25)-AN25-AO25</f>
        <v>393.346</v>
      </c>
      <c r="AT25" s="92"/>
      <c r="AU25" s="12">
        <f aca="true" t="shared" si="28" ref="AU25:AU36">W25+X25-AS25-AT25</f>
        <v>482.744</v>
      </c>
      <c r="AV25" s="26">
        <f aca="true" t="shared" si="29" ref="AV25:AV36">V25-O25</f>
        <v>199.65999999999997</v>
      </c>
    </row>
    <row r="26" spans="1:48" ht="12.75">
      <c r="A26" s="9" t="s">
        <v>39</v>
      </c>
      <c r="B26" s="130">
        <v>78.2</v>
      </c>
      <c r="C26" s="105">
        <f t="shared" si="17"/>
        <v>676.4300000000001</v>
      </c>
      <c r="D26" s="106">
        <f>C26-E26-F26-G26-H26-I26-J26-K26-L26-M26-N26</f>
        <v>310.47</v>
      </c>
      <c r="E26" s="81">
        <v>42.23</v>
      </c>
      <c r="F26" s="81">
        <v>0</v>
      </c>
      <c r="G26" s="81">
        <v>57.23</v>
      </c>
      <c r="H26" s="81">
        <v>0</v>
      </c>
      <c r="I26" s="81">
        <v>137.48</v>
      </c>
      <c r="J26" s="81">
        <v>0</v>
      </c>
      <c r="K26" s="81">
        <v>95.25</v>
      </c>
      <c r="L26" s="81">
        <v>0</v>
      </c>
      <c r="M26" s="81">
        <v>33.77</v>
      </c>
      <c r="N26" s="107">
        <v>0</v>
      </c>
      <c r="O26" s="70">
        <f t="shared" si="18"/>
        <v>365.96</v>
      </c>
      <c r="P26" s="82">
        <f t="shared" si="19"/>
        <v>0</v>
      </c>
      <c r="Q26" s="109">
        <v>42.22</v>
      </c>
      <c r="R26" s="109">
        <v>57.23</v>
      </c>
      <c r="S26" s="109">
        <v>137.48</v>
      </c>
      <c r="T26" s="109">
        <v>95.25</v>
      </c>
      <c r="U26" s="109">
        <v>33.78</v>
      </c>
      <c r="V26" s="104">
        <f>SUM(Q26:U26)</f>
        <v>365.9599999999999</v>
      </c>
      <c r="W26" s="83">
        <f t="shared" si="20"/>
        <v>676.43</v>
      </c>
      <c r="X26" s="83"/>
      <c r="Y26" s="14">
        <f t="shared" si="21"/>
        <v>46.92</v>
      </c>
      <c r="Z26" s="14">
        <f t="shared" si="22"/>
        <v>15.64</v>
      </c>
      <c r="AA26" s="14">
        <f t="shared" si="23"/>
        <v>78.2</v>
      </c>
      <c r="AB26" s="14">
        <v>0</v>
      </c>
      <c r="AC26" s="14">
        <f>0.98*B26</f>
        <v>76.636</v>
      </c>
      <c r="AD26" s="14">
        <v>0</v>
      </c>
      <c r="AE26" s="14">
        <f t="shared" si="24"/>
        <v>175.95000000000002</v>
      </c>
      <c r="AF26" s="14">
        <v>0</v>
      </c>
      <c r="AG26" s="14">
        <v>0</v>
      </c>
      <c r="AH26" s="14">
        <f>AG26*0.18</f>
        <v>0</v>
      </c>
      <c r="AI26" s="85"/>
      <c r="AJ26" s="85"/>
      <c r="AK26" s="73">
        <v>200</v>
      </c>
      <c r="AL26" s="73"/>
      <c r="AM26" s="73"/>
      <c r="AN26" s="110">
        <v>407</v>
      </c>
      <c r="AO26" s="95">
        <v>0</v>
      </c>
      <c r="AP26" s="14">
        <f t="shared" si="25"/>
        <v>0</v>
      </c>
      <c r="AQ26" s="89"/>
      <c r="AR26" s="89">
        <f t="shared" si="26"/>
        <v>0</v>
      </c>
      <c r="AS26" s="89">
        <f t="shared" si="27"/>
        <v>593.346</v>
      </c>
      <c r="AT26" s="92"/>
      <c r="AU26" s="12">
        <f t="shared" si="28"/>
        <v>83.08399999999995</v>
      </c>
      <c r="AV26" s="26">
        <f t="shared" si="29"/>
        <v>0</v>
      </c>
    </row>
    <row r="27" spans="1:48" ht="12.75">
      <c r="A27" s="9" t="s">
        <v>40</v>
      </c>
      <c r="B27" s="130">
        <v>78.2</v>
      </c>
      <c r="C27" s="105">
        <f t="shared" si="17"/>
        <v>676.4300000000001</v>
      </c>
      <c r="D27" s="106">
        <f>C27-E27-F27-G27-H27-I27-J27-K27-L27-M27-N27</f>
        <v>310.46999999999997</v>
      </c>
      <c r="E27" s="81">
        <v>34.63</v>
      </c>
      <c r="F27" s="81">
        <v>7.59</v>
      </c>
      <c r="G27" s="81">
        <v>46.94</v>
      </c>
      <c r="H27" s="81">
        <v>10.29</v>
      </c>
      <c r="I27" s="81">
        <v>112.75</v>
      </c>
      <c r="J27" s="81">
        <v>24.72</v>
      </c>
      <c r="K27" s="81">
        <v>78.13</v>
      </c>
      <c r="L27" s="81">
        <v>17.12</v>
      </c>
      <c r="M27" s="81">
        <v>27.72</v>
      </c>
      <c r="N27" s="107">
        <v>6.07</v>
      </c>
      <c r="O27" s="70">
        <f t="shared" si="18"/>
        <v>300.16999999999996</v>
      </c>
      <c r="P27" s="82">
        <f t="shared" si="19"/>
        <v>65.78999999999999</v>
      </c>
      <c r="Q27" s="109">
        <v>20.47</v>
      </c>
      <c r="R27" s="109">
        <v>27.75</v>
      </c>
      <c r="S27" s="109">
        <v>66.63</v>
      </c>
      <c r="T27" s="109">
        <v>46.16</v>
      </c>
      <c r="U27" s="109">
        <v>16.37</v>
      </c>
      <c r="V27" s="104">
        <f>SUM(Q27:U27)</f>
        <v>177.38</v>
      </c>
      <c r="W27" s="83">
        <f t="shared" si="20"/>
        <v>553.64</v>
      </c>
      <c r="X27" s="83"/>
      <c r="Y27" s="14">
        <f t="shared" si="21"/>
        <v>46.92</v>
      </c>
      <c r="Z27" s="14">
        <f t="shared" si="22"/>
        <v>15.64</v>
      </c>
      <c r="AA27" s="14">
        <f t="shared" si="23"/>
        <v>78.2</v>
      </c>
      <c r="AB27" s="14">
        <v>0</v>
      </c>
      <c r="AC27" s="14">
        <f>0.98*B27</f>
        <v>76.636</v>
      </c>
      <c r="AD27" s="14">
        <v>0</v>
      </c>
      <c r="AE27" s="14">
        <f t="shared" si="24"/>
        <v>175.95000000000002</v>
      </c>
      <c r="AF27" s="14">
        <v>0</v>
      </c>
      <c r="AG27" s="14"/>
      <c r="AH27" s="14"/>
      <c r="AI27" s="85"/>
      <c r="AJ27" s="85"/>
      <c r="AK27" s="73"/>
      <c r="AL27" s="73"/>
      <c r="AM27" s="73"/>
      <c r="AN27" s="110">
        <v>383</v>
      </c>
      <c r="AO27" s="95">
        <v>0</v>
      </c>
      <c r="AP27" s="14">
        <f t="shared" si="25"/>
        <v>0</v>
      </c>
      <c r="AQ27" s="89"/>
      <c r="AR27" s="89">
        <f t="shared" si="26"/>
        <v>0</v>
      </c>
      <c r="AS27" s="89">
        <f t="shared" si="27"/>
        <v>393.346</v>
      </c>
      <c r="AT27" s="92"/>
      <c r="AU27" s="12">
        <f t="shared" si="28"/>
        <v>160.29399999999998</v>
      </c>
      <c r="AV27" s="26">
        <f t="shared" si="29"/>
        <v>-122.78999999999996</v>
      </c>
    </row>
    <row r="28" spans="1:48" ht="12.75">
      <c r="A28" s="9" t="s">
        <v>41</v>
      </c>
      <c r="B28" s="130">
        <v>78.2</v>
      </c>
      <c r="C28" s="105">
        <f t="shared" si="17"/>
        <v>676.4300000000001</v>
      </c>
      <c r="D28" s="106">
        <f>C28-E28-F28-G28-H28-I28-J28-K28-L28-M28-N28</f>
        <v>310.4600000000001</v>
      </c>
      <c r="E28" s="81">
        <v>32</v>
      </c>
      <c r="F28" s="81">
        <v>10.23</v>
      </c>
      <c r="G28" s="81">
        <v>43.37</v>
      </c>
      <c r="H28" s="81">
        <v>13.87</v>
      </c>
      <c r="I28" s="81">
        <v>104.16</v>
      </c>
      <c r="J28" s="81">
        <v>33.31</v>
      </c>
      <c r="K28" s="81">
        <v>72.17</v>
      </c>
      <c r="L28" s="81">
        <v>23.08</v>
      </c>
      <c r="M28" s="81">
        <v>25.59</v>
      </c>
      <c r="N28" s="107">
        <v>8.19</v>
      </c>
      <c r="O28" s="70">
        <f t="shared" si="18"/>
        <v>277.28999999999996</v>
      </c>
      <c r="P28" s="82">
        <f t="shared" si="19"/>
        <v>88.68</v>
      </c>
      <c r="Q28" s="109">
        <v>35.16</v>
      </c>
      <c r="R28" s="109">
        <v>47.66</v>
      </c>
      <c r="S28" s="109">
        <v>114.47</v>
      </c>
      <c r="T28" s="109">
        <v>79.32</v>
      </c>
      <c r="U28" s="109">
        <v>28.13</v>
      </c>
      <c r="V28" s="104">
        <f aca="true" t="shared" si="30" ref="V28:V36">SUM(Q28:U28)</f>
        <v>304.74</v>
      </c>
      <c r="W28" s="83">
        <f t="shared" si="20"/>
        <v>703.8800000000001</v>
      </c>
      <c r="X28" s="83"/>
      <c r="Y28" s="14">
        <f t="shared" si="21"/>
        <v>46.92</v>
      </c>
      <c r="Z28" s="14">
        <f t="shared" si="22"/>
        <v>15.64</v>
      </c>
      <c r="AA28" s="14">
        <f t="shared" si="23"/>
        <v>78.2</v>
      </c>
      <c r="AB28" s="14">
        <v>0</v>
      </c>
      <c r="AC28" s="14">
        <f aca="true" t="shared" si="31" ref="AC28:AC36">(0.98*B28)</f>
        <v>76.636</v>
      </c>
      <c r="AD28" s="14">
        <v>0</v>
      </c>
      <c r="AE28" s="14">
        <f t="shared" si="24"/>
        <v>175.95000000000002</v>
      </c>
      <c r="AF28" s="14">
        <v>0</v>
      </c>
      <c r="AG28" s="14"/>
      <c r="AH28" s="14"/>
      <c r="AI28" s="85"/>
      <c r="AJ28" s="85"/>
      <c r="AK28" s="73"/>
      <c r="AL28" s="73"/>
      <c r="AM28" s="73"/>
      <c r="AN28" s="110">
        <v>307</v>
      </c>
      <c r="AO28" s="95">
        <v>0</v>
      </c>
      <c r="AP28" s="14">
        <f t="shared" si="25"/>
        <v>0</v>
      </c>
      <c r="AQ28" s="89"/>
      <c r="AR28" s="89">
        <f t="shared" si="26"/>
        <v>0</v>
      </c>
      <c r="AS28" s="89">
        <f t="shared" si="27"/>
        <v>393.346</v>
      </c>
      <c r="AT28" s="92"/>
      <c r="AU28" s="12">
        <f t="shared" si="28"/>
        <v>310.5340000000001</v>
      </c>
      <c r="AV28" s="26">
        <f t="shared" si="29"/>
        <v>27.450000000000045</v>
      </c>
    </row>
    <row r="29" spans="1:48" ht="12.75">
      <c r="A29" s="9" t="s">
        <v>42</v>
      </c>
      <c r="B29" s="104">
        <v>78.2</v>
      </c>
      <c r="C29" s="105">
        <f t="shared" si="17"/>
        <v>676.4300000000001</v>
      </c>
      <c r="D29" s="106">
        <f>C29-E29-F29-G29-H29-I29-J29-K29-L29-M29-N29</f>
        <v>310.45000000000005</v>
      </c>
      <c r="E29" s="81">
        <v>32</v>
      </c>
      <c r="F29" s="81">
        <v>10.23</v>
      </c>
      <c r="G29" s="81">
        <v>43.37</v>
      </c>
      <c r="H29" s="81">
        <v>13.87</v>
      </c>
      <c r="I29" s="81">
        <v>104.17</v>
      </c>
      <c r="J29" s="81">
        <v>33.31</v>
      </c>
      <c r="K29" s="81">
        <v>72.17</v>
      </c>
      <c r="L29" s="81">
        <v>23.08</v>
      </c>
      <c r="M29" s="81">
        <v>25.59</v>
      </c>
      <c r="N29" s="107">
        <v>8.19</v>
      </c>
      <c r="O29" s="70">
        <f t="shared" si="18"/>
        <v>277.3</v>
      </c>
      <c r="P29" s="82">
        <f t="shared" si="19"/>
        <v>88.68</v>
      </c>
      <c r="Q29" s="109">
        <v>48.16</v>
      </c>
      <c r="R29" s="109">
        <v>65.28</v>
      </c>
      <c r="S29" s="109">
        <v>156.8</v>
      </c>
      <c r="T29" s="109">
        <v>108.64</v>
      </c>
      <c r="U29" s="109">
        <v>38.52</v>
      </c>
      <c r="V29" s="104">
        <f t="shared" si="30"/>
        <v>417.4</v>
      </c>
      <c r="W29" s="83">
        <f t="shared" si="20"/>
        <v>816.53</v>
      </c>
      <c r="X29" s="83"/>
      <c r="Y29" s="14">
        <f t="shared" si="21"/>
        <v>46.92</v>
      </c>
      <c r="Z29" s="14">
        <f t="shared" si="22"/>
        <v>15.64</v>
      </c>
      <c r="AA29" s="14">
        <f t="shared" si="23"/>
        <v>78.2</v>
      </c>
      <c r="AB29" s="14">
        <v>0</v>
      </c>
      <c r="AC29" s="14">
        <f t="shared" si="31"/>
        <v>76.636</v>
      </c>
      <c r="AD29" s="14">
        <v>0</v>
      </c>
      <c r="AE29" s="14">
        <f t="shared" si="24"/>
        <v>175.95000000000002</v>
      </c>
      <c r="AF29" s="14">
        <v>0</v>
      </c>
      <c r="AG29" s="14"/>
      <c r="AH29" s="14"/>
      <c r="AI29" s="85"/>
      <c r="AJ29" s="85"/>
      <c r="AK29" s="73"/>
      <c r="AL29" s="73"/>
      <c r="AM29" s="73"/>
      <c r="AN29" s="110">
        <v>263</v>
      </c>
      <c r="AO29" s="95">
        <v>0</v>
      </c>
      <c r="AP29" s="14">
        <f t="shared" si="25"/>
        <v>0</v>
      </c>
      <c r="AQ29" s="89"/>
      <c r="AR29" s="89">
        <f t="shared" si="26"/>
        <v>0</v>
      </c>
      <c r="AS29" s="89">
        <f t="shared" si="27"/>
        <v>393.346</v>
      </c>
      <c r="AT29" s="92"/>
      <c r="AU29" s="12">
        <f t="shared" si="28"/>
        <v>423.18399999999997</v>
      </c>
      <c r="AV29" s="26">
        <f t="shared" si="29"/>
        <v>140.09999999999997</v>
      </c>
    </row>
    <row r="30" spans="1:48" ht="12.75">
      <c r="A30" s="9" t="s">
        <v>43</v>
      </c>
      <c r="B30" s="104">
        <v>78.2</v>
      </c>
      <c r="C30" s="105">
        <f t="shared" si="17"/>
        <v>676.4300000000001</v>
      </c>
      <c r="D30" s="106">
        <f>(C30-E30-F30-G30-H30-I30-J30-K30-L30-M30-N30)*0.80125</f>
        <v>248.74806250000003</v>
      </c>
      <c r="E30" s="81">
        <v>32</v>
      </c>
      <c r="F30" s="81">
        <v>10.23</v>
      </c>
      <c r="G30" s="81">
        <v>43.37</v>
      </c>
      <c r="H30" s="81">
        <v>13.87</v>
      </c>
      <c r="I30" s="81">
        <v>104.17</v>
      </c>
      <c r="J30" s="81">
        <v>33.31</v>
      </c>
      <c r="K30" s="81">
        <v>72.17</v>
      </c>
      <c r="L30" s="81">
        <v>23.08</v>
      </c>
      <c r="M30" s="81">
        <v>25.59</v>
      </c>
      <c r="N30" s="107">
        <v>8.19</v>
      </c>
      <c r="O30" s="70">
        <f t="shared" si="18"/>
        <v>277.3</v>
      </c>
      <c r="P30" s="82">
        <f t="shared" si="19"/>
        <v>88.68</v>
      </c>
      <c r="Q30" s="109">
        <v>-12.03</v>
      </c>
      <c r="R30" s="109">
        <v>-16.34</v>
      </c>
      <c r="S30" s="109">
        <v>-39.22</v>
      </c>
      <c r="T30" s="109">
        <v>-27.18</v>
      </c>
      <c r="U30" s="109">
        <v>-9.65</v>
      </c>
      <c r="V30" s="104">
        <f t="shared" si="30"/>
        <v>-104.42000000000002</v>
      </c>
      <c r="W30" s="83">
        <f t="shared" si="20"/>
        <v>233.0080625</v>
      </c>
      <c r="X30" s="83"/>
      <c r="Y30" s="14">
        <f t="shared" si="21"/>
        <v>46.92</v>
      </c>
      <c r="Z30" s="14">
        <f t="shared" si="22"/>
        <v>15.64</v>
      </c>
      <c r="AA30" s="14">
        <f t="shared" si="23"/>
        <v>78.2</v>
      </c>
      <c r="AB30" s="14">
        <v>0</v>
      </c>
      <c r="AC30" s="14">
        <f t="shared" si="31"/>
        <v>76.636</v>
      </c>
      <c r="AD30" s="14">
        <v>0</v>
      </c>
      <c r="AE30" s="14">
        <f t="shared" si="24"/>
        <v>175.95000000000002</v>
      </c>
      <c r="AF30" s="14">
        <v>0</v>
      </c>
      <c r="AG30" s="14"/>
      <c r="AH30" s="14"/>
      <c r="AI30" s="85"/>
      <c r="AJ30" s="85"/>
      <c r="AK30" s="73"/>
      <c r="AL30" s="73"/>
      <c r="AM30" s="73"/>
      <c r="AN30" s="110">
        <v>233</v>
      </c>
      <c r="AO30" s="95">
        <v>0</v>
      </c>
      <c r="AP30" s="14">
        <f t="shared" si="25"/>
        <v>0</v>
      </c>
      <c r="AQ30" s="89"/>
      <c r="AR30" s="89">
        <f t="shared" si="26"/>
        <v>0</v>
      </c>
      <c r="AS30" s="89">
        <f t="shared" si="27"/>
        <v>393.346</v>
      </c>
      <c r="AT30" s="92"/>
      <c r="AU30" s="12">
        <f t="shared" si="28"/>
        <v>-160.3379375</v>
      </c>
      <c r="AV30" s="26">
        <f t="shared" si="29"/>
        <v>-381.72</v>
      </c>
    </row>
    <row r="31" spans="1:48" ht="12.75">
      <c r="A31" s="9" t="s">
        <v>44</v>
      </c>
      <c r="B31" s="134">
        <v>78.2</v>
      </c>
      <c r="C31" s="105">
        <f t="shared" si="17"/>
        <v>676.4300000000001</v>
      </c>
      <c r="D31" s="106">
        <f>(C31-E31-F31-G31-H31-I31-J31-K31-L31-M31-N31)*0.805915</f>
        <v>250.19631175000006</v>
      </c>
      <c r="E31" s="81">
        <v>42.23</v>
      </c>
      <c r="F31" s="81">
        <v>0</v>
      </c>
      <c r="G31" s="81">
        <v>57.24</v>
      </c>
      <c r="H31" s="81">
        <v>0</v>
      </c>
      <c r="I31" s="81">
        <v>137.48</v>
      </c>
      <c r="J31" s="81">
        <v>0</v>
      </c>
      <c r="K31" s="81">
        <v>95.25</v>
      </c>
      <c r="L31" s="81">
        <v>0</v>
      </c>
      <c r="M31" s="81">
        <v>33.78</v>
      </c>
      <c r="N31" s="107">
        <v>0</v>
      </c>
      <c r="O31" s="70">
        <f t="shared" si="18"/>
        <v>365.98</v>
      </c>
      <c r="P31" s="82">
        <f t="shared" si="19"/>
        <v>0</v>
      </c>
      <c r="Q31" s="109">
        <v>84.5</v>
      </c>
      <c r="R31" s="109">
        <v>114.59</v>
      </c>
      <c r="S31" s="109">
        <v>275.19</v>
      </c>
      <c r="T31" s="109">
        <v>190.66</v>
      </c>
      <c r="U31" s="109">
        <v>67.63</v>
      </c>
      <c r="V31" s="104">
        <f t="shared" si="30"/>
        <v>732.5699999999999</v>
      </c>
      <c r="W31" s="83">
        <f t="shared" si="20"/>
        <v>982.76631175</v>
      </c>
      <c r="X31" s="83"/>
      <c r="Y31" s="14">
        <f t="shared" si="21"/>
        <v>46.92</v>
      </c>
      <c r="Z31" s="14">
        <f t="shared" si="22"/>
        <v>15.64</v>
      </c>
      <c r="AA31" s="14">
        <f t="shared" si="23"/>
        <v>78.2</v>
      </c>
      <c r="AB31" s="14">
        <v>0</v>
      </c>
      <c r="AC31" s="14">
        <f t="shared" si="31"/>
        <v>76.636</v>
      </c>
      <c r="AD31" s="14">
        <v>0</v>
      </c>
      <c r="AE31" s="14">
        <f t="shared" si="24"/>
        <v>175.95000000000002</v>
      </c>
      <c r="AF31" s="14">
        <v>0</v>
      </c>
      <c r="AG31" s="14"/>
      <c r="AH31" s="14"/>
      <c r="AI31" s="85"/>
      <c r="AJ31" s="85"/>
      <c r="AK31" s="73"/>
      <c r="AL31" s="73"/>
      <c r="AM31" s="73"/>
      <c r="AN31" s="110">
        <v>248</v>
      </c>
      <c r="AO31" s="95">
        <v>0</v>
      </c>
      <c r="AP31" s="14">
        <f t="shared" si="25"/>
        <v>0</v>
      </c>
      <c r="AQ31" s="89"/>
      <c r="AR31" s="89">
        <f t="shared" si="26"/>
        <v>0</v>
      </c>
      <c r="AS31" s="89">
        <f t="shared" si="27"/>
        <v>393.346</v>
      </c>
      <c r="AT31" s="92"/>
      <c r="AU31" s="12">
        <f t="shared" si="28"/>
        <v>589.42031175</v>
      </c>
      <c r="AV31" s="26">
        <f t="shared" si="29"/>
        <v>366.5899999999999</v>
      </c>
    </row>
    <row r="32" spans="1:48" ht="12.75">
      <c r="A32" s="9" t="s">
        <v>45</v>
      </c>
      <c r="B32" s="104">
        <v>78.2</v>
      </c>
      <c r="C32" s="105">
        <f t="shared" si="17"/>
        <v>676.4300000000001</v>
      </c>
      <c r="D32" s="106">
        <f>(C32-E32-F32-G32-H32-I32-J32-K32-L32-M32-N32)*0.857717</f>
        <v>266.27824265000004</v>
      </c>
      <c r="E32" s="81">
        <v>42.23</v>
      </c>
      <c r="F32" s="81">
        <v>0</v>
      </c>
      <c r="G32" s="81">
        <v>57.24</v>
      </c>
      <c r="H32" s="81">
        <v>0</v>
      </c>
      <c r="I32" s="81">
        <v>137.48</v>
      </c>
      <c r="J32" s="81">
        <v>0</v>
      </c>
      <c r="K32" s="81">
        <v>95.25</v>
      </c>
      <c r="L32" s="81">
        <v>0</v>
      </c>
      <c r="M32" s="81">
        <v>33.78</v>
      </c>
      <c r="N32" s="107"/>
      <c r="O32" s="70">
        <f t="shared" si="18"/>
        <v>365.98</v>
      </c>
      <c r="P32" s="82">
        <f t="shared" si="19"/>
        <v>0</v>
      </c>
      <c r="Q32" s="109">
        <v>38.74</v>
      </c>
      <c r="R32" s="109">
        <v>52.51</v>
      </c>
      <c r="S32" s="109">
        <v>126.11</v>
      </c>
      <c r="T32" s="109">
        <v>87.37</v>
      </c>
      <c r="U32" s="109">
        <v>30.99</v>
      </c>
      <c r="V32" s="104">
        <f t="shared" si="30"/>
        <v>335.72</v>
      </c>
      <c r="W32" s="83">
        <f t="shared" si="20"/>
        <v>601.9982426500001</v>
      </c>
      <c r="X32" s="83"/>
      <c r="Y32" s="14">
        <f t="shared" si="21"/>
        <v>46.92</v>
      </c>
      <c r="Z32" s="14">
        <f t="shared" si="22"/>
        <v>15.64</v>
      </c>
      <c r="AA32" s="14">
        <f t="shared" si="23"/>
        <v>78.2</v>
      </c>
      <c r="AB32" s="14">
        <v>0</v>
      </c>
      <c r="AC32" s="14">
        <f t="shared" si="31"/>
        <v>76.636</v>
      </c>
      <c r="AD32" s="14">
        <v>0</v>
      </c>
      <c r="AE32" s="14">
        <f t="shared" si="24"/>
        <v>175.95000000000002</v>
      </c>
      <c r="AF32" s="14">
        <v>0</v>
      </c>
      <c r="AG32" s="14"/>
      <c r="AH32" s="14"/>
      <c r="AI32" s="85"/>
      <c r="AJ32" s="85"/>
      <c r="AK32" s="73"/>
      <c r="AL32" s="73">
        <f>47.8</f>
        <v>47.8</v>
      </c>
      <c r="AM32" s="73"/>
      <c r="AN32" s="110">
        <v>293</v>
      </c>
      <c r="AO32" s="95">
        <v>0</v>
      </c>
      <c r="AP32" s="14">
        <f t="shared" si="25"/>
        <v>0</v>
      </c>
      <c r="AQ32" s="89"/>
      <c r="AR32" s="89">
        <f t="shared" si="26"/>
        <v>0</v>
      </c>
      <c r="AS32" s="89">
        <f t="shared" si="27"/>
        <v>441.14599999999996</v>
      </c>
      <c r="AT32" s="92"/>
      <c r="AU32" s="12">
        <f t="shared" si="28"/>
        <v>160.8522426500001</v>
      </c>
      <c r="AV32" s="26">
        <f t="shared" si="29"/>
        <v>-30.25999999999999</v>
      </c>
    </row>
    <row r="33" spans="1:48" ht="12.75">
      <c r="A33" s="9" t="s">
        <v>46</v>
      </c>
      <c r="B33" s="104">
        <v>78.2</v>
      </c>
      <c r="C33" s="105">
        <f t="shared" si="17"/>
        <v>676.4300000000001</v>
      </c>
      <c r="D33" s="106">
        <f>(C33-E33-F33-G33-H33-I33-J33-K33-L33-M33-N33)*0.87553</f>
        <v>271.79953320000004</v>
      </c>
      <c r="E33" s="81">
        <v>42.23</v>
      </c>
      <c r="F33" s="81">
        <v>0</v>
      </c>
      <c r="G33" s="81">
        <v>57.25</v>
      </c>
      <c r="H33" s="81">
        <v>0</v>
      </c>
      <c r="I33" s="81">
        <v>137.48</v>
      </c>
      <c r="J33" s="81">
        <v>0</v>
      </c>
      <c r="K33" s="81">
        <v>95.25</v>
      </c>
      <c r="L33" s="81">
        <v>0</v>
      </c>
      <c r="M33" s="81">
        <v>33.78</v>
      </c>
      <c r="N33" s="107">
        <v>0</v>
      </c>
      <c r="O33" s="70">
        <f t="shared" si="18"/>
        <v>365.99</v>
      </c>
      <c r="P33" s="82">
        <f t="shared" si="19"/>
        <v>0</v>
      </c>
      <c r="Q33" s="109">
        <v>42.2</v>
      </c>
      <c r="R33" s="109">
        <v>57.21</v>
      </c>
      <c r="S33" s="109">
        <v>137.4</v>
      </c>
      <c r="T33" s="109">
        <v>95.2</v>
      </c>
      <c r="U33" s="109">
        <v>33.76</v>
      </c>
      <c r="V33" s="104">
        <f t="shared" si="30"/>
        <v>365.77</v>
      </c>
      <c r="W33" s="83">
        <f t="shared" si="20"/>
        <v>637.5695332</v>
      </c>
      <c r="X33" s="83"/>
      <c r="Y33" s="14">
        <f t="shared" si="21"/>
        <v>46.92</v>
      </c>
      <c r="Z33" s="14">
        <f t="shared" si="22"/>
        <v>15.64</v>
      </c>
      <c r="AA33" s="14">
        <f t="shared" si="23"/>
        <v>78.2</v>
      </c>
      <c r="AB33" s="14">
        <v>0</v>
      </c>
      <c r="AC33" s="14">
        <f t="shared" si="31"/>
        <v>76.636</v>
      </c>
      <c r="AD33" s="14">
        <v>0</v>
      </c>
      <c r="AE33" s="14">
        <f t="shared" si="24"/>
        <v>175.95000000000002</v>
      </c>
      <c r="AF33" s="14">
        <v>0</v>
      </c>
      <c r="AG33" s="14"/>
      <c r="AH33" s="14"/>
      <c r="AI33" s="85"/>
      <c r="AJ33" s="85"/>
      <c r="AK33" s="73"/>
      <c r="AL33" s="73"/>
      <c r="AM33" s="73"/>
      <c r="AN33" s="110">
        <v>349</v>
      </c>
      <c r="AO33" s="95">
        <v>0</v>
      </c>
      <c r="AP33" s="14">
        <f t="shared" si="25"/>
        <v>0</v>
      </c>
      <c r="AQ33" s="89"/>
      <c r="AR33" s="89">
        <f t="shared" si="26"/>
        <v>0</v>
      </c>
      <c r="AS33" s="89">
        <f t="shared" si="27"/>
        <v>393.346</v>
      </c>
      <c r="AT33" s="92"/>
      <c r="AU33" s="12">
        <f t="shared" si="28"/>
        <v>244.22353320000002</v>
      </c>
      <c r="AV33" s="26">
        <f t="shared" si="29"/>
        <v>-0.22000000000002728</v>
      </c>
    </row>
    <row r="34" spans="1:48" ht="12.75">
      <c r="A34" s="9" t="s">
        <v>34</v>
      </c>
      <c r="B34" s="104">
        <v>78.2</v>
      </c>
      <c r="C34" s="105">
        <f t="shared" si="17"/>
        <v>676.4300000000001</v>
      </c>
      <c r="D34" s="106">
        <f>(C34-E34-F34-G34-H34-I34-J34-K34-L34-M34-N34)*0.811308</f>
        <v>251.87056860000004</v>
      </c>
      <c r="E34" s="81">
        <v>42.23</v>
      </c>
      <c r="F34" s="81">
        <v>0</v>
      </c>
      <c r="G34" s="81">
        <v>57.24</v>
      </c>
      <c r="H34" s="81">
        <v>0</v>
      </c>
      <c r="I34" s="81">
        <v>137.48</v>
      </c>
      <c r="J34" s="81">
        <v>0</v>
      </c>
      <c r="K34" s="81">
        <v>95.25</v>
      </c>
      <c r="L34" s="81">
        <v>0</v>
      </c>
      <c r="M34" s="81">
        <v>33.78</v>
      </c>
      <c r="N34" s="107">
        <v>0</v>
      </c>
      <c r="O34" s="70">
        <f t="shared" si="18"/>
        <v>365.98</v>
      </c>
      <c r="P34" s="82">
        <f t="shared" si="19"/>
        <v>0</v>
      </c>
      <c r="Q34" s="109">
        <v>20.52</v>
      </c>
      <c r="R34" s="109">
        <v>27.79</v>
      </c>
      <c r="S34" s="109">
        <v>66.76</v>
      </c>
      <c r="T34" s="109">
        <v>46.25</v>
      </c>
      <c r="U34" s="109">
        <v>16.4</v>
      </c>
      <c r="V34" s="104">
        <f t="shared" si="30"/>
        <v>177.72</v>
      </c>
      <c r="W34" s="83">
        <f t="shared" si="20"/>
        <v>429.59056860000004</v>
      </c>
      <c r="X34" s="83"/>
      <c r="Y34" s="14">
        <f t="shared" si="21"/>
        <v>46.92</v>
      </c>
      <c r="Z34" s="14">
        <f t="shared" si="22"/>
        <v>15.64</v>
      </c>
      <c r="AA34" s="14">
        <f t="shared" si="23"/>
        <v>78.2</v>
      </c>
      <c r="AB34" s="14">
        <v>0</v>
      </c>
      <c r="AC34" s="14">
        <f t="shared" si="31"/>
        <v>76.636</v>
      </c>
      <c r="AD34" s="14">
        <v>0</v>
      </c>
      <c r="AE34" s="14">
        <f t="shared" si="24"/>
        <v>175.95000000000002</v>
      </c>
      <c r="AF34" s="14">
        <v>0</v>
      </c>
      <c r="AG34" s="14"/>
      <c r="AH34" s="14"/>
      <c r="AI34" s="85"/>
      <c r="AJ34" s="85"/>
      <c r="AK34" s="73"/>
      <c r="AL34" s="73"/>
      <c r="AM34" s="73"/>
      <c r="AN34" s="110">
        <v>425</v>
      </c>
      <c r="AO34" s="95">
        <v>0</v>
      </c>
      <c r="AP34" s="14">
        <f t="shared" si="25"/>
        <v>0</v>
      </c>
      <c r="AQ34" s="89"/>
      <c r="AR34" s="89">
        <f t="shared" si="26"/>
        <v>0</v>
      </c>
      <c r="AS34" s="89">
        <f t="shared" si="27"/>
        <v>393.346</v>
      </c>
      <c r="AT34" s="92"/>
      <c r="AU34" s="12">
        <f t="shared" si="28"/>
        <v>36.244568600000036</v>
      </c>
      <c r="AV34" s="26">
        <f t="shared" si="29"/>
        <v>-188.26000000000002</v>
      </c>
    </row>
    <row r="35" spans="1:48" ht="12.75">
      <c r="A35" s="9" t="s">
        <v>35</v>
      </c>
      <c r="B35" s="104">
        <v>78.2</v>
      </c>
      <c r="C35" s="105">
        <f t="shared" si="17"/>
        <v>676.4300000000001</v>
      </c>
      <c r="D35" s="106">
        <f>(C35-E35-F35-G35-H35-I35-J35-K35-L35-M35-N35)*0.870679</f>
        <v>270.30229555000005</v>
      </c>
      <c r="E35" s="81">
        <v>42.23</v>
      </c>
      <c r="F35" s="81">
        <v>0</v>
      </c>
      <c r="G35" s="81">
        <v>57.24</v>
      </c>
      <c r="H35" s="81">
        <v>0</v>
      </c>
      <c r="I35" s="81">
        <v>137.48</v>
      </c>
      <c r="J35" s="81">
        <v>0</v>
      </c>
      <c r="K35" s="81">
        <v>95.25</v>
      </c>
      <c r="L35" s="81">
        <v>0</v>
      </c>
      <c r="M35" s="81">
        <v>33.78</v>
      </c>
      <c r="N35" s="107">
        <v>0</v>
      </c>
      <c r="O35" s="70">
        <f t="shared" si="18"/>
        <v>365.98</v>
      </c>
      <c r="P35" s="82">
        <f t="shared" si="19"/>
        <v>0</v>
      </c>
      <c r="Q35" s="109">
        <v>20.54</v>
      </c>
      <c r="R35" s="109">
        <v>27.83</v>
      </c>
      <c r="S35" s="109">
        <v>66.85</v>
      </c>
      <c r="T35" s="109">
        <v>46.31</v>
      </c>
      <c r="U35" s="109">
        <v>16.42</v>
      </c>
      <c r="V35" s="104">
        <f t="shared" si="30"/>
        <v>177.95</v>
      </c>
      <c r="W35" s="83">
        <f t="shared" si="20"/>
        <v>448.25229555000004</v>
      </c>
      <c r="X35" s="83"/>
      <c r="Y35" s="14">
        <f t="shared" si="21"/>
        <v>46.92</v>
      </c>
      <c r="Z35" s="14">
        <f t="shared" si="22"/>
        <v>15.64</v>
      </c>
      <c r="AA35" s="14">
        <f t="shared" si="23"/>
        <v>78.2</v>
      </c>
      <c r="AB35" s="14">
        <v>0</v>
      </c>
      <c r="AC35" s="14">
        <f t="shared" si="31"/>
        <v>76.636</v>
      </c>
      <c r="AD35" s="14">
        <v>0</v>
      </c>
      <c r="AE35" s="14">
        <f t="shared" si="24"/>
        <v>175.95000000000002</v>
      </c>
      <c r="AF35" s="14">
        <v>0</v>
      </c>
      <c r="AG35" s="14"/>
      <c r="AH35" s="14"/>
      <c r="AI35" s="85"/>
      <c r="AJ35" s="85"/>
      <c r="AK35" s="73"/>
      <c r="AL35" s="73"/>
      <c r="AM35" s="73"/>
      <c r="AN35" s="110">
        <v>470</v>
      </c>
      <c r="AO35" s="95">
        <v>0</v>
      </c>
      <c r="AP35" s="14">
        <f t="shared" si="25"/>
        <v>0</v>
      </c>
      <c r="AQ35" s="89"/>
      <c r="AR35" s="89">
        <f t="shared" si="26"/>
        <v>0</v>
      </c>
      <c r="AS35" s="89">
        <f t="shared" si="27"/>
        <v>393.346</v>
      </c>
      <c r="AT35" s="92"/>
      <c r="AU35" s="12">
        <f t="shared" si="28"/>
        <v>54.90629555000004</v>
      </c>
      <c r="AV35" s="26">
        <f t="shared" si="29"/>
        <v>-188.03000000000003</v>
      </c>
    </row>
    <row r="36" spans="1:48" ht="12.75">
      <c r="A36" s="9" t="s">
        <v>36</v>
      </c>
      <c r="B36" s="104">
        <v>78.2</v>
      </c>
      <c r="C36" s="105">
        <f t="shared" si="17"/>
        <v>676.4300000000001</v>
      </c>
      <c r="D36" s="106">
        <f>(C36-E36-F36-G36-H36-I36-J36-K36-L36-M36-N36)*0.91496</f>
        <v>284.06763120000005</v>
      </c>
      <c r="E36" s="81">
        <v>42.23</v>
      </c>
      <c r="F36" s="81">
        <v>0</v>
      </c>
      <c r="G36" s="81">
        <v>57.24</v>
      </c>
      <c r="H36" s="81">
        <v>0</v>
      </c>
      <c r="I36" s="81">
        <v>137.48</v>
      </c>
      <c r="J36" s="81">
        <v>0</v>
      </c>
      <c r="K36" s="81">
        <v>95.24</v>
      </c>
      <c r="L36" s="81">
        <v>0</v>
      </c>
      <c r="M36" s="81">
        <v>33.77</v>
      </c>
      <c r="N36" s="107">
        <v>0</v>
      </c>
      <c r="O36" s="70">
        <f t="shared" si="18"/>
        <v>365.96</v>
      </c>
      <c r="P36" s="82">
        <f t="shared" si="19"/>
        <v>0</v>
      </c>
      <c r="Q36" s="109">
        <v>58.87</v>
      </c>
      <c r="R36" s="109">
        <v>79.78</v>
      </c>
      <c r="S36" s="109">
        <v>191.62</v>
      </c>
      <c r="T36" s="109">
        <v>132.76</v>
      </c>
      <c r="U36" s="109">
        <v>47.08</v>
      </c>
      <c r="V36" s="104">
        <f t="shared" si="30"/>
        <v>510.10999999999996</v>
      </c>
      <c r="W36" s="83">
        <f t="shared" si="20"/>
        <v>794.1776312</v>
      </c>
      <c r="X36" s="83"/>
      <c r="Y36" s="14">
        <f t="shared" si="21"/>
        <v>46.92</v>
      </c>
      <c r="Z36" s="14">
        <f t="shared" si="22"/>
        <v>15.64</v>
      </c>
      <c r="AA36" s="14">
        <f t="shared" si="23"/>
        <v>78.2</v>
      </c>
      <c r="AB36" s="14">
        <v>0</v>
      </c>
      <c r="AC36" s="14">
        <f t="shared" si="31"/>
        <v>76.636</v>
      </c>
      <c r="AD36" s="14">
        <v>0</v>
      </c>
      <c r="AE36" s="14">
        <f t="shared" si="24"/>
        <v>175.95000000000002</v>
      </c>
      <c r="AF36" s="14">
        <v>0</v>
      </c>
      <c r="AG36" s="14"/>
      <c r="AH36" s="14"/>
      <c r="AI36" s="85"/>
      <c r="AJ36" s="85"/>
      <c r="AK36" s="73"/>
      <c r="AL36" s="73"/>
      <c r="AM36" s="73"/>
      <c r="AN36" s="110">
        <v>514</v>
      </c>
      <c r="AO36" s="95">
        <v>0</v>
      </c>
      <c r="AP36" s="14">
        <f t="shared" si="25"/>
        <v>0</v>
      </c>
      <c r="AQ36" s="89"/>
      <c r="AR36" s="89">
        <f t="shared" si="26"/>
        <v>0</v>
      </c>
      <c r="AS36" s="89">
        <f t="shared" si="27"/>
        <v>393.346</v>
      </c>
      <c r="AT36" s="92"/>
      <c r="AU36" s="12">
        <f t="shared" si="28"/>
        <v>400.83163119999995</v>
      </c>
      <c r="AV36" s="26">
        <f t="shared" si="29"/>
        <v>144.14999999999998</v>
      </c>
    </row>
    <row r="37" spans="1:48" s="18" customFormat="1" ht="12.75">
      <c r="A37" s="15" t="s">
        <v>5</v>
      </c>
      <c r="B37" s="50"/>
      <c r="C37" s="50">
        <f aca="true" t="shared" si="32" ref="C37:AM37">SUM(C25:C36)</f>
        <v>8117.160000000003</v>
      </c>
      <c r="D37" s="50">
        <f t="shared" si="32"/>
        <v>3395.5626454500007</v>
      </c>
      <c r="E37" s="47">
        <f t="shared" si="32"/>
        <v>468.4700000000001</v>
      </c>
      <c r="F37" s="47">
        <f t="shared" si="32"/>
        <v>38.28</v>
      </c>
      <c r="G37" s="47">
        <f t="shared" si="32"/>
        <v>634.97</v>
      </c>
      <c r="H37" s="47">
        <f t="shared" si="32"/>
        <v>51.89999999999999</v>
      </c>
      <c r="I37" s="47">
        <f t="shared" si="32"/>
        <v>1525.09</v>
      </c>
      <c r="J37" s="47">
        <f t="shared" si="32"/>
        <v>124.65</v>
      </c>
      <c r="K37" s="47">
        <f t="shared" si="32"/>
        <v>1056.63</v>
      </c>
      <c r="L37" s="47">
        <f t="shared" si="32"/>
        <v>86.36</v>
      </c>
      <c r="M37" s="47">
        <f t="shared" si="32"/>
        <v>374.7099999999999</v>
      </c>
      <c r="N37" s="47">
        <f t="shared" si="32"/>
        <v>30.64</v>
      </c>
      <c r="O37" s="47">
        <f t="shared" si="32"/>
        <v>4059.87</v>
      </c>
      <c r="P37" s="47">
        <f t="shared" si="32"/>
        <v>331.83000000000004</v>
      </c>
      <c r="Q37" s="51">
        <f t="shared" si="32"/>
        <v>464.07</v>
      </c>
      <c r="R37" s="51">
        <f t="shared" si="32"/>
        <v>629.01</v>
      </c>
      <c r="S37" s="51">
        <f t="shared" si="32"/>
        <v>1515.5299999999997</v>
      </c>
      <c r="T37" s="51">
        <f t="shared" si="32"/>
        <v>1046.72</v>
      </c>
      <c r="U37" s="51">
        <f t="shared" si="32"/>
        <v>371.21</v>
      </c>
      <c r="V37" s="51">
        <f t="shared" si="32"/>
        <v>4026.5399999999995</v>
      </c>
      <c r="W37" s="51">
        <f t="shared" si="32"/>
        <v>7753.932645449999</v>
      </c>
      <c r="X37" s="76">
        <f t="shared" si="32"/>
        <v>0</v>
      </c>
      <c r="Y37" s="16">
        <f t="shared" si="32"/>
        <v>563.0400000000001</v>
      </c>
      <c r="Z37" s="16">
        <f t="shared" si="32"/>
        <v>187.67999999999995</v>
      </c>
      <c r="AA37" s="16">
        <f t="shared" si="32"/>
        <v>938.4000000000002</v>
      </c>
      <c r="AB37" s="16">
        <f t="shared" si="32"/>
        <v>0</v>
      </c>
      <c r="AC37" s="16">
        <f t="shared" si="32"/>
        <v>919.6319999999997</v>
      </c>
      <c r="AD37" s="16">
        <f t="shared" si="32"/>
        <v>0</v>
      </c>
      <c r="AE37" s="16">
        <f t="shared" si="32"/>
        <v>2111.4</v>
      </c>
      <c r="AF37" s="16">
        <f t="shared" si="32"/>
        <v>0</v>
      </c>
      <c r="AG37" s="16">
        <f t="shared" si="32"/>
        <v>0</v>
      </c>
      <c r="AH37" s="16">
        <f t="shared" si="32"/>
        <v>0</v>
      </c>
      <c r="AI37" s="16">
        <f t="shared" si="32"/>
        <v>0</v>
      </c>
      <c r="AJ37" s="16">
        <f t="shared" si="32"/>
        <v>0</v>
      </c>
      <c r="AK37" s="16">
        <f t="shared" si="32"/>
        <v>200</v>
      </c>
      <c r="AL37" s="16">
        <f t="shared" si="32"/>
        <v>47.8</v>
      </c>
      <c r="AM37" s="16">
        <f t="shared" si="32"/>
        <v>0</v>
      </c>
      <c r="AN37" s="16"/>
      <c r="AO37" s="16"/>
      <c r="AP37" s="16">
        <f aca="true" t="shared" si="33" ref="AP37:AV37">SUM(AP25:AP36)</f>
        <v>0</v>
      </c>
      <c r="AQ37" s="16">
        <f t="shared" si="33"/>
        <v>0</v>
      </c>
      <c r="AR37" s="16">
        <f t="shared" si="33"/>
        <v>0</v>
      </c>
      <c r="AS37" s="16">
        <f t="shared" si="33"/>
        <v>4967.951999999999</v>
      </c>
      <c r="AT37" s="16">
        <f t="shared" si="33"/>
        <v>0</v>
      </c>
      <c r="AU37" s="16">
        <f t="shared" si="33"/>
        <v>2785.9806454500003</v>
      </c>
      <c r="AV37" s="17">
        <f t="shared" si="33"/>
        <v>-33.33000000000018</v>
      </c>
    </row>
    <row r="38" spans="1:48" ht="12.75">
      <c r="A38" s="9"/>
      <c r="B38" s="10"/>
      <c r="C38" s="11"/>
      <c r="D38" s="1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1"/>
      <c r="P38" s="41"/>
      <c r="Q38" s="43"/>
      <c r="R38" s="43"/>
      <c r="S38" s="43"/>
      <c r="T38" s="43"/>
      <c r="U38" s="43"/>
      <c r="V38" s="43"/>
      <c r="W38" s="77"/>
      <c r="X38" s="78"/>
      <c r="Y38" s="14"/>
      <c r="Z38" s="14"/>
      <c r="AA38" s="14"/>
      <c r="AB38" s="14"/>
      <c r="AC38" s="14"/>
      <c r="AD38" s="14"/>
      <c r="AE38" s="14"/>
      <c r="AF38" s="14"/>
      <c r="AG38" s="13"/>
      <c r="AH38" s="13"/>
      <c r="AI38" s="13"/>
      <c r="AJ38" s="13"/>
      <c r="AK38" s="72"/>
      <c r="AL38" s="72"/>
      <c r="AM38" s="73"/>
      <c r="AN38" s="73"/>
      <c r="AO38" s="73"/>
      <c r="AP38" s="19"/>
      <c r="AQ38" s="13"/>
      <c r="AR38" s="14"/>
      <c r="AS38" s="14"/>
      <c r="AT38" s="14"/>
      <c r="AU38" s="14"/>
      <c r="AV38" s="8"/>
    </row>
    <row r="39" spans="1:48" s="18" customFormat="1" ht="13.5" thickBot="1">
      <c r="A39" s="20" t="s">
        <v>47</v>
      </c>
      <c r="B39" s="21"/>
      <c r="C39" s="21">
        <f aca="true" t="shared" si="34" ref="C39:AT39">C37+C23</f>
        <v>16234.320000000005</v>
      </c>
      <c r="D39" s="21">
        <f t="shared" si="34"/>
        <v>6217.37764545</v>
      </c>
      <c r="E39" s="21">
        <f t="shared" si="34"/>
        <v>956.4300000000002</v>
      </c>
      <c r="F39" s="21">
        <f t="shared" si="34"/>
        <v>38.28</v>
      </c>
      <c r="G39" s="21">
        <f t="shared" si="34"/>
        <v>1295.5700000000002</v>
      </c>
      <c r="H39" s="21">
        <f t="shared" si="34"/>
        <v>51.89999999999999</v>
      </c>
      <c r="I39" s="21">
        <f t="shared" si="34"/>
        <v>3112.89</v>
      </c>
      <c r="J39" s="21">
        <f t="shared" si="34"/>
        <v>124.65</v>
      </c>
      <c r="K39" s="21">
        <f t="shared" si="34"/>
        <v>2156.4300000000003</v>
      </c>
      <c r="L39" s="21">
        <f t="shared" si="34"/>
        <v>86.36</v>
      </c>
      <c r="M39" s="21">
        <f t="shared" si="34"/>
        <v>765.0699999999998</v>
      </c>
      <c r="N39" s="21">
        <f t="shared" si="34"/>
        <v>30.64</v>
      </c>
      <c r="O39" s="21">
        <f t="shared" si="34"/>
        <v>8286.39</v>
      </c>
      <c r="P39" s="21">
        <f t="shared" si="34"/>
        <v>331.83000000000004</v>
      </c>
      <c r="Q39" s="21">
        <f t="shared" si="34"/>
        <v>875.1099999999999</v>
      </c>
      <c r="R39" s="21">
        <f t="shared" si="34"/>
        <v>1171.63</v>
      </c>
      <c r="S39" s="21">
        <f t="shared" si="34"/>
        <v>2815.96</v>
      </c>
      <c r="T39" s="21">
        <f t="shared" si="34"/>
        <v>1990.27</v>
      </c>
      <c r="U39" s="21">
        <f t="shared" si="34"/>
        <v>724.73</v>
      </c>
      <c r="V39" s="21">
        <f t="shared" si="34"/>
        <v>7577.699999999999</v>
      </c>
      <c r="W39" s="21">
        <f t="shared" si="34"/>
        <v>14126.90764545</v>
      </c>
      <c r="X39" s="21">
        <f t="shared" si="34"/>
        <v>0</v>
      </c>
      <c r="Y39" s="21">
        <f t="shared" si="34"/>
        <v>1107.3120000000001</v>
      </c>
      <c r="Z39" s="21">
        <f t="shared" si="34"/>
        <v>369.9197823999999</v>
      </c>
      <c r="AA39" s="21">
        <f t="shared" si="34"/>
        <v>1702.5112026000002</v>
      </c>
      <c r="AB39" s="21">
        <f t="shared" si="34"/>
        <v>137.540016468</v>
      </c>
      <c r="AC39" s="21">
        <f t="shared" si="34"/>
        <v>1667.7099973599998</v>
      </c>
      <c r="AD39" s="21">
        <f t="shared" si="34"/>
        <v>134.6540395248</v>
      </c>
      <c r="AE39" s="21">
        <f t="shared" si="34"/>
        <v>3832.8508203200004</v>
      </c>
      <c r="AF39" s="21">
        <f t="shared" si="34"/>
        <v>309.86114765759993</v>
      </c>
      <c r="AG39" s="21">
        <f t="shared" si="34"/>
        <v>0</v>
      </c>
      <c r="AH39" s="21">
        <f t="shared" si="34"/>
        <v>0</v>
      </c>
      <c r="AI39" s="21">
        <f t="shared" si="34"/>
        <v>4870.79</v>
      </c>
      <c r="AJ39" s="21">
        <f t="shared" si="34"/>
        <v>876.7421999999999</v>
      </c>
      <c r="AK39" s="21">
        <f t="shared" si="34"/>
        <v>2390</v>
      </c>
      <c r="AL39" s="21">
        <f t="shared" si="34"/>
        <v>47.8</v>
      </c>
      <c r="AM39" s="21">
        <f t="shared" si="34"/>
        <v>394.2</v>
      </c>
      <c r="AN39" s="21">
        <f t="shared" si="34"/>
        <v>0</v>
      </c>
      <c r="AO39" s="21">
        <f t="shared" si="34"/>
        <v>0</v>
      </c>
      <c r="AP39" s="21">
        <f t="shared" si="34"/>
        <v>0</v>
      </c>
      <c r="AQ39" s="21">
        <f t="shared" si="34"/>
        <v>0</v>
      </c>
      <c r="AR39" s="21">
        <f t="shared" si="34"/>
        <v>0</v>
      </c>
      <c r="AS39" s="21">
        <f t="shared" si="34"/>
        <v>17841.8912063304</v>
      </c>
      <c r="AT39" s="21">
        <f t="shared" si="34"/>
        <v>0</v>
      </c>
      <c r="AU39" s="21">
        <f>AU37+AU23</f>
        <v>-3714.9835608803996</v>
      </c>
      <c r="AV39" s="21">
        <f>AV37+AV23</f>
        <v>-708.6900000000002</v>
      </c>
    </row>
  </sheetData>
  <sheetProtection/>
  <mergeCells count="56">
    <mergeCell ref="AI5:AI6"/>
    <mergeCell ref="AJ5:AJ6"/>
    <mergeCell ref="AL5:AL6"/>
    <mergeCell ref="AQ5:AQ6"/>
    <mergeCell ref="U5:U6"/>
    <mergeCell ref="O5:O6"/>
    <mergeCell ref="R5:R6"/>
    <mergeCell ref="S5:S6"/>
    <mergeCell ref="T5:T6"/>
    <mergeCell ref="V5:V6"/>
    <mergeCell ref="N5:N6"/>
    <mergeCell ref="AS5:AS6"/>
    <mergeCell ref="AM5:AM6"/>
    <mergeCell ref="Y5:Y6"/>
    <mergeCell ref="X3:X6"/>
    <mergeCell ref="Y3:AS4"/>
    <mergeCell ref="AF5:AF6"/>
    <mergeCell ref="AG5:AG6"/>
    <mergeCell ref="AN5:AP5"/>
    <mergeCell ref="AR5:AR6"/>
    <mergeCell ref="E5:E6"/>
    <mergeCell ref="F5:F6"/>
    <mergeCell ref="G5:G6"/>
    <mergeCell ref="H5:H6"/>
    <mergeCell ref="I5:I6"/>
    <mergeCell ref="J5:J6"/>
    <mergeCell ref="K5:K6"/>
    <mergeCell ref="AU3:AU6"/>
    <mergeCell ref="O3:P4"/>
    <mergeCell ref="Q3:V4"/>
    <mergeCell ref="W3:W6"/>
    <mergeCell ref="P5:P6"/>
    <mergeCell ref="Q5:Q6"/>
    <mergeCell ref="M4:N4"/>
    <mergeCell ref="L5:L6"/>
    <mergeCell ref="M5:M6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9">
      <selection activeCell="A5" sqref="A5:O5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67" t="s">
        <v>48</v>
      </c>
      <c r="C1" s="267"/>
      <c r="D1" s="267"/>
      <c r="E1" s="267"/>
      <c r="F1" s="267"/>
      <c r="G1" s="267"/>
      <c r="H1" s="267"/>
    </row>
    <row r="2" spans="2:8" ht="21" customHeight="1">
      <c r="B2" s="267" t="s">
        <v>49</v>
      </c>
      <c r="C2" s="267"/>
      <c r="D2" s="267"/>
      <c r="E2" s="267"/>
      <c r="F2" s="267"/>
      <c r="G2" s="267"/>
      <c r="H2" s="267"/>
    </row>
    <row r="5" spans="1:15" ht="12.75">
      <c r="A5" s="269" t="s">
        <v>82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1:15" ht="12.75">
      <c r="A6" s="270" t="s">
        <v>86</v>
      </c>
      <c r="B6" s="270"/>
      <c r="C6" s="270"/>
      <c r="D6" s="270"/>
      <c r="E6" s="270"/>
      <c r="F6" s="270"/>
      <c r="G6" s="270"/>
      <c r="H6" s="79"/>
      <c r="I6" s="79"/>
      <c r="J6" s="79"/>
      <c r="K6" s="79"/>
      <c r="L6" s="79"/>
      <c r="M6" s="79"/>
      <c r="N6" s="79"/>
      <c r="O6" s="79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268" t="s">
        <v>50</v>
      </c>
      <c r="B8" s="268"/>
      <c r="C8" s="268"/>
      <c r="D8" s="268"/>
      <c r="E8" s="268">
        <v>8.65</v>
      </c>
      <c r="F8" s="268"/>
    </row>
    <row r="9" spans="1:16" ht="12.75" customHeight="1">
      <c r="A9" s="219" t="s">
        <v>51</v>
      </c>
      <c r="B9" s="296" t="s">
        <v>1</v>
      </c>
      <c r="C9" s="299" t="s">
        <v>52</v>
      </c>
      <c r="D9" s="302" t="s">
        <v>3</v>
      </c>
      <c r="E9" s="286" t="s">
        <v>53</v>
      </c>
      <c r="F9" s="287"/>
      <c r="G9" s="263" t="s">
        <v>54</v>
      </c>
      <c r="H9" s="264"/>
      <c r="I9" s="271" t="s">
        <v>8</v>
      </c>
      <c r="J9" s="255"/>
      <c r="K9" s="255"/>
      <c r="L9" s="255"/>
      <c r="M9" s="255"/>
      <c r="N9" s="272"/>
      <c r="O9" s="275" t="s">
        <v>55</v>
      </c>
      <c r="P9" s="275" t="s">
        <v>10</v>
      </c>
    </row>
    <row r="10" spans="1:16" ht="12.75">
      <c r="A10" s="220"/>
      <c r="B10" s="297"/>
      <c r="C10" s="300"/>
      <c r="D10" s="303"/>
      <c r="E10" s="288"/>
      <c r="F10" s="289"/>
      <c r="G10" s="265"/>
      <c r="H10" s="266"/>
      <c r="I10" s="273"/>
      <c r="J10" s="230"/>
      <c r="K10" s="230"/>
      <c r="L10" s="230"/>
      <c r="M10" s="230"/>
      <c r="N10" s="274"/>
      <c r="O10" s="276"/>
      <c r="P10" s="276"/>
    </row>
    <row r="11" spans="1:16" ht="26.25" customHeight="1">
      <c r="A11" s="220"/>
      <c r="B11" s="297"/>
      <c r="C11" s="300"/>
      <c r="D11" s="303"/>
      <c r="E11" s="278" t="s">
        <v>56</v>
      </c>
      <c r="F11" s="279"/>
      <c r="G11" s="69" t="s">
        <v>57</v>
      </c>
      <c r="H11" s="280" t="s">
        <v>7</v>
      </c>
      <c r="I11" s="282" t="s">
        <v>58</v>
      </c>
      <c r="J11" s="284" t="s">
        <v>26</v>
      </c>
      <c r="K11" s="284" t="s">
        <v>59</v>
      </c>
      <c r="L11" s="284" t="s">
        <v>31</v>
      </c>
      <c r="M11" s="284" t="s">
        <v>60</v>
      </c>
      <c r="N11" s="280" t="s">
        <v>33</v>
      </c>
      <c r="O11" s="276"/>
      <c r="P11" s="276"/>
    </row>
    <row r="12" spans="1:16" ht="66.75" customHeight="1" thickBot="1">
      <c r="A12" s="295"/>
      <c r="B12" s="298"/>
      <c r="C12" s="301"/>
      <c r="D12" s="304"/>
      <c r="E12" s="53" t="s">
        <v>61</v>
      </c>
      <c r="F12" s="56" t="s">
        <v>17</v>
      </c>
      <c r="G12" s="66" t="s">
        <v>81</v>
      </c>
      <c r="H12" s="281"/>
      <c r="I12" s="283"/>
      <c r="J12" s="285"/>
      <c r="K12" s="285"/>
      <c r="L12" s="285"/>
      <c r="M12" s="285"/>
      <c r="N12" s="281"/>
      <c r="O12" s="277"/>
      <c r="P12" s="277"/>
    </row>
    <row r="13" spans="1:16" ht="13.5" thickBot="1">
      <c r="A13" s="54">
        <v>1</v>
      </c>
      <c r="B13" s="55">
        <v>2</v>
      </c>
      <c r="C13" s="54">
        <v>3</v>
      </c>
      <c r="D13" s="55">
        <v>4</v>
      </c>
      <c r="E13" s="54">
        <v>5</v>
      </c>
      <c r="F13" s="55">
        <v>6</v>
      </c>
      <c r="G13" s="54">
        <v>7</v>
      </c>
      <c r="H13" s="55">
        <v>8</v>
      </c>
      <c r="I13" s="54">
        <v>9</v>
      </c>
      <c r="J13" s="55">
        <v>10</v>
      </c>
      <c r="K13" s="54">
        <v>11</v>
      </c>
      <c r="L13" s="55">
        <v>12</v>
      </c>
      <c r="M13" s="54">
        <v>13</v>
      </c>
      <c r="N13" s="55">
        <v>14</v>
      </c>
      <c r="O13" s="54">
        <v>15</v>
      </c>
      <c r="P13" s="55">
        <v>16</v>
      </c>
    </row>
    <row r="14" spans="1:18" ht="12.75">
      <c r="A14" s="6" t="s">
        <v>37</v>
      </c>
      <c r="B14" s="35"/>
      <c r="C14" s="36"/>
      <c r="D14" s="37"/>
      <c r="E14" s="38"/>
      <c r="F14" s="40"/>
      <c r="G14" s="39"/>
      <c r="H14" s="40"/>
      <c r="I14" s="39"/>
      <c r="J14" s="12"/>
      <c r="K14" s="12"/>
      <c r="L14" s="27"/>
      <c r="M14" s="59"/>
      <c r="N14" s="26"/>
      <c r="O14" s="62"/>
      <c r="P14" s="62"/>
      <c r="Q14" s="1"/>
      <c r="R14" s="1"/>
    </row>
    <row r="15" spans="1:18" ht="12.75">
      <c r="A15" s="9" t="s">
        <v>38</v>
      </c>
      <c r="B15" s="67">
        <f>Лист1!B9</f>
        <v>78.2</v>
      </c>
      <c r="C15" s="23">
        <f aca="true" t="shared" si="0" ref="C15:C26">B15*8.65</f>
        <v>676.4300000000001</v>
      </c>
      <c r="D15" s="24">
        <f>Лист1!D9</f>
        <v>84.55375000000001</v>
      </c>
      <c r="E15" s="12">
        <f>Лист1!O9</f>
        <v>324.66999999999996</v>
      </c>
      <c r="F15" s="26">
        <f>Лист1!P9</f>
        <v>0</v>
      </c>
      <c r="G15" s="25">
        <f>Лист1!V9</f>
        <v>142.86</v>
      </c>
      <c r="H15" s="26">
        <f>Лист1!W9</f>
        <v>227.41375000000002</v>
      </c>
      <c r="I15" s="25">
        <f>Лист1!Y9</f>
        <v>42.228</v>
      </c>
      <c r="J15" s="12">
        <f>Лист1!AA9+Лист1!AB9</f>
        <v>69.44210792</v>
      </c>
      <c r="K15" s="12">
        <f>Лист1!Z9+Лист1!AC9+Лист1!AD9+Лист1!AE9+Лист1!AF9+Лист1!AG9+Лист1!AH9+Лист1!AI9+Лист1!AJ9</f>
        <v>238.20567688</v>
      </c>
      <c r="L15" s="27">
        <f>Лист1!AK9+Лист1!AL9+Лист1!AM9+Лист1!AQ9+Лист1!AR9</f>
        <v>0</v>
      </c>
      <c r="M15" s="27">
        <f>Лист1!AP9</f>
        <v>0</v>
      </c>
      <c r="N15" s="26">
        <f>Лист1!AS9</f>
        <v>349.8757848</v>
      </c>
      <c r="O15" s="62">
        <f>Лист1!AU9</f>
        <v>-122.4620348</v>
      </c>
      <c r="P15" s="62">
        <f>Лист1!AV9</f>
        <v>-181.80999999999995</v>
      </c>
      <c r="Q15" s="1"/>
      <c r="R15" s="1"/>
    </row>
    <row r="16" spans="1:18" ht="12.75">
      <c r="A16" s="9" t="s">
        <v>39</v>
      </c>
      <c r="B16" s="67">
        <f>Лист1!B10</f>
        <v>78.2</v>
      </c>
      <c r="C16" s="23">
        <f t="shared" si="0"/>
        <v>676.4300000000001</v>
      </c>
      <c r="D16" s="24">
        <f>Лист1!D10</f>
        <v>84.55375000000001</v>
      </c>
      <c r="E16" s="12">
        <f>Лист1!O10</f>
        <v>324.66999999999996</v>
      </c>
      <c r="F16" s="26">
        <f>Лист1!P10</f>
        <v>0</v>
      </c>
      <c r="G16" s="25">
        <f>Лист1!V10</f>
        <v>10.059999999999999</v>
      </c>
      <c r="H16" s="26">
        <f>Лист1!W10</f>
        <v>94.61375000000001</v>
      </c>
      <c r="I16" s="25">
        <f>Лист1!Y10</f>
        <v>42.228</v>
      </c>
      <c r="J16" s="12">
        <f>Лист1!AA10+Лист1!AB10</f>
        <v>69.42635138</v>
      </c>
      <c r="K16" s="12">
        <f>Лист1!Z10+Лист1!AC10+Лист1!AD10+Лист1!AE10+Лист1!AF10+Лист1!AG10+Лист1!AH10+Лист1!AI10+Лист1!AJ10</f>
        <v>241.866344</v>
      </c>
      <c r="L16" s="27">
        <f>Лист1!AK10+Лист1!AL10+Лист1!AM10+Лист1!AQ10+Лист1!AR10</f>
        <v>708</v>
      </c>
      <c r="M16" s="27">
        <f>Лист1!AP10</f>
        <v>0</v>
      </c>
      <c r="N16" s="26">
        <f>Лист1!AS10</f>
        <v>1061.52069538</v>
      </c>
      <c r="O16" s="62">
        <f>Лист1!AU10</f>
        <v>-966.90694538</v>
      </c>
      <c r="P16" s="62">
        <f>Лист1!AV10</f>
        <v>-314.60999999999996</v>
      </c>
      <c r="Q16" s="1"/>
      <c r="R16" s="1"/>
    </row>
    <row r="17" spans="1:18" ht="12.75">
      <c r="A17" s="9" t="s">
        <v>40</v>
      </c>
      <c r="B17" s="67">
        <f>Лист1!B11</f>
        <v>78.2</v>
      </c>
      <c r="C17" s="23">
        <f t="shared" si="0"/>
        <v>676.4300000000001</v>
      </c>
      <c r="D17" s="24">
        <f>Лист1!D11</f>
        <v>84.55375000000001</v>
      </c>
      <c r="E17" s="12">
        <f>Лист1!O11</f>
        <v>324.66999999999996</v>
      </c>
      <c r="F17" s="26">
        <f>Лист1!P11</f>
        <v>0</v>
      </c>
      <c r="G17" s="25">
        <f>Лист1!V11</f>
        <v>311.71</v>
      </c>
      <c r="H17" s="26">
        <f>Лист1!W11</f>
        <v>396.26374999999996</v>
      </c>
      <c r="I17" s="25">
        <f>Лист1!Y11</f>
        <v>42.228</v>
      </c>
      <c r="J17" s="12">
        <f>Лист1!AA11+Лист1!AB11</f>
        <v>69.8852286</v>
      </c>
      <c r="K17" s="12">
        <f>Лист1!Z11+Лист1!AC11+Лист1!AD11+Лист1!AE11+Лист1!AF11+Лист1!AG11+Лист1!AH11+Лист1!AI11+Лист1!AJ11</f>
        <v>239.917254356</v>
      </c>
      <c r="L17" s="27">
        <f>Лист1!AK11+Лист1!AL11+Лист1!AM11+Лист1!AQ11+Лист1!AR11</f>
        <v>778.8</v>
      </c>
      <c r="M17" s="27">
        <f>Лист1!AP11</f>
        <v>0</v>
      </c>
      <c r="N17" s="26">
        <f>Лист1!AS11</f>
        <v>1130.830482956</v>
      </c>
      <c r="O17" s="62">
        <f>Лист1!AU11</f>
        <v>-734.566732956</v>
      </c>
      <c r="P17" s="62">
        <f>Лист1!AV11</f>
        <v>-12.95999999999998</v>
      </c>
      <c r="Q17" s="1"/>
      <c r="R17" s="1"/>
    </row>
    <row r="18" spans="1:18" ht="12.75">
      <c r="A18" s="9" t="s">
        <v>41</v>
      </c>
      <c r="B18" s="67">
        <f>Лист1!B12</f>
        <v>78.2</v>
      </c>
      <c r="C18" s="23">
        <f t="shared" si="0"/>
        <v>676.4300000000001</v>
      </c>
      <c r="D18" s="24">
        <f>Лист1!D12</f>
        <v>84.55375000000001</v>
      </c>
      <c r="E18" s="12">
        <f>Лист1!O12</f>
        <v>324.66999999999996</v>
      </c>
      <c r="F18" s="26">
        <f>Лист1!P12</f>
        <v>0</v>
      </c>
      <c r="G18" s="25">
        <f>Лист1!V12</f>
        <v>325.11999999999995</v>
      </c>
      <c r="H18" s="26">
        <f>Лист1!W12</f>
        <v>409.6737499999999</v>
      </c>
      <c r="I18" s="25">
        <f>Лист1!Y12</f>
        <v>42.228</v>
      </c>
      <c r="J18" s="12">
        <f>Лист1!AA12+Лист1!AB12</f>
        <v>69.8852286</v>
      </c>
      <c r="K18" s="12">
        <f>Лист1!Z12+Лист1!AC12+Лист1!AD12+Лист1!AE12+Лист1!AF12+Лист1!AG12+Лист1!AH12+Лист1!AI12+Лист1!AJ12</f>
        <v>240.156546356</v>
      </c>
      <c r="L18" s="27">
        <f>Лист1!AK12+Лист1!AL12+Лист1!AM12+Лист1!AQ12+Лист1!AR12</f>
        <v>708</v>
      </c>
      <c r="M18" s="27">
        <f>Лист1!AP12</f>
        <v>0</v>
      </c>
      <c r="N18" s="26">
        <f>Лист1!AS12</f>
        <v>1060.269774956</v>
      </c>
      <c r="O18" s="62">
        <f>Лист1!AU12</f>
        <v>-650.5960249560001</v>
      </c>
      <c r="P18" s="62">
        <f>Лист1!AV12</f>
        <v>0.44999999999998863</v>
      </c>
      <c r="Q18" s="1"/>
      <c r="R18" s="1"/>
    </row>
    <row r="19" spans="1:18" ht="12.75">
      <c r="A19" s="9" t="s">
        <v>42</v>
      </c>
      <c r="B19" s="67">
        <f>Лист1!B13</f>
        <v>78.2</v>
      </c>
      <c r="C19" s="23">
        <f t="shared" si="0"/>
        <v>676.4300000000001</v>
      </c>
      <c r="D19" s="24">
        <f>Лист1!D13</f>
        <v>310.45000000000005</v>
      </c>
      <c r="E19" s="12">
        <f>Лист1!O13</f>
        <v>365.98</v>
      </c>
      <c r="F19" s="26">
        <f>Лист1!P13</f>
        <v>0</v>
      </c>
      <c r="G19" s="25">
        <f>Лист1!V13</f>
        <v>324.19</v>
      </c>
      <c r="H19" s="26">
        <f>Лист1!W13</f>
        <v>634.6400000000001</v>
      </c>
      <c r="I19" s="25">
        <f>Лист1!Y13</f>
        <v>46.92</v>
      </c>
      <c r="J19" s="12">
        <f>Лист1!AA13+Лист1!AB13</f>
        <v>77.650254</v>
      </c>
      <c r="K19" s="12">
        <f>Лист1!Z13+Лист1!AC13+Лист1!AD13+Лист1!AE13+Лист1!AF13+Лист1!AG13+Лист1!AH13+Лист1!AI13+Лист1!AJ13</f>
        <v>266.62559008</v>
      </c>
      <c r="L19" s="27">
        <f>Лист1!AK13+Лист1!AL13+Лист1!AM13+Лист1!AQ13+Лист1!AR13</f>
        <v>0</v>
      </c>
      <c r="M19" s="27">
        <f>Лист1!AP13</f>
        <v>0</v>
      </c>
      <c r="N19" s="26">
        <f>Лист1!AS13</f>
        <v>391.19584408000003</v>
      </c>
      <c r="O19" s="62">
        <f>Лист1!AU13</f>
        <v>243.44415592000007</v>
      </c>
      <c r="P19" s="62">
        <f>Лист1!AV13</f>
        <v>-41.79000000000002</v>
      </c>
      <c r="Q19" s="1"/>
      <c r="R19" s="1"/>
    </row>
    <row r="20" spans="1:18" ht="12.75">
      <c r="A20" s="9" t="s">
        <v>43</v>
      </c>
      <c r="B20" s="67">
        <f>Лист1!B14</f>
        <v>78.2</v>
      </c>
      <c r="C20" s="23">
        <f t="shared" si="0"/>
        <v>676.4300000000001</v>
      </c>
      <c r="D20" s="24">
        <f>Лист1!D14</f>
        <v>310.44</v>
      </c>
      <c r="E20" s="12">
        <f>Лист1!O14</f>
        <v>518.3299999999999</v>
      </c>
      <c r="F20" s="26">
        <f>Лист1!P14</f>
        <v>0</v>
      </c>
      <c r="G20" s="25">
        <f>Лист1!V14</f>
        <v>365.96</v>
      </c>
      <c r="H20" s="26">
        <f>Лист1!W14</f>
        <v>676.4</v>
      </c>
      <c r="I20" s="25">
        <f>Лист1!Y14</f>
        <v>46.92</v>
      </c>
      <c r="J20" s="12">
        <f>Лист1!AA14+Лист1!AB14</f>
        <v>77.51220910400001</v>
      </c>
      <c r="K20" s="12">
        <f>Лист1!Z14+Лист1!AC14+Лист1!AD14+Лист1!AE14+Лист1!AF14+Лист1!AG14+Лист1!AH14+Лист1!AI14+Лист1!AJ14</f>
        <v>3569.2726679351995</v>
      </c>
      <c r="L20" s="27">
        <f>Лист1!AK14+Лист1!AL14+Лист1!AM14+Лист1!AQ14+Лист1!AR14</f>
        <v>0</v>
      </c>
      <c r="M20" s="27">
        <f>Лист1!AP14</f>
        <v>0</v>
      </c>
      <c r="N20" s="26">
        <f>Лист1!AS14</f>
        <v>3693.7048770391993</v>
      </c>
      <c r="O20" s="62">
        <f>Лист1!AU14</f>
        <v>-3017.3048770391993</v>
      </c>
      <c r="P20" s="62">
        <f>Лист1!AV14</f>
        <v>-152.36999999999995</v>
      </c>
      <c r="Q20" s="1"/>
      <c r="R20" s="1"/>
    </row>
    <row r="21" spans="1:18" ht="12.75">
      <c r="A21" s="9" t="s">
        <v>44</v>
      </c>
      <c r="B21" s="67">
        <f>Лист1!B15</f>
        <v>78.2</v>
      </c>
      <c r="C21" s="23">
        <f t="shared" si="0"/>
        <v>676.4300000000001</v>
      </c>
      <c r="D21" s="24">
        <f>Лист1!D15</f>
        <v>310.46</v>
      </c>
      <c r="E21" s="12">
        <f>Лист1!O15</f>
        <v>213.63</v>
      </c>
      <c r="F21" s="26">
        <f>Лист1!P15</f>
        <v>0</v>
      </c>
      <c r="G21" s="25">
        <f>Лист1!V15</f>
        <v>519.76</v>
      </c>
      <c r="H21" s="26">
        <f>Лист1!W15</f>
        <v>830.22</v>
      </c>
      <c r="I21" s="25">
        <f>Лист1!Y15</f>
        <v>46.92</v>
      </c>
      <c r="J21" s="12">
        <f>Лист1!AA15+Лист1!AB15</f>
        <v>77.51220910400001</v>
      </c>
      <c r="K21" s="12">
        <f>Лист1!Z15+Лист1!AC15+Лист1!AD15+Лист1!AE15+Лист1!AF15+Лист1!AG15+Лист1!AH15+Лист1!AI15+Лист1!AJ15</f>
        <v>265.9162563352</v>
      </c>
      <c r="L21" s="27">
        <f>Лист1!AK15+Лист1!AL15+Лист1!AM15+Лист1!AQ15+Лист1!AR15</f>
        <v>389.4</v>
      </c>
      <c r="M21" s="27">
        <f>Лист1!AP15</f>
        <v>0</v>
      </c>
      <c r="N21" s="26">
        <f>Лист1!AS15</f>
        <v>779.7484654392</v>
      </c>
      <c r="O21" s="62">
        <f>Лист1!AU15</f>
        <v>50.47153456080002</v>
      </c>
      <c r="P21" s="62">
        <f>Лист1!AV15</f>
        <v>306.13</v>
      </c>
      <c r="Q21" s="1"/>
      <c r="R21" s="1"/>
    </row>
    <row r="22" spans="1:18" ht="12.75">
      <c r="A22" s="9" t="s">
        <v>45</v>
      </c>
      <c r="B22" s="67">
        <f>Лист1!B16</f>
        <v>78.2</v>
      </c>
      <c r="C22" s="23">
        <f t="shared" si="0"/>
        <v>676.4300000000001</v>
      </c>
      <c r="D22" s="24">
        <f>Лист1!D16</f>
        <v>310.45000000000005</v>
      </c>
      <c r="E22" s="12">
        <f>Лист1!O16</f>
        <v>365.98</v>
      </c>
      <c r="F22" s="26">
        <f>Лист1!P16</f>
        <v>0</v>
      </c>
      <c r="G22" s="25">
        <f>Лист1!V16</f>
        <v>105.53999999999999</v>
      </c>
      <c r="H22" s="26">
        <f>Лист1!W16</f>
        <v>415.99</v>
      </c>
      <c r="I22" s="25">
        <f>Лист1!Y16</f>
        <v>46.92</v>
      </c>
      <c r="J22" s="12">
        <f>Лист1!AA16+Лист1!AB16</f>
        <v>77.51691518</v>
      </c>
      <c r="K22" s="12">
        <f>Лист1!Z16+Лист1!AC16+Лист1!AD16+Лист1!AE16+Лист1!AF16+Лист1!AG16+Лист1!AH16+Лист1!AI16+Лист1!AJ16</f>
        <v>265.986553756</v>
      </c>
      <c r="L22" s="27">
        <f>Лист1!AK16+Лист1!AL16+Лист1!AM16+Лист1!AQ16+Лист1!AR16</f>
        <v>0</v>
      </c>
      <c r="M22" s="27">
        <f>Лист1!AP16</f>
        <v>0</v>
      </c>
      <c r="N22" s="26">
        <f>Лист1!AS16</f>
        <v>390.423468936</v>
      </c>
      <c r="O22" s="62">
        <f>Лист1!AU16</f>
        <v>25.566531064000003</v>
      </c>
      <c r="P22" s="62">
        <f>Лист1!AV16</f>
        <v>-260.44000000000005</v>
      </c>
      <c r="Q22" s="1"/>
      <c r="R22" s="1"/>
    </row>
    <row r="23" spans="1:18" ht="12.75">
      <c r="A23" s="9" t="s">
        <v>46</v>
      </c>
      <c r="B23" s="67">
        <f>Лист1!B17</f>
        <v>78.2</v>
      </c>
      <c r="C23" s="23">
        <f t="shared" si="0"/>
        <v>676.4300000000001</v>
      </c>
      <c r="D23" s="24">
        <f>Лист1!D17</f>
        <v>310.45000000000005</v>
      </c>
      <c r="E23" s="12">
        <f>Лист1!O17</f>
        <v>365.98</v>
      </c>
      <c r="F23" s="26">
        <f>Лист1!P17</f>
        <v>0</v>
      </c>
      <c r="G23" s="25">
        <f>Лист1!V17</f>
        <v>316.36</v>
      </c>
      <c r="H23" s="26">
        <f>Лист1!W17</f>
        <v>626.8100000000001</v>
      </c>
      <c r="I23" s="25">
        <f>Лист1!Y17</f>
        <v>46.92</v>
      </c>
      <c r="J23" s="12">
        <f>Лист1!AA17+Лист1!AB17</f>
        <v>77.51691518</v>
      </c>
      <c r="K23" s="12">
        <f>Лист1!Z17+Лист1!AC17+Лист1!AD17+Лист1!AE17+Лист1!AF17+Лист1!AG17+Лист1!AH17+Лист1!AI17+Лист1!AJ17</f>
        <v>266.01137756399993</v>
      </c>
      <c r="L23" s="27">
        <f>Лист1!AK17+Лист1!AL17+Лист1!AM17+Лист1!AQ17+Лист1!AR17</f>
        <v>0</v>
      </c>
      <c r="M23" s="27">
        <f>Лист1!AP17</f>
        <v>0</v>
      </c>
      <c r="N23" s="26">
        <f>Лист1!AS17</f>
        <v>390.44829274399996</v>
      </c>
      <c r="O23" s="62">
        <f>Лист1!AU17</f>
        <v>236.3617072560001</v>
      </c>
      <c r="P23" s="62">
        <f>Лист1!AV17</f>
        <v>-49.620000000000005</v>
      </c>
      <c r="Q23" s="1"/>
      <c r="R23" s="1"/>
    </row>
    <row r="24" spans="1:18" ht="12.75">
      <c r="A24" s="9" t="s">
        <v>34</v>
      </c>
      <c r="B24" s="67">
        <f>Лист1!B18</f>
        <v>78.2</v>
      </c>
      <c r="C24" s="23">
        <f>B24*8.65</f>
        <v>676.4300000000001</v>
      </c>
      <c r="D24" s="24">
        <f>Лист1!D18</f>
        <v>310.45000000000005</v>
      </c>
      <c r="E24" s="12">
        <f>Лист1!O18</f>
        <v>365.98</v>
      </c>
      <c r="F24" s="26">
        <f>Лист1!P18</f>
        <v>0</v>
      </c>
      <c r="G24" s="25">
        <f>Лист1!V18</f>
        <v>324.48999999999995</v>
      </c>
      <c r="H24" s="26">
        <f>Лист1!W18</f>
        <v>634.94</v>
      </c>
      <c r="I24" s="25">
        <f>Лист1!Y18</f>
        <v>46.92</v>
      </c>
      <c r="J24" s="12">
        <f>Лист1!AA18+Лист1!AB18</f>
        <v>78.4346</v>
      </c>
      <c r="K24" s="12">
        <f>Лист1!Z18+Лист1!AC18+Лист1!AD18+Лист1!AE18+Лист1!AF18+Лист1!AG18+Лист1!AH18+Лист1!AI18+Лист1!AJ18</f>
        <v>2712.90524</v>
      </c>
      <c r="L24" s="27">
        <f>Лист1!AK18+Лист1!AL18+Лист1!AM18+Лист1!AQ18+Лист1!AR18</f>
        <v>0</v>
      </c>
      <c r="M24" s="27">
        <f>Лист1!AP18</f>
        <v>0</v>
      </c>
      <c r="N24" s="26">
        <f>Лист1!AS18</f>
        <v>2838.25984</v>
      </c>
      <c r="O24" s="62">
        <f>Лист1!AU18</f>
        <v>-2203.31984</v>
      </c>
      <c r="P24" s="62">
        <f>Лист1!AV18</f>
        <v>-41.490000000000066</v>
      </c>
      <c r="Q24" s="1"/>
      <c r="R24" s="1"/>
    </row>
    <row r="25" spans="1:18" ht="12.75">
      <c r="A25" s="9" t="s">
        <v>35</v>
      </c>
      <c r="B25" s="67">
        <f>Лист1!B19</f>
        <v>78.2</v>
      </c>
      <c r="C25" s="23">
        <f t="shared" si="0"/>
        <v>676.4300000000001</v>
      </c>
      <c r="D25" s="24">
        <f>Лист1!D19</f>
        <v>310.45000000000005</v>
      </c>
      <c r="E25" s="12">
        <f>Лист1!O19</f>
        <v>365.98</v>
      </c>
      <c r="F25" s="26">
        <f>Лист1!P19</f>
        <v>0</v>
      </c>
      <c r="G25" s="25">
        <f>Лист1!V19</f>
        <v>514.99</v>
      </c>
      <c r="H25" s="26">
        <f>Лист1!W19</f>
        <v>825.44</v>
      </c>
      <c r="I25" s="25">
        <f>Лист1!Y19</f>
        <v>46.92</v>
      </c>
      <c r="J25" s="12">
        <f>Лист1!AA19+Лист1!AB19</f>
        <v>78.4346</v>
      </c>
      <c r="K25" s="12">
        <f>Лист1!Z19+Лист1!AC19+Лист1!AD19+Лист1!AE19+Лист1!AF19+Лист1!AG19+Лист1!AH19+Лист1!AI19+Лист1!AJ19</f>
        <v>268.47624</v>
      </c>
      <c r="L25" s="27">
        <f>Лист1!AK19+Лист1!AL19+Лист1!AM19+Лист1!AQ19+Лист1!AR19</f>
        <v>0</v>
      </c>
      <c r="M25" s="27">
        <f>Лист1!AP19</f>
        <v>0</v>
      </c>
      <c r="N25" s="26">
        <f>Лист1!AS19</f>
        <v>393.83083999999997</v>
      </c>
      <c r="O25" s="62">
        <f>Лист1!AU19</f>
        <v>431.6091600000001</v>
      </c>
      <c r="P25" s="62">
        <f>Лист1!AV19</f>
        <v>149.01</v>
      </c>
      <c r="Q25" s="1"/>
      <c r="R25" s="1"/>
    </row>
    <row r="26" spans="1:18" ht="13.5" thickBot="1">
      <c r="A26" s="28" t="s">
        <v>36</v>
      </c>
      <c r="B26" s="67">
        <f>Лист1!B20</f>
        <v>78.2</v>
      </c>
      <c r="C26" s="29">
        <f t="shared" si="0"/>
        <v>676.4300000000001</v>
      </c>
      <c r="D26" s="24">
        <f>Лист1!D20</f>
        <v>310.45000000000005</v>
      </c>
      <c r="E26" s="12">
        <f>Лист1!O20</f>
        <v>365.98</v>
      </c>
      <c r="F26" s="26">
        <f>Лист1!P20</f>
        <v>0</v>
      </c>
      <c r="G26" s="25">
        <f>Лист1!V20</f>
        <v>290.12</v>
      </c>
      <c r="H26" s="26">
        <f>Лист1!W20</f>
        <v>600.57</v>
      </c>
      <c r="I26" s="25">
        <f>Лист1!Y20</f>
        <v>46.92</v>
      </c>
      <c r="J26" s="12">
        <f>Лист1!AA20+Лист1!AB20</f>
        <v>78.4346</v>
      </c>
      <c r="K26" s="12">
        <f>Лист1!Z20+Лист1!AC20+Лист1!AD20+Лист1!AE20+Лист1!AF20+Лист1!AG20+Лист1!AH20+Лист1!AI20+Лист1!AJ20</f>
        <v>268.47624</v>
      </c>
      <c r="L26" s="27">
        <f>Лист1!AK20+Лист1!AL20+Лист1!AM20+Лист1!AQ20+Лист1!AR20</f>
        <v>0</v>
      </c>
      <c r="M26" s="27">
        <f>Лист1!AP20</f>
        <v>0</v>
      </c>
      <c r="N26" s="26">
        <f>Лист1!AS20</f>
        <v>393.83083999999997</v>
      </c>
      <c r="O26" s="62">
        <f>Лист1!AU20</f>
        <v>206.73916000000008</v>
      </c>
      <c r="P26" s="62">
        <f>Лист1!AV20</f>
        <v>-75.86000000000001</v>
      </c>
      <c r="Q26" s="1"/>
      <c r="R26" s="1"/>
    </row>
    <row r="27" spans="1:18" s="18" customFormat="1" ht="13.5" thickBot="1">
      <c r="A27" s="30" t="s">
        <v>5</v>
      </c>
      <c r="B27" s="31"/>
      <c r="C27" s="32">
        <f aca="true" t="shared" si="1" ref="C27:P27">SUM(C15:C26)</f>
        <v>8117.160000000003</v>
      </c>
      <c r="D27" s="57">
        <f t="shared" si="1"/>
        <v>2821.8149999999996</v>
      </c>
      <c r="E27" s="32">
        <f t="shared" si="1"/>
        <v>4226.52</v>
      </c>
      <c r="F27" s="58">
        <f t="shared" si="1"/>
        <v>0</v>
      </c>
      <c r="G27" s="57">
        <f t="shared" si="1"/>
        <v>3551.16</v>
      </c>
      <c r="H27" s="58">
        <f t="shared" si="1"/>
        <v>6372.975</v>
      </c>
      <c r="I27" s="57">
        <f t="shared" si="1"/>
        <v>544.272</v>
      </c>
      <c r="J27" s="32">
        <f t="shared" si="1"/>
        <v>901.6512190680002</v>
      </c>
      <c r="K27" s="32">
        <f t="shared" si="1"/>
        <v>8843.8159872624</v>
      </c>
      <c r="L27" s="32">
        <f>SUM(L15:L26)</f>
        <v>2584.2000000000003</v>
      </c>
      <c r="M27" s="32">
        <f t="shared" si="1"/>
        <v>0</v>
      </c>
      <c r="N27" s="58">
        <f t="shared" si="1"/>
        <v>12873.9392063304</v>
      </c>
      <c r="O27" s="63">
        <f t="shared" si="1"/>
        <v>-6500.9642063304</v>
      </c>
      <c r="P27" s="63">
        <f t="shared" si="1"/>
        <v>-675.36</v>
      </c>
      <c r="Q27" s="60"/>
      <c r="R27" s="60"/>
    </row>
    <row r="28" spans="1:18" ht="13.5" thickBot="1">
      <c r="A28" s="290" t="s">
        <v>62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64"/>
      <c r="Q28" s="1"/>
      <c r="R28" s="1"/>
    </row>
    <row r="29" spans="1:18" s="18" customFormat="1" ht="13.5" thickBot="1">
      <c r="A29" s="65" t="s">
        <v>47</v>
      </c>
      <c r="B29" s="33"/>
      <c r="C29" s="34">
        <f>C27</f>
        <v>8117.160000000003</v>
      </c>
      <c r="D29" s="34">
        <f aca="true" t="shared" si="2" ref="D29:P29">D27</f>
        <v>2821.8149999999996</v>
      </c>
      <c r="E29" s="34">
        <f t="shared" si="2"/>
        <v>4226.52</v>
      </c>
      <c r="F29" s="34">
        <f t="shared" si="2"/>
        <v>0</v>
      </c>
      <c r="G29" s="34">
        <f t="shared" si="2"/>
        <v>3551.16</v>
      </c>
      <c r="H29" s="34">
        <f t="shared" si="2"/>
        <v>6372.975</v>
      </c>
      <c r="I29" s="34">
        <f t="shared" si="2"/>
        <v>544.272</v>
      </c>
      <c r="J29" s="34">
        <f t="shared" si="2"/>
        <v>901.6512190680002</v>
      </c>
      <c r="K29" s="34">
        <f t="shared" si="2"/>
        <v>8843.8159872624</v>
      </c>
      <c r="L29" s="34">
        <f t="shared" si="2"/>
        <v>2584.2000000000003</v>
      </c>
      <c r="M29" s="34">
        <f t="shared" si="2"/>
        <v>0</v>
      </c>
      <c r="N29" s="34">
        <f t="shared" si="2"/>
        <v>12873.9392063304</v>
      </c>
      <c r="O29" s="34">
        <f t="shared" si="2"/>
        <v>-6500.9642063304</v>
      </c>
      <c r="P29" s="34">
        <f t="shared" si="2"/>
        <v>-675.36</v>
      </c>
      <c r="Q29" s="61"/>
      <c r="R29" s="60"/>
    </row>
    <row r="30" spans="1:18" ht="12.75">
      <c r="A30" s="6" t="s">
        <v>84</v>
      </c>
      <c r="B30" s="35"/>
      <c r="C30" s="36"/>
      <c r="D30" s="37"/>
      <c r="E30" s="38"/>
      <c r="F30" s="40"/>
      <c r="G30" s="39"/>
      <c r="H30" s="40"/>
      <c r="I30" s="39"/>
      <c r="J30" s="12"/>
      <c r="K30" s="12"/>
      <c r="L30" s="27"/>
      <c r="M30" s="59"/>
      <c r="N30" s="26"/>
      <c r="O30" s="62"/>
      <c r="P30" s="62"/>
      <c r="Q30" s="1"/>
      <c r="R30" s="1"/>
    </row>
    <row r="31" spans="1:18" ht="12.75">
      <c r="A31" s="9" t="s">
        <v>38</v>
      </c>
      <c r="B31" s="67">
        <f>Лист1!B25</f>
        <v>78.2</v>
      </c>
      <c r="C31" s="23">
        <f aca="true" t="shared" si="3" ref="C31:C42">B31*8.65</f>
        <v>676.4300000000001</v>
      </c>
      <c r="D31" s="24">
        <f>Лист1!D25</f>
        <v>310.45000000000005</v>
      </c>
      <c r="E31" s="12">
        <f>Лист1!O25</f>
        <v>365.98</v>
      </c>
      <c r="F31" s="26">
        <f>Лист1!P25</f>
        <v>0</v>
      </c>
      <c r="G31" s="25">
        <f>Лист1!V25</f>
        <v>565.64</v>
      </c>
      <c r="H31" s="26">
        <f>Лист1!W25</f>
        <v>876.09</v>
      </c>
      <c r="I31" s="25">
        <f>Лист1!Y25</f>
        <v>46.92</v>
      </c>
      <c r="J31" s="12">
        <f>Лист1!AA25+Лист1!AB25</f>
        <v>78.2</v>
      </c>
      <c r="K31" s="12">
        <f>Лист1!Z25+Лист1!AC25+Лист1!AD25+Лист1!AE25+Лист1!AF25+Лист1!AG25+Лист1!AH25+Лист1!AI25+Лист1!AJ25</f>
        <v>268.226</v>
      </c>
      <c r="L31" s="27">
        <f>Лист1!AK25+Лист1!AL25+Лист1!AM25+Лист1!AQ25+Лист1!AR25</f>
        <v>0</v>
      </c>
      <c r="M31" s="27">
        <f>Лист1!AP25</f>
        <v>0</v>
      </c>
      <c r="N31" s="26">
        <f>Лист1!AS25</f>
        <v>393.346</v>
      </c>
      <c r="O31" s="62">
        <f>Лист1!AU25</f>
        <v>482.744</v>
      </c>
      <c r="P31" s="62">
        <f>Лист1!AV25</f>
        <v>199.65999999999997</v>
      </c>
      <c r="Q31" s="1"/>
      <c r="R31" s="1"/>
    </row>
    <row r="32" spans="1:18" ht="12.75">
      <c r="A32" s="9" t="s">
        <v>39</v>
      </c>
      <c r="B32" s="67">
        <f>Лист1!B26</f>
        <v>78.2</v>
      </c>
      <c r="C32" s="23">
        <f t="shared" si="3"/>
        <v>676.4300000000001</v>
      </c>
      <c r="D32" s="24">
        <f>Лист1!D26</f>
        <v>310.47</v>
      </c>
      <c r="E32" s="12">
        <f>Лист1!O26</f>
        <v>365.96</v>
      </c>
      <c r="F32" s="26">
        <f>Лист1!P26</f>
        <v>0</v>
      </c>
      <c r="G32" s="25">
        <f>Лист1!V26</f>
        <v>365.9599999999999</v>
      </c>
      <c r="H32" s="26">
        <f>Лист1!W26</f>
        <v>676.43</v>
      </c>
      <c r="I32" s="25">
        <f>Лист1!Y26</f>
        <v>46.92</v>
      </c>
      <c r="J32" s="12">
        <f>Лист1!AA26+Лист1!AB26</f>
        <v>78.2</v>
      </c>
      <c r="K32" s="12">
        <f>Лист1!Z26+Лист1!AC26+Лист1!AD26+Лист1!AE26+Лист1!AF26+Лист1!AG26+Лист1!AH26+Лист1!AI26+Лист1!AJ26</f>
        <v>268.226</v>
      </c>
      <c r="L32" s="27">
        <f>Лист1!AK26+Лист1!AL26+Лист1!AM26+Лист1!AQ26+Лист1!AR26</f>
        <v>200</v>
      </c>
      <c r="M32" s="27">
        <f>Лист1!AP26</f>
        <v>0</v>
      </c>
      <c r="N32" s="26">
        <f>Лист1!AS26</f>
        <v>593.346</v>
      </c>
      <c r="O32" s="62">
        <f>Лист1!AU26</f>
        <v>83.08399999999995</v>
      </c>
      <c r="P32" s="62">
        <f>Лист1!AV26</f>
        <v>0</v>
      </c>
      <c r="Q32" s="1"/>
      <c r="R32" s="1"/>
    </row>
    <row r="33" spans="1:18" ht="12.75">
      <c r="A33" s="9" t="s">
        <v>40</v>
      </c>
      <c r="B33" s="67">
        <f>Лист1!B27</f>
        <v>78.2</v>
      </c>
      <c r="C33" s="23">
        <f t="shared" si="3"/>
        <v>676.4300000000001</v>
      </c>
      <c r="D33" s="24">
        <f>Лист1!D27</f>
        <v>310.46999999999997</v>
      </c>
      <c r="E33" s="12">
        <f>Лист1!O27</f>
        <v>300.16999999999996</v>
      </c>
      <c r="F33" s="26">
        <f>Лист1!P27</f>
        <v>65.78999999999999</v>
      </c>
      <c r="G33" s="25">
        <f>Лист1!V27</f>
        <v>177.38</v>
      </c>
      <c r="H33" s="26">
        <f>Лист1!W27</f>
        <v>553.64</v>
      </c>
      <c r="I33" s="25">
        <f>Лист1!Y27</f>
        <v>46.92</v>
      </c>
      <c r="J33" s="12">
        <f>Лист1!AA27+Лист1!AB27</f>
        <v>78.2</v>
      </c>
      <c r="K33" s="12">
        <f>Лист1!Z27+Лист1!AC27+Лист1!AD27+Лист1!AE27+Лист1!AF27+Лист1!AG27+Лист1!AH27+Лист1!AI27+Лист1!AJ27</f>
        <v>268.226</v>
      </c>
      <c r="L33" s="27">
        <f>Лист1!AK27+Лист1!AL27+Лист1!AM27+Лист1!AQ27+Лист1!AR27</f>
        <v>0</v>
      </c>
      <c r="M33" s="27">
        <f>Лист1!AP27</f>
        <v>0</v>
      </c>
      <c r="N33" s="26">
        <f>Лист1!AS27</f>
        <v>393.346</v>
      </c>
      <c r="O33" s="62">
        <f>Лист1!AU27</f>
        <v>160.29399999999998</v>
      </c>
      <c r="P33" s="62">
        <f>Лист1!AV27</f>
        <v>-122.78999999999996</v>
      </c>
      <c r="Q33" s="1"/>
      <c r="R33" s="1"/>
    </row>
    <row r="34" spans="1:18" ht="12.75">
      <c r="A34" s="9" t="s">
        <v>41</v>
      </c>
      <c r="B34" s="67">
        <f>Лист1!B28</f>
        <v>78.2</v>
      </c>
      <c r="C34" s="23">
        <f t="shared" si="3"/>
        <v>676.4300000000001</v>
      </c>
      <c r="D34" s="24">
        <f>Лист1!D28</f>
        <v>310.4600000000001</v>
      </c>
      <c r="E34" s="12">
        <f>Лист1!O28</f>
        <v>277.28999999999996</v>
      </c>
      <c r="F34" s="26">
        <f>Лист1!P28</f>
        <v>88.68</v>
      </c>
      <c r="G34" s="25">
        <f>Лист1!V28</f>
        <v>304.74</v>
      </c>
      <c r="H34" s="26">
        <f>Лист1!W28</f>
        <v>703.8800000000001</v>
      </c>
      <c r="I34" s="25">
        <f>Лист1!Y28</f>
        <v>46.92</v>
      </c>
      <c r="J34" s="12">
        <f>Лист1!AA28+Лист1!AB28</f>
        <v>78.2</v>
      </c>
      <c r="K34" s="12">
        <f>Лист1!Z28+Лист1!AC28+Лист1!AD28+Лист1!AE28+Лист1!AF28+Лист1!AG28+Лист1!AH28+Лист1!AI28+Лист1!AJ28</f>
        <v>268.226</v>
      </c>
      <c r="L34" s="27">
        <f>Лист1!AK28+Лист1!AL28+Лист1!AM28+Лист1!AQ28+Лист1!AR28</f>
        <v>0</v>
      </c>
      <c r="M34" s="27">
        <f>Лист1!AP28</f>
        <v>0</v>
      </c>
      <c r="N34" s="26">
        <f>Лист1!AS28</f>
        <v>393.346</v>
      </c>
      <c r="O34" s="62">
        <f>Лист1!AU28</f>
        <v>310.5340000000001</v>
      </c>
      <c r="P34" s="62">
        <f>Лист1!AV28</f>
        <v>27.450000000000045</v>
      </c>
      <c r="Q34" s="1"/>
      <c r="R34" s="1"/>
    </row>
    <row r="35" spans="1:18" ht="12.75">
      <c r="A35" s="9" t="s">
        <v>42</v>
      </c>
      <c r="B35" s="67">
        <f>Лист1!B29</f>
        <v>78.2</v>
      </c>
      <c r="C35" s="23">
        <f t="shared" si="3"/>
        <v>676.4300000000001</v>
      </c>
      <c r="D35" s="24">
        <f>Лист1!D29</f>
        <v>310.45000000000005</v>
      </c>
      <c r="E35" s="12">
        <f>Лист1!O29</f>
        <v>277.3</v>
      </c>
      <c r="F35" s="26">
        <f>Лист1!P29</f>
        <v>88.68</v>
      </c>
      <c r="G35" s="25">
        <f>Лист1!V29</f>
        <v>417.4</v>
      </c>
      <c r="H35" s="26">
        <f>Лист1!W29</f>
        <v>816.53</v>
      </c>
      <c r="I35" s="25">
        <f>Лист1!Y29</f>
        <v>46.92</v>
      </c>
      <c r="J35" s="12">
        <f>Лист1!AA29+Лист1!AB29</f>
        <v>78.2</v>
      </c>
      <c r="K35" s="12">
        <f>Лист1!Z29+Лист1!AC29+Лист1!AD29+Лист1!AE29+Лист1!AF29+Лист1!AG29+Лист1!AH29+Лист1!AI29+Лист1!AJ29</f>
        <v>268.226</v>
      </c>
      <c r="L35" s="27">
        <f>Лист1!AK29+Лист1!AL29+Лист1!AM29+Лист1!AQ29+Лист1!AR29</f>
        <v>0</v>
      </c>
      <c r="M35" s="27">
        <f>Лист1!AP29</f>
        <v>0</v>
      </c>
      <c r="N35" s="26">
        <f>Лист1!AS29</f>
        <v>393.346</v>
      </c>
      <c r="O35" s="62">
        <f>Лист1!AU29</f>
        <v>423.18399999999997</v>
      </c>
      <c r="P35" s="62">
        <f>Лист1!AV29</f>
        <v>140.09999999999997</v>
      </c>
      <c r="Q35" s="1"/>
      <c r="R35" s="1"/>
    </row>
    <row r="36" spans="1:18" ht="12.75">
      <c r="A36" s="9" t="s">
        <v>43</v>
      </c>
      <c r="B36" s="67">
        <f>Лист1!B30</f>
        <v>78.2</v>
      </c>
      <c r="C36" s="23">
        <f t="shared" si="3"/>
        <v>676.4300000000001</v>
      </c>
      <c r="D36" s="24">
        <f>Лист1!D30</f>
        <v>248.74806250000003</v>
      </c>
      <c r="E36" s="12">
        <f>Лист1!O30</f>
        <v>277.3</v>
      </c>
      <c r="F36" s="26">
        <f>Лист1!P30</f>
        <v>88.68</v>
      </c>
      <c r="G36" s="25">
        <f>Лист1!V30</f>
        <v>-104.42000000000002</v>
      </c>
      <c r="H36" s="26">
        <f>Лист1!W30</f>
        <v>233.0080625</v>
      </c>
      <c r="I36" s="25">
        <f>Лист1!Y30</f>
        <v>46.92</v>
      </c>
      <c r="J36" s="12">
        <f>Лист1!AA30+Лист1!AB30</f>
        <v>78.2</v>
      </c>
      <c r="K36" s="12">
        <f>Лист1!Z30+Лист1!AC30+Лист1!AD30+Лист1!AE30+Лист1!AF30+Лист1!AG30+Лист1!AH30+Лист1!AI30+Лист1!AJ30</f>
        <v>268.226</v>
      </c>
      <c r="L36" s="27">
        <f>Лист1!AK30+Лист1!AL30+Лист1!AM30+Лист1!AQ30+Лист1!AR30</f>
        <v>0</v>
      </c>
      <c r="M36" s="27">
        <f>Лист1!AP30</f>
        <v>0</v>
      </c>
      <c r="N36" s="26">
        <f>Лист1!AS30</f>
        <v>393.346</v>
      </c>
      <c r="O36" s="62">
        <f>Лист1!AU30</f>
        <v>-160.3379375</v>
      </c>
      <c r="P36" s="62">
        <f>Лист1!AV30</f>
        <v>-381.72</v>
      </c>
      <c r="Q36" s="1"/>
      <c r="R36" s="1"/>
    </row>
    <row r="37" spans="1:18" ht="12.75">
      <c r="A37" s="9" t="s">
        <v>44</v>
      </c>
      <c r="B37" s="67">
        <f>Лист1!B31</f>
        <v>78.2</v>
      </c>
      <c r="C37" s="23">
        <f t="shared" si="3"/>
        <v>676.4300000000001</v>
      </c>
      <c r="D37" s="24">
        <f>Лист1!D31</f>
        <v>250.19631175000006</v>
      </c>
      <c r="E37" s="12">
        <f>Лист1!O31</f>
        <v>365.98</v>
      </c>
      <c r="F37" s="26">
        <f>Лист1!P31</f>
        <v>0</v>
      </c>
      <c r="G37" s="25">
        <f>Лист1!V31</f>
        <v>732.5699999999999</v>
      </c>
      <c r="H37" s="26">
        <f>Лист1!W31</f>
        <v>982.76631175</v>
      </c>
      <c r="I37" s="25">
        <f>Лист1!Y31</f>
        <v>46.92</v>
      </c>
      <c r="J37" s="12">
        <f>Лист1!AA31+Лист1!AB31</f>
        <v>78.2</v>
      </c>
      <c r="K37" s="12">
        <f>Лист1!Z31+Лист1!AC31+Лист1!AD31+Лист1!AE31+Лист1!AF31+Лист1!AG31+Лист1!AH31+Лист1!AI31+Лист1!AJ31</f>
        <v>268.226</v>
      </c>
      <c r="L37" s="27">
        <f>Лист1!AK31+Лист1!AL31+Лист1!AM31+Лист1!AQ31+Лист1!AR31</f>
        <v>0</v>
      </c>
      <c r="M37" s="27">
        <f>Лист1!AP31</f>
        <v>0</v>
      </c>
      <c r="N37" s="26">
        <f>Лист1!AS31</f>
        <v>393.346</v>
      </c>
      <c r="O37" s="62">
        <f>Лист1!AU31</f>
        <v>589.42031175</v>
      </c>
      <c r="P37" s="62">
        <f>Лист1!AV31</f>
        <v>366.5899999999999</v>
      </c>
      <c r="Q37" s="1"/>
      <c r="R37" s="1"/>
    </row>
    <row r="38" spans="1:18" ht="12.75">
      <c r="A38" s="9" t="s">
        <v>45</v>
      </c>
      <c r="B38" s="67">
        <f>Лист1!B32</f>
        <v>78.2</v>
      </c>
      <c r="C38" s="23">
        <f t="shared" si="3"/>
        <v>676.4300000000001</v>
      </c>
      <c r="D38" s="24">
        <f>Лист1!D32</f>
        <v>266.27824265000004</v>
      </c>
      <c r="E38" s="12">
        <f>Лист1!O32</f>
        <v>365.98</v>
      </c>
      <c r="F38" s="26">
        <f>Лист1!P32</f>
        <v>0</v>
      </c>
      <c r="G38" s="25">
        <f>Лист1!V32</f>
        <v>335.72</v>
      </c>
      <c r="H38" s="26">
        <f>Лист1!W32</f>
        <v>601.9982426500001</v>
      </c>
      <c r="I38" s="25">
        <f>Лист1!Y32</f>
        <v>46.92</v>
      </c>
      <c r="J38" s="12">
        <f>Лист1!AA32+Лист1!AB32</f>
        <v>78.2</v>
      </c>
      <c r="K38" s="12">
        <f>Лист1!Z32+Лист1!AC32+Лист1!AD32+Лист1!AE32+Лист1!AF32+Лист1!AG32+Лист1!AH32+Лист1!AI32+Лист1!AJ32</f>
        <v>268.226</v>
      </c>
      <c r="L38" s="27">
        <f>Лист1!AK32+Лист1!AL32+Лист1!AM32+Лист1!AQ32+Лист1!AR32</f>
        <v>47.8</v>
      </c>
      <c r="M38" s="27">
        <f>Лист1!AP32</f>
        <v>0</v>
      </c>
      <c r="N38" s="26">
        <f>Лист1!AS32</f>
        <v>441.14599999999996</v>
      </c>
      <c r="O38" s="62">
        <f>Лист1!AU32</f>
        <v>160.8522426500001</v>
      </c>
      <c r="P38" s="62">
        <f>Лист1!AV32</f>
        <v>-30.25999999999999</v>
      </c>
      <c r="Q38" s="1"/>
      <c r="R38" s="1"/>
    </row>
    <row r="39" spans="1:18" ht="12.75">
      <c r="A39" s="9" t="s">
        <v>46</v>
      </c>
      <c r="B39" s="67">
        <f>Лист1!B33</f>
        <v>78.2</v>
      </c>
      <c r="C39" s="23">
        <f t="shared" si="3"/>
        <v>676.4300000000001</v>
      </c>
      <c r="D39" s="24">
        <f>Лист1!D33</f>
        <v>271.79953320000004</v>
      </c>
      <c r="E39" s="12">
        <f>Лист1!O33</f>
        <v>365.99</v>
      </c>
      <c r="F39" s="26">
        <f>Лист1!P33</f>
        <v>0</v>
      </c>
      <c r="G39" s="25">
        <f>Лист1!V33</f>
        <v>365.77</v>
      </c>
      <c r="H39" s="26">
        <f>Лист1!W33</f>
        <v>637.5695332</v>
      </c>
      <c r="I39" s="25">
        <f>Лист1!Y33</f>
        <v>46.92</v>
      </c>
      <c r="J39" s="12">
        <f>Лист1!AA33+Лист1!AB33</f>
        <v>78.2</v>
      </c>
      <c r="K39" s="12">
        <f>Лист1!Z33+Лист1!AC33+Лист1!AD33+Лист1!AE33+Лист1!AF33+Лист1!AG33+Лист1!AH33+Лист1!AI33+Лист1!AJ33</f>
        <v>268.226</v>
      </c>
      <c r="L39" s="27">
        <f>Лист1!AK33+Лист1!AL33+Лист1!AM33+Лист1!AQ33+Лист1!AR33</f>
        <v>0</v>
      </c>
      <c r="M39" s="27">
        <f>Лист1!AP33</f>
        <v>0</v>
      </c>
      <c r="N39" s="26">
        <f>Лист1!AS33</f>
        <v>393.346</v>
      </c>
      <c r="O39" s="62">
        <f>Лист1!AU33</f>
        <v>244.22353320000002</v>
      </c>
      <c r="P39" s="62">
        <f>Лист1!AV33</f>
        <v>-0.22000000000002728</v>
      </c>
      <c r="Q39" s="1"/>
      <c r="R39" s="1"/>
    </row>
    <row r="40" spans="1:18" ht="12.75">
      <c r="A40" s="9" t="s">
        <v>34</v>
      </c>
      <c r="B40" s="67">
        <f>Лист1!B34</f>
        <v>78.2</v>
      </c>
      <c r="C40" s="23">
        <f>B40*8.65</f>
        <v>676.4300000000001</v>
      </c>
      <c r="D40" s="24">
        <f>Лист1!D34</f>
        <v>251.87056860000004</v>
      </c>
      <c r="E40" s="12">
        <f>Лист1!O34</f>
        <v>365.98</v>
      </c>
      <c r="F40" s="26">
        <f>Лист1!P34</f>
        <v>0</v>
      </c>
      <c r="G40" s="25">
        <f>Лист1!V34</f>
        <v>177.72</v>
      </c>
      <c r="H40" s="26">
        <f>Лист1!W34</f>
        <v>429.59056860000004</v>
      </c>
      <c r="I40" s="25">
        <f>Лист1!Y34</f>
        <v>46.92</v>
      </c>
      <c r="J40" s="12">
        <f>Лист1!AA34+Лист1!AB34</f>
        <v>78.2</v>
      </c>
      <c r="K40" s="12">
        <f>Лист1!Z34+Лист1!AC34+Лист1!AD34+Лист1!AE34+Лист1!AF34+Лист1!AG34+Лист1!AH34+Лист1!AI34+Лист1!AJ34</f>
        <v>268.226</v>
      </c>
      <c r="L40" s="27">
        <f>Лист1!AK34+Лист1!AL34+Лист1!AM34+Лист1!AQ34+Лист1!AR34</f>
        <v>0</v>
      </c>
      <c r="M40" s="27">
        <f>Лист1!AP34</f>
        <v>0</v>
      </c>
      <c r="N40" s="26">
        <f>Лист1!AS34</f>
        <v>393.346</v>
      </c>
      <c r="O40" s="62">
        <f>Лист1!AU34</f>
        <v>36.244568600000036</v>
      </c>
      <c r="P40" s="62">
        <f>Лист1!AV34</f>
        <v>-188.26000000000002</v>
      </c>
      <c r="Q40" s="1"/>
      <c r="R40" s="1"/>
    </row>
    <row r="41" spans="1:18" ht="12.75">
      <c r="A41" s="9" t="s">
        <v>35</v>
      </c>
      <c r="B41" s="67">
        <f>Лист1!B35</f>
        <v>78.2</v>
      </c>
      <c r="C41" s="23">
        <f t="shared" si="3"/>
        <v>676.4300000000001</v>
      </c>
      <c r="D41" s="24">
        <f>Лист1!D35</f>
        <v>270.30229555000005</v>
      </c>
      <c r="E41" s="12">
        <f>Лист1!O35</f>
        <v>365.98</v>
      </c>
      <c r="F41" s="26">
        <f>Лист1!P35</f>
        <v>0</v>
      </c>
      <c r="G41" s="25">
        <f>Лист1!V35</f>
        <v>177.95</v>
      </c>
      <c r="H41" s="26">
        <f>Лист1!W35</f>
        <v>448.25229555000004</v>
      </c>
      <c r="I41" s="25">
        <f>Лист1!Y35</f>
        <v>46.92</v>
      </c>
      <c r="J41" s="12">
        <f>Лист1!AA35+Лист1!AB35</f>
        <v>78.2</v>
      </c>
      <c r="K41" s="12">
        <f>Лист1!Z35+Лист1!AC35+Лист1!AD35+Лист1!AE35+Лист1!AF35+Лист1!AG35+Лист1!AH35+Лист1!AI35+Лист1!AJ35</f>
        <v>268.226</v>
      </c>
      <c r="L41" s="27">
        <f>Лист1!AK35+Лист1!AL35+Лист1!AM35+Лист1!AQ35+Лист1!AR35</f>
        <v>0</v>
      </c>
      <c r="M41" s="27">
        <f>Лист1!AP35</f>
        <v>0</v>
      </c>
      <c r="N41" s="26">
        <f>Лист1!AS35</f>
        <v>393.346</v>
      </c>
      <c r="O41" s="62">
        <f>Лист1!AU35</f>
        <v>54.90629555000004</v>
      </c>
      <c r="P41" s="62">
        <f>Лист1!AV35</f>
        <v>-188.03000000000003</v>
      </c>
      <c r="Q41" s="1"/>
      <c r="R41" s="1"/>
    </row>
    <row r="42" spans="1:18" ht="13.5" thickBot="1">
      <c r="A42" s="28" t="s">
        <v>36</v>
      </c>
      <c r="B42" s="67">
        <f>Лист1!B36</f>
        <v>78.2</v>
      </c>
      <c r="C42" s="29">
        <f t="shared" si="3"/>
        <v>676.4300000000001</v>
      </c>
      <c r="D42" s="24">
        <f>Лист1!D36</f>
        <v>284.06763120000005</v>
      </c>
      <c r="E42" s="12">
        <f>Лист1!O36</f>
        <v>365.96</v>
      </c>
      <c r="F42" s="26">
        <f>Лист1!P36</f>
        <v>0</v>
      </c>
      <c r="G42" s="25">
        <f>Лист1!V36</f>
        <v>510.10999999999996</v>
      </c>
      <c r="H42" s="26">
        <f>Лист1!W36</f>
        <v>794.1776312</v>
      </c>
      <c r="I42" s="25">
        <f>Лист1!Y36</f>
        <v>46.92</v>
      </c>
      <c r="J42" s="12">
        <f>Лист1!AA36+Лист1!AB36</f>
        <v>78.2</v>
      </c>
      <c r="K42" s="12">
        <f>Лист1!Z36+Лист1!AC36+Лист1!AD36+Лист1!AE36+Лист1!AF36+Лист1!AG36+Лист1!AH36+Лист1!AI36+Лист1!AJ36</f>
        <v>268.226</v>
      </c>
      <c r="L42" s="27">
        <f>Лист1!AK36+Лист1!AL36+Лист1!AM36+Лист1!AQ36+Лист1!AR36</f>
        <v>0</v>
      </c>
      <c r="M42" s="27">
        <f>Лист1!AP36</f>
        <v>0</v>
      </c>
      <c r="N42" s="26">
        <f>Лист1!AS36</f>
        <v>393.346</v>
      </c>
      <c r="O42" s="62">
        <f>Лист1!AU36</f>
        <v>400.83163119999995</v>
      </c>
      <c r="P42" s="62">
        <f>Лист1!AV36</f>
        <v>144.14999999999998</v>
      </c>
      <c r="Q42" s="1"/>
      <c r="R42" s="1"/>
    </row>
    <row r="43" spans="1:18" s="18" customFormat="1" ht="13.5" thickBot="1">
      <c r="A43" s="30" t="s">
        <v>5</v>
      </c>
      <c r="B43" s="31"/>
      <c r="C43" s="32">
        <f aca="true" t="shared" si="4" ref="C43:P43">SUM(C31:C42)</f>
        <v>8117.160000000003</v>
      </c>
      <c r="D43" s="57">
        <f t="shared" si="4"/>
        <v>3395.5626454500007</v>
      </c>
      <c r="E43" s="32">
        <f t="shared" si="4"/>
        <v>4059.87</v>
      </c>
      <c r="F43" s="58">
        <f t="shared" si="4"/>
        <v>331.83000000000004</v>
      </c>
      <c r="G43" s="57">
        <f t="shared" si="4"/>
        <v>4026.5399999999995</v>
      </c>
      <c r="H43" s="58">
        <f t="shared" si="4"/>
        <v>7753.932645449999</v>
      </c>
      <c r="I43" s="57">
        <f t="shared" si="4"/>
        <v>563.0400000000001</v>
      </c>
      <c r="J43" s="32">
        <f t="shared" si="4"/>
        <v>938.4000000000002</v>
      </c>
      <c r="K43" s="32">
        <f t="shared" si="4"/>
        <v>3218.712000000001</v>
      </c>
      <c r="L43" s="32">
        <f t="shared" si="4"/>
        <v>247.8</v>
      </c>
      <c r="M43" s="32">
        <f t="shared" si="4"/>
        <v>0</v>
      </c>
      <c r="N43" s="58">
        <f t="shared" si="4"/>
        <v>4967.951999999999</v>
      </c>
      <c r="O43" s="63">
        <f t="shared" si="4"/>
        <v>2785.9806454500003</v>
      </c>
      <c r="P43" s="63">
        <f t="shared" si="4"/>
        <v>-33.33000000000018</v>
      </c>
      <c r="Q43" s="60"/>
      <c r="R43" s="60"/>
    </row>
    <row r="44" spans="1:18" ht="13.5" thickBot="1">
      <c r="A44" s="290" t="s">
        <v>62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64"/>
      <c r="Q44" s="1"/>
      <c r="R44" s="1"/>
    </row>
    <row r="45" spans="1:18" s="18" customFormat="1" ht="13.5" thickBot="1">
      <c r="A45" s="65" t="s">
        <v>47</v>
      </c>
      <c r="B45" s="33"/>
      <c r="C45" s="34">
        <f>C43+C29</f>
        <v>16234.320000000005</v>
      </c>
      <c r="D45" s="34">
        <f aca="true" t="shared" si="5" ref="D45:P45">D43+D29</f>
        <v>6217.37764545</v>
      </c>
      <c r="E45" s="34">
        <f t="shared" si="5"/>
        <v>8286.39</v>
      </c>
      <c r="F45" s="34">
        <f t="shared" si="5"/>
        <v>331.83000000000004</v>
      </c>
      <c r="G45" s="34">
        <f t="shared" si="5"/>
        <v>7577.699999999999</v>
      </c>
      <c r="H45" s="34">
        <f t="shared" si="5"/>
        <v>14126.90764545</v>
      </c>
      <c r="I45" s="34">
        <f t="shared" si="5"/>
        <v>1107.3120000000001</v>
      </c>
      <c r="J45" s="34">
        <f t="shared" si="5"/>
        <v>1840.0512190680004</v>
      </c>
      <c r="K45" s="34">
        <f t="shared" si="5"/>
        <v>12062.527987262401</v>
      </c>
      <c r="L45" s="34">
        <f t="shared" si="5"/>
        <v>2832.0000000000005</v>
      </c>
      <c r="M45" s="34">
        <f t="shared" si="5"/>
        <v>0</v>
      </c>
      <c r="N45" s="34">
        <f t="shared" si="5"/>
        <v>17841.8912063304</v>
      </c>
      <c r="O45" s="34">
        <f t="shared" si="5"/>
        <v>-3714.9835608803996</v>
      </c>
      <c r="P45" s="34">
        <f t="shared" si="5"/>
        <v>-708.6900000000002</v>
      </c>
      <c r="Q45" s="61"/>
      <c r="R45" s="60"/>
    </row>
    <row r="47" spans="1:18" ht="12.75">
      <c r="A47" s="18" t="s">
        <v>80</v>
      </c>
      <c r="D47" s="68" t="s">
        <v>85</v>
      </c>
      <c r="Q47" s="1"/>
      <c r="R47" s="1"/>
    </row>
    <row r="48" spans="1:18" ht="12.75">
      <c r="A48" s="19" t="s">
        <v>63</v>
      </c>
      <c r="B48" s="19" t="s">
        <v>64</v>
      </c>
      <c r="C48" s="294" t="s">
        <v>65</v>
      </c>
      <c r="D48" s="294"/>
      <c r="Q48" s="1"/>
      <c r="R48" s="1"/>
    </row>
    <row r="49" spans="1:18" ht="12.75">
      <c r="A49" s="94">
        <v>4758.47</v>
      </c>
      <c r="B49" s="94">
        <v>6835</v>
      </c>
      <c r="C49" s="292">
        <f>A49-B49</f>
        <v>-2076.5299999999997</v>
      </c>
      <c r="D49" s="293"/>
      <c r="Q49" s="1"/>
      <c r="R49" s="1"/>
    </row>
    <row r="50" spans="17:18" ht="12.75">
      <c r="Q50" s="1"/>
      <c r="R50" s="1"/>
    </row>
    <row r="51" spans="1:18" ht="12.75">
      <c r="A51" s="2" t="s">
        <v>68</v>
      </c>
      <c r="G51" s="2" t="s">
        <v>69</v>
      </c>
      <c r="Q51" s="1"/>
      <c r="R51" s="1"/>
    </row>
    <row r="52" ht="12.75">
      <c r="A52" s="1"/>
    </row>
    <row r="53" ht="12.75">
      <c r="A53" s="1"/>
    </row>
    <row r="54" ht="12.75">
      <c r="A54" s="2" t="s">
        <v>79</v>
      </c>
    </row>
    <row r="55" ht="12.75">
      <c r="A55" s="2" t="s">
        <v>70</v>
      </c>
    </row>
  </sheetData>
  <sheetProtection/>
  <mergeCells count="27">
    <mergeCell ref="A44:O44"/>
    <mergeCell ref="C49:D49"/>
    <mergeCell ref="N11:N12"/>
    <mergeCell ref="A28:O28"/>
    <mergeCell ref="C48:D48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B1:H1"/>
    <mergeCell ref="B2:H2"/>
    <mergeCell ref="A8:D8"/>
    <mergeCell ref="E8:F8"/>
    <mergeCell ref="A5:O5"/>
    <mergeCell ref="A6:G6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1" sqref="C21"/>
    </sheetView>
  </sheetViews>
  <sheetFormatPr defaultColWidth="9.00390625" defaultRowHeight="12.75"/>
  <cols>
    <col min="1" max="1" width="8.75390625" style="136" bestFit="1" customWidth="1"/>
    <col min="2" max="2" width="9.125" style="136" customWidth="1"/>
    <col min="3" max="3" width="10.125" style="136" customWidth="1"/>
    <col min="4" max="4" width="10.375" style="136" customWidth="1"/>
    <col min="5" max="5" width="11.125" style="136" customWidth="1"/>
    <col min="6" max="6" width="10.875" style="136" customWidth="1"/>
    <col min="7" max="8" width="12.125" style="136" customWidth="1"/>
    <col min="9" max="9" width="12.00390625" style="136" customWidth="1"/>
    <col min="10" max="10" width="11.125" style="136" customWidth="1"/>
    <col min="11" max="11" width="11.00390625" style="136" customWidth="1"/>
    <col min="12" max="12" width="12.375" style="136" customWidth="1"/>
    <col min="13" max="13" width="10.125" style="136" bestFit="1" customWidth="1"/>
    <col min="14" max="14" width="15.625" style="136" customWidth="1"/>
    <col min="15" max="15" width="16.375" style="136" customWidth="1"/>
    <col min="16" max="16" width="14.625" style="136" customWidth="1"/>
    <col min="17" max="17" width="11.625" style="136" customWidth="1"/>
    <col min="18" max="18" width="11.25390625" style="136" customWidth="1"/>
    <col min="19" max="19" width="10.625" style="136" customWidth="1"/>
    <col min="20" max="20" width="9.25390625" style="136" customWidth="1"/>
    <col min="21" max="21" width="10.125" style="136" bestFit="1" customWidth="1"/>
    <col min="22" max="22" width="10.125" style="136" customWidth="1"/>
    <col min="23" max="23" width="12.625" style="136" customWidth="1"/>
    <col min="24" max="24" width="9.25390625" style="136" bestFit="1" customWidth="1"/>
    <col min="25" max="25" width="11.625" style="136" customWidth="1"/>
    <col min="26" max="26" width="9.25390625" style="136" customWidth="1"/>
    <col min="27" max="27" width="10.625" style="136" customWidth="1"/>
    <col min="28" max="28" width="10.75390625" style="136" customWidth="1"/>
    <col min="29" max="29" width="12.125" style="136" customWidth="1"/>
    <col min="30" max="30" width="11.75390625" style="136" customWidth="1"/>
    <col min="31" max="32" width="10.375" style="136" customWidth="1"/>
    <col min="33" max="33" width="10.75390625" style="136" customWidth="1"/>
    <col min="34" max="34" width="9.125" style="136" customWidth="1"/>
    <col min="35" max="35" width="10.125" style="136" bestFit="1" customWidth="1"/>
    <col min="36" max="36" width="9.125" style="136" customWidth="1"/>
    <col min="37" max="37" width="9.75390625" style="136" bestFit="1" customWidth="1"/>
    <col min="38" max="16384" width="9.125" style="136" customWidth="1"/>
  </cols>
  <sheetData>
    <row r="1" spans="1:16" ht="21" customHeight="1">
      <c r="A1" s="218" t="s">
        <v>104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135"/>
    </row>
    <row r="2" spans="1:16" ht="15" customHeight="1">
      <c r="A2" s="135"/>
      <c r="B2" s="137"/>
      <c r="C2" s="138"/>
      <c r="D2" s="138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ht="13.5" thickBot="1"/>
    <row r="4" spans="1:29" ht="31.5" customHeight="1" thickBot="1">
      <c r="A4" s="219" t="s">
        <v>0</v>
      </c>
      <c r="B4" s="333" t="s">
        <v>1</v>
      </c>
      <c r="C4" s="335" t="s">
        <v>2</v>
      </c>
      <c r="D4" s="337" t="s">
        <v>3</v>
      </c>
      <c r="E4" s="314" t="s">
        <v>87</v>
      </c>
      <c r="F4" s="339"/>
      <c r="G4" s="287"/>
      <c r="H4" s="287" t="s">
        <v>88</v>
      </c>
      <c r="I4" s="316" t="s">
        <v>5</v>
      </c>
      <c r="J4" s="343" t="s">
        <v>6</v>
      </c>
      <c r="K4" s="344"/>
      <c r="L4" s="345"/>
      <c r="M4" s="349" t="s">
        <v>23</v>
      </c>
      <c r="N4" s="245" t="s">
        <v>89</v>
      </c>
      <c r="O4" s="305" t="s">
        <v>66</v>
      </c>
      <c r="P4" s="321" t="s">
        <v>8</v>
      </c>
      <c r="Q4" s="322"/>
      <c r="R4" s="322"/>
      <c r="S4" s="322"/>
      <c r="T4" s="322"/>
      <c r="U4" s="322"/>
      <c r="V4" s="322"/>
      <c r="W4" s="322"/>
      <c r="X4" s="322"/>
      <c r="Y4" s="323"/>
      <c r="Z4" s="256" t="s">
        <v>90</v>
      </c>
      <c r="AA4" s="258"/>
      <c r="AB4" s="327" t="s">
        <v>9</v>
      </c>
      <c r="AC4" s="327" t="s">
        <v>10</v>
      </c>
    </row>
    <row r="5" spans="1:29" ht="20.25" customHeight="1" thickBot="1">
      <c r="A5" s="220"/>
      <c r="B5" s="334"/>
      <c r="C5" s="336"/>
      <c r="D5" s="338"/>
      <c r="E5" s="340"/>
      <c r="F5" s="341"/>
      <c r="G5" s="342"/>
      <c r="H5" s="279"/>
      <c r="I5" s="317"/>
      <c r="J5" s="346"/>
      <c r="K5" s="347"/>
      <c r="L5" s="348"/>
      <c r="M5" s="350"/>
      <c r="N5" s="246"/>
      <c r="O5" s="306"/>
      <c r="P5" s="324"/>
      <c r="Q5" s="325"/>
      <c r="R5" s="325"/>
      <c r="S5" s="325"/>
      <c r="T5" s="325"/>
      <c r="U5" s="325"/>
      <c r="V5" s="325"/>
      <c r="W5" s="325"/>
      <c r="X5" s="325"/>
      <c r="Y5" s="326"/>
      <c r="Z5" s="329" t="s">
        <v>67</v>
      </c>
      <c r="AA5" s="305" t="s">
        <v>91</v>
      </c>
      <c r="AB5" s="328"/>
      <c r="AC5" s="328"/>
    </row>
    <row r="6" spans="1:29" ht="27" customHeight="1">
      <c r="A6" s="220"/>
      <c r="B6" s="334"/>
      <c r="C6" s="336"/>
      <c r="D6" s="338"/>
      <c r="E6" s="314" t="s">
        <v>92</v>
      </c>
      <c r="F6" s="316" t="s">
        <v>13</v>
      </c>
      <c r="G6" s="316" t="s">
        <v>15</v>
      </c>
      <c r="H6" s="279"/>
      <c r="I6" s="317"/>
      <c r="J6" s="319" t="s">
        <v>92</v>
      </c>
      <c r="K6" s="317" t="s">
        <v>13</v>
      </c>
      <c r="L6" s="320" t="s">
        <v>15</v>
      </c>
      <c r="M6" s="350"/>
      <c r="N6" s="246"/>
      <c r="O6" s="306"/>
      <c r="P6" s="331" t="s">
        <v>24</v>
      </c>
      <c r="Q6" s="309" t="s">
        <v>25</v>
      </c>
      <c r="R6" s="309" t="s">
        <v>92</v>
      </c>
      <c r="S6" s="232" t="s">
        <v>93</v>
      </c>
      <c r="T6" s="250" t="s">
        <v>94</v>
      </c>
      <c r="U6" s="250" t="s">
        <v>95</v>
      </c>
      <c r="V6" s="305" t="s">
        <v>96</v>
      </c>
      <c r="W6" s="305" t="s">
        <v>32</v>
      </c>
      <c r="X6" s="305" t="s">
        <v>27</v>
      </c>
      <c r="Y6" s="307" t="s">
        <v>33</v>
      </c>
      <c r="Z6" s="330"/>
      <c r="AA6" s="306"/>
      <c r="AB6" s="328"/>
      <c r="AC6" s="328"/>
    </row>
    <row r="7" spans="1:29" ht="26.25" customHeight="1" thickBot="1">
      <c r="A7" s="295"/>
      <c r="B7" s="334"/>
      <c r="C7" s="336"/>
      <c r="D7" s="338"/>
      <c r="E7" s="315"/>
      <c r="F7" s="317"/>
      <c r="G7" s="318"/>
      <c r="H7" s="289"/>
      <c r="I7" s="317"/>
      <c r="J7" s="315"/>
      <c r="K7" s="317"/>
      <c r="L7" s="320"/>
      <c r="M7" s="350"/>
      <c r="N7" s="246"/>
      <c r="O7" s="306"/>
      <c r="P7" s="332"/>
      <c r="Q7" s="310"/>
      <c r="R7" s="310"/>
      <c r="S7" s="311"/>
      <c r="T7" s="312"/>
      <c r="U7" s="312"/>
      <c r="V7" s="313"/>
      <c r="W7" s="306"/>
      <c r="X7" s="306"/>
      <c r="Y7" s="308"/>
      <c r="Z7" s="330"/>
      <c r="AA7" s="306"/>
      <c r="AB7" s="328"/>
      <c r="AC7" s="328"/>
    </row>
    <row r="8" spans="1:51" s="18" customFormat="1" ht="13.5" thickBot="1">
      <c r="A8" s="139" t="s">
        <v>47</v>
      </c>
      <c r="B8" s="21"/>
      <c r="C8" s="21">
        <f>Лист1!C39</f>
        <v>16234.320000000005</v>
      </c>
      <c r="D8" s="21">
        <f>Лист1!D39</f>
        <v>6217.37764545</v>
      </c>
      <c r="E8" s="140">
        <f>Лист1!E39+Лист1!G39+Лист1!K39</f>
        <v>4408.43</v>
      </c>
      <c r="F8" s="140">
        <f>Лист1!I39</f>
        <v>3112.89</v>
      </c>
      <c r="G8" s="141">
        <f>Лист1!M39</f>
        <v>765.0699999999998</v>
      </c>
      <c r="H8" s="140">
        <f>Лист1!P39</f>
        <v>331.83000000000004</v>
      </c>
      <c r="I8" s="140">
        <f>Лист1!O39</f>
        <v>8286.39</v>
      </c>
      <c r="J8" s="140">
        <f>Лист1!Q39+Лист1!R39+Лист1!T39</f>
        <v>4037.01</v>
      </c>
      <c r="K8" s="140">
        <f>Лист1!S39</f>
        <v>2815.96</v>
      </c>
      <c r="L8" s="140">
        <f>'[1]Лист1'!U23</f>
        <v>0</v>
      </c>
      <c r="M8" s="140">
        <f>Лист1!V39</f>
        <v>7577.699999999999</v>
      </c>
      <c r="N8" s="140">
        <f>Лист1!W39</f>
        <v>14126.90764545</v>
      </c>
      <c r="O8" s="140">
        <f>'[2]Лист1'!X37</f>
        <v>0</v>
      </c>
      <c r="P8" s="140">
        <f>Лист1!Y39</f>
        <v>1107.3120000000001</v>
      </c>
      <c r="Q8" s="140">
        <f>Лист1!Z39</f>
        <v>369.9197823999999</v>
      </c>
      <c r="R8" s="142">
        <f>Лист1!AA39+Лист1!AB39+Лист1!AC39+Лист1!AD39+Лист1!AE39+Лист1!AF39</f>
        <v>7785.1272239304</v>
      </c>
      <c r="S8" s="142">
        <f>Лист1!AK39+Лист1!AM39</f>
        <v>2784.2</v>
      </c>
      <c r="T8" s="142">
        <f>'[1]Лист1'!AL39</f>
        <v>47.8</v>
      </c>
      <c r="U8" s="142">
        <f>Лист1!AI39+Лист1!AJ39</f>
        <v>5747.5322</v>
      </c>
      <c r="V8" s="142">
        <f>0</f>
        <v>0</v>
      </c>
      <c r="W8" s="142">
        <v>0</v>
      </c>
      <c r="X8" s="142">
        <v>0</v>
      </c>
      <c r="Y8" s="142">
        <f>Лист1!AS39</f>
        <v>17841.8912063304</v>
      </c>
      <c r="Z8" s="142">
        <f>'[3]Лист1'!$BC$39</f>
        <v>0</v>
      </c>
      <c r="AA8" s="21">
        <f>Y8</f>
        <v>17841.8912063304</v>
      </c>
      <c r="AB8" s="21">
        <f>Лист1!AU39</f>
        <v>-3714.9835608803996</v>
      </c>
      <c r="AC8" s="21">
        <f>Лист1!AV39</f>
        <v>-708.6900000000002</v>
      </c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0"/>
    </row>
    <row r="9" spans="1:36" ht="12.75">
      <c r="A9" s="143" t="s">
        <v>97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35"/>
      <c r="AD9" s="135"/>
      <c r="AE9" s="135"/>
      <c r="AF9" s="135"/>
      <c r="AG9" s="135"/>
      <c r="AH9" s="135"/>
      <c r="AI9" s="135"/>
      <c r="AJ9" s="135"/>
    </row>
    <row r="10" spans="1:43" ht="12.75">
      <c r="A10" s="144" t="s">
        <v>38</v>
      </c>
      <c r="B10" s="104">
        <v>78.2</v>
      </c>
      <c r="C10" s="105">
        <f>B10*8.55*0.6</f>
        <v>401.16600000000005</v>
      </c>
      <c r="D10" s="106">
        <v>0</v>
      </c>
      <c r="E10" s="145">
        <v>404.29</v>
      </c>
      <c r="F10" s="145">
        <v>117.77</v>
      </c>
      <c r="G10" s="145">
        <v>40.82</v>
      </c>
      <c r="H10" s="145"/>
      <c r="I10" s="146">
        <f>E10+F10+G10</f>
        <v>562.8800000000001</v>
      </c>
      <c r="J10" s="109">
        <v>0</v>
      </c>
      <c r="K10" s="109">
        <v>171.03</v>
      </c>
      <c r="L10" s="112">
        <v>42.02</v>
      </c>
      <c r="M10" s="104">
        <f>SUM(J10:L10)</f>
        <v>213.05</v>
      </c>
      <c r="N10" s="147">
        <f aca="true" t="shared" si="0" ref="N10:N21">M10+D10</f>
        <v>213.05</v>
      </c>
      <c r="O10" s="147"/>
      <c r="P10" s="148">
        <f aca="true" t="shared" si="1" ref="P10:P18">0.67*B10</f>
        <v>52.394000000000005</v>
      </c>
      <c r="Q10" s="148">
        <f aca="true" t="shared" si="2" ref="Q10:Q18">B10*0.2</f>
        <v>15.64</v>
      </c>
      <c r="R10" s="148">
        <f aca="true" t="shared" si="3" ref="R10:R16">(4.23*B10)</f>
        <v>330.78600000000006</v>
      </c>
      <c r="S10" s="149"/>
      <c r="T10" s="149"/>
      <c r="U10" s="149"/>
      <c r="V10" s="216"/>
      <c r="W10" s="150"/>
      <c r="X10" s="150">
        <f aca="true" t="shared" si="4" ref="X10:X18">W10*0.18</f>
        <v>0</v>
      </c>
      <c r="Y10" s="150">
        <f aca="true" t="shared" si="5" ref="Y10:Y21">SUM(P10:X10)</f>
        <v>398.82000000000005</v>
      </c>
      <c r="Z10" s="151"/>
      <c r="AA10" s="151">
        <f>Y10</f>
        <v>398.82000000000005</v>
      </c>
      <c r="AB10" s="148">
        <f>N10-AA10</f>
        <v>-185.77000000000004</v>
      </c>
      <c r="AC10" s="151">
        <f>M10-I10</f>
        <v>-349.8300000000001</v>
      </c>
      <c r="AD10" s="137"/>
      <c r="AE10" s="137"/>
      <c r="AF10" s="137"/>
      <c r="AG10" s="137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</row>
    <row r="11" spans="1:44" ht="12.75">
      <c r="A11" s="144" t="s">
        <v>39</v>
      </c>
      <c r="B11" s="152">
        <v>78.2</v>
      </c>
      <c r="C11" s="105">
        <f>B11*8.55*0.6</f>
        <v>401.16600000000005</v>
      </c>
      <c r="D11" s="106">
        <v>0</v>
      </c>
      <c r="E11" s="153">
        <v>80.87</v>
      </c>
      <c r="F11" s="154">
        <v>117.77</v>
      </c>
      <c r="G11" s="155">
        <v>40.82</v>
      </c>
      <c r="H11" s="156"/>
      <c r="I11" s="157">
        <f>E11+F11+G11</f>
        <v>239.45999999999998</v>
      </c>
      <c r="J11" s="108">
        <v>216.95</v>
      </c>
      <c r="K11" s="154">
        <v>145.25</v>
      </c>
      <c r="L11" s="158">
        <v>46.2</v>
      </c>
      <c r="M11" s="159">
        <f>SUM(J11:L11)</f>
        <v>408.4</v>
      </c>
      <c r="N11" s="147">
        <f t="shared" si="0"/>
        <v>408.4</v>
      </c>
      <c r="O11" s="147"/>
      <c r="P11" s="148">
        <f t="shared" si="1"/>
        <v>52.394000000000005</v>
      </c>
      <c r="Q11" s="148">
        <f t="shared" si="2"/>
        <v>15.64</v>
      </c>
      <c r="R11" s="148">
        <f t="shared" si="3"/>
        <v>330.78600000000006</v>
      </c>
      <c r="S11" s="149"/>
      <c r="T11" s="149"/>
      <c r="U11" s="149"/>
      <c r="V11" s="216"/>
      <c r="W11" s="150"/>
      <c r="X11" s="150">
        <f t="shared" si="4"/>
        <v>0</v>
      </c>
      <c r="Y11" s="150">
        <f t="shared" si="5"/>
        <v>398.82000000000005</v>
      </c>
      <c r="Z11" s="151"/>
      <c r="AA11" s="151">
        <f aca="true" t="shared" si="6" ref="AA11:AA21">Y11</f>
        <v>398.82000000000005</v>
      </c>
      <c r="AB11" s="148">
        <f aca="true" t="shared" si="7" ref="AB11:AB21">N11-AA11</f>
        <v>9.579999999999927</v>
      </c>
      <c r="AC11" s="151">
        <f aca="true" t="shared" si="8" ref="AC11:AC21">M11-I11</f>
        <v>168.94</v>
      </c>
      <c r="AD11" s="137"/>
      <c r="AE11" s="137"/>
      <c r="AF11" s="137"/>
      <c r="AG11" s="137"/>
      <c r="AH11" s="137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</row>
    <row r="12" spans="1:34" ht="12.75">
      <c r="A12" s="144" t="s">
        <v>40</v>
      </c>
      <c r="B12" s="160">
        <v>78.2</v>
      </c>
      <c r="C12" s="105">
        <f>B12*8.55*0.6</f>
        <v>401.16600000000005</v>
      </c>
      <c r="D12" s="106">
        <v>0</v>
      </c>
      <c r="E12" s="153">
        <v>242.58</v>
      </c>
      <c r="F12" s="145">
        <v>117.77</v>
      </c>
      <c r="G12" s="145">
        <v>40.82</v>
      </c>
      <c r="H12" s="156"/>
      <c r="I12" s="161">
        <f>E12+F12+G12</f>
        <v>401.17</v>
      </c>
      <c r="J12" s="162">
        <v>266.59</v>
      </c>
      <c r="K12" s="162">
        <v>144.56</v>
      </c>
      <c r="L12" s="162">
        <v>48.7</v>
      </c>
      <c r="M12" s="104">
        <f>SUM(J12:L12)</f>
        <v>459.84999999999997</v>
      </c>
      <c r="N12" s="147">
        <f t="shared" si="0"/>
        <v>459.84999999999997</v>
      </c>
      <c r="O12" s="147"/>
      <c r="P12" s="148">
        <f t="shared" si="1"/>
        <v>52.394000000000005</v>
      </c>
      <c r="Q12" s="148">
        <f t="shared" si="2"/>
        <v>15.64</v>
      </c>
      <c r="R12" s="148">
        <f t="shared" si="3"/>
        <v>330.78600000000006</v>
      </c>
      <c r="S12" s="149"/>
      <c r="T12" s="149"/>
      <c r="U12" s="149"/>
      <c r="V12" s="216"/>
      <c r="W12" s="150"/>
      <c r="X12" s="150">
        <f t="shared" si="4"/>
        <v>0</v>
      </c>
      <c r="Y12" s="150">
        <f t="shared" si="5"/>
        <v>398.82000000000005</v>
      </c>
      <c r="Z12" s="151"/>
      <c r="AA12" s="151">
        <f t="shared" si="6"/>
        <v>398.82000000000005</v>
      </c>
      <c r="AB12" s="148">
        <f t="shared" si="7"/>
        <v>61.029999999999916</v>
      </c>
      <c r="AC12" s="151">
        <f t="shared" si="8"/>
        <v>58.67999999999995</v>
      </c>
      <c r="AD12" s="137"/>
      <c r="AE12" s="135"/>
      <c r="AF12" s="135"/>
      <c r="AG12" s="135"/>
      <c r="AH12" s="135"/>
    </row>
    <row r="13" spans="1:42" ht="12.75">
      <c r="A13" s="163" t="s">
        <v>41</v>
      </c>
      <c r="B13" s="104">
        <v>78.2</v>
      </c>
      <c r="C13" s="105">
        <f>B13*8.55*0.6</f>
        <v>401.16600000000005</v>
      </c>
      <c r="D13" s="215">
        <v>0</v>
      </c>
      <c r="E13" s="164">
        <v>242.58</v>
      </c>
      <c r="F13" s="145">
        <v>117.77</v>
      </c>
      <c r="G13" s="145">
        <v>40.82</v>
      </c>
      <c r="H13" s="165"/>
      <c r="I13" s="166">
        <f>E13+F13+G13</f>
        <v>401.17</v>
      </c>
      <c r="J13" s="109">
        <v>117.53</v>
      </c>
      <c r="K13" s="109">
        <v>57.07</v>
      </c>
      <c r="L13" s="109">
        <v>19.78</v>
      </c>
      <c r="M13" s="167">
        <f>SUM(J13:L13)</f>
        <v>194.38</v>
      </c>
      <c r="N13" s="168">
        <f t="shared" si="0"/>
        <v>194.38</v>
      </c>
      <c r="O13" s="168"/>
      <c r="P13" s="169">
        <f t="shared" si="1"/>
        <v>52.394000000000005</v>
      </c>
      <c r="Q13" s="169">
        <f t="shared" si="2"/>
        <v>15.64</v>
      </c>
      <c r="R13" s="169">
        <f t="shared" si="3"/>
        <v>330.78600000000006</v>
      </c>
      <c r="S13" s="170"/>
      <c r="T13" s="170"/>
      <c r="U13" s="170"/>
      <c r="V13" s="217"/>
      <c r="W13" s="171"/>
      <c r="X13" s="171">
        <f t="shared" si="4"/>
        <v>0</v>
      </c>
      <c r="Y13" s="171">
        <f t="shared" si="5"/>
        <v>398.82000000000005</v>
      </c>
      <c r="Z13" s="172"/>
      <c r="AA13" s="151">
        <f t="shared" si="6"/>
        <v>398.82000000000005</v>
      </c>
      <c r="AB13" s="148">
        <f t="shared" si="7"/>
        <v>-204.44000000000005</v>
      </c>
      <c r="AC13" s="151">
        <f t="shared" si="8"/>
        <v>-206.79000000000002</v>
      </c>
      <c r="AD13" s="137"/>
      <c r="AE13" s="137"/>
      <c r="AF13" s="137"/>
      <c r="AG13" s="137"/>
      <c r="AH13" s="137"/>
      <c r="AI13" s="135"/>
      <c r="AJ13" s="135"/>
      <c r="AK13" s="135"/>
      <c r="AL13" s="135"/>
      <c r="AM13" s="135"/>
      <c r="AN13" s="135"/>
      <c r="AO13" s="135"/>
      <c r="AP13" s="135"/>
    </row>
    <row r="14" spans="1:42" ht="12.75">
      <c r="A14" s="163" t="s">
        <v>42</v>
      </c>
      <c r="B14" s="104">
        <v>78.2</v>
      </c>
      <c r="C14" s="105">
        <f>B14*8.55*0.6</f>
        <v>401.16600000000005</v>
      </c>
      <c r="D14" s="215">
        <v>0</v>
      </c>
      <c r="E14" s="145">
        <v>404.29</v>
      </c>
      <c r="F14" s="145">
        <v>196.29</v>
      </c>
      <c r="G14" s="165">
        <v>68.03</v>
      </c>
      <c r="H14" s="156"/>
      <c r="I14" s="173">
        <f>E14+F14+G14</f>
        <v>668.61</v>
      </c>
      <c r="J14" s="109">
        <v>362.63</v>
      </c>
      <c r="K14" s="109">
        <v>176.05</v>
      </c>
      <c r="L14" s="112">
        <v>61.01</v>
      </c>
      <c r="M14" s="174">
        <f>SUM(J14:L14)</f>
        <v>599.69</v>
      </c>
      <c r="N14" s="175">
        <f t="shared" si="0"/>
        <v>599.69</v>
      </c>
      <c r="O14" s="168"/>
      <c r="P14" s="169">
        <f t="shared" si="1"/>
        <v>52.394000000000005</v>
      </c>
      <c r="Q14" s="169">
        <f t="shared" si="2"/>
        <v>15.64</v>
      </c>
      <c r="R14" s="169">
        <f t="shared" si="3"/>
        <v>330.78600000000006</v>
      </c>
      <c r="S14" s="170"/>
      <c r="T14" s="170"/>
      <c r="U14" s="170"/>
      <c r="V14" s="217"/>
      <c r="W14" s="171"/>
      <c r="X14" s="171">
        <f t="shared" si="4"/>
        <v>0</v>
      </c>
      <c r="Y14" s="171">
        <f t="shared" si="5"/>
        <v>398.82000000000005</v>
      </c>
      <c r="Z14" s="172"/>
      <c r="AA14" s="151">
        <f t="shared" si="6"/>
        <v>398.82000000000005</v>
      </c>
      <c r="AB14" s="148">
        <f t="shared" si="7"/>
        <v>200.87</v>
      </c>
      <c r="AC14" s="151">
        <f t="shared" si="8"/>
        <v>-68.91999999999996</v>
      </c>
      <c r="AD14" s="137"/>
      <c r="AE14" s="137"/>
      <c r="AF14" s="137"/>
      <c r="AG14" s="137"/>
      <c r="AH14" s="137"/>
      <c r="AI14" s="135"/>
      <c r="AJ14" s="135"/>
      <c r="AK14" s="135"/>
      <c r="AL14" s="135"/>
      <c r="AM14" s="135"/>
      <c r="AN14" s="135"/>
      <c r="AO14" s="135"/>
      <c r="AP14" s="135"/>
    </row>
    <row r="15" spans="1:42" ht="12.75">
      <c r="A15" s="163" t="s">
        <v>43</v>
      </c>
      <c r="B15" s="176">
        <v>78.2</v>
      </c>
      <c r="C15" s="105">
        <f aca="true" t="shared" si="9" ref="C15:C21">B15*8.55</f>
        <v>668.6100000000001</v>
      </c>
      <c r="D15" s="177">
        <v>0</v>
      </c>
      <c r="E15" s="145">
        <v>404.29</v>
      </c>
      <c r="F15" s="145">
        <v>196.29</v>
      </c>
      <c r="G15" s="165">
        <v>68.03</v>
      </c>
      <c r="H15" s="156"/>
      <c r="I15" s="178">
        <f aca="true" t="shared" si="10" ref="I15:I21">SUM(E15:G15)</f>
        <v>668.61</v>
      </c>
      <c r="J15" s="179">
        <v>408.11</v>
      </c>
      <c r="K15" s="179">
        <v>198.15</v>
      </c>
      <c r="L15" s="180">
        <v>68.69</v>
      </c>
      <c r="M15" s="181">
        <v>674.95</v>
      </c>
      <c r="N15" s="168">
        <f t="shared" si="0"/>
        <v>674.95</v>
      </c>
      <c r="O15" s="168"/>
      <c r="P15" s="169">
        <f t="shared" si="1"/>
        <v>52.394000000000005</v>
      </c>
      <c r="Q15" s="169">
        <f t="shared" si="2"/>
        <v>15.64</v>
      </c>
      <c r="R15" s="169">
        <f t="shared" si="3"/>
        <v>330.78600000000006</v>
      </c>
      <c r="S15" s="170"/>
      <c r="T15" s="170"/>
      <c r="U15" s="170"/>
      <c r="V15" s="170"/>
      <c r="W15" s="182"/>
      <c r="X15" s="183">
        <f t="shared" si="4"/>
        <v>0</v>
      </c>
      <c r="Y15" s="184">
        <f t="shared" si="5"/>
        <v>398.82000000000005</v>
      </c>
      <c r="Z15" s="172"/>
      <c r="AA15" s="151">
        <f t="shared" si="6"/>
        <v>398.82000000000005</v>
      </c>
      <c r="AB15" s="148">
        <f t="shared" si="7"/>
        <v>276.13</v>
      </c>
      <c r="AC15" s="151">
        <f t="shared" si="8"/>
        <v>6.340000000000032</v>
      </c>
      <c r="AD15" s="137"/>
      <c r="AE15" s="137"/>
      <c r="AF15" s="137"/>
      <c r="AG15" s="137"/>
      <c r="AH15" s="137"/>
      <c r="AI15" s="135"/>
      <c r="AJ15" s="135"/>
      <c r="AK15" s="135"/>
      <c r="AL15" s="135"/>
      <c r="AM15" s="135"/>
      <c r="AN15" s="135"/>
      <c r="AO15" s="135"/>
      <c r="AP15" s="135"/>
    </row>
    <row r="16" spans="1:38" ht="12.75">
      <c r="A16" s="163" t="s">
        <v>44</v>
      </c>
      <c r="B16" s="104">
        <v>78.2</v>
      </c>
      <c r="C16" s="105">
        <f t="shared" si="9"/>
        <v>668.6100000000001</v>
      </c>
      <c r="D16" s="177">
        <v>0</v>
      </c>
      <c r="E16" s="185">
        <v>404.29</v>
      </c>
      <c r="F16" s="185">
        <v>196.28</v>
      </c>
      <c r="G16" s="186">
        <v>68.03</v>
      </c>
      <c r="H16" s="187"/>
      <c r="I16" s="178">
        <f t="shared" si="10"/>
        <v>668.6</v>
      </c>
      <c r="J16" s="109">
        <v>195.31</v>
      </c>
      <c r="K16" s="109">
        <v>94.83</v>
      </c>
      <c r="L16" s="109">
        <v>32.86</v>
      </c>
      <c r="M16" s="188">
        <f aca="true" t="shared" si="11" ref="M16:M21">SUM(J16:L16)</f>
        <v>323</v>
      </c>
      <c r="N16" s="189">
        <f t="shared" si="0"/>
        <v>323</v>
      </c>
      <c r="O16" s="168"/>
      <c r="P16" s="169">
        <f t="shared" si="1"/>
        <v>52.394000000000005</v>
      </c>
      <c r="Q16" s="169">
        <f t="shared" si="2"/>
        <v>15.64</v>
      </c>
      <c r="R16" s="169">
        <f t="shared" si="3"/>
        <v>330.78600000000006</v>
      </c>
      <c r="S16" s="170"/>
      <c r="T16" s="170"/>
      <c r="U16" s="170"/>
      <c r="V16" s="170"/>
      <c r="W16" s="182"/>
      <c r="X16" s="183">
        <f t="shared" si="4"/>
        <v>0</v>
      </c>
      <c r="Y16" s="171">
        <f t="shared" si="5"/>
        <v>398.82000000000005</v>
      </c>
      <c r="Z16" s="172"/>
      <c r="AA16" s="151">
        <f t="shared" si="6"/>
        <v>398.82000000000005</v>
      </c>
      <c r="AB16" s="148">
        <f t="shared" si="7"/>
        <v>-75.82000000000005</v>
      </c>
      <c r="AC16" s="151">
        <f t="shared" si="8"/>
        <v>-345.6</v>
      </c>
      <c r="AD16" s="190"/>
      <c r="AE16" s="135"/>
      <c r="AF16" s="135"/>
      <c r="AG16" s="135"/>
      <c r="AH16" s="135"/>
      <c r="AI16" s="135"/>
      <c r="AJ16" s="135"/>
      <c r="AK16" s="135"/>
      <c r="AL16" s="135"/>
    </row>
    <row r="17" spans="1:37" ht="12.75">
      <c r="A17" s="163" t="s">
        <v>45</v>
      </c>
      <c r="B17" s="104">
        <v>78.2</v>
      </c>
      <c r="C17" s="105">
        <f t="shared" si="9"/>
        <v>668.6100000000001</v>
      </c>
      <c r="D17" s="177">
        <v>0</v>
      </c>
      <c r="E17" s="145">
        <v>404.29</v>
      </c>
      <c r="F17" s="145">
        <v>196.28</v>
      </c>
      <c r="G17" s="145">
        <v>68.03</v>
      </c>
      <c r="H17" s="156"/>
      <c r="I17" s="178">
        <f t="shared" si="10"/>
        <v>668.6</v>
      </c>
      <c r="J17" s="109">
        <v>404.5</v>
      </c>
      <c r="K17" s="109">
        <v>196.38</v>
      </c>
      <c r="L17" s="109">
        <v>68.07</v>
      </c>
      <c r="M17" s="188">
        <f t="shared" si="11"/>
        <v>668.95</v>
      </c>
      <c r="N17" s="189">
        <f t="shared" si="0"/>
        <v>668.95</v>
      </c>
      <c r="O17" s="168"/>
      <c r="P17" s="169">
        <f t="shared" si="1"/>
        <v>52.394000000000005</v>
      </c>
      <c r="Q17" s="169">
        <f t="shared" si="2"/>
        <v>15.64</v>
      </c>
      <c r="R17" s="169">
        <f>(4.23*B17)</f>
        <v>330.78600000000006</v>
      </c>
      <c r="S17" s="170"/>
      <c r="T17" s="170"/>
      <c r="U17" s="170"/>
      <c r="V17" s="170"/>
      <c r="W17" s="182"/>
      <c r="X17" s="183">
        <f t="shared" si="4"/>
        <v>0</v>
      </c>
      <c r="Y17" s="171">
        <f t="shared" si="5"/>
        <v>398.82000000000005</v>
      </c>
      <c r="Z17" s="172"/>
      <c r="AA17" s="151">
        <f t="shared" si="6"/>
        <v>398.82000000000005</v>
      </c>
      <c r="AB17" s="148">
        <f t="shared" si="7"/>
        <v>270.13</v>
      </c>
      <c r="AC17" s="151">
        <f t="shared" si="8"/>
        <v>0.35000000000002274</v>
      </c>
      <c r="AD17" s="135"/>
      <c r="AE17" s="135"/>
      <c r="AF17" s="135"/>
      <c r="AG17" s="135"/>
      <c r="AH17" s="135"/>
      <c r="AI17" s="135"/>
      <c r="AJ17" s="135"/>
      <c r="AK17" s="135"/>
    </row>
    <row r="18" spans="1:37" ht="12.75">
      <c r="A18" s="163" t="s">
        <v>46</v>
      </c>
      <c r="B18" s="104">
        <v>78.2</v>
      </c>
      <c r="C18" s="105">
        <f t="shared" si="9"/>
        <v>668.6100000000001</v>
      </c>
      <c r="D18" s="177">
        <v>0</v>
      </c>
      <c r="E18" s="145">
        <v>404.29</v>
      </c>
      <c r="F18" s="145">
        <v>196.28</v>
      </c>
      <c r="G18" s="145">
        <v>68.03</v>
      </c>
      <c r="H18" s="156"/>
      <c r="I18" s="178">
        <f t="shared" si="10"/>
        <v>668.6</v>
      </c>
      <c r="J18" s="109">
        <v>596.97</v>
      </c>
      <c r="K18" s="109">
        <v>289.82</v>
      </c>
      <c r="L18" s="109">
        <v>100.45</v>
      </c>
      <c r="M18" s="191">
        <f t="shared" si="11"/>
        <v>987.24</v>
      </c>
      <c r="N18" s="189">
        <f t="shared" si="0"/>
        <v>987.24</v>
      </c>
      <c r="O18" s="168"/>
      <c r="P18" s="169">
        <f t="shared" si="1"/>
        <v>52.394000000000005</v>
      </c>
      <c r="Q18" s="169">
        <f t="shared" si="2"/>
        <v>15.64</v>
      </c>
      <c r="R18" s="169">
        <f>(4.23*B18)</f>
        <v>330.78600000000006</v>
      </c>
      <c r="S18" s="170">
        <v>14364</v>
      </c>
      <c r="T18" s="170"/>
      <c r="U18" s="170">
        <f>292+48+20+60+20+28+360</f>
        <v>828</v>
      </c>
      <c r="V18" s="170"/>
      <c r="W18" s="182"/>
      <c r="X18" s="183">
        <f t="shared" si="4"/>
        <v>0</v>
      </c>
      <c r="Y18" s="171">
        <f t="shared" si="5"/>
        <v>15590.82</v>
      </c>
      <c r="Z18" s="172"/>
      <c r="AA18" s="151">
        <f t="shared" si="6"/>
        <v>15590.82</v>
      </c>
      <c r="AB18" s="148">
        <f t="shared" si="7"/>
        <v>-14603.58</v>
      </c>
      <c r="AC18" s="151">
        <f t="shared" si="8"/>
        <v>318.64</v>
      </c>
      <c r="AD18" s="135"/>
      <c r="AE18" s="135"/>
      <c r="AF18" s="135"/>
      <c r="AG18" s="135"/>
      <c r="AH18" s="135"/>
      <c r="AI18" s="135"/>
      <c r="AJ18" s="135"/>
      <c r="AK18" s="135"/>
    </row>
    <row r="19" spans="1:37" ht="12.75">
      <c r="A19" s="163" t="s">
        <v>34</v>
      </c>
      <c r="B19" s="104">
        <v>78.2</v>
      </c>
      <c r="C19" s="105">
        <f t="shared" si="9"/>
        <v>668.6100000000001</v>
      </c>
      <c r="D19" s="177">
        <v>0</v>
      </c>
      <c r="E19" s="145">
        <v>404.29</v>
      </c>
      <c r="F19" s="145">
        <v>196.28</v>
      </c>
      <c r="G19" s="155">
        <v>68.03</v>
      </c>
      <c r="H19" s="161"/>
      <c r="I19" s="178">
        <f t="shared" si="10"/>
        <v>668.6</v>
      </c>
      <c r="J19" s="162">
        <v>137.62</v>
      </c>
      <c r="K19" s="162">
        <v>66.82</v>
      </c>
      <c r="L19" s="160">
        <v>23.16</v>
      </c>
      <c r="M19" s="191">
        <f t="shared" si="11"/>
        <v>227.6</v>
      </c>
      <c r="N19" s="189">
        <f t="shared" si="0"/>
        <v>227.6</v>
      </c>
      <c r="O19" s="168"/>
      <c r="P19" s="169">
        <f>0.67*B19</f>
        <v>52.394000000000005</v>
      </c>
      <c r="Q19" s="169">
        <f>B19*0.2</f>
        <v>15.64</v>
      </c>
      <c r="R19" s="169">
        <f>(4.23*B19)</f>
        <v>330.78600000000006</v>
      </c>
      <c r="S19" s="170"/>
      <c r="T19" s="170"/>
      <c r="U19" s="170"/>
      <c r="V19" s="170"/>
      <c r="W19" s="182"/>
      <c r="X19" s="183">
        <f>W19*0.18</f>
        <v>0</v>
      </c>
      <c r="Y19" s="171">
        <f t="shared" si="5"/>
        <v>398.82000000000005</v>
      </c>
      <c r="Z19" s="172"/>
      <c r="AA19" s="151">
        <f t="shared" si="6"/>
        <v>398.82000000000005</v>
      </c>
      <c r="AB19" s="148">
        <f t="shared" si="7"/>
        <v>-171.22000000000006</v>
      </c>
      <c r="AC19" s="151">
        <f t="shared" si="8"/>
        <v>-441</v>
      </c>
      <c r="AD19" s="135"/>
      <c r="AE19" s="135"/>
      <c r="AF19" s="135"/>
      <c r="AG19" s="135"/>
      <c r="AH19" s="135"/>
      <c r="AI19" s="135"/>
      <c r="AJ19" s="135"/>
      <c r="AK19" s="135"/>
    </row>
    <row r="20" spans="1:37" ht="12.75">
      <c r="A20" s="144" t="s">
        <v>35</v>
      </c>
      <c r="B20" s="104">
        <v>78.2</v>
      </c>
      <c r="C20" s="105">
        <f t="shared" si="9"/>
        <v>668.6100000000001</v>
      </c>
      <c r="D20" s="177">
        <v>0</v>
      </c>
      <c r="E20" s="145">
        <v>404.29</v>
      </c>
      <c r="F20" s="145">
        <v>196.28</v>
      </c>
      <c r="G20" s="145">
        <v>68.03</v>
      </c>
      <c r="H20" s="156"/>
      <c r="I20" s="178">
        <f t="shared" si="10"/>
        <v>668.6</v>
      </c>
      <c r="J20" s="162">
        <v>259.08</v>
      </c>
      <c r="K20" s="162">
        <v>125.78</v>
      </c>
      <c r="L20" s="162">
        <v>43.59</v>
      </c>
      <c r="M20" s="191">
        <f t="shared" si="11"/>
        <v>428.45000000000005</v>
      </c>
      <c r="N20" s="189">
        <f t="shared" si="0"/>
        <v>428.45000000000005</v>
      </c>
      <c r="O20" s="168"/>
      <c r="P20" s="169">
        <f>0.67*B20</f>
        <v>52.394000000000005</v>
      </c>
      <c r="Q20" s="169">
        <f>B20*0.2</f>
        <v>15.64</v>
      </c>
      <c r="R20" s="169">
        <f>(4.23*B20)</f>
        <v>330.78600000000006</v>
      </c>
      <c r="S20" s="170"/>
      <c r="T20" s="170"/>
      <c r="U20" s="170"/>
      <c r="V20" s="170"/>
      <c r="W20" s="182"/>
      <c r="X20" s="183">
        <f>W20*0.18</f>
        <v>0</v>
      </c>
      <c r="Y20" s="171">
        <f t="shared" si="5"/>
        <v>398.82000000000005</v>
      </c>
      <c r="Z20" s="172"/>
      <c r="AA20" s="151">
        <f t="shared" si="6"/>
        <v>398.82000000000005</v>
      </c>
      <c r="AB20" s="148">
        <f t="shared" si="7"/>
        <v>29.629999999999995</v>
      </c>
      <c r="AC20" s="151">
        <f t="shared" si="8"/>
        <v>-240.14999999999998</v>
      </c>
      <c r="AD20" s="135"/>
      <c r="AE20" s="135"/>
      <c r="AF20" s="135"/>
      <c r="AG20" s="135"/>
      <c r="AH20" s="135"/>
      <c r="AI20" s="135"/>
      <c r="AJ20" s="135"/>
      <c r="AK20" s="135"/>
    </row>
    <row r="21" spans="1:37" ht="13.5" thickBot="1">
      <c r="A21" s="192" t="s">
        <v>36</v>
      </c>
      <c r="B21" s="104">
        <v>78.2</v>
      </c>
      <c r="C21" s="105">
        <f t="shared" si="9"/>
        <v>668.6100000000001</v>
      </c>
      <c r="D21" s="177">
        <v>0</v>
      </c>
      <c r="E21" s="185">
        <v>404.29</v>
      </c>
      <c r="F21" s="185">
        <v>196.28</v>
      </c>
      <c r="G21" s="185">
        <v>68.03</v>
      </c>
      <c r="H21" s="187"/>
      <c r="I21" s="178">
        <f t="shared" si="10"/>
        <v>668.6</v>
      </c>
      <c r="J21" s="179">
        <v>459.31</v>
      </c>
      <c r="K21" s="179">
        <v>222.99</v>
      </c>
      <c r="L21" s="176">
        <v>77.29</v>
      </c>
      <c r="M21" s="191">
        <f t="shared" si="11"/>
        <v>759.5899999999999</v>
      </c>
      <c r="N21" s="189">
        <f t="shared" si="0"/>
        <v>759.5899999999999</v>
      </c>
      <c r="O21" s="168"/>
      <c r="P21" s="169">
        <f>0.67*B21</f>
        <v>52.394000000000005</v>
      </c>
      <c r="Q21" s="169">
        <f>B21*0.2</f>
        <v>15.64</v>
      </c>
      <c r="R21" s="169">
        <f>(4.23*B21)</f>
        <v>330.78600000000006</v>
      </c>
      <c r="S21" s="170"/>
      <c r="T21" s="170"/>
      <c r="U21" s="193"/>
      <c r="V21" s="193"/>
      <c r="W21" s="182"/>
      <c r="X21" s="183">
        <f>W21*0.18</f>
        <v>0</v>
      </c>
      <c r="Y21" s="171">
        <f t="shared" si="5"/>
        <v>398.82000000000005</v>
      </c>
      <c r="Z21" s="172"/>
      <c r="AA21" s="151">
        <f t="shared" si="6"/>
        <v>398.82000000000005</v>
      </c>
      <c r="AB21" s="148">
        <f t="shared" si="7"/>
        <v>360.76999999999987</v>
      </c>
      <c r="AC21" s="151">
        <f t="shared" si="8"/>
        <v>90.9899999999999</v>
      </c>
      <c r="AD21" s="135"/>
      <c r="AE21" s="135"/>
      <c r="AF21" s="135"/>
      <c r="AG21" s="135"/>
      <c r="AH21" s="135"/>
      <c r="AI21" s="135"/>
      <c r="AJ21" s="135"/>
      <c r="AK21" s="135"/>
    </row>
    <row r="22" spans="1:37" s="18" customFormat="1" ht="13.5" thickBot="1">
      <c r="A22" s="194" t="s">
        <v>5</v>
      </c>
      <c r="B22" s="195"/>
      <c r="C22" s="195"/>
      <c r="D22" s="196">
        <f>SUM(D10:D21)</f>
        <v>0</v>
      </c>
      <c r="E22" s="196">
        <f>SUM(E10:E21)</f>
        <v>4204.64</v>
      </c>
      <c r="F22" s="196">
        <f>SUM(F10:F21)</f>
        <v>2041.34</v>
      </c>
      <c r="G22" s="196">
        <f>SUM(G10:G21)</f>
        <v>707.5199999999999</v>
      </c>
      <c r="H22" s="196">
        <f aca="true" t="shared" si="12" ref="H22:P22">SUM(I10:I21)</f>
        <v>6953.500000000002</v>
      </c>
      <c r="I22" s="196">
        <f t="shared" si="12"/>
        <v>3424.6</v>
      </c>
      <c r="J22" s="196">
        <f t="shared" si="12"/>
        <v>1888.73</v>
      </c>
      <c r="K22" s="196">
        <f t="shared" si="12"/>
        <v>631.8199999999999</v>
      </c>
      <c r="L22" s="196">
        <f t="shared" si="12"/>
        <v>5945.15</v>
      </c>
      <c r="M22" s="196">
        <f t="shared" si="12"/>
        <v>5945.15</v>
      </c>
      <c r="N22" s="196">
        <f t="shared" si="12"/>
        <v>0</v>
      </c>
      <c r="O22" s="196">
        <f t="shared" si="12"/>
        <v>628.7280000000001</v>
      </c>
      <c r="P22" s="196">
        <f t="shared" si="12"/>
        <v>187.67999999999995</v>
      </c>
      <c r="Q22" s="196">
        <f aca="true" t="shared" si="13" ref="Q22:AA22">SUM(Q10:Q21)</f>
        <v>187.67999999999995</v>
      </c>
      <c r="R22" s="196">
        <f t="shared" si="13"/>
        <v>3969.4320000000007</v>
      </c>
      <c r="S22" s="196">
        <f t="shared" si="13"/>
        <v>14364</v>
      </c>
      <c r="T22" s="196">
        <f t="shared" si="13"/>
        <v>0</v>
      </c>
      <c r="U22" s="196">
        <f t="shared" si="13"/>
        <v>828</v>
      </c>
      <c r="V22" s="196">
        <f t="shared" si="13"/>
        <v>0</v>
      </c>
      <c r="W22" s="196">
        <f t="shared" si="13"/>
        <v>0</v>
      </c>
      <c r="X22" s="196">
        <f t="shared" si="13"/>
        <v>0</v>
      </c>
      <c r="Y22" s="196">
        <f t="shared" si="13"/>
        <v>19977.84</v>
      </c>
      <c r="Z22" s="196">
        <f t="shared" si="13"/>
        <v>0</v>
      </c>
      <c r="AA22" s="196">
        <f t="shared" si="13"/>
        <v>19977.84</v>
      </c>
      <c r="AB22" s="196">
        <f>SUM(AB10:AB21)</f>
        <v>-14032.69</v>
      </c>
      <c r="AC22" s="196">
        <f>SUM(AC10:AC21)</f>
        <v>-1008.3500000000003</v>
      </c>
      <c r="AD22" s="60"/>
      <c r="AE22" s="60"/>
      <c r="AF22" s="60"/>
      <c r="AG22" s="60"/>
      <c r="AH22" s="60"/>
      <c r="AI22" s="60"/>
      <c r="AJ22" s="60"/>
      <c r="AK22" s="60"/>
    </row>
    <row r="23" spans="1:37" ht="13.5" thickBot="1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35"/>
      <c r="AE23" s="135"/>
      <c r="AF23" s="135"/>
      <c r="AG23" s="135"/>
      <c r="AH23" s="135"/>
      <c r="AI23" s="135"/>
      <c r="AJ23" s="135"/>
      <c r="AK23" s="135"/>
    </row>
    <row r="24" spans="1:29" s="18" customFormat="1" ht="13.5" thickBot="1">
      <c r="A24" s="194" t="s">
        <v>98</v>
      </c>
      <c r="B24" s="195"/>
      <c r="C24" s="195"/>
      <c r="D24" s="196">
        <v>9330.22</v>
      </c>
      <c r="E24" s="196">
        <v>263129.61</v>
      </c>
      <c r="F24" s="196">
        <v>181875.86</v>
      </c>
      <c r="G24" s="196">
        <v>45624.38</v>
      </c>
      <c r="H24" s="196">
        <v>71944.81</v>
      </c>
      <c r="I24" s="196">
        <v>490629.85</v>
      </c>
      <c r="J24" s="196">
        <v>216840.97</v>
      </c>
      <c r="K24" s="196">
        <v>151570.93</v>
      </c>
      <c r="L24" s="196">
        <v>38052.74</v>
      </c>
      <c r="M24" s="196">
        <v>406464.64</v>
      </c>
      <c r="N24" s="196">
        <v>534624.38</v>
      </c>
      <c r="O24" s="195">
        <v>0</v>
      </c>
      <c r="P24" s="198">
        <f aca="true" t="shared" si="14" ref="P24:AB24">P8+P22</f>
        <v>1294.9920000000002</v>
      </c>
      <c r="Q24" s="198">
        <f t="shared" si="14"/>
        <v>557.5997823999999</v>
      </c>
      <c r="R24" s="198">
        <f t="shared" si="14"/>
        <v>11754.5592239304</v>
      </c>
      <c r="S24" s="198">
        <f t="shared" si="14"/>
        <v>17148.2</v>
      </c>
      <c r="T24" s="198">
        <f t="shared" si="14"/>
        <v>47.8</v>
      </c>
      <c r="U24" s="198">
        <f t="shared" si="14"/>
        <v>6575.5322</v>
      </c>
      <c r="V24" s="198">
        <f t="shared" si="14"/>
        <v>0</v>
      </c>
      <c r="W24" s="198">
        <f t="shared" si="14"/>
        <v>0</v>
      </c>
      <c r="X24" s="198">
        <f t="shared" si="14"/>
        <v>0</v>
      </c>
      <c r="Y24" s="198">
        <f t="shared" si="14"/>
        <v>37819.7312063304</v>
      </c>
      <c r="Z24" s="198">
        <f t="shared" si="14"/>
        <v>0</v>
      </c>
      <c r="AA24" s="198">
        <f t="shared" si="14"/>
        <v>37819.7312063304</v>
      </c>
      <c r="AB24" s="198">
        <f t="shared" si="14"/>
        <v>-17747.6735608804</v>
      </c>
      <c r="AC24" s="198">
        <f>AC8+AC22</f>
        <v>-1717.0400000000004</v>
      </c>
    </row>
    <row r="25" spans="1:29" ht="12.7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</row>
  </sheetData>
  <sheetProtection/>
  <mergeCells count="34"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E6:E7"/>
    <mergeCell ref="F6:F7"/>
    <mergeCell ref="G6:G7"/>
    <mergeCell ref="J6:J7"/>
    <mergeCell ref="K6:K7"/>
    <mergeCell ref="L6:L7"/>
    <mergeCell ref="X6:X7"/>
    <mergeCell ref="Y6:Y7"/>
    <mergeCell ref="R6:R7"/>
    <mergeCell ref="S6:S7"/>
    <mergeCell ref="T6:T7"/>
    <mergeCell ref="U6:U7"/>
    <mergeCell ref="V6:V7"/>
    <mergeCell ref="W6:W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10.00390625" style="136" customWidth="1"/>
    <col min="2" max="2" width="9.125" style="136" customWidth="1"/>
    <col min="3" max="3" width="9.875" style="136" customWidth="1"/>
    <col min="4" max="4" width="9.625" style="136" customWidth="1"/>
    <col min="5" max="5" width="10.125" style="136" bestFit="1" customWidth="1"/>
    <col min="6" max="6" width="9.875" style="136" customWidth="1"/>
    <col min="7" max="7" width="11.00390625" style="136" customWidth="1"/>
    <col min="8" max="8" width="10.125" style="136" customWidth="1"/>
    <col min="9" max="9" width="9.25390625" style="136" customWidth="1"/>
    <col min="10" max="10" width="9.875" style="136" customWidth="1"/>
    <col min="11" max="11" width="10.875" style="136" customWidth="1"/>
    <col min="12" max="12" width="10.125" style="136" customWidth="1"/>
    <col min="13" max="13" width="10.375" style="136" customWidth="1"/>
    <col min="14" max="14" width="10.75390625" style="136" customWidth="1"/>
    <col min="15" max="15" width="13.00390625" style="136" customWidth="1"/>
    <col min="16" max="16384" width="9.125" style="136" customWidth="1"/>
  </cols>
  <sheetData>
    <row r="1" spans="2:8" ht="20.25" customHeight="1">
      <c r="B1" s="267" t="s">
        <v>48</v>
      </c>
      <c r="C1" s="267"/>
      <c r="D1" s="267"/>
      <c r="E1" s="267"/>
      <c r="F1" s="267"/>
      <c r="G1" s="267"/>
      <c r="H1" s="267"/>
    </row>
    <row r="2" spans="2:8" ht="21" customHeight="1">
      <c r="B2" s="267" t="s">
        <v>49</v>
      </c>
      <c r="C2" s="267"/>
      <c r="D2" s="267"/>
      <c r="E2" s="267"/>
      <c r="F2" s="267"/>
      <c r="G2" s="267"/>
      <c r="H2" s="267"/>
    </row>
    <row r="5" spans="1:14" ht="12.75">
      <c r="A5" s="269" t="s">
        <v>82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</row>
    <row r="6" spans="1:14" ht="12.75">
      <c r="A6" s="270" t="s">
        <v>99</v>
      </c>
      <c r="B6" s="270"/>
      <c r="C6" s="270"/>
      <c r="D6" s="270"/>
      <c r="E6" s="270"/>
      <c r="F6" s="270"/>
      <c r="G6" s="270"/>
      <c r="H6" s="79"/>
      <c r="I6" s="79"/>
      <c r="J6" s="79"/>
      <c r="K6" s="79"/>
      <c r="L6" s="79"/>
      <c r="M6" s="79"/>
      <c r="N6" s="79"/>
    </row>
    <row r="7" spans="1:14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6" ht="13.5" thickBot="1">
      <c r="A8" s="354" t="s">
        <v>50</v>
      </c>
      <c r="B8" s="354"/>
      <c r="C8" s="354"/>
      <c r="D8" s="354"/>
      <c r="E8" s="354">
        <v>8.55</v>
      </c>
      <c r="F8" s="354"/>
    </row>
    <row r="9" spans="1:15" ht="12.75" customHeight="1">
      <c r="A9" s="219" t="s">
        <v>51</v>
      </c>
      <c r="B9" s="296" t="s">
        <v>1</v>
      </c>
      <c r="C9" s="299" t="s">
        <v>100</v>
      </c>
      <c r="D9" s="302" t="s">
        <v>3</v>
      </c>
      <c r="E9" s="286" t="s">
        <v>53</v>
      </c>
      <c r="F9" s="287"/>
      <c r="G9" s="263" t="s">
        <v>54</v>
      </c>
      <c r="H9" s="264"/>
      <c r="I9" s="271" t="s">
        <v>8</v>
      </c>
      <c r="J9" s="255"/>
      <c r="K9" s="255"/>
      <c r="L9" s="255"/>
      <c r="M9" s="272"/>
      <c r="N9" s="275" t="s">
        <v>55</v>
      </c>
      <c r="O9" s="275" t="s">
        <v>10</v>
      </c>
    </row>
    <row r="10" spans="1:15" ht="12.75">
      <c r="A10" s="220"/>
      <c r="B10" s="297"/>
      <c r="C10" s="300"/>
      <c r="D10" s="303"/>
      <c r="E10" s="288"/>
      <c r="F10" s="289"/>
      <c r="G10" s="265"/>
      <c r="H10" s="266"/>
      <c r="I10" s="273"/>
      <c r="J10" s="230"/>
      <c r="K10" s="230"/>
      <c r="L10" s="230"/>
      <c r="M10" s="274"/>
      <c r="N10" s="276"/>
      <c r="O10" s="276"/>
    </row>
    <row r="11" spans="1:15" ht="26.25" customHeight="1">
      <c r="A11" s="220"/>
      <c r="B11" s="297"/>
      <c r="C11" s="300"/>
      <c r="D11" s="303"/>
      <c r="E11" s="278" t="s">
        <v>56</v>
      </c>
      <c r="F11" s="279"/>
      <c r="G11" s="69" t="s">
        <v>57</v>
      </c>
      <c r="H11" s="280" t="s">
        <v>7</v>
      </c>
      <c r="I11" s="282" t="s">
        <v>58</v>
      </c>
      <c r="J11" s="284" t="s">
        <v>101</v>
      </c>
      <c r="K11" s="284" t="s">
        <v>59</v>
      </c>
      <c r="L11" s="284" t="s">
        <v>31</v>
      </c>
      <c r="M11" s="280" t="s">
        <v>33</v>
      </c>
      <c r="N11" s="276"/>
      <c r="O11" s="276"/>
    </row>
    <row r="12" spans="1:15" ht="66.75" customHeight="1" thickBot="1">
      <c r="A12" s="295"/>
      <c r="B12" s="298"/>
      <c r="C12" s="301"/>
      <c r="D12" s="304"/>
      <c r="E12" s="53" t="s">
        <v>61</v>
      </c>
      <c r="F12" s="56" t="s">
        <v>17</v>
      </c>
      <c r="G12" s="66" t="s">
        <v>81</v>
      </c>
      <c r="H12" s="281"/>
      <c r="I12" s="283"/>
      <c r="J12" s="285"/>
      <c r="K12" s="285"/>
      <c r="L12" s="285"/>
      <c r="M12" s="281"/>
      <c r="N12" s="277"/>
      <c r="O12" s="277"/>
    </row>
    <row r="13" spans="1:15" ht="13.5" thickBot="1">
      <c r="A13" s="54">
        <v>1</v>
      </c>
      <c r="B13" s="55">
        <v>2</v>
      </c>
      <c r="C13" s="54">
        <v>3</v>
      </c>
      <c r="D13" s="55">
        <v>4</v>
      </c>
      <c r="E13" s="54">
        <v>5</v>
      </c>
      <c r="F13" s="55">
        <v>6</v>
      </c>
      <c r="G13" s="54">
        <v>7</v>
      </c>
      <c r="H13" s="55">
        <v>8</v>
      </c>
      <c r="I13" s="54">
        <v>9</v>
      </c>
      <c r="J13" s="55">
        <v>10</v>
      </c>
      <c r="K13" s="54">
        <v>11</v>
      </c>
      <c r="L13" s="55">
        <v>12</v>
      </c>
      <c r="M13" s="55">
        <v>13</v>
      </c>
      <c r="N13" s="54">
        <v>14</v>
      </c>
      <c r="O13" s="55">
        <v>15</v>
      </c>
    </row>
    <row r="14" spans="1:17" s="18" customFormat="1" ht="13.5" thickBot="1">
      <c r="A14" s="65" t="s">
        <v>47</v>
      </c>
      <c r="B14" s="33"/>
      <c r="C14" s="34">
        <f>'2011'!C8</f>
        <v>16234.320000000005</v>
      </c>
      <c r="D14" s="34">
        <f>'2011'!D8</f>
        <v>6217.37764545</v>
      </c>
      <c r="E14" s="33">
        <f>'2011'!I8</f>
        <v>8286.39</v>
      </c>
      <c r="F14" s="33">
        <f>'2011'!H8</f>
        <v>331.83000000000004</v>
      </c>
      <c r="G14" s="199">
        <f>'2011'!M8</f>
        <v>7577.699999999999</v>
      </c>
      <c r="H14" s="199">
        <f>'2011'!N8</f>
        <v>14126.90764545</v>
      </c>
      <c r="I14" s="199">
        <f>'2011'!P8</f>
        <v>1107.3120000000001</v>
      </c>
      <c r="J14" s="199">
        <f>'2011'!Q8</f>
        <v>369.9197823999999</v>
      </c>
      <c r="K14" s="199">
        <f>'2011'!R8</f>
        <v>7785.1272239304</v>
      </c>
      <c r="L14" s="33">
        <f>'2011'!S8+'2011'!T8+'2011'!U8</f>
        <v>8579.5322</v>
      </c>
      <c r="M14" s="200">
        <f>'2011'!AA8</f>
        <v>17841.8912063304</v>
      </c>
      <c r="N14" s="200">
        <f>'2011'!AB8</f>
        <v>-3714.9835608803996</v>
      </c>
      <c r="O14" s="200">
        <f>'2011'!AC8</f>
        <v>-708.6900000000002</v>
      </c>
      <c r="P14" s="61"/>
      <c r="Q14" s="60"/>
    </row>
    <row r="15" spans="1:17" ht="12.75">
      <c r="A15" s="6" t="s">
        <v>97</v>
      </c>
      <c r="B15" s="201"/>
      <c r="C15" s="36"/>
      <c r="D15" s="37"/>
      <c r="E15" s="202"/>
      <c r="F15" s="203"/>
      <c r="G15" s="204"/>
      <c r="H15" s="203"/>
      <c r="I15" s="204"/>
      <c r="J15" s="205"/>
      <c r="K15" s="206"/>
      <c r="L15" s="207"/>
      <c r="M15" s="208"/>
      <c r="N15" s="209"/>
      <c r="O15" s="209"/>
      <c r="P15" s="135"/>
      <c r="Q15" s="135"/>
    </row>
    <row r="16" spans="1:17" ht="12.75">
      <c r="A16" s="210" t="s">
        <v>38</v>
      </c>
      <c r="B16" s="67">
        <f>'2011'!B10</f>
        <v>78.2</v>
      </c>
      <c r="C16" s="67">
        <f>'2011'!C10</f>
        <v>401.16600000000005</v>
      </c>
      <c r="D16" s="67">
        <f>'2011'!D10</f>
        <v>0</v>
      </c>
      <c r="E16" s="206">
        <f>'2011'!I10</f>
        <v>562.8800000000001</v>
      </c>
      <c r="F16" s="208">
        <f>'[1]2011'!H10</f>
        <v>0</v>
      </c>
      <c r="G16" s="208">
        <f>'2011'!M10</f>
        <v>213.05</v>
      </c>
      <c r="H16" s="208">
        <f>'2011'!N10</f>
        <v>213.05</v>
      </c>
      <c r="I16" s="211">
        <f>'2011'!P10</f>
        <v>52.394000000000005</v>
      </c>
      <c r="J16" s="211">
        <f>'2011'!Q10</f>
        <v>15.64</v>
      </c>
      <c r="K16" s="211">
        <f>'2011'!R10</f>
        <v>330.78600000000006</v>
      </c>
      <c r="L16" s="207">
        <f>'2011'!S10+'2011'!T10+'2011'!U10</f>
        <v>0</v>
      </c>
      <c r="M16" s="207">
        <f>'2011'!AA10</f>
        <v>398.82000000000005</v>
      </c>
      <c r="N16" s="207">
        <f>'2011'!AB10</f>
        <v>-185.77000000000004</v>
      </c>
      <c r="O16" s="207">
        <f>'2011'!AC10</f>
        <v>-349.8300000000001</v>
      </c>
      <c r="P16" s="135"/>
      <c r="Q16" s="135"/>
    </row>
    <row r="17" spans="1:17" ht="12.75">
      <c r="A17" s="210" t="s">
        <v>39</v>
      </c>
      <c r="B17" s="67">
        <f>'2011'!B11</f>
        <v>78.2</v>
      </c>
      <c r="C17" s="67">
        <f>'2011'!C11</f>
        <v>401.16600000000005</v>
      </c>
      <c r="D17" s="67">
        <f>'2011'!D11</f>
        <v>0</v>
      </c>
      <c r="E17" s="206">
        <f>'2011'!I11</f>
        <v>239.45999999999998</v>
      </c>
      <c r="F17" s="208">
        <f>'[1]2011'!H11</f>
        <v>0</v>
      </c>
      <c r="G17" s="208">
        <f>'2011'!M11</f>
        <v>408.4</v>
      </c>
      <c r="H17" s="208">
        <f>'2011'!N11</f>
        <v>408.4</v>
      </c>
      <c r="I17" s="211">
        <f>'2011'!P11</f>
        <v>52.394000000000005</v>
      </c>
      <c r="J17" s="211">
        <f>'2011'!Q11</f>
        <v>15.64</v>
      </c>
      <c r="K17" s="211">
        <f>'2011'!R11</f>
        <v>330.78600000000006</v>
      </c>
      <c r="L17" s="207">
        <f>'2011'!S11+'2011'!T11+'2011'!U11</f>
        <v>0</v>
      </c>
      <c r="M17" s="207">
        <f>'2011'!AA11</f>
        <v>398.82000000000005</v>
      </c>
      <c r="N17" s="207">
        <f>'2011'!AB11</f>
        <v>9.579999999999927</v>
      </c>
      <c r="O17" s="207">
        <f>'2011'!AC11</f>
        <v>168.94</v>
      </c>
      <c r="P17" s="135"/>
      <c r="Q17" s="135"/>
    </row>
    <row r="18" spans="1:17" ht="12.75">
      <c r="A18" s="210" t="s">
        <v>40</v>
      </c>
      <c r="B18" s="67">
        <f>'2011'!B12</f>
        <v>78.2</v>
      </c>
      <c r="C18" s="67">
        <f>'2011'!C12</f>
        <v>401.16600000000005</v>
      </c>
      <c r="D18" s="67">
        <f>'2011'!D12</f>
        <v>0</v>
      </c>
      <c r="E18" s="206">
        <f>'2011'!I12</f>
        <v>401.17</v>
      </c>
      <c r="F18" s="208">
        <f>'[1]2011'!H12</f>
        <v>0</v>
      </c>
      <c r="G18" s="208">
        <f>'2011'!M12</f>
        <v>459.84999999999997</v>
      </c>
      <c r="H18" s="208">
        <f>'2011'!N12</f>
        <v>459.84999999999997</v>
      </c>
      <c r="I18" s="211">
        <f>'2011'!P12</f>
        <v>52.394000000000005</v>
      </c>
      <c r="J18" s="211">
        <f>'2011'!Q12</f>
        <v>15.64</v>
      </c>
      <c r="K18" s="211">
        <f>'2011'!R12</f>
        <v>330.78600000000006</v>
      </c>
      <c r="L18" s="207">
        <f>'2011'!S12+'2011'!T12+'2011'!U12</f>
        <v>0</v>
      </c>
      <c r="M18" s="207">
        <f>'2011'!AA12</f>
        <v>398.82000000000005</v>
      </c>
      <c r="N18" s="207">
        <f>'2011'!AB12</f>
        <v>61.029999999999916</v>
      </c>
      <c r="O18" s="207">
        <f>'2011'!AC12</f>
        <v>58.67999999999995</v>
      </c>
      <c r="P18" s="135"/>
      <c r="Q18" s="135"/>
    </row>
    <row r="19" spans="1:17" ht="12.75">
      <c r="A19" s="210" t="s">
        <v>41</v>
      </c>
      <c r="B19" s="67">
        <f>'2011'!B13</f>
        <v>78.2</v>
      </c>
      <c r="C19" s="67">
        <f>'2011'!C13</f>
        <v>401.16600000000005</v>
      </c>
      <c r="D19" s="67">
        <f>'2011'!D13</f>
        <v>0</v>
      </c>
      <c r="E19" s="206">
        <f>'2011'!I13</f>
        <v>401.17</v>
      </c>
      <c r="F19" s="208">
        <f>'[1]2011'!H13</f>
        <v>0</v>
      </c>
      <c r="G19" s="208">
        <f>'2011'!M13</f>
        <v>194.38</v>
      </c>
      <c r="H19" s="208">
        <f>'2011'!N13</f>
        <v>194.38</v>
      </c>
      <c r="I19" s="211">
        <f>'2011'!P13</f>
        <v>52.394000000000005</v>
      </c>
      <c r="J19" s="211">
        <f>'2011'!Q13</f>
        <v>15.64</v>
      </c>
      <c r="K19" s="211">
        <f>'2011'!R13</f>
        <v>330.78600000000006</v>
      </c>
      <c r="L19" s="207">
        <f>'2011'!S13+'2011'!T13+'2011'!U13</f>
        <v>0</v>
      </c>
      <c r="M19" s="207">
        <f>'2011'!AA13</f>
        <v>398.82000000000005</v>
      </c>
      <c r="N19" s="207">
        <f>'2011'!AB13</f>
        <v>-204.44000000000005</v>
      </c>
      <c r="O19" s="207">
        <f>'2011'!AC13</f>
        <v>-206.79000000000002</v>
      </c>
      <c r="P19" s="135"/>
      <c r="Q19" s="135"/>
    </row>
    <row r="20" spans="1:17" ht="12.75">
      <c r="A20" s="210" t="s">
        <v>42</v>
      </c>
      <c r="B20" s="67">
        <f>'2011'!B14</f>
        <v>78.2</v>
      </c>
      <c r="C20" s="67">
        <f>'2011'!C14</f>
        <v>401.16600000000005</v>
      </c>
      <c r="D20" s="67">
        <f>'2011'!D14</f>
        <v>0</v>
      </c>
      <c r="E20" s="206">
        <f>'2011'!I14</f>
        <v>668.61</v>
      </c>
      <c r="F20" s="208">
        <f>'[1]2011'!H14</f>
        <v>0</v>
      </c>
      <c r="G20" s="208">
        <f>'2011'!M14</f>
        <v>599.69</v>
      </c>
      <c r="H20" s="208">
        <f>'2011'!N14</f>
        <v>599.69</v>
      </c>
      <c r="I20" s="211">
        <f>'2011'!P14</f>
        <v>52.394000000000005</v>
      </c>
      <c r="J20" s="211">
        <f>'2011'!Q14</f>
        <v>15.64</v>
      </c>
      <c r="K20" s="211">
        <f>'2011'!R14</f>
        <v>330.78600000000006</v>
      </c>
      <c r="L20" s="207">
        <f>'2011'!S14+'2011'!T14+'2011'!U14</f>
        <v>0</v>
      </c>
      <c r="M20" s="207">
        <f>'2011'!AA14</f>
        <v>398.82000000000005</v>
      </c>
      <c r="N20" s="207">
        <f>'2011'!AB14</f>
        <v>200.87</v>
      </c>
      <c r="O20" s="207">
        <f>'2011'!AC14</f>
        <v>-68.91999999999996</v>
      </c>
      <c r="P20" s="135"/>
      <c r="Q20" s="135"/>
    </row>
    <row r="21" spans="1:17" ht="12.75">
      <c r="A21" s="210" t="s">
        <v>43</v>
      </c>
      <c r="B21" s="67">
        <f>'2011'!B15</f>
        <v>78.2</v>
      </c>
      <c r="C21" s="67">
        <f>'2011'!C15</f>
        <v>668.6100000000001</v>
      </c>
      <c r="D21" s="67">
        <f>'2011'!D15</f>
        <v>0</v>
      </c>
      <c r="E21" s="206">
        <f>'2011'!I15</f>
        <v>668.61</v>
      </c>
      <c r="F21" s="208">
        <f>'[1]2011'!H15</f>
        <v>0</v>
      </c>
      <c r="G21" s="208">
        <f>'2011'!M15</f>
        <v>674.95</v>
      </c>
      <c r="H21" s="208">
        <f>'2011'!N15</f>
        <v>674.95</v>
      </c>
      <c r="I21" s="211">
        <f>'2011'!P15</f>
        <v>52.394000000000005</v>
      </c>
      <c r="J21" s="211">
        <f>'2011'!Q15</f>
        <v>15.64</v>
      </c>
      <c r="K21" s="211">
        <f>'2011'!R15</f>
        <v>330.78600000000006</v>
      </c>
      <c r="L21" s="207">
        <f>'2011'!S15+'2011'!T15+'2011'!U15</f>
        <v>0</v>
      </c>
      <c r="M21" s="207">
        <f>'2011'!AA15</f>
        <v>398.82000000000005</v>
      </c>
      <c r="N21" s="207">
        <f>'2011'!AB15</f>
        <v>276.13</v>
      </c>
      <c r="O21" s="207">
        <f>'2011'!AC15</f>
        <v>6.340000000000032</v>
      </c>
      <c r="P21" s="135"/>
      <c r="Q21" s="135"/>
    </row>
    <row r="22" spans="1:17" ht="12.75">
      <c r="A22" s="210" t="s">
        <v>44</v>
      </c>
      <c r="B22" s="67">
        <f>'2011'!B16</f>
        <v>78.2</v>
      </c>
      <c r="C22" s="67">
        <f>'2011'!C16</f>
        <v>668.6100000000001</v>
      </c>
      <c r="D22" s="67">
        <f>'2011'!D16</f>
        <v>0</v>
      </c>
      <c r="E22" s="206">
        <f>'2011'!I16</f>
        <v>668.6</v>
      </c>
      <c r="F22" s="208">
        <f>'[1]2011'!H16</f>
        <v>0</v>
      </c>
      <c r="G22" s="208">
        <f>'2011'!M16</f>
        <v>323</v>
      </c>
      <c r="H22" s="208">
        <f>'2011'!N16</f>
        <v>323</v>
      </c>
      <c r="I22" s="211">
        <f>'2011'!P16</f>
        <v>52.394000000000005</v>
      </c>
      <c r="J22" s="211">
        <f>'2011'!Q16</f>
        <v>15.64</v>
      </c>
      <c r="K22" s="211">
        <f>'2011'!R16</f>
        <v>330.78600000000006</v>
      </c>
      <c r="L22" s="207">
        <f>'2011'!S16+'2011'!T16+'2011'!U16</f>
        <v>0</v>
      </c>
      <c r="M22" s="207">
        <f>'2011'!AA16</f>
        <v>398.82000000000005</v>
      </c>
      <c r="N22" s="207">
        <f>'2011'!AB16</f>
        <v>-75.82000000000005</v>
      </c>
      <c r="O22" s="207">
        <f>'2011'!AC16</f>
        <v>-345.6</v>
      </c>
      <c r="P22" s="135"/>
      <c r="Q22" s="135"/>
    </row>
    <row r="23" spans="1:17" ht="12.75">
      <c r="A23" s="210" t="s">
        <v>45</v>
      </c>
      <c r="B23" s="67">
        <f>'2011'!B17</f>
        <v>78.2</v>
      </c>
      <c r="C23" s="67">
        <f>'2011'!C17</f>
        <v>668.6100000000001</v>
      </c>
      <c r="D23" s="67">
        <f>'2011'!D17</f>
        <v>0</v>
      </c>
      <c r="E23" s="206">
        <f>'2011'!I17</f>
        <v>668.6</v>
      </c>
      <c r="F23" s="208">
        <f>'[1]2011'!H17</f>
        <v>0</v>
      </c>
      <c r="G23" s="208">
        <f>'2011'!M17</f>
        <v>668.95</v>
      </c>
      <c r="H23" s="208">
        <f>'2011'!N17</f>
        <v>668.95</v>
      </c>
      <c r="I23" s="211">
        <f>'2011'!P17</f>
        <v>52.394000000000005</v>
      </c>
      <c r="J23" s="211">
        <f>'2011'!Q17</f>
        <v>15.64</v>
      </c>
      <c r="K23" s="211">
        <f>'2011'!R17</f>
        <v>330.78600000000006</v>
      </c>
      <c r="L23" s="207">
        <f>'2011'!S17+'2011'!T17+'2011'!U17</f>
        <v>0</v>
      </c>
      <c r="M23" s="207">
        <f>'2011'!AA17</f>
        <v>398.82000000000005</v>
      </c>
      <c r="N23" s="207">
        <f>'2011'!AB17</f>
        <v>270.13</v>
      </c>
      <c r="O23" s="207">
        <f>'2011'!AC17</f>
        <v>0.35000000000002274</v>
      </c>
      <c r="P23" s="135"/>
      <c r="Q23" s="135"/>
    </row>
    <row r="24" spans="1:17" ht="12.75">
      <c r="A24" s="210" t="s">
        <v>46</v>
      </c>
      <c r="B24" s="67">
        <f>'2011'!B18</f>
        <v>78.2</v>
      </c>
      <c r="C24" s="67">
        <f>'2011'!C18</f>
        <v>668.6100000000001</v>
      </c>
      <c r="D24" s="67">
        <f>'2011'!D18</f>
        <v>0</v>
      </c>
      <c r="E24" s="206">
        <f>'2011'!I18</f>
        <v>668.6</v>
      </c>
      <c r="F24" s="208">
        <f>'[1]2011'!H18</f>
        <v>0</v>
      </c>
      <c r="G24" s="208">
        <f>'2011'!M18</f>
        <v>987.24</v>
      </c>
      <c r="H24" s="208">
        <f>'2011'!N18</f>
        <v>987.24</v>
      </c>
      <c r="I24" s="211">
        <f>'2011'!P18</f>
        <v>52.394000000000005</v>
      </c>
      <c r="J24" s="211">
        <f>'2011'!Q18</f>
        <v>15.64</v>
      </c>
      <c r="K24" s="211">
        <f>'2011'!R18</f>
        <v>330.78600000000006</v>
      </c>
      <c r="L24" s="207">
        <f>'2011'!S18+'2011'!T18+'2011'!U18</f>
        <v>15192</v>
      </c>
      <c r="M24" s="207">
        <f>'2011'!AA18</f>
        <v>15590.82</v>
      </c>
      <c r="N24" s="207">
        <f>'2011'!AB18</f>
        <v>-14603.58</v>
      </c>
      <c r="O24" s="207">
        <f>'2011'!AC18</f>
        <v>318.64</v>
      </c>
      <c r="P24" s="135"/>
      <c r="Q24" s="135"/>
    </row>
    <row r="25" spans="1:17" ht="12.75">
      <c r="A25" s="210" t="s">
        <v>34</v>
      </c>
      <c r="B25" s="67">
        <f>'2011'!B19</f>
        <v>78.2</v>
      </c>
      <c r="C25" s="67">
        <f>'2011'!C19</f>
        <v>668.6100000000001</v>
      </c>
      <c r="D25" s="67">
        <f>'2011'!D19</f>
        <v>0</v>
      </c>
      <c r="E25" s="206">
        <f>'2011'!I19</f>
        <v>668.6</v>
      </c>
      <c r="F25" s="208">
        <f>'[1]2011'!H19</f>
        <v>0</v>
      </c>
      <c r="G25" s="208">
        <f>'2011'!M19</f>
        <v>227.6</v>
      </c>
      <c r="H25" s="208">
        <f>'2011'!N19</f>
        <v>227.6</v>
      </c>
      <c r="I25" s="211">
        <f>'2011'!P19</f>
        <v>52.394000000000005</v>
      </c>
      <c r="J25" s="211">
        <f>'2011'!Q19</f>
        <v>15.64</v>
      </c>
      <c r="K25" s="211">
        <f>'2011'!R19</f>
        <v>330.78600000000006</v>
      </c>
      <c r="L25" s="207">
        <f>'2011'!S19+'2011'!T19+'2011'!U19</f>
        <v>0</v>
      </c>
      <c r="M25" s="207">
        <f>'2011'!AA19</f>
        <v>398.82000000000005</v>
      </c>
      <c r="N25" s="207">
        <f>'2011'!AB19</f>
        <v>-171.22000000000006</v>
      </c>
      <c r="O25" s="207">
        <f>'2011'!AC19</f>
        <v>-441</v>
      </c>
      <c r="P25" s="135"/>
      <c r="Q25" s="135"/>
    </row>
    <row r="26" spans="1:17" ht="12.75">
      <c r="A26" s="210" t="s">
        <v>35</v>
      </c>
      <c r="B26" s="67">
        <f>'2011'!B20</f>
        <v>78.2</v>
      </c>
      <c r="C26" s="67">
        <f>'2011'!C20</f>
        <v>668.6100000000001</v>
      </c>
      <c r="D26" s="67">
        <f>'2011'!D20</f>
        <v>0</v>
      </c>
      <c r="E26" s="206">
        <f>'2011'!I20</f>
        <v>668.6</v>
      </c>
      <c r="F26" s="208">
        <f>'[1]2011'!H20</f>
        <v>0</v>
      </c>
      <c r="G26" s="208">
        <f>'2011'!M20</f>
        <v>428.45000000000005</v>
      </c>
      <c r="H26" s="208">
        <f>'2011'!N20</f>
        <v>428.45000000000005</v>
      </c>
      <c r="I26" s="211">
        <f>'2011'!P20</f>
        <v>52.394000000000005</v>
      </c>
      <c r="J26" s="211">
        <f>'2011'!Q20</f>
        <v>15.64</v>
      </c>
      <c r="K26" s="211">
        <f>'2011'!R20</f>
        <v>330.78600000000006</v>
      </c>
      <c r="L26" s="207">
        <f>'2011'!S20+'2011'!T20+'2011'!U20</f>
        <v>0</v>
      </c>
      <c r="M26" s="207">
        <f>'2011'!AA20</f>
        <v>398.82000000000005</v>
      </c>
      <c r="N26" s="207">
        <f>'2011'!AB20</f>
        <v>29.629999999999995</v>
      </c>
      <c r="O26" s="207">
        <f>'2011'!AC20</f>
        <v>-240.14999999999998</v>
      </c>
      <c r="P26" s="135"/>
      <c r="Q26" s="135"/>
    </row>
    <row r="27" spans="1:17" ht="13.5" thickBot="1">
      <c r="A27" s="210" t="s">
        <v>36</v>
      </c>
      <c r="B27" s="67">
        <f>'2011'!B21</f>
        <v>78.2</v>
      </c>
      <c r="C27" s="67">
        <f>'2011'!C21</f>
        <v>668.6100000000001</v>
      </c>
      <c r="D27" s="67">
        <f>'2011'!D21</f>
        <v>0</v>
      </c>
      <c r="E27" s="206">
        <f>'2011'!I21</f>
        <v>668.6</v>
      </c>
      <c r="F27" s="208">
        <f>'[1]2011'!H21</f>
        <v>0</v>
      </c>
      <c r="G27" s="208">
        <f>'2011'!M21</f>
        <v>759.5899999999999</v>
      </c>
      <c r="H27" s="208">
        <f>'2011'!N21</f>
        <v>759.5899999999999</v>
      </c>
      <c r="I27" s="211">
        <f>'2011'!P21</f>
        <v>52.394000000000005</v>
      </c>
      <c r="J27" s="211">
        <f>'2011'!Q21</f>
        <v>15.64</v>
      </c>
      <c r="K27" s="211">
        <f>'2011'!R21</f>
        <v>330.78600000000006</v>
      </c>
      <c r="L27" s="207">
        <f>'2011'!S21+'2011'!T21+'2011'!U21</f>
        <v>0</v>
      </c>
      <c r="M27" s="207">
        <f>'2011'!AA21</f>
        <v>398.82000000000005</v>
      </c>
      <c r="N27" s="207">
        <f>'2011'!AB21</f>
        <v>360.76999999999987</v>
      </c>
      <c r="O27" s="207">
        <f>'2011'!AC21</f>
        <v>90.9899999999999</v>
      </c>
      <c r="P27" s="135"/>
      <c r="Q27" s="135"/>
    </row>
    <row r="28" spans="1:17" s="18" customFormat="1" ht="13.5" thickBot="1">
      <c r="A28" s="30" t="s">
        <v>5</v>
      </c>
      <c r="B28" s="31"/>
      <c r="C28" s="63">
        <f aca="true" t="shared" si="0" ref="C28:N28">SUM(C16:C27)</f>
        <v>6686.100000000002</v>
      </c>
      <c r="D28" s="63">
        <f t="shared" si="0"/>
        <v>0</v>
      </c>
      <c r="E28" s="63">
        <f t="shared" si="0"/>
        <v>6953.500000000002</v>
      </c>
      <c r="F28" s="63">
        <f t="shared" si="0"/>
        <v>0</v>
      </c>
      <c r="G28" s="63">
        <f t="shared" si="0"/>
        <v>5945.15</v>
      </c>
      <c r="H28" s="63">
        <f t="shared" si="0"/>
        <v>5945.15</v>
      </c>
      <c r="I28" s="63">
        <f t="shared" si="0"/>
        <v>628.7280000000001</v>
      </c>
      <c r="J28" s="63">
        <f t="shared" si="0"/>
        <v>187.67999999999995</v>
      </c>
      <c r="K28" s="63">
        <f t="shared" si="0"/>
        <v>3969.4320000000007</v>
      </c>
      <c r="L28" s="63">
        <f t="shared" si="0"/>
        <v>15192</v>
      </c>
      <c r="M28" s="63">
        <f t="shared" si="0"/>
        <v>19977.84</v>
      </c>
      <c r="N28" s="63">
        <f t="shared" si="0"/>
        <v>-14032.69</v>
      </c>
      <c r="O28" s="63">
        <f>SUM(O16:O27)</f>
        <v>-1008.3500000000003</v>
      </c>
      <c r="P28" s="60"/>
      <c r="Q28" s="60"/>
    </row>
    <row r="29" spans="1:17" ht="13.5" thickBot="1">
      <c r="A29" s="290" t="s">
        <v>62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12"/>
      <c r="P29" s="135"/>
      <c r="Q29" s="135"/>
    </row>
    <row r="30" spans="1:17" s="18" customFormat="1" ht="13.5" thickBot="1">
      <c r="A30" s="65" t="s">
        <v>47</v>
      </c>
      <c r="B30" s="33"/>
      <c r="C30" s="34">
        <f aca="true" t="shared" si="1" ref="C30:K30">C14+C28</f>
        <v>22920.420000000006</v>
      </c>
      <c r="D30" s="199">
        <f t="shared" si="1"/>
        <v>6217.37764545</v>
      </c>
      <c r="E30" s="33">
        <f t="shared" si="1"/>
        <v>15239.890000000001</v>
      </c>
      <c r="F30" s="34">
        <f t="shared" si="1"/>
        <v>331.83000000000004</v>
      </c>
      <c r="G30" s="199">
        <f t="shared" si="1"/>
        <v>13522.849999999999</v>
      </c>
      <c r="H30" s="34">
        <f t="shared" si="1"/>
        <v>20072.057645449997</v>
      </c>
      <c r="I30" s="199">
        <f t="shared" si="1"/>
        <v>1736.0400000000002</v>
      </c>
      <c r="J30" s="199">
        <f t="shared" si="1"/>
        <v>557.5997823999999</v>
      </c>
      <c r="K30" s="199">
        <f t="shared" si="1"/>
        <v>11754.5592239304</v>
      </c>
      <c r="L30" s="33">
        <f>L14+L28</f>
        <v>23771.5322</v>
      </c>
      <c r="M30" s="200">
        <f>M14+M28</f>
        <v>37819.7312063304</v>
      </c>
      <c r="N30" s="213">
        <f>N14+N28</f>
        <v>-17747.6735608804</v>
      </c>
      <c r="O30" s="213">
        <f>O14+O28</f>
        <v>-1717.0400000000004</v>
      </c>
      <c r="P30" s="61"/>
      <c r="Q30" s="60"/>
    </row>
    <row r="32" spans="1:17" ht="12.75">
      <c r="A32" s="18" t="s">
        <v>80</v>
      </c>
      <c r="D32" s="68" t="s">
        <v>102</v>
      </c>
      <c r="P32" s="135"/>
      <c r="Q32" s="135"/>
    </row>
    <row r="33" spans="1:17" ht="12.75">
      <c r="A33" s="144" t="s">
        <v>63</v>
      </c>
      <c r="B33" s="144" t="s">
        <v>64</v>
      </c>
      <c r="C33" s="351" t="s">
        <v>65</v>
      </c>
      <c r="D33" s="351"/>
      <c r="P33" s="135"/>
      <c r="Q33" s="135"/>
    </row>
    <row r="34" spans="1:17" ht="12.75">
      <c r="A34" s="94">
        <v>8314.81</v>
      </c>
      <c r="B34" s="94">
        <v>6835</v>
      </c>
      <c r="C34" s="352">
        <f>A34-B34</f>
        <v>1479.8099999999995</v>
      </c>
      <c r="D34" s="353"/>
      <c r="P34" s="135"/>
      <c r="Q34" s="135"/>
    </row>
    <row r="35" spans="1:17" ht="12.75">
      <c r="A35" s="214"/>
      <c r="P35" s="135"/>
      <c r="Q35" s="135"/>
    </row>
    <row r="36" spans="1:17" ht="12.75">
      <c r="A36" s="136" t="s">
        <v>68</v>
      </c>
      <c r="G36" s="136" t="s">
        <v>69</v>
      </c>
      <c r="P36" s="135"/>
      <c r="Q36" s="135"/>
    </row>
    <row r="37" ht="12.75">
      <c r="A37" s="135"/>
    </row>
    <row r="38" ht="12.75">
      <c r="A38" s="68" t="s">
        <v>103</v>
      </c>
    </row>
    <row r="39" ht="12.75">
      <c r="A39" s="136" t="s">
        <v>70</v>
      </c>
    </row>
  </sheetData>
  <sheetProtection/>
  <mergeCells count="25">
    <mergeCell ref="B1:H1"/>
    <mergeCell ref="B2:H2"/>
    <mergeCell ref="A5:N5"/>
    <mergeCell ref="A6:G6"/>
    <mergeCell ref="A8:D8"/>
    <mergeCell ref="E8:F8"/>
    <mergeCell ref="K11:K12"/>
    <mergeCell ref="L11:L12"/>
    <mergeCell ref="M11:M12"/>
    <mergeCell ref="A9:A12"/>
    <mergeCell ref="B9:B12"/>
    <mergeCell ref="C9:C12"/>
    <mergeCell ref="D9:D12"/>
    <mergeCell ref="E9:F10"/>
    <mergeCell ref="G9:H10"/>
    <mergeCell ref="A29:N29"/>
    <mergeCell ref="C33:D33"/>
    <mergeCell ref="C34:D34"/>
    <mergeCell ref="I9:M10"/>
    <mergeCell ref="N9:N12"/>
    <mergeCell ref="O9:O12"/>
    <mergeCell ref="E11:F11"/>
    <mergeCell ref="H11:H12"/>
    <mergeCell ref="I11:I12"/>
    <mergeCell ref="J11:J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2010-08-17T07:53:17Z</cp:lastPrinted>
  <dcterms:created xsi:type="dcterms:W3CDTF">2010-04-02T05:03:24Z</dcterms:created>
  <dcterms:modified xsi:type="dcterms:W3CDTF">2012-06-08T10:55:35Z</dcterms:modified>
  <cp:category/>
  <cp:version/>
  <cp:contentType/>
  <cp:contentStatus/>
</cp:coreProperties>
</file>