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7370" windowHeight="8955" activeTab="1"/>
  </bookViews>
  <sheets>
    <sheet name="Лист1" sheetId="1" r:id="rId1"/>
    <sheet name="для печат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<sst xmlns="http://schemas.openxmlformats.org/spreadsheetml/2006/main" count="166" uniqueCount="88">
  <si>
    <t>№ п/п</t>
  </si>
  <si>
    <t>Площадь</t>
  </si>
  <si>
    <t>Тариф 100 %</t>
  </si>
  <si>
    <t>Дотация</t>
  </si>
  <si>
    <t>НАЧИСЛЕНИЕ КВАРТПЛАТЫ</t>
  </si>
  <si>
    <t>ИТОГО</t>
  </si>
  <si>
    <t>СОБРАНО НАСЕЛЕНИЕМ</t>
  </si>
  <si>
    <t>Собрано всего (+льгота и дотация)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</si>
  <si>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</si>
  <si>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</si>
  <si>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</si>
  <si>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</si>
  <si>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</si>
  <si>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</si>
  <si>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</si>
  <si>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</si>
  <si>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</si>
  <si>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</si>
  <si>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</si>
  <si>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</si>
  <si>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</si>
  <si>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</si>
  <si>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</si>
  <si>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</si>
  <si>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</si>
  <si>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</si>
  <si>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</si>
  <si>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</si>
  <si>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</si>
  <si>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</si>
  <si>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</si>
  <si>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</si>
  <si>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</si>
  <si>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</si>
  <si>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2008 год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</si>
  <si>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</si>
  <si>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</si>
  <si>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</si>
  <si>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</si>
  <si>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</si>
  <si>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</si>
  <si>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</si>
  <si>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</si>
  <si>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</si>
  <si>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</si>
  <si>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</si>
  <si>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</si>
  <si>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</si>
  <si>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</si>
  <si>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</si>
  <si>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</si>
  <si>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</si>
  <si>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</si>
  <si>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</si>
  <si>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</si>
  <si>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</si>
  <si>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</si>
  <si>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</si>
  <si>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</si>
  <si>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</si>
  <si>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</si>
  <si>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</si>
  <si>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</si>
  <si>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на конец отчетного периода</t>
  </si>
  <si>
    <t>Собрано</t>
  </si>
  <si>
    <t>Списано</t>
  </si>
  <si>
    <t>Остаток на счете</t>
  </si>
  <si>
    <t>Доходы по нежил.помещениям</t>
  </si>
  <si>
    <t>Расходы по нежил. помещениям</t>
  </si>
  <si>
    <t>Директор ООО "Таштагольская управляющая компания"</t>
  </si>
  <si>
    <t>_______________________________/ С.С. Малыгин</t>
  </si>
  <si>
    <t>тел. 3-48-80</t>
  </si>
  <si>
    <t>Доп. работы по содержанию ТУК</t>
  </si>
  <si>
    <t>Тек. Ремонт ООО "УЖХ"</t>
  </si>
  <si>
    <t>Тек. Ремонт ООО "ТУК"</t>
  </si>
  <si>
    <t>Эл.энергия МОП</t>
  </si>
  <si>
    <t>норма часов горения</t>
  </si>
  <si>
    <t>кол-во кВт</t>
  </si>
  <si>
    <t>стоимость итого</t>
  </si>
  <si>
    <t>Собрано всего по жил.услугам</t>
  </si>
  <si>
    <t>Исп. Ю.С. Дмитриева</t>
  </si>
  <si>
    <t>Капитальный ремонт</t>
  </si>
  <si>
    <t>Собрано за содержание и тек.рем.</t>
  </si>
  <si>
    <t>Лицевой счет по адресу г. Таштагол, ул. Крылова, д. 17</t>
  </si>
  <si>
    <t>Выписка по лицевому счету по адресу г. Таштагол ул. Спортивная, д. 4</t>
  </si>
  <si>
    <t>2010 год</t>
  </si>
  <si>
    <t>*по состоянию на 01.01.2011 г.</t>
  </si>
  <si>
    <t>за период с октября 2008 г. по декабрь 2010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</si>
</sst>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</numFmts>
  <fonts count="43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3" fillId="0" borderId="0">
      <alignment horizontal="left" vertical="center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 horizontal="right" wrapText="1"/>
    </xf>
    <xf numFmtId="4" fontId="2" fillId="0" borderId="11" xfId="33" applyNumberFormat="1" applyFont="1" applyFill="1" applyBorder="1" applyAlignment="1">
      <alignment horizontal="right" vertical="center" wrapText="1"/>
      <protection/>
    </xf>
    <xf numFmtId="4" fontId="0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wrapText="1"/>
    </xf>
    <xf numFmtId="4" fontId="1" fillId="0" borderId="15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4" fontId="1" fillId="0" borderId="18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center" vertical="center" wrapText="1"/>
    </xf>
    <xf numFmtId="4" fontId="2" fillId="0" borderId="20" xfId="33" applyNumberFormat="1" applyFont="1" applyFill="1" applyBorder="1" applyAlignment="1">
      <alignment horizontal="right" vertical="center" wrapText="1"/>
      <protection/>
    </xf>
    <xf numFmtId="4" fontId="2" fillId="0" borderId="10" xfId="33" applyNumberFormat="1" applyFont="1" applyFill="1" applyBorder="1" applyAlignment="1">
      <alignment horizontal="right" vertical="center" wrapText="1"/>
      <protection/>
    </xf>
    <xf numFmtId="4" fontId="0" fillId="0" borderId="10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/>
    </xf>
    <xf numFmtId="4" fontId="2" fillId="0" borderId="22" xfId="33" applyNumberFormat="1" applyFont="1" applyFill="1" applyBorder="1" applyAlignment="1">
      <alignment horizontal="right" vertical="center" wrapText="1"/>
      <protection/>
    </xf>
    <xf numFmtId="0" fontId="1" fillId="0" borderId="23" xfId="0" applyFont="1" applyFill="1" applyBorder="1" applyAlignment="1">
      <alignment horizontal="right" vertical="center" wrapText="1"/>
    </xf>
    <xf numFmtId="4" fontId="1" fillId="0" borderId="24" xfId="0" applyNumberFormat="1" applyFont="1" applyFill="1" applyBorder="1" applyAlignment="1">
      <alignment horizontal="right" wrapText="1"/>
    </xf>
    <xf numFmtId="4" fontId="1" fillId="0" borderId="25" xfId="0" applyNumberFormat="1" applyFont="1" applyFill="1" applyBorder="1" applyAlignment="1">
      <alignment horizontal="right" wrapText="1"/>
    </xf>
    <xf numFmtId="4" fontId="1" fillId="0" borderId="23" xfId="0" applyNumberFormat="1" applyFont="1" applyFill="1" applyBorder="1" applyAlignment="1">
      <alignment horizontal="right"/>
    </xf>
    <xf numFmtId="4" fontId="1" fillId="0" borderId="24" xfId="0" applyNumberFormat="1" applyFont="1" applyFill="1" applyBorder="1" applyAlignment="1">
      <alignment horizontal="right"/>
    </xf>
    <xf numFmtId="4" fontId="1" fillId="0" borderId="26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 wrapText="1"/>
    </xf>
    <xf numFmtId="4" fontId="2" fillId="0" borderId="19" xfId="33" applyNumberFormat="1" applyFont="1" applyFill="1" applyBorder="1" applyAlignment="1">
      <alignment horizontal="right" vertical="center" wrapText="1"/>
      <protection/>
    </xf>
    <xf numFmtId="4" fontId="2" fillId="0" borderId="12" xfId="33" applyNumberFormat="1" applyFont="1" applyFill="1" applyBorder="1" applyAlignment="1">
      <alignment horizontal="right" vertical="center" wrapText="1"/>
      <protection/>
    </xf>
    <xf numFmtId="4" fontId="0" fillId="0" borderId="13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0" fontId="1" fillId="33" borderId="11" xfId="0" applyFont="1" applyFill="1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4" fontId="1" fillId="33" borderId="17" xfId="0" applyNumberFormat="1" applyFont="1" applyFill="1" applyBorder="1" applyAlignment="1">
      <alignment horizontal="right"/>
    </xf>
    <xf numFmtId="0" fontId="1" fillId="34" borderId="11" xfId="0" applyFont="1" applyFill="1" applyBorder="1" applyAlignment="1">
      <alignment horizontal="center" vertical="center" wrapText="1"/>
    </xf>
    <xf numFmtId="4" fontId="0" fillId="34" borderId="11" xfId="0" applyNumberFormat="1" applyFont="1" applyFill="1" applyBorder="1" applyAlignment="1">
      <alignment horizontal="center"/>
    </xf>
    <xf numFmtId="4" fontId="1" fillId="34" borderId="17" xfId="0" applyNumberFormat="1" applyFont="1" applyFill="1" applyBorder="1" applyAlignment="1">
      <alignment horizontal="right"/>
    </xf>
    <xf numFmtId="4" fontId="0" fillId="34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 vertical="center" wrapText="1"/>
    </xf>
    <xf numFmtId="4" fontId="1" fillId="33" borderId="11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wrapText="1"/>
    </xf>
    <xf numFmtId="4" fontId="2" fillId="0" borderId="11" xfId="33" applyNumberFormat="1" applyFont="1" applyFill="1" applyBorder="1" applyAlignment="1">
      <alignment vertical="center" wrapText="1"/>
      <protection/>
    </xf>
    <xf numFmtId="4" fontId="1" fillId="0" borderId="11" xfId="0" applyNumberFormat="1" applyFont="1" applyFill="1" applyBorder="1" applyAlignment="1">
      <alignment wrapText="1"/>
    </xf>
    <xf numFmtId="4" fontId="1" fillId="34" borderId="11" xfId="0" applyNumberFormat="1" applyFont="1" applyFill="1" applyBorder="1" applyAlignment="1">
      <alignment wrapText="1"/>
    </xf>
    <xf numFmtId="0" fontId="0" fillId="34" borderId="11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horizontal="center" textRotation="90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textRotation="90"/>
    </xf>
    <xf numFmtId="4" fontId="1" fillId="0" borderId="29" xfId="0" applyNumberFormat="1" applyFont="1" applyFill="1" applyBorder="1" applyAlignment="1">
      <alignment horizontal="right" wrapText="1"/>
    </xf>
    <xf numFmtId="4" fontId="1" fillId="0" borderId="26" xfId="0" applyNumberFormat="1" applyFont="1" applyFill="1" applyBorder="1" applyAlignment="1">
      <alignment horizontal="right" wrapText="1"/>
    </xf>
    <xf numFmtId="4" fontId="1" fillId="0" borderId="11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/>
    </xf>
    <xf numFmtId="4" fontId="0" fillId="0" borderId="31" xfId="0" applyNumberFormat="1" applyFont="1" applyFill="1" applyBorder="1" applyAlignment="1">
      <alignment horizontal="right"/>
    </xf>
    <xf numFmtId="4" fontId="1" fillId="0" borderId="32" xfId="0" applyNumberFormat="1" applyFont="1" applyFill="1" applyBorder="1" applyAlignment="1">
      <alignment horizontal="right" wrapText="1"/>
    </xf>
    <xf numFmtId="0" fontId="1" fillId="0" borderId="30" xfId="0" applyFont="1" applyFill="1" applyBorder="1" applyAlignment="1">
      <alignment horizontal="center" vertical="center" wrapText="1"/>
    </xf>
    <xf numFmtId="4" fontId="1" fillId="0" borderId="32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horizontal="right"/>
    </xf>
    <xf numFmtId="4" fontId="0" fillId="0" borderId="33" xfId="0" applyNumberFormat="1" applyFont="1" applyFill="1" applyBorder="1" applyAlignment="1">
      <alignment/>
    </xf>
    <xf numFmtId="0" fontId="1" fillId="0" borderId="23" xfId="0" applyFont="1" applyFill="1" applyBorder="1" applyAlignment="1">
      <alignment horizontal="left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2" fontId="0" fillId="0" borderId="15" xfId="0" applyNumberFormat="1" applyBorder="1" applyAlignment="1">
      <alignment horizont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wrapText="1"/>
    </xf>
    <xf numFmtId="4" fontId="0" fillId="0" borderId="11" xfId="0" applyNumberFormat="1" applyFont="1" applyFill="1" applyBorder="1" applyAlignment="1">
      <alignment horizontal="center"/>
    </xf>
    <xf numFmtId="4" fontId="0" fillId="0" borderId="34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/>
    </xf>
    <xf numFmtId="4" fontId="1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 horizontal="right"/>
    </xf>
    <xf numFmtId="4" fontId="1" fillId="34" borderId="11" xfId="0" applyNumberFormat="1" applyFont="1" applyFill="1" applyBorder="1" applyAlignment="1">
      <alignment horizontal="right" wrapText="1"/>
    </xf>
    <xf numFmtId="4" fontId="1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2" fillId="0" borderId="35" xfId="33" applyNumberFormat="1" applyFont="1" applyFill="1" applyBorder="1" applyAlignment="1">
      <alignment horizontal="center" vertical="center" wrapText="1"/>
      <protection/>
    </xf>
    <xf numFmtId="4" fontId="0" fillId="0" borderId="11" xfId="0" applyNumberFormat="1" applyFont="1" applyBorder="1" applyAlignment="1">
      <alignment horizontal="center"/>
    </xf>
    <xf numFmtId="4" fontId="0" fillId="35" borderId="15" xfId="0" applyNumberFormat="1" applyFont="1" applyFill="1" applyBorder="1" applyAlignment="1">
      <alignment horizontal="center"/>
    </xf>
    <xf numFmtId="4" fontId="0" fillId="34" borderId="20" xfId="0" applyNumberFormat="1" applyFont="1" applyFill="1" applyBorder="1" applyAlignment="1">
      <alignment/>
    </xf>
    <xf numFmtId="4" fontId="0" fillId="0" borderId="20" xfId="0" applyNumberFormat="1" applyFont="1" applyBorder="1" applyAlignment="1">
      <alignment horizontal="center"/>
    </xf>
    <xf numFmtId="4" fontId="0" fillId="36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2" fontId="1" fillId="0" borderId="36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0" borderId="11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4" fontId="0" fillId="37" borderId="11" xfId="0" applyNumberFormat="1" applyFont="1" applyFill="1" applyBorder="1" applyAlignment="1">
      <alignment/>
    </xf>
    <xf numFmtId="4" fontId="2" fillId="0" borderId="34" xfId="33" applyNumberFormat="1" applyFont="1" applyFill="1" applyBorder="1" applyAlignment="1">
      <alignment horizontal="center" vertical="center" wrapText="1"/>
      <protection/>
    </xf>
    <xf numFmtId="4" fontId="0" fillId="0" borderId="11" xfId="0" applyNumberFormat="1" applyFill="1" applyBorder="1" applyAlignment="1">
      <alignment horizontal="center"/>
    </xf>
    <xf numFmtId="165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/>
    </xf>
    <xf numFmtId="0" fontId="0" fillId="0" borderId="15" xfId="0" applyBorder="1" applyAlignment="1">
      <alignment/>
    </xf>
    <xf numFmtId="4" fontId="0" fillId="0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4" fontId="0" fillId="34" borderId="20" xfId="0" applyNumberFormat="1" applyFont="1" applyFill="1" applyBorder="1" applyAlignment="1">
      <alignment/>
    </xf>
    <xf numFmtId="4" fontId="0" fillId="38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0" fontId="0" fillId="0" borderId="15" xfId="0" applyBorder="1" applyAlignment="1">
      <alignment horizontal="center"/>
    </xf>
    <xf numFmtId="4" fontId="2" fillId="0" borderId="10" xfId="33" applyNumberFormat="1" applyFont="1" applyFill="1" applyBorder="1" applyAlignment="1">
      <alignment horizontal="center" vertical="center" wrapText="1"/>
      <protection/>
    </xf>
    <xf numFmtId="43" fontId="2" fillId="34" borderId="11" xfId="60" applyFont="1" applyFill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" fontId="0" fillId="34" borderId="37" xfId="0" applyNumberFormat="1" applyFont="1" applyFill="1" applyBorder="1" applyAlignment="1">
      <alignment/>
    </xf>
    <xf numFmtId="4" fontId="0" fillId="38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4" fontId="2" fillId="0" borderId="38" xfId="33" applyNumberFormat="1" applyFont="1" applyFill="1" applyBorder="1" applyAlignment="1">
      <alignment horizontal="center" vertical="center" wrapText="1"/>
      <protection/>
    </xf>
    <xf numFmtId="4" fontId="0" fillId="0" borderId="34" xfId="0" applyNumberFormat="1" applyFont="1" applyBorder="1" applyAlignment="1">
      <alignment horizontal="center"/>
    </xf>
    <xf numFmtId="4" fontId="0" fillId="37" borderId="11" xfId="0" applyNumberFormat="1" applyFont="1" applyFill="1" applyBorder="1" applyAlignment="1">
      <alignment/>
    </xf>
    <xf numFmtId="0" fontId="0" fillId="0" borderId="20" xfId="0" applyBorder="1" applyAlignment="1">
      <alignment horizontal="center"/>
    </xf>
    <xf numFmtId="4" fontId="2" fillId="0" borderId="11" xfId="33" applyNumberFormat="1" applyFont="1" applyFill="1" applyBorder="1" applyAlignment="1">
      <alignment horizontal="center" vertical="center" wrapText="1"/>
      <protection/>
    </xf>
    <xf numFmtId="43" fontId="2" fillId="34" borderId="13" xfId="60" applyFont="1" applyFill="1" applyBorder="1" applyAlignment="1">
      <alignment vertical="center" wrapText="1"/>
    </xf>
    <xf numFmtId="0" fontId="0" fillId="0" borderId="34" xfId="0" applyBorder="1" applyAlignment="1">
      <alignment horizontal="right"/>
    </xf>
    <xf numFmtId="0" fontId="0" fillId="0" borderId="11" xfId="0" applyBorder="1" applyAlignment="1">
      <alignment horizontal="right"/>
    </xf>
    <xf numFmtId="4" fontId="0" fillId="0" borderId="20" xfId="0" applyNumberFormat="1" applyFont="1" applyBorder="1" applyAlignment="1">
      <alignment horizontal="right"/>
    </xf>
    <xf numFmtId="4" fontId="0" fillId="34" borderId="20" xfId="0" applyNumberFormat="1" applyFont="1" applyFill="1" applyBorder="1" applyAlignment="1">
      <alignment horizontal="right"/>
    </xf>
    <xf numFmtId="4" fontId="0" fillId="36" borderId="11" xfId="0" applyNumberFormat="1" applyFont="1" applyFill="1" applyBorder="1" applyAlignment="1">
      <alignment/>
    </xf>
    <xf numFmtId="43" fontId="2" fillId="34" borderId="13" xfId="60" applyFont="1" applyFill="1" applyBorder="1" applyAlignment="1">
      <alignment horizontal="center" vertical="center" wrapText="1"/>
    </xf>
    <xf numFmtId="4" fontId="0" fillId="34" borderId="37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center" vertical="center"/>
    </xf>
    <xf numFmtId="4" fontId="0" fillId="35" borderId="15" xfId="0" applyNumberFormat="1" applyFont="1" applyFill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/>
    </xf>
    <xf numFmtId="4" fontId="0" fillId="0" borderId="12" xfId="0" applyNumberFormat="1" applyFont="1" applyFill="1" applyBorder="1" applyAlignment="1">
      <alignment horizontal="center"/>
    </xf>
    <xf numFmtId="4" fontId="0" fillId="35" borderId="14" xfId="0" applyNumberFormat="1" applyFont="1" applyFill="1" applyBorder="1" applyAlignment="1">
      <alignment horizontal="center"/>
    </xf>
    <xf numFmtId="4" fontId="0" fillId="0" borderId="34" xfId="0" applyNumberFormat="1" applyFont="1" applyFill="1" applyBorder="1" applyAlignment="1">
      <alignment/>
    </xf>
    <xf numFmtId="4" fontId="3" fillId="0" borderId="15" xfId="33" applyNumberFormat="1" applyFont="1" applyBorder="1" applyAlignment="1">
      <alignment horizontal="center" vertical="center" wrapText="1"/>
      <protection/>
    </xf>
    <xf numFmtId="2" fontId="0" fillId="0" borderId="11" xfId="0" applyNumberFormat="1" applyFont="1" applyBorder="1" applyAlignment="1">
      <alignment horizontal="center"/>
    </xf>
    <xf numFmtId="4" fontId="3" fillId="0" borderId="20" xfId="33" applyNumberFormat="1" applyFont="1" applyBorder="1" applyAlignment="1">
      <alignment horizontal="center" vertical="center" wrapText="1"/>
      <protection/>
    </xf>
    <xf numFmtId="4" fontId="3" fillId="0" borderId="11" xfId="33" applyNumberFormat="1" applyFont="1" applyBorder="1" applyAlignment="1">
      <alignment horizontal="center" vertical="center" wrapText="1"/>
      <protection/>
    </xf>
    <xf numFmtId="43" fontId="2" fillId="34" borderId="31" xfId="60" applyFont="1" applyFill="1" applyBorder="1" applyAlignment="1">
      <alignment vertical="center" wrapText="1"/>
    </xf>
    <xf numFmtId="4" fontId="0" fillId="35" borderId="20" xfId="0" applyNumberFormat="1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2" fontId="1" fillId="34" borderId="11" xfId="0" applyNumberFormat="1" applyFont="1" applyFill="1" applyBorder="1" applyAlignment="1">
      <alignment horizontal="center" vertical="center" wrapText="1"/>
    </xf>
    <xf numFmtId="2" fontId="1" fillId="34" borderId="17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textRotation="90"/>
    </xf>
    <xf numFmtId="0" fontId="1" fillId="33" borderId="17" xfId="0" applyFont="1" applyFill="1" applyBorder="1" applyAlignment="1">
      <alignment horizontal="center" textRotation="90"/>
    </xf>
    <xf numFmtId="2" fontId="1" fillId="0" borderId="29" xfId="0" applyNumberFormat="1" applyFont="1" applyFill="1" applyBorder="1" applyAlignment="1">
      <alignment horizontal="center" vertical="center" wrapText="1"/>
    </xf>
    <xf numFmtId="2" fontId="1" fillId="0" borderId="40" xfId="0" applyNumberFormat="1" applyFont="1" applyFill="1" applyBorder="1" applyAlignment="1">
      <alignment horizontal="center" vertical="center" wrapText="1"/>
    </xf>
    <xf numFmtId="2" fontId="1" fillId="0" borderId="4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36" borderId="27" xfId="0" applyNumberFormat="1" applyFont="1" applyFill="1" applyBorder="1" applyAlignment="1">
      <alignment horizontal="center" vertical="center" wrapText="1"/>
    </xf>
    <xf numFmtId="2" fontId="1" fillId="36" borderId="42" xfId="0" applyNumberFormat="1" applyFont="1" applyFill="1" applyBorder="1" applyAlignment="1">
      <alignment horizontal="center" vertical="center" wrapText="1"/>
    </xf>
    <xf numFmtId="2" fontId="1" fillId="36" borderId="43" xfId="0" applyNumberFormat="1" applyFont="1" applyFill="1" applyBorder="1" applyAlignment="1">
      <alignment horizontal="center" vertical="center" wrapText="1"/>
    </xf>
    <xf numFmtId="2" fontId="1" fillId="36" borderId="36" xfId="0" applyNumberFormat="1" applyFont="1" applyFill="1" applyBorder="1" applyAlignment="1">
      <alignment horizontal="center" vertical="center" wrapText="1"/>
    </xf>
    <xf numFmtId="2" fontId="1" fillId="33" borderId="43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6" fillId="34" borderId="43" xfId="0" applyNumberFormat="1" applyFont="1" applyFill="1" applyBorder="1" applyAlignment="1">
      <alignment horizontal="center" vertical="center" wrapText="1"/>
    </xf>
    <xf numFmtId="2" fontId="6" fillId="34" borderId="44" xfId="0" applyNumberFormat="1" applyFont="1" applyFill="1" applyBorder="1" applyAlignment="1">
      <alignment horizontal="center" vertical="center" wrapText="1"/>
    </xf>
    <xf numFmtId="2" fontId="6" fillId="34" borderId="36" xfId="0" applyNumberFormat="1" applyFont="1" applyFill="1" applyBorder="1" applyAlignment="1">
      <alignment horizontal="center" vertical="center" wrapText="1"/>
    </xf>
    <xf numFmtId="2" fontId="1" fillId="0" borderId="45" xfId="0" applyNumberFormat="1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33" borderId="45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4" borderId="45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2" fontId="1" fillId="34" borderId="43" xfId="0" applyNumberFormat="1" applyFont="1" applyFill="1" applyBorder="1" applyAlignment="1">
      <alignment horizontal="center" vertical="center" wrapText="1"/>
    </xf>
    <xf numFmtId="2" fontId="1" fillId="34" borderId="44" xfId="0" applyNumberFormat="1" applyFont="1" applyFill="1" applyBorder="1" applyAlignment="1">
      <alignment horizontal="center" vertical="center" wrapText="1"/>
    </xf>
    <xf numFmtId="2" fontId="1" fillId="34" borderId="36" xfId="0" applyNumberFormat="1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2" fontId="1" fillId="33" borderId="47" xfId="0" applyNumberFormat="1" applyFont="1" applyFill="1" applyBorder="1" applyAlignment="1">
      <alignment horizontal="center" vertical="center" wrapText="1"/>
    </xf>
    <xf numFmtId="2" fontId="1" fillId="33" borderId="48" xfId="0" applyNumberFormat="1" applyFont="1" applyFill="1" applyBorder="1" applyAlignment="1">
      <alignment horizontal="center" vertical="center" wrapText="1"/>
    </xf>
    <xf numFmtId="2" fontId="1" fillId="0" borderId="49" xfId="0" applyNumberFormat="1" applyFont="1" applyFill="1" applyBorder="1" applyAlignment="1">
      <alignment horizontal="center" vertical="center" wrapText="1"/>
    </xf>
    <xf numFmtId="2" fontId="1" fillId="0" borderId="50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" fontId="1" fillId="0" borderId="45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0" fontId="1" fillId="33" borderId="45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left"/>
    </xf>
    <xf numFmtId="0" fontId="1" fillId="0" borderId="53" xfId="0" applyFont="1" applyFill="1" applyBorder="1" applyAlignment="1">
      <alignment horizontal="left"/>
    </xf>
    <xf numFmtId="2" fontId="0" fillId="0" borderId="20" xfId="0" applyNumberFormat="1" applyFont="1" applyFill="1" applyBorder="1" applyAlignment="1">
      <alignment horizontal="center"/>
    </xf>
    <xf numFmtId="2" fontId="0" fillId="0" borderId="34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2" fontId="1" fillId="0" borderId="28" xfId="0" applyNumberFormat="1" applyFont="1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4" fontId="1" fillId="0" borderId="45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27" xfId="0" applyNumberFormat="1" applyFont="1" applyFill="1" applyBorder="1" applyAlignment="1">
      <alignment horizontal="center" vertical="center" textRotation="90" wrapText="1"/>
    </xf>
    <xf numFmtId="4" fontId="1" fillId="0" borderId="55" xfId="0" applyNumberFormat="1" applyFont="1" applyFill="1" applyBorder="1" applyAlignment="1">
      <alignment horizontal="center" vertical="center" textRotation="90" wrapText="1"/>
    </xf>
    <xf numFmtId="4" fontId="1" fillId="0" borderId="20" xfId="0" applyNumberFormat="1" applyFont="1" applyFill="1" applyBorder="1" applyAlignment="1">
      <alignment horizontal="center" vertical="center" textRotation="90" wrapText="1"/>
    </xf>
    <xf numFmtId="4" fontId="1" fillId="0" borderId="22" xfId="0" applyNumberFormat="1" applyFont="1" applyFill="1" applyBorder="1" applyAlignment="1">
      <alignment horizontal="center" vertical="center" textRotation="90" wrapText="1"/>
    </xf>
    <xf numFmtId="4" fontId="1" fillId="0" borderId="51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21" xfId="0" applyNumberFormat="1" applyFont="1" applyFill="1" applyBorder="1" applyAlignment="1">
      <alignment horizontal="center" vertical="center" textRotation="90" wrapText="1"/>
    </xf>
    <xf numFmtId="2" fontId="1" fillId="0" borderId="51" xfId="0" applyNumberFormat="1" applyFont="1" applyFill="1" applyBorder="1" applyAlignment="1">
      <alignment horizontal="center" vertical="center" wrapText="1"/>
    </xf>
    <xf numFmtId="2" fontId="1" fillId="0" borderId="46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2" fontId="1" fillId="0" borderId="27" xfId="0" applyNumberFormat="1" applyFont="1" applyFill="1" applyBorder="1" applyAlignment="1">
      <alignment horizontal="center" vertical="center" textRotation="90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wrapText="1"/>
    </xf>
    <xf numFmtId="0" fontId="1" fillId="0" borderId="59" xfId="0" applyFont="1" applyFill="1" applyBorder="1" applyAlignment="1">
      <alignment horizontal="center" wrapText="1"/>
    </xf>
    <xf numFmtId="0" fontId="1" fillId="0" borderId="61" xfId="0" applyFont="1" applyFill="1" applyBorder="1" applyAlignment="1">
      <alignment horizontal="center" wrapText="1"/>
    </xf>
    <xf numFmtId="0" fontId="1" fillId="0" borderId="6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6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4"/>
  <sheetViews>
    <sheetView zoomScalePageLayoutView="0" workbookViewId="0" topLeftCell="A1">
      <pane xSplit="2" ySplit="7" topLeftCell="AH2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41" sqref="B41:AT41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0.125" style="2" customWidth="1"/>
    <col min="4" max="4" width="10.375" style="2" customWidth="1"/>
    <col min="5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4" width="9.125" style="2" customWidth="1"/>
    <col min="15" max="15" width="10.125" style="2" bestFit="1" customWidth="1"/>
    <col min="16" max="16" width="10.125" style="2" customWidth="1"/>
    <col min="17" max="18" width="9.125" style="2" customWidth="1"/>
    <col min="19" max="19" width="10.625" style="2" customWidth="1"/>
    <col min="20" max="20" width="10.125" style="2" customWidth="1"/>
    <col min="21" max="21" width="9.125" style="2" customWidth="1"/>
    <col min="22" max="22" width="10.125" style="2" bestFit="1" customWidth="1"/>
    <col min="23" max="23" width="11.375" style="2" customWidth="1"/>
    <col min="24" max="24" width="9.25390625" style="2" bestFit="1" customWidth="1"/>
    <col min="25" max="25" width="10.25390625" style="2" customWidth="1"/>
    <col min="26" max="30" width="9.25390625" style="2" bestFit="1" customWidth="1"/>
    <col min="31" max="31" width="10.125" style="2" bestFit="1" customWidth="1"/>
    <col min="32" max="34" width="9.25390625" style="2" bestFit="1" customWidth="1"/>
    <col min="35" max="36" width="9.25390625" style="2" customWidth="1"/>
    <col min="37" max="37" width="10.125" style="2" bestFit="1" customWidth="1"/>
    <col min="38" max="38" width="10.125" style="2" customWidth="1"/>
    <col min="39" max="39" width="9.25390625" style="2" bestFit="1" customWidth="1"/>
    <col min="40" max="41" width="9.25390625" style="2" customWidth="1"/>
    <col min="42" max="42" width="10.625" style="2" customWidth="1"/>
    <col min="43" max="44" width="10.125" style="2" bestFit="1" customWidth="1"/>
    <col min="45" max="46" width="10.375" style="2" customWidth="1"/>
    <col min="47" max="47" width="10.75390625" style="2" customWidth="1"/>
    <col min="48" max="48" width="14.00390625" style="2" customWidth="1"/>
    <col min="49" max="16384" width="9.125" style="2" customWidth="1"/>
  </cols>
  <sheetData>
    <row r="1" spans="1:14" ht="21" customHeight="1">
      <c r="A1" s="192" t="s">
        <v>83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</row>
    <row r="2" spans="1:14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</row>
    <row r="3" spans="1:48" ht="13.5" customHeight="1">
      <c r="A3" s="193" t="s">
        <v>0</v>
      </c>
      <c r="B3" s="196" t="s">
        <v>1</v>
      </c>
      <c r="C3" s="196" t="s">
        <v>2</v>
      </c>
      <c r="D3" s="196" t="s">
        <v>3</v>
      </c>
      <c r="E3" s="199" t="s">
        <v>4</v>
      </c>
      <c r="F3" s="199"/>
      <c r="G3" s="199"/>
      <c r="H3" s="199"/>
      <c r="I3" s="199"/>
      <c r="J3" s="199"/>
      <c r="K3" s="199"/>
      <c r="L3" s="199"/>
      <c r="M3" s="199"/>
      <c r="N3" s="199"/>
      <c r="O3" s="177" t="s">
        <v>5</v>
      </c>
      <c r="P3" s="177"/>
      <c r="Q3" s="179" t="s">
        <v>6</v>
      </c>
      <c r="R3" s="179"/>
      <c r="S3" s="179"/>
      <c r="T3" s="179"/>
      <c r="U3" s="179"/>
      <c r="V3" s="179"/>
      <c r="W3" s="181" t="s">
        <v>79</v>
      </c>
      <c r="X3" s="170" t="s">
        <v>67</v>
      </c>
      <c r="Y3" s="173" t="s">
        <v>8</v>
      </c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89" t="s">
        <v>68</v>
      </c>
      <c r="AU3" s="174" t="s">
        <v>9</v>
      </c>
      <c r="AV3" s="184" t="s">
        <v>10</v>
      </c>
    </row>
    <row r="4" spans="1:48" ht="36" customHeight="1" thickBot="1">
      <c r="A4" s="194"/>
      <c r="B4" s="197"/>
      <c r="C4" s="197"/>
      <c r="D4" s="197"/>
      <c r="E4" s="178" t="s">
        <v>11</v>
      </c>
      <c r="F4" s="178"/>
      <c r="G4" s="178" t="s">
        <v>12</v>
      </c>
      <c r="H4" s="178"/>
      <c r="I4" s="178" t="s">
        <v>13</v>
      </c>
      <c r="J4" s="178"/>
      <c r="K4" s="178" t="s">
        <v>14</v>
      </c>
      <c r="L4" s="178"/>
      <c r="M4" s="178" t="s">
        <v>15</v>
      </c>
      <c r="N4" s="178"/>
      <c r="O4" s="178"/>
      <c r="P4" s="178"/>
      <c r="Q4" s="180"/>
      <c r="R4" s="180"/>
      <c r="S4" s="180"/>
      <c r="T4" s="180"/>
      <c r="U4" s="180"/>
      <c r="V4" s="180"/>
      <c r="W4" s="182"/>
      <c r="X4" s="171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90"/>
      <c r="AU4" s="175"/>
      <c r="AV4" s="185"/>
    </row>
    <row r="5" spans="1:48" ht="29.25" customHeight="1" thickBot="1">
      <c r="A5" s="194"/>
      <c r="B5" s="197"/>
      <c r="C5" s="197"/>
      <c r="D5" s="197"/>
      <c r="E5" s="157" t="s">
        <v>16</v>
      </c>
      <c r="F5" s="157" t="s">
        <v>17</v>
      </c>
      <c r="G5" s="157" t="s">
        <v>16</v>
      </c>
      <c r="H5" s="157" t="s">
        <v>17</v>
      </c>
      <c r="I5" s="157" t="s">
        <v>16</v>
      </c>
      <c r="J5" s="157" t="s">
        <v>17</v>
      </c>
      <c r="K5" s="157" t="s">
        <v>16</v>
      </c>
      <c r="L5" s="157" t="s">
        <v>17</v>
      </c>
      <c r="M5" s="157" t="s">
        <v>16</v>
      </c>
      <c r="N5" s="157" t="s">
        <v>17</v>
      </c>
      <c r="O5" s="157" t="s">
        <v>16</v>
      </c>
      <c r="P5" s="157" t="s">
        <v>17</v>
      </c>
      <c r="Q5" s="155" t="s">
        <v>18</v>
      </c>
      <c r="R5" s="155" t="s">
        <v>19</v>
      </c>
      <c r="S5" s="155" t="s">
        <v>20</v>
      </c>
      <c r="T5" s="155" t="s">
        <v>21</v>
      </c>
      <c r="U5" s="155" t="s">
        <v>22</v>
      </c>
      <c r="V5" s="155" t="s">
        <v>23</v>
      </c>
      <c r="W5" s="182"/>
      <c r="X5" s="171"/>
      <c r="Y5" s="162" t="s">
        <v>24</v>
      </c>
      <c r="Z5" s="162" t="s">
        <v>25</v>
      </c>
      <c r="AA5" s="162" t="s">
        <v>26</v>
      </c>
      <c r="AB5" s="162" t="s">
        <v>27</v>
      </c>
      <c r="AC5" s="162" t="s">
        <v>28</v>
      </c>
      <c r="AD5" s="162" t="s">
        <v>27</v>
      </c>
      <c r="AE5" s="162" t="s">
        <v>29</v>
      </c>
      <c r="AF5" s="162" t="s">
        <v>27</v>
      </c>
      <c r="AG5" s="162" t="s">
        <v>30</v>
      </c>
      <c r="AH5" s="162" t="s">
        <v>27</v>
      </c>
      <c r="AI5" s="164" t="s">
        <v>72</v>
      </c>
      <c r="AJ5" s="166" t="s">
        <v>27</v>
      </c>
      <c r="AK5" s="187" t="s">
        <v>73</v>
      </c>
      <c r="AL5" s="168" t="s">
        <v>74</v>
      </c>
      <c r="AM5" s="168" t="s">
        <v>27</v>
      </c>
      <c r="AN5" s="159" t="s">
        <v>75</v>
      </c>
      <c r="AO5" s="160"/>
      <c r="AP5" s="161"/>
      <c r="AQ5" s="162" t="s">
        <v>32</v>
      </c>
      <c r="AR5" s="162" t="s">
        <v>27</v>
      </c>
      <c r="AS5" s="162" t="s">
        <v>33</v>
      </c>
      <c r="AT5" s="190"/>
      <c r="AU5" s="175"/>
      <c r="AV5" s="185"/>
    </row>
    <row r="6" spans="1:48" ht="54" customHeight="1" thickBot="1">
      <c r="A6" s="195"/>
      <c r="B6" s="198"/>
      <c r="C6" s="198"/>
      <c r="D6" s="19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6"/>
      <c r="R6" s="156"/>
      <c r="S6" s="156"/>
      <c r="T6" s="156"/>
      <c r="U6" s="156"/>
      <c r="V6" s="156"/>
      <c r="W6" s="183"/>
      <c r="X6" s="172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5"/>
      <c r="AJ6" s="167"/>
      <c r="AK6" s="188"/>
      <c r="AL6" s="169"/>
      <c r="AM6" s="169"/>
      <c r="AN6" s="101" t="s">
        <v>76</v>
      </c>
      <c r="AO6" s="101" t="s">
        <v>77</v>
      </c>
      <c r="AP6" s="101" t="s">
        <v>78</v>
      </c>
      <c r="AQ6" s="163"/>
      <c r="AR6" s="163"/>
      <c r="AS6" s="163"/>
      <c r="AT6" s="191"/>
      <c r="AU6" s="176"/>
      <c r="AV6" s="186"/>
    </row>
    <row r="7" spans="1:48" ht="12.75">
      <c r="A7" s="7">
        <v>1</v>
      </c>
      <c r="B7" s="8">
        <v>2</v>
      </c>
      <c r="C7" s="7">
        <v>3</v>
      </c>
      <c r="D7" s="8">
        <v>4</v>
      </c>
      <c r="E7" s="7">
        <v>5</v>
      </c>
      <c r="F7" s="8">
        <v>6</v>
      </c>
      <c r="G7" s="7">
        <v>7</v>
      </c>
      <c r="H7" s="8">
        <v>8</v>
      </c>
      <c r="I7" s="7">
        <v>9</v>
      </c>
      <c r="J7" s="8">
        <v>10</v>
      </c>
      <c r="K7" s="7">
        <v>11</v>
      </c>
      <c r="L7" s="8">
        <v>12</v>
      </c>
      <c r="M7" s="7">
        <v>13</v>
      </c>
      <c r="N7" s="8">
        <v>14</v>
      </c>
      <c r="O7" s="7">
        <v>15</v>
      </c>
      <c r="P7" s="8">
        <v>16</v>
      </c>
      <c r="Q7" s="7">
        <v>17</v>
      </c>
      <c r="R7" s="8">
        <v>18</v>
      </c>
      <c r="S7" s="7">
        <v>19</v>
      </c>
      <c r="T7" s="8">
        <v>20</v>
      </c>
      <c r="U7" s="7">
        <v>21</v>
      </c>
      <c r="V7" s="8">
        <v>22</v>
      </c>
      <c r="W7" s="7">
        <v>23</v>
      </c>
      <c r="X7" s="8">
        <v>24</v>
      </c>
      <c r="Y7" s="7">
        <v>25</v>
      </c>
      <c r="Z7" s="8">
        <v>26</v>
      </c>
      <c r="AA7" s="7">
        <v>27</v>
      </c>
      <c r="AB7" s="8">
        <v>28</v>
      </c>
      <c r="AC7" s="7">
        <v>29</v>
      </c>
      <c r="AD7" s="8">
        <v>30</v>
      </c>
      <c r="AE7" s="7">
        <v>31</v>
      </c>
      <c r="AF7" s="8">
        <v>32</v>
      </c>
      <c r="AG7" s="7">
        <v>33</v>
      </c>
      <c r="AH7" s="8">
        <v>34</v>
      </c>
      <c r="AI7" s="7">
        <v>35</v>
      </c>
      <c r="AJ7" s="8">
        <v>36</v>
      </c>
      <c r="AK7" s="7">
        <v>37</v>
      </c>
      <c r="AL7" s="8">
        <v>38</v>
      </c>
      <c r="AM7" s="7">
        <v>39</v>
      </c>
      <c r="AN7" s="8">
        <v>40</v>
      </c>
      <c r="AO7" s="7">
        <v>41</v>
      </c>
      <c r="AP7" s="8">
        <v>42</v>
      </c>
      <c r="AQ7" s="7">
        <v>43</v>
      </c>
      <c r="AR7" s="8">
        <v>44</v>
      </c>
      <c r="AS7" s="7">
        <v>45</v>
      </c>
      <c r="AT7" s="8">
        <v>46</v>
      </c>
      <c r="AU7" s="7">
        <v>47</v>
      </c>
      <c r="AV7" s="8">
        <v>48</v>
      </c>
    </row>
    <row r="8" spans="1:48" ht="12.75">
      <c r="A8" s="5" t="s">
        <v>34</v>
      </c>
      <c r="B8" s="6"/>
      <c r="C8" s="6"/>
      <c r="D8" s="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50"/>
      <c r="R8" s="50"/>
      <c r="S8" s="50"/>
      <c r="T8" s="50"/>
      <c r="U8" s="50"/>
      <c r="V8" s="50"/>
      <c r="W8" s="50"/>
      <c r="X8" s="50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10"/>
    </row>
    <row r="9" spans="1:48" ht="12.75">
      <c r="A9" s="11" t="s">
        <v>35</v>
      </c>
      <c r="B9" s="120">
        <v>905.3</v>
      </c>
      <c r="C9" s="129">
        <f>B9*8.65</f>
        <v>7830.845</v>
      </c>
      <c r="D9" s="152">
        <f>C9*0.24088-1</f>
        <v>1885.2939436000001</v>
      </c>
      <c r="E9" s="130">
        <v>688.08</v>
      </c>
      <c r="F9" s="95">
        <v>65.2</v>
      </c>
      <c r="G9" s="95">
        <v>928.94</v>
      </c>
      <c r="H9" s="95">
        <v>88.02</v>
      </c>
      <c r="I9" s="95">
        <v>2236.29</v>
      </c>
      <c r="J9" s="95">
        <v>211.9</v>
      </c>
      <c r="K9" s="95">
        <v>1548.21</v>
      </c>
      <c r="L9" s="95">
        <v>146.7</v>
      </c>
      <c r="M9" s="95">
        <v>550.46</v>
      </c>
      <c r="N9" s="123">
        <v>52.16</v>
      </c>
      <c r="O9" s="84">
        <f>E9+G9+I9+K9+M9</f>
        <v>5951.9800000000005</v>
      </c>
      <c r="P9" s="96">
        <f>N9+L9+J9+H9+F9</f>
        <v>563.98</v>
      </c>
      <c r="Q9" s="114">
        <v>0</v>
      </c>
      <c r="R9" s="114">
        <v>0</v>
      </c>
      <c r="S9" s="114">
        <v>0</v>
      </c>
      <c r="T9" s="114">
        <v>0</v>
      </c>
      <c r="U9" s="114">
        <v>0</v>
      </c>
      <c r="V9" s="112">
        <f>SUM(Q9:U9)</f>
        <v>0</v>
      </c>
      <c r="W9" s="115">
        <f>D9+P9+V9</f>
        <v>2449.2739436</v>
      </c>
      <c r="X9" s="115"/>
      <c r="Y9" s="113">
        <f>0.6*B9</f>
        <v>543.18</v>
      </c>
      <c r="Z9" s="113">
        <f>B9*0.2*1.05826</f>
        <v>191.6085556</v>
      </c>
      <c r="AA9" s="113">
        <f>0.8476*B9</f>
        <v>767.33228</v>
      </c>
      <c r="AB9" s="113">
        <f>AA9*0.18</f>
        <v>138.11981039999998</v>
      </c>
      <c r="AC9" s="113">
        <f>(1.04)*B9*0.75645</f>
        <v>712.2067523999999</v>
      </c>
      <c r="AD9" s="113">
        <f>AC9*0.18</f>
        <v>128.19721543199998</v>
      </c>
      <c r="AE9" s="113">
        <f>1.91*B9*0.75645</f>
        <v>1307.9950933499997</v>
      </c>
      <c r="AF9" s="113">
        <f>AE9*0.18</f>
        <v>235.43911680299993</v>
      </c>
      <c r="AG9" s="113">
        <v>0</v>
      </c>
      <c r="AH9" s="113">
        <f>AG9*0.18</f>
        <v>0</v>
      </c>
      <c r="AI9" s="113"/>
      <c r="AJ9" s="113"/>
      <c r="AK9" s="116"/>
      <c r="AL9" s="116"/>
      <c r="AM9" s="116">
        <f>AK9*0.18</f>
        <v>0</v>
      </c>
      <c r="AN9" s="117"/>
      <c r="AO9" s="118"/>
      <c r="AP9" s="113">
        <f>AN9*AO9*1.12*1.18</f>
        <v>0</v>
      </c>
      <c r="AQ9" s="119"/>
      <c r="AR9" s="119">
        <f>AQ9*0.18</f>
        <v>0</v>
      </c>
      <c r="AS9" s="119">
        <f>SUM(Y9:AM9)+AP9</f>
        <v>4024.078823984999</v>
      </c>
      <c r="AT9" s="131"/>
      <c r="AU9" s="14">
        <f>W9-AS9</f>
        <v>-1574.8048803849988</v>
      </c>
      <c r="AV9" s="30">
        <f>V9-O9</f>
        <v>-5951.9800000000005</v>
      </c>
    </row>
    <row r="10" spans="1:48" ht="12.75">
      <c r="A10" s="11" t="s">
        <v>36</v>
      </c>
      <c r="B10" s="120">
        <v>905.3</v>
      </c>
      <c r="C10" s="121">
        <f>B10*8.65</f>
        <v>7830.845</v>
      </c>
      <c r="D10" s="122">
        <f>C10*0.24088-1</f>
        <v>1885.2939436000001</v>
      </c>
      <c r="E10" s="95">
        <v>137.62</v>
      </c>
      <c r="F10" s="95">
        <v>13.04</v>
      </c>
      <c r="G10" s="95">
        <v>185.72</v>
      </c>
      <c r="H10" s="95">
        <v>17.6</v>
      </c>
      <c r="I10" s="95">
        <v>447.29</v>
      </c>
      <c r="J10" s="95">
        <v>42.38</v>
      </c>
      <c r="K10" s="95">
        <v>309.67</v>
      </c>
      <c r="L10" s="95">
        <v>29.34</v>
      </c>
      <c r="M10" s="95">
        <v>110.08</v>
      </c>
      <c r="N10" s="123">
        <v>10.44</v>
      </c>
      <c r="O10" s="84">
        <f>E10+G10+I10+K10+M10</f>
        <v>1190.38</v>
      </c>
      <c r="P10" s="96">
        <f>N10+L10+J10+H10+F10</f>
        <v>112.79999999999998</v>
      </c>
      <c r="Q10" s="124">
        <v>292.25</v>
      </c>
      <c r="R10" s="125">
        <v>394.55</v>
      </c>
      <c r="S10" s="125">
        <v>949.83</v>
      </c>
      <c r="T10" s="125">
        <v>657.58</v>
      </c>
      <c r="U10" s="125">
        <v>233.79</v>
      </c>
      <c r="V10" s="120">
        <f>SUM(Q10:U10)</f>
        <v>2528</v>
      </c>
      <c r="W10" s="126">
        <f>D10+P10+V10</f>
        <v>4526.0939436</v>
      </c>
      <c r="X10" s="97"/>
      <c r="Y10" s="16">
        <f>0.6*B10</f>
        <v>543.18</v>
      </c>
      <c r="Z10" s="16">
        <f>B10*0.201</f>
        <v>181.9653</v>
      </c>
      <c r="AA10" s="113">
        <f>0.8476*B10</f>
        <v>767.33228</v>
      </c>
      <c r="AB10" s="16">
        <f>AA10*0.18</f>
        <v>138.11981039999998</v>
      </c>
      <c r="AC10" s="113">
        <f>(1.04)*B10*0.75645</f>
        <v>712.2067523999999</v>
      </c>
      <c r="AD10" s="113">
        <f>AC10*0.18</f>
        <v>128.19721543199998</v>
      </c>
      <c r="AE10" s="113">
        <f>1.91*B10*0.75645</f>
        <v>1307.9950933499997</v>
      </c>
      <c r="AF10" s="16">
        <f>AE10*0.18</f>
        <v>235.43911680299993</v>
      </c>
      <c r="AG10" s="16">
        <v>0</v>
      </c>
      <c r="AH10" s="16">
        <f>AG10*0.18</f>
        <v>0</v>
      </c>
      <c r="AI10" s="99"/>
      <c r="AJ10" s="99"/>
      <c r="AK10" s="127">
        <f>541.4</f>
        <v>541.4</v>
      </c>
      <c r="AL10" s="127"/>
      <c r="AM10" s="127">
        <f>AK10*0.18</f>
        <v>97.452</v>
      </c>
      <c r="AN10" s="128"/>
      <c r="AO10" s="109"/>
      <c r="AP10" s="16">
        <f>AN10*AO10*1.12*1.18</f>
        <v>0</v>
      </c>
      <c r="AQ10" s="103"/>
      <c r="AR10" s="103">
        <f>AQ10*0.18</f>
        <v>0</v>
      </c>
      <c r="AS10" s="103">
        <f>SUM(Y10:AM10)+AP10</f>
        <v>4653.287568384999</v>
      </c>
      <c r="AT10" s="106"/>
      <c r="AU10" s="14">
        <f>W10-AS10</f>
        <v>-127.19362478499897</v>
      </c>
      <c r="AV10" s="30">
        <f>V10-O10</f>
        <v>1337.62</v>
      </c>
    </row>
    <row r="11" spans="1:48" ht="12.75">
      <c r="A11" s="11" t="s">
        <v>37</v>
      </c>
      <c r="B11" s="120">
        <v>905.3</v>
      </c>
      <c r="C11" s="121">
        <f>B11*8.65</f>
        <v>7830.845</v>
      </c>
      <c r="D11" s="122">
        <f>C11*0.24035+1</f>
        <v>1883.14359575</v>
      </c>
      <c r="E11" s="95">
        <v>412.85</v>
      </c>
      <c r="F11" s="95">
        <v>39.12</v>
      </c>
      <c r="G11" s="95">
        <v>557.33</v>
      </c>
      <c r="H11" s="95">
        <v>52.81</v>
      </c>
      <c r="I11" s="95">
        <v>1341.79</v>
      </c>
      <c r="J11" s="95">
        <v>127.14</v>
      </c>
      <c r="K11" s="95">
        <v>928.94</v>
      </c>
      <c r="L11" s="95">
        <v>88.02</v>
      </c>
      <c r="M11" s="95">
        <v>330.27</v>
      </c>
      <c r="N11" s="123">
        <v>31.3</v>
      </c>
      <c r="O11" s="84">
        <f>E11+G11+I11+K11+M11</f>
        <v>3571.1800000000003</v>
      </c>
      <c r="P11" s="96">
        <f>N11+L11+J11+H11+F11</f>
        <v>338.39</v>
      </c>
      <c r="Q11" s="125">
        <v>391.11</v>
      </c>
      <c r="R11" s="125">
        <v>528</v>
      </c>
      <c r="S11" s="125">
        <v>1271.19</v>
      </c>
      <c r="T11" s="125">
        <v>880.07</v>
      </c>
      <c r="U11" s="125">
        <v>312.9</v>
      </c>
      <c r="V11" s="120">
        <f>SUM(Q11:U11)</f>
        <v>3383.2700000000004</v>
      </c>
      <c r="W11" s="97">
        <f>D11+P11+V11</f>
        <v>5604.803595750001</v>
      </c>
      <c r="X11" s="97"/>
      <c r="Y11" s="16">
        <f>0.6*B11</f>
        <v>543.18</v>
      </c>
      <c r="Z11" s="16">
        <f>B11*0.2*1.02524</f>
        <v>185.6299544</v>
      </c>
      <c r="AA11" s="113">
        <f>0.8476*B11</f>
        <v>767.33228</v>
      </c>
      <c r="AB11" s="16">
        <f>AA11*0.18</f>
        <v>138.11981039999998</v>
      </c>
      <c r="AC11" s="113">
        <f>(1.04)*B11*0.75645</f>
        <v>712.2067523999999</v>
      </c>
      <c r="AD11" s="113">
        <f>AC11*0.18</f>
        <v>128.19721543199998</v>
      </c>
      <c r="AE11" s="113">
        <f>1.91*B11*0.75645</f>
        <v>1307.9950933499997</v>
      </c>
      <c r="AF11" s="16">
        <f>AE11*0.18</f>
        <v>235.43911680299993</v>
      </c>
      <c r="AG11" s="16">
        <v>0</v>
      </c>
      <c r="AH11" s="16">
        <f>AG11*0.18</f>
        <v>0</v>
      </c>
      <c r="AI11" s="99"/>
      <c r="AJ11" s="99"/>
      <c r="AK11" s="127"/>
      <c r="AL11" s="127"/>
      <c r="AM11" s="127">
        <f>AK11*0.18</f>
        <v>0</v>
      </c>
      <c r="AN11" s="128"/>
      <c r="AO11" s="109"/>
      <c r="AP11" s="16">
        <f>AN11*AO11*1.12*1.18</f>
        <v>0</v>
      </c>
      <c r="AQ11" s="103"/>
      <c r="AR11" s="103">
        <f>AQ11*0.18</f>
        <v>0</v>
      </c>
      <c r="AS11" s="103">
        <f>SUM(Y11:AM11)+AP11</f>
        <v>4018.1002227849995</v>
      </c>
      <c r="AT11" s="106"/>
      <c r="AU11" s="14">
        <f>W11-AS11</f>
        <v>1586.703372965001</v>
      </c>
      <c r="AV11" s="30">
        <f>V11-O11</f>
        <v>-187.90999999999985</v>
      </c>
    </row>
    <row r="12" spans="1:48" s="20" customFormat="1" ht="15" customHeight="1">
      <c r="A12" s="17" t="s">
        <v>5</v>
      </c>
      <c r="B12" s="59"/>
      <c r="C12" s="59">
        <f aca="true" t="shared" si="0" ref="C12:AV12">SUM(C9:C11)</f>
        <v>23492.535</v>
      </c>
      <c r="D12" s="59">
        <f t="shared" si="0"/>
        <v>5653.73148295</v>
      </c>
      <c r="E12" s="56">
        <f>SUM(E9:E11)</f>
        <v>1238.5500000000002</v>
      </c>
      <c r="F12" s="56">
        <f t="shared" si="0"/>
        <v>117.36000000000001</v>
      </c>
      <c r="G12" s="56">
        <f t="shared" si="0"/>
        <v>1671.9900000000002</v>
      </c>
      <c r="H12" s="56">
        <f t="shared" si="0"/>
        <v>158.43</v>
      </c>
      <c r="I12" s="56">
        <f t="shared" si="0"/>
        <v>4025.37</v>
      </c>
      <c r="J12" s="56">
        <f t="shared" si="0"/>
        <v>381.42</v>
      </c>
      <c r="K12" s="56">
        <f t="shared" si="0"/>
        <v>2786.82</v>
      </c>
      <c r="L12" s="56">
        <f t="shared" si="0"/>
        <v>264.06</v>
      </c>
      <c r="M12" s="56">
        <f t="shared" si="0"/>
        <v>990.8100000000001</v>
      </c>
      <c r="N12" s="56">
        <f t="shared" si="0"/>
        <v>93.89999999999999</v>
      </c>
      <c r="O12" s="56">
        <f t="shared" si="0"/>
        <v>10713.54</v>
      </c>
      <c r="P12" s="56">
        <f t="shared" si="0"/>
        <v>1015.17</v>
      </c>
      <c r="Q12" s="60">
        <f t="shared" si="0"/>
        <v>683.36</v>
      </c>
      <c r="R12" s="60">
        <f t="shared" si="0"/>
        <v>922.55</v>
      </c>
      <c r="S12" s="60">
        <f t="shared" si="0"/>
        <v>2221.02</v>
      </c>
      <c r="T12" s="60">
        <f t="shared" si="0"/>
        <v>1537.65</v>
      </c>
      <c r="U12" s="60">
        <f t="shared" si="0"/>
        <v>546.6899999999999</v>
      </c>
      <c r="V12" s="60">
        <f t="shared" si="0"/>
        <v>5911.27</v>
      </c>
      <c r="W12" s="60">
        <f t="shared" si="0"/>
        <v>12580.171482950002</v>
      </c>
      <c r="X12" s="90">
        <f t="shared" si="0"/>
        <v>0</v>
      </c>
      <c r="Y12" s="18">
        <f t="shared" si="0"/>
        <v>1629.54</v>
      </c>
      <c r="Z12" s="18">
        <f t="shared" si="0"/>
        <v>559.20381</v>
      </c>
      <c r="AA12" s="18">
        <f t="shared" si="0"/>
        <v>2301.99684</v>
      </c>
      <c r="AB12" s="18">
        <f t="shared" si="0"/>
        <v>414.3594311999999</v>
      </c>
      <c r="AC12" s="18">
        <f t="shared" si="0"/>
        <v>2136.6202571999997</v>
      </c>
      <c r="AD12" s="18">
        <f t="shared" si="0"/>
        <v>384.5916462959999</v>
      </c>
      <c r="AE12" s="18">
        <f>SUM(AE9:AE11)</f>
        <v>3923.9852800499993</v>
      </c>
      <c r="AF12" s="18">
        <f>SUM(AF9:AF11)</f>
        <v>706.3173504089998</v>
      </c>
      <c r="AG12" s="18">
        <f t="shared" si="0"/>
        <v>0</v>
      </c>
      <c r="AH12" s="18">
        <f t="shared" si="0"/>
        <v>0</v>
      </c>
      <c r="AI12" s="18">
        <f>SUM(AI9:AI11)</f>
        <v>0</v>
      </c>
      <c r="AJ12" s="18">
        <f>SUM(AJ9:AJ11)</f>
        <v>0</v>
      </c>
      <c r="AK12" s="18">
        <f>SUM(AK9:AK11)</f>
        <v>541.4</v>
      </c>
      <c r="AL12" s="18">
        <f>SUM(AL9:AL11)</f>
        <v>0</v>
      </c>
      <c r="AM12" s="18">
        <f>SUM(AM9:AM11)</f>
        <v>97.452</v>
      </c>
      <c r="AN12" s="18"/>
      <c r="AO12" s="18"/>
      <c r="AP12" s="18">
        <f t="shared" si="0"/>
        <v>0</v>
      </c>
      <c r="AQ12" s="18">
        <f t="shared" si="0"/>
        <v>0</v>
      </c>
      <c r="AR12" s="18">
        <f t="shared" si="0"/>
        <v>0</v>
      </c>
      <c r="AS12" s="18">
        <f t="shared" si="0"/>
        <v>12695.466615154997</v>
      </c>
      <c r="AT12" s="18">
        <f t="shared" si="0"/>
        <v>0</v>
      </c>
      <c r="AU12" s="18">
        <f t="shared" si="0"/>
        <v>-115.29513220499666</v>
      </c>
      <c r="AV12" s="19">
        <f t="shared" si="0"/>
        <v>-4802.27</v>
      </c>
    </row>
    <row r="13" spans="1:48" ht="15" customHeight="1">
      <c r="A13" s="5" t="s">
        <v>38</v>
      </c>
      <c r="B13" s="57"/>
      <c r="C13" s="58"/>
      <c r="D13" s="58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4"/>
      <c r="P13" s="54"/>
      <c r="Q13" s="61"/>
      <c r="R13" s="61"/>
      <c r="S13" s="61"/>
      <c r="T13" s="61"/>
      <c r="U13" s="61"/>
      <c r="V13" s="53"/>
      <c r="W13" s="88"/>
      <c r="X13" s="89"/>
      <c r="Y13" s="14"/>
      <c r="Z13" s="14"/>
      <c r="AA13" s="14"/>
      <c r="AB13" s="14"/>
      <c r="AC13" s="14"/>
      <c r="AD13" s="14"/>
      <c r="AE13" s="14"/>
      <c r="AF13" s="14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14"/>
      <c r="AS13" s="14"/>
      <c r="AT13" s="14"/>
      <c r="AU13" s="14"/>
      <c r="AV13" s="30"/>
    </row>
    <row r="14" spans="1:48" ht="12.75">
      <c r="A14" s="11" t="s">
        <v>39</v>
      </c>
      <c r="B14" s="132">
        <v>905.3</v>
      </c>
      <c r="C14" s="133">
        <f aca="true" t="shared" si="1" ref="C14:C25">B14*8.65</f>
        <v>7830.845</v>
      </c>
      <c r="D14" s="134">
        <f>C14*0.125</f>
        <v>978.855625</v>
      </c>
      <c r="E14" s="95">
        <v>412.85</v>
      </c>
      <c r="F14" s="95">
        <v>39.12</v>
      </c>
      <c r="G14" s="95">
        <v>557.33</v>
      </c>
      <c r="H14" s="95">
        <v>52.81</v>
      </c>
      <c r="I14" s="95">
        <v>1341.79</v>
      </c>
      <c r="J14" s="95">
        <v>127.14</v>
      </c>
      <c r="K14" s="95">
        <v>928.94</v>
      </c>
      <c r="L14" s="95">
        <v>88.02</v>
      </c>
      <c r="M14" s="95">
        <v>330.27</v>
      </c>
      <c r="N14" s="123">
        <v>31.3</v>
      </c>
      <c r="O14" s="84">
        <f aca="true" t="shared" si="2" ref="O14:O25">E14+G14+I14+K14+M14</f>
        <v>3571.1800000000003</v>
      </c>
      <c r="P14" s="96">
        <f>N14+L14+J14+H14+F14</f>
        <v>338.39</v>
      </c>
      <c r="Q14" s="135">
        <v>333.18</v>
      </c>
      <c r="R14" s="136">
        <v>449.76</v>
      </c>
      <c r="S14" s="136">
        <v>1082.83</v>
      </c>
      <c r="T14" s="136">
        <v>749.65</v>
      </c>
      <c r="U14" s="136">
        <v>266.54</v>
      </c>
      <c r="V14" s="137">
        <f aca="true" t="shared" si="3" ref="V14:V25">SUM(Q14:U14)</f>
        <v>2881.96</v>
      </c>
      <c r="W14" s="138">
        <f aca="true" t="shared" si="4" ref="W14:W25">D14+P14+V14</f>
        <v>4199.2056250000005</v>
      </c>
      <c r="X14" s="115"/>
      <c r="Y14" s="113">
        <f>0.6*B14*0.9</f>
        <v>488.86199999999997</v>
      </c>
      <c r="Z14" s="113">
        <f>B14*0.2*0.8913</f>
        <v>161.378778</v>
      </c>
      <c r="AA14" s="113">
        <f>0.85*B14*0.8852+0.01</f>
        <v>681.175826</v>
      </c>
      <c r="AB14" s="113">
        <f aca="true" t="shared" si="5" ref="AB14:AB25">AA14*0.18</f>
        <v>122.61164868</v>
      </c>
      <c r="AC14" s="113">
        <f>0.83*B14*0.887+0.01</f>
        <v>666.5009129999999</v>
      </c>
      <c r="AD14" s="113">
        <f aca="true" t="shared" si="6" ref="AD14:AD25">AC14*0.18</f>
        <v>119.97016433999997</v>
      </c>
      <c r="AE14" s="113">
        <f>(1.91)*B14*0.887</f>
        <v>1533.7321009999998</v>
      </c>
      <c r="AF14" s="113">
        <f aca="true" t="shared" si="7" ref="AF14:AF25">AE14*0.18</f>
        <v>276.07177817999997</v>
      </c>
      <c r="AG14" s="113">
        <v>0</v>
      </c>
      <c r="AH14" s="113">
        <f aca="true" t="shared" si="8" ref="AH14:AJ25">AG14*0.18</f>
        <v>0</v>
      </c>
      <c r="AI14" s="139"/>
      <c r="AJ14" s="139"/>
      <c r="AK14" s="54">
        <v>1800</v>
      </c>
      <c r="AL14" s="54"/>
      <c r="AM14" s="54">
        <f>AK14*0.18</f>
        <v>324</v>
      </c>
      <c r="AN14" s="117">
        <v>508</v>
      </c>
      <c r="AO14" s="118">
        <v>0.3</v>
      </c>
      <c r="AP14" s="113">
        <f aca="true" t="shared" si="9" ref="AP14:AP25">AN14*AO14*1.12*1.18</f>
        <v>201.41184</v>
      </c>
      <c r="AQ14" s="119"/>
      <c r="AR14" s="119">
        <f>AQ14*0.18</f>
        <v>0</v>
      </c>
      <c r="AS14" s="119">
        <f>SUM(Y14:AM14)</f>
        <v>6174.303209199999</v>
      </c>
      <c r="AT14" s="131"/>
      <c r="AU14" s="14">
        <f aca="true" t="shared" si="10" ref="AU14:AU25">W14+X14-AS14-AT14</f>
        <v>-1975.097584199999</v>
      </c>
      <c r="AV14" s="30">
        <f aca="true" t="shared" si="11" ref="AV14:AV25">V14-O14</f>
        <v>-689.2200000000003</v>
      </c>
    </row>
    <row r="15" spans="1:48" ht="12.75">
      <c r="A15" s="11" t="s">
        <v>40</v>
      </c>
      <c r="B15" s="120">
        <v>905.3</v>
      </c>
      <c r="C15" s="107">
        <f t="shared" si="1"/>
        <v>7830.845</v>
      </c>
      <c r="D15" s="134">
        <f>C15*0.125</f>
        <v>978.855625</v>
      </c>
      <c r="E15" s="95">
        <v>412.85</v>
      </c>
      <c r="F15" s="95">
        <v>39.12</v>
      </c>
      <c r="G15" s="95">
        <v>557.33</v>
      </c>
      <c r="H15" s="95">
        <v>53</v>
      </c>
      <c r="I15" s="95">
        <v>1341.79</v>
      </c>
      <c r="J15" s="95">
        <v>127.14</v>
      </c>
      <c r="K15" s="95">
        <v>928.94</v>
      </c>
      <c r="L15" s="95">
        <v>88.02</v>
      </c>
      <c r="M15" s="95">
        <v>330.27</v>
      </c>
      <c r="N15" s="123">
        <v>31.3</v>
      </c>
      <c r="O15" s="84">
        <f t="shared" si="2"/>
        <v>3571.1800000000003</v>
      </c>
      <c r="P15" s="96">
        <f>N15+L15+J15+H15+F15</f>
        <v>338.58</v>
      </c>
      <c r="Q15" s="125">
        <v>363.89</v>
      </c>
      <c r="R15" s="125">
        <v>491.23</v>
      </c>
      <c r="S15" s="125">
        <v>1182.67</v>
      </c>
      <c r="T15" s="125">
        <v>818.78</v>
      </c>
      <c r="U15" s="125">
        <v>291.09</v>
      </c>
      <c r="V15" s="120">
        <f t="shared" si="3"/>
        <v>3147.66</v>
      </c>
      <c r="W15" s="115">
        <f t="shared" si="4"/>
        <v>4465.095625</v>
      </c>
      <c r="X15" s="115"/>
      <c r="Y15" s="113">
        <f>0.6*B15*0.9</f>
        <v>488.86199999999997</v>
      </c>
      <c r="Z15" s="113">
        <f>B15*0.2*0.9152</f>
        <v>165.70611200000002</v>
      </c>
      <c r="AA15" s="113">
        <f>0.85*B15*0.8853-0.01</f>
        <v>681.2327765</v>
      </c>
      <c r="AB15" s="113">
        <f t="shared" si="5"/>
        <v>122.62189977</v>
      </c>
      <c r="AC15" s="113">
        <f>0.83*B15*0.9</f>
        <v>676.2590999999999</v>
      </c>
      <c r="AD15" s="113">
        <f t="shared" si="6"/>
        <v>121.72663799999998</v>
      </c>
      <c r="AE15" s="113">
        <f>(1.91)*B15*0.9</f>
        <v>1556.2106999999999</v>
      </c>
      <c r="AF15" s="113">
        <f t="shared" si="7"/>
        <v>280.11792599999995</v>
      </c>
      <c r="AG15" s="113">
        <v>0</v>
      </c>
      <c r="AH15" s="113">
        <f t="shared" si="8"/>
        <v>0</v>
      </c>
      <c r="AI15" s="139"/>
      <c r="AJ15" s="139"/>
      <c r="AK15" s="54"/>
      <c r="AL15" s="54"/>
      <c r="AM15" s="87">
        <f>(AK15+AL15)*0.18</f>
        <v>0</v>
      </c>
      <c r="AN15" s="117">
        <v>407</v>
      </c>
      <c r="AO15" s="118">
        <v>0.3</v>
      </c>
      <c r="AP15" s="113">
        <f t="shared" si="9"/>
        <v>161.36736</v>
      </c>
      <c r="AQ15" s="119"/>
      <c r="AR15" s="119">
        <f>AQ15*0.18</f>
        <v>0</v>
      </c>
      <c r="AS15" s="119">
        <f>SUM(Y15:AM15)</f>
        <v>4092.7371522699996</v>
      </c>
      <c r="AT15" s="131"/>
      <c r="AU15" s="14">
        <f t="shared" si="10"/>
        <v>372.35847273000036</v>
      </c>
      <c r="AV15" s="30">
        <f t="shared" si="11"/>
        <v>-423.52000000000044</v>
      </c>
    </row>
    <row r="16" spans="1:48" ht="12.75">
      <c r="A16" s="11" t="s">
        <v>41</v>
      </c>
      <c r="B16" s="120">
        <v>905.3</v>
      </c>
      <c r="C16" s="107">
        <f t="shared" si="1"/>
        <v>7830.845</v>
      </c>
      <c r="D16" s="140">
        <f>C16*0.125</f>
        <v>978.855625</v>
      </c>
      <c r="E16" s="95">
        <v>417.65</v>
      </c>
      <c r="F16" s="95">
        <v>34.32</v>
      </c>
      <c r="G16" s="95">
        <v>563.81</v>
      </c>
      <c r="H16" s="95">
        <v>46.33</v>
      </c>
      <c r="I16" s="95">
        <v>1357.39</v>
      </c>
      <c r="J16" s="95">
        <v>111.54</v>
      </c>
      <c r="K16" s="95">
        <v>939.74</v>
      </c>
      <c r="L16" s="95">
        <v>77.22</v>
      </c>
      <c r="M16" s="95">
        <v>334.11</v>
      </c>
      <c r="N16" s="123">
        <v>27.46</v>
      </c>
      <c r="O16" s="84">
        <f t="shared" si="2"/>
        <v>3612.7000000000003</v>
      </c>
      <c r="P16" s="96">
        <f>N16+L16+J16+H16+F16</f>
        <v>296.87</v>
      </c>
      <c r="Q16" s="125">
        <v>225.43</v>
      </c>
      <c r="R16" s="125">
        <v>304.3</v>
      </c>
      <c r="S16" s="125">
        <v>732.64</v>
      </c>
      <c r="T16" s="125">
        <v>507.22</v>
      </c>
      <c r="U16" s="125">
        <v>180.34</v>
      </c>
      <c r="V16" s="120">
        <f t="shared" si="3"/>
        <v>1949.9299999999998</v>
      </c>
      <c r="W16" s="115">
        <f t="shared" si="4"/>
        <v>3225.655625</v>
      </c>
      <c r="X16" s="115"/>
      <c r="Y16" s="113">
        <f>0.6*B16*0.9</f>
        <v>488.86199999999997</v>
      </c>
      <c r="Z16" s="113">
        <f>B16*0.2*0.9081</f>
        <v>164.42058600000001</v>
      </c>
      <c r="AA16" s="113">
        <f>0.85*B16*0.891</f>
        <v>685.628955</v>
      </c>
      <c r="AB16" s="113">
        <f t="shared" si="5"/>
        <v>123.4132119</v>
      </c>
      <c r="AC16" s="113">
        <f>(0.83*B16)*0.8928</f>
        <v>670.8490271999999</v>
      </c>
      <c r="AD16" s="113">
        <f t="shared" si="6"/>
        <v>120.75282489599998</v>
      </c>
      <c r="AE16" s="113">
        <f>1.91*B16*0.8927</f>
        <v>1543.5881021</v>
      </c>
      <c r="AF16" s="113">
        <f t="shared" si="7"/>
        <v>277.845858378</v>
      </c>
      <c r="AG16" s="113">
        <v>0</v>
      </c>
      <c r="AH16" s="113">
        <f t="shared" si="8"/>
        <v>0</v>
      </c>
      <c r="AI16" s="139"/>
      <c r="AJ16" s="139">
        <f t="shared" si="8"/>
        <v>0</v>
      </c>
      <c r="AK16" s="116">
        <f>2160+2160</f>
        <v>4320</v>
      </c>
      <c r="AL16" s="116"/>
      <c r="AM16" s="87">
        <f>(AK16+AL16)*0.18</f>
        <v>777.6</v>
      </c>
      <c r="AN16" s="117">
        <v>383</v>
      </c>
      <c r="AO16" s="118">
        <v>0.3</v>
      </c>
      <c r="AP16" s="113">
        <f t="shared" si="9"/>
        <v>151.85184</v>
      </c>
      <c r="AQ16" s="119"/>
      <c r="AR16" s="119">
        <f>AQ16*0.18</f>
        <v>0</v>
      </c>
      <c r="AS16" s="119">
        <f>SUM(Y16:AM16)</f>
        <v>9172.960565473999</v>
      </c>
      <c r="AT16" s="131"/>
      <c r="AU16" s="14">
        <f t="shared" si="10"/>
        <v>-5947.3049404739995</v>
      </c>
      <c r="AV16" s="30">
        <f t="shared" si="11"/>
        <v>-1662.7700000000004</v>
      </c>
    </row>
    <row r="17" spans="1:48" ht="12.75">
      <c r="A17" s="11" t="s">
        <v>42</v>
      </c>
      <c r="B17" s="120">
        <v>905.3</v>
      </c>
      <c r="C17" s="121">
        <f t="shared" si="1"/>
        <v>7830.845</v>
      </c>
      <c r="D17" s="140">
        <f>C17*0.125</f>
        <v>978.855625</v>
      </c>
      <c r="E17" s="95">
        <v>417.65</v>
      </c>
      <c r="F17" s="95">
        <v>34.32</v>
      </c>
      <c r="G17" s="95">
        <v>563.81</v>
      </c>
      <c r="H17" s="95">
        <v>46.33</v>
      </c>
      <c r="I17" s="95">
        <v>1357.39</v>
      </c>
      <c r="J17" s="95">
        <v>111.54</v>
      </c>
      <c r="K17" s="95">
        <v>939.74</v>
      </c>
      <c r="L17" s="95">
        <v>77.22</v>
      </c>
      <c r="M17" s="95">
        <v>334.11</v>
      </c>
      <c r="N17" s="123">
        <v>27.46</v>
      </c>
      <c r="O17" s="85">
        <f t="shared" si="2"/>
        <v>3612.7000000000003</v>
      </c>
      <c r="P17" s="96">
        <f aca="true" t="shared" si="12" ref="P17:P25">N17+L17+J17+H17+F17</f>
        <v>296.87</v>
      </c>
      <c r="Q17" s="124">
        <v>498.19</v>
      </c>
      <c r="R17" s="125">
        <v>672.53</v>
      </c>
      <c r="S17" s="125">
        <v>1619.14</v>
      </c>
      <c r="T17" s="125">
        <v>1120.95</v>
      </c>
      <c r="U17" s="125">
        <v>398.55</v>
      </c>
      <c r="V17" s="120">
        <f t="shared" si="3"/>
        <v>4309.360000000001</v>
      </c>
      <c r="W17" s="141">
        <f t="shared" si="4"/>
        <v>5585.085625000001</v>
      </c>
      <c r="X17" s="115"/>
      <c r="Y17" s="113">
        <f>0.6*B17*0.9</f>
        <v>488.86199999999997</v>
      </c>
      <c r="Z17" s="113">
        <f>B17*0.2*0.9234</f>
        <v>167.190804</v>
      </c>
      <c r="AA17" s="113">
        <f>0.85*B17*0.891</f>
        <v>685.628955</v>
      </c>
      <c r="AB17" s="113">
        <f t="shared" si="5"/>
        <v>123.4132119</v>
      </c>
      <c r="AC17" s="113">
        <f>(0.83*B17)*0.8928</f>
        <v>670.8490271999999</v>
      </c>
      <c r="AD17" s="113">
        <f t="shared" si="6"/>
        <v>120.75282489599998</v>
      </c>
      <c r="AE17" s="113">
        <f>1.91*B17*0.8927</f>
        <v>1543.5881021</v>
      </c>
      <c r="AF17" s="113">
        <f t="shared" si="7"/>
        <v>277.845858378</v>
      </c>
      <c r="AG17" s="113">
        <v>0</v>
      </c>
      <c r="AH17" s="113">
        <f t="shared" si="8"/>
        <v>0</v>
      </c>
      <c r="AI17" s="139"/>
      <c r="AJ17" s="99">
        <f t="shared" si="8"/>
        <v>0</v>
      </c>
      <c r="AK17" s="116">
        <f>682.9+1920</f>
        <v>2602.9</v>
      </c>
      <c r="AL17" s="116"/>
      <c r="AM17" s="87">
        <f>(AK17+AL17)*0.18</f>
        <v>468.522</v>
      </c>
      <c r="AN17" s="100">
        <v>307</v>
      </c>
      <c r="AO17" s="118">
        <v>0.3</v>
      </c>
      <c r="AP17" s="113">
        <f t="shared" si="9"/>
        <v>121.71936</v>
      </c>
      <c r="AQ17" s="102"/>
      <c r="AR17" s="111">
        <f aca="true" t="shared" si="13" ref="AR17:AR25">AQ17*0.18</f>
        <v>0</v>
      </c>
      <c r="AS17" s="103">
        <f>SUM(Y17:AM17)+AP17+AP14+AP15+AP16</f>
        <v>7785.903183474</v>
      </c>
      <c r="AT17" s="106"/>
      <c r="AU17" s="14">
        <f t="shared" si="10"/>
        <v>-2200.8175584739993</v>
      </c>
      <c r="AV17" s="30">
        <f t="shared" si="11"/>
        <v>696.6600000000003</v>
      </c>
    </row>
    <row r="18" spans="1:48" ht="12.75">
      <c r="A18" s="11" t="s">
        <v>43</v>
      </c>
      <c r="B18" s="120">
        <v>905.3</v>
      </c>
      <c r="C18" s="121">
        <f t="shared" si="1"/>
        <v>7830.845</v>
      </c>
      <c r="D18" s="140">
        <f>C18-E18-F18-G18-H18-I18-J18-K18-L18-M18-N18</f>
        <v>3519.3650000000007</v>
      </c>
      <c r="E18" s="104">
        <v>458.96</v>
      </c>
      <c r="F18" s="104">
        <v>38.61</v>
      </c>
      <c r="G18" s="104">
        <v>621.66</v>
      </c>
      <c r="H18" s="104">
        <v>52.34</v>
      </c>
      <c r="I18" s="104">
        <v>1493.71</v>
      </c>
      <c r="J18" s="104">
        <v>125.7</v>
      </c>
      <c r="K18" s="104">
        <v>1034.75</v>
      </c>
      <c r="L18" s="104">
        <v>87.69</v>
      </c>
      <c r="M18" s="104">
        <v>367.17</v>
      </c>
      <c r="N18" s="105">
        <v>30.89</v>
      </c>
      <c r="O18" s="142">
        <f t="shared" si="2"/>
        <v>3976.25</v>
      </c>
      <c r="P18" s="143">
        <f t="shared" si="12"/>
        <v>335.23</v>
      </c>
      <c r="Q18" s="125">
        <v>377.53</v>
      </c>
      <c r="R18" s="125">
        <v>509.68</v>
      </c>
      <c r="S18" s="125">
        <v>1227.01</v>
      </c>
      <c r="T18" s="125">
        <v>849.47</v>
      </c>
      <c r="U18" s="125">
        <v>301.99</v>
      </c>
      <c r="V18" s="120">
        <f t="shared" si="3"/>
        <v>3265.6800000000003</v>
      </c>
      <c r="W18" s="115">
        <f t="shared" si="4"/>
        <v>7120.2750000000015</v>
      </c>
      <c r="X18" s="115"/>
      <c r="Y18" s="113">
        <f aca="true" t="shared" si="14" ref="Y18:Y25">0.6*B18</f>
        <v>543.18</v>
      </c>
      <c r="Z18" s="113">
        <f>B18*0.2*1.011</f>
        <v>183.05165999999997</v>
      </c>
      <c r="AA18" s="113">
        <f>0.85*B18*0.99</f>
        <v>761.80995</v>
      </c>
      <c r="AB18" s="113">
        <f t="shared" si="5"/>
        <v>137.125791</v>
      </c>
      <c r="AC18" s="113">
        <f>(0.83*B18)*0.992-0.01</f>
        <v>745.3778079999998</v>
      </c>
      <c r="AD18" s="113">
        <f t="shared" si="6"/>
        <v>134.16800543999997</v>
      </c>
      <c r="AE18" s="113">
        <f>1.91*B18*0.992</f>
        <v>1715.2900159999997</v>
      </c>
      <c r="AF18" s="113">
        <f t="shared" si="7"/>
        <v>308.7522028799999</v>
      </c>
      <c r="AG18" s="113">
        <v>0</v>
      </c>
      <c r="AH18" s="113">
        <f t="shared" si="8"/>
        <v>0</v>
      </c>
      <c r="AI18" s="139"/>
      <c r="AJ18" s="99">
        <f t="shared" si="8"/>
        <v>0</v>
      </c>
      <c r="AK18" s="116"/>
      <c r="AL18" s="116"/>
      <c r="AM18" s="87">
        <f>(AK18+AL18)*0.18</f>
        <v>0</v>
      </c>
      <c r="AN18" s="100">
        <v>263</v>
      </c>
      <c r="AO18" s="118">
        <v>0.3</v>
      </c>
      <c r="AP18" s="113">
        <f t="shared" si="9"/>
        <v>104.27423999999999</v>
      </c>
      <c r="AQ18" s="119"/>
      <c r="AR18" s="119">
        <f t="shared" si="13"/>
        <v>0</v>
      </c>
      <c r="AS18" s="119">
        <f aca="true" t="shared" si="15" ref="AS18:AS25">SUM(Y18:AM18)+AP18</f>
        <v>4633.029673319998</v>
      </c>
      <c r="AT18" s="131"/>
      <c r="AU18" s="14">
        <f t="shared" si="10"/>
        <v>2487.245326680003</v>
      </c>
      <c r="AV18" s="30">
        <f t="shared" si="11"/>
        <v>-710.5699999999997</v>
      </c>
    </row>
    <row r="19" spans="1:48" ht="12.75">
      <c r="A19" s="11" t="s">
        <v>44</v>
      </c>
      <c r="B19" s="120">
        <v>905.3</v>
      </c>
      <c r="C19" s="121">
        <f t="shared" si="1"/>
        <v>7830.845</v>
      </c>
      <c r="D19" s="140">
        <v>3509.75</v>
      </c>
      <c r="E19" s="104">
        <v>768.87</v>
      </c>
      <c r="F19" s="104">
        <v>62.42</v>
      </c>
      <c r="G19" s="104">
        <v>1041.35</v>
      </c>
      <c r="H19" s="104">
        <v>84.61</v>
      </c>
      <c r="I19" s="104">
        <v>1501.33</v>
      </c>
      <c r="J19" s="104">
        <v>121.92</v>
      </c>
      <c r="K19" s="104">
        <v>1733.34</v>
      </c>
      <c r="L19" s="104">
        <v>140.79</v>
      </c>
      <c r="M19" s="104">
        <v>615.1</v>
      </c>
      <c r="N19" s="144">
        <v>49.93</v>
      </c>
      <c r="O19" s="85">
        <f t="shared" si="2"/>
        <v>5659.99</v>
      </c>
      <c r="P19" s="96">
        <f t="shared" si="12"/>
        <v>459.67</v>
      </c>
      <c r="Q19" s="125">
        <v>235.56</v>
      </c>
      <c r="R19" s="125">
        <v>318.91</v>
      </c>
      <c r="S19" s="125">
        <v>766.62</v>
      </c>
      <c r="T19" s="125">
        <v>530.94</v>
      </c>
      <c r="U19" s="125">
        <v>188.49</v>
      </c>
      <c r="V19" s="120">
        <f t="shared" si="3"/>
        <v>2040.5200000000002</v>
      </c>
      <c r="W19" s="115">
        <f t="shared" si="4"/>
        <v>6009.9400000000005</v>
      </c>
      <c r="X19" s="115"/>
      <c r="Y19" s="113">
        <f t="shared" si="14"/>
        <v>543.18</v>
      </c>
      <c r="Z19" s="113">
        <f>B19*0.2*1.01045</f>
        <v>182.952077</v>
      </c>
      <c r="AA19" s="113">
        <f>0.85*B19*0.98824</f>
        <v>760.4556212</v>
      </c>
      <c r="AB19" s="113">
        <f t="shared" si="5"/>
        <v>136.882011816</v>
      </c>
      <c r="AC19" s="113">
        <f>(0.83*B19)*0.99023</f>
        <v>744.0578317699999</v>
      </c>
      <c r="AD19" s="113">
        <f t="shared" si="6"/>
        <v>133.93040971859998</v>
      </c>
      <c r="AE19" s="113">
        <f>(1.91)*B19*0.99023</f>
        <v>1712.2294682899999</v>
      </c>
      <c r="AF19" s="113">
        <f t="shared" si="7"/>
        <v>308.20130429219995</v>
      </c>
      <c r="AG19" s="113">
        <v>0</v>
      </c>
      <c r="AH19" s="113">
        <f t="shared" si="8"/>
        <v>0</v>
      </c>
      <c r="AI19" s="139"/>
      <c r="AJ19" s="139">
        <f t="shared" si="8"/>
        <v>0</v>
      </c>
      <c r="AK19" s="116"/>
      <c r="AL19" s="116"/>
      <c r="AM19" s="87">
        <f>(AK19+AL19)*0.18</f>
        <v>0</v>
      </c>
      <c r="AN19" s="100">
        <v>233</v>
      </c>
      <c r="AO19" s="118">
        <v>0.3</v>
      </c>
      <c r="AP19" s="113">
        <f t="shared" si="9"/>
        <v>92.37983999999999</v>
      </c>
      <c r="AQ19" s="119"/>
      <c r="AR19" s="119">
        <f t="shared" si="13"/>
        <v>0</v>
      </c>
      <c r="AS19" s="119">
        <f t="shared" si="15"/>
        <v>4614.268564086799</v>
      </c>
      <c r="AT19" s="131"/>
      <c r="AU19" s="14">
        <f t="shared" si="10"/>
        <v>1395.671435913201</v>
      </c>
      <c r="AV19" s="30">
        <f t="shared" si="11"/>
        <v>-3619.4699999999993</v>
      </c>
    </row>
    <row r="20" spans="1:48" ht="12.75">
      <c r="A20" s="11" t="s">
        <v>45</v>
      </c>
      <c r="B20" s="120">
        <v>905.3</v>
      </c>
      <c r="C20" s="121">
        <f t="shared" si="1"/>
        <v>7830.845</v>
      </c>
      <c r="D20" s="140">
        <v>3510.28</v>
      </c>
      <c r="E20" s="104">
        <v>153.27</v>
      </c>
      <c r="F20" s="104">
        <v>12.48</v>
      </c>
      <c r="G20" s="104">
        <v>208.23</v>
      </c>
      <c r="H20" s="104">
        <v>16.93</v>
      </c>
      <c r="I20" s="104">
        <v>1501.33</v>
      </c>
      <c r="J20" s="104">
        <v>121.92</v>
      </c>
      <c r="K20" s="104">
        <v>346.68</v>
      </c>
      <c r="L20" s="104">
        <v>28.15</v>
      </c>
      <c r="M20" s="104">
        <v>123.02</v>
      </c>
      <c r="N20" s="144">
        <v>9.99</v>
      </c>
      <c r="O20" s="85">
        <f t="shared" si="2"/>
        <v>2332.5299999999997</v>
      </c>
      <c r="P20" s="96">
        <f t="shared" si="12"/>
        <v>189.47</v>
      </c>
      <c r="Q20" s="125">
        <v>605.21</v>
      </c>
      <c r="R20" s="125">
        <v>819.6</v>
      </c>
      <c r="S20" s="125">
        <v>1369.97</v>
      </c>
      <c r="T20" s="125">
        <v>1364.3</v>
      </c>
      <c r="U20" s="125">
        <v>484.18</v>
      </c>
      <c r="V20" s="120">
        <f t="shared" si="3"/>
        <v>4643.26</v>
      </c>
      <c r="W20" s="115">
        <f t="shared" si="4"/>
        <v>8343.01</v>
      </c>
      <c r="X20" s="115"/>
      <c r="Y20" s="113">
        <f t="shared" si="14"/>
        <v>543.18</v>
      </c>
      <c r="Z20" s="113">
        <f>B20*0.2*0.99426</f>
        <v>180.02071560000002</v>
      </c>
      <c r="AA20" s="113">
        <f>0.85*B20*0.98824</f>
        <v>760.4556212</v>
      </c>
      <c r="AB20" s="113">
        <f t="shared" si="5"/>
        <v>136.882011816</v>
      </c>
      <c r="AC20" s="113">
        <f>0.83*B20*0.99023</f>
        <v>744.0578317699999</v>
      </c>
      <c r="AD20" s="113">
        <f t="shared" si="6"/>
        <v>133.93040971859998</v>
      </c>
      <c r="AE20" s="113">
        <f>1.91*B20*0.99023</f>
        <v>1712.2294682899999</v>
      </c>
      <c r="AF20" s="113">
        <f t="shared" si="7"/>
        <v>308.20130429219995</v>
      </c>
      <c r="AG20" s="113">
        <v>0</v>
      </c>
      <c r="AH20" s="113">
        <f t="shared" si="8"/>
        <v>0</v>
      </c>
      <c r="AI20" s="139"/>
      <c r="AJ20" s="99">
        <f t="shared" si="8"/>
        <v>0</v>
      </c>
      <c r="AK20" s="116"/>
      <c r="AL20" s="116"/>
      <c r="AM20" s="116">
        <f>AK20*0.18</f>
        <v>0</v>
      </c>
      <c r="AN20" s="110">
        <v>248</v>
      </c>
      <c r="AO20" s="118">
        <v>0.3</v>
      </c>
      <c r="AP20" s="113">
        <f t="shared" si="9"/>
        <v>98.32704</v>
      </c>
      <c r="AQ20" s="119"/>
      <c r="AR20" s="119">
        <f t="shared" si="13"/>
        <v>0</v>
      </c>
      <c r="AS20" s="119">
        <f t="shared" si="15"/>
        <v>4617.2844026868</v>
      </c>
      <c r="AT20" s="131"/>
      <c r="AU20" s="14">
        <f t="shared" si="10"/>
        <v>3725.7255973132005</v>
      </c>
      <c r="AV20" s="30">
        <f t="shared" si="11"/>
        <v>2310.7300000000005</v>
      </c>
    </row>
    <row r="21" spans="1:48" ht="12.75">
      <c r="A21" s="11" t="s">
        <v>46</v>
      </c>
      <c r="B21" s="120">
        <v>905.3</v>
      </c>
      <c r="C21" s="121">
        <f t="shared" si="1"/>
        <v>7830.845</v>
      </c>
      <c r="D21" s="140">
        <f>C21-E21-F21-G21-H21-I21-J21-K21-L21-M21-N21</f>
        <v>3509.7650000000003</v>
      </c>
      <c r="E21" s="104">
        <v>461.32</v>
      </c>
      <c r="F21" s="104">
        <v>37.45</v>
      </c>
      <c r="G21" s="104">
        <v>624.79</v>
      </c>
      <c r="H21" s="104">
        <v>50.77</v>
      </c>
      <c r="I21" s="104">
        <v>1501.33</v>
      </c>
      <c r="J21" s="104">
        <v>121.92</v>
      </c>
      <c r="K21" s="104">
        <v>1040.01</v>
      </c>
      <c r="L21" s="104">
        <v>84.47</v>
      </c>
      <c r="M21" s="104">
        <v>369.06</v>
      </c>
      <c r="N21" s="144">
        <v>29.96</v>
      </c>
      <c r="O21" s="85">
        <f t="shared" si="2"/>
        <v>3996.5099999999998</v>
      </c>
      <c r="P21" s="96">
        <f t="shared" si="12"/>
        <v>324.57</v>
      </c>
      <c r="Q21" s="125">
        <v>360.8</v>
      </c>
      <c r="R21" s="125">
        <v>488.67</v>
      </c>
      <c r="S21" s="125">
        <v>1635.2</v>
      </c>
      <c r="T21" s="125">
        <v>813.49</v>
      </c>
      <c r="U21" s="125">
        <v>288.68</v>
      </c>
      <c r="V21" s="120">
        <f t="shared" si="3"/>
        <v>3586.8399999999997</v>
      </c>
      <c r="W21" s="115">
        <f t="shared" si="4"/>
        <v>7421.175</v>
      </c>
      <c r="X21" s="115"/>
      <c r="Y21" s="113">
        <f t="shared" si="14"/>
        <v>543.18</v>
      </c>
      <c r="Z21" s="113">
        <f>B21*0.2*0.99875</f>
        <v>180.833675</v>
      </c>
      <c r="AA21" s="113">
        <f>0.85*B21*0.9883</f>
        <v>760.5017915</v>
      </c>
      <c r="AB21" s="113">
        <f t="shared" si="5"/>
        <v>136.89032247</v>
      </c>
      <c r="AC21" s="113">
        <f>0.83*B21*0.9903</f>
        <v>744.1104296999998</v>
      </c>
      <c r="AD21" s="113">
        <f t="shared" si="6"/>
        <v>133.93987734599997</v>
      </c>
      <c r="AE21" s="113">
        <f>1.91*B21*0.9902</f>
        <v>1712.1775945999998</v>
      </c>
      <c r="AF21" s="113">
        <f t="shared" si="7"/>
        <v>308.19196702799997</v>
      </c>
      <c r="AG21" s="113">
        <v>0</v>
      </c>
      <c r="AH21" s="113">
        <f t="shared" si="8"/>
        <v>0</v>
      </c>
      <c r="AI21" s="139"/>
      <c r="AJ21" s="99">
        <f t="shared" si="8"/>
        <v>0</v>
      </c>
      <c r="AK21" s="116"/>
      <c r="AL21" s="116"/>
      <c r="AM21" s="87">
        <f>(AK21+AL21)*0.18</f>
        <v>0</v>
      </c>
      <c r="AN21" s="110">
        <v>293</v>
      </c>
      <c r="AO21" s="118">
        <v>0.3</v>
      </c>
      <c r="AP21" s="113">
        <f t="shared" si="9"/>
        <v>116.16863999999998</v>
      </c>
      <c r="AQ21" s="119"/>
      <c r="AR21" s="119">
        <f t="shared" si="13"/>
        <v>0</v>
      </c>
      <c r="AS21" s="119">
        <f t="shared" si="15"/>
        <v>4635.994297644</v>
      </c>
      <c r="AT21" s="131"/>
      <c r="AU21" s="14">
        <f t="shared" si="10"/>
        <v>2785.1807023560004</v>
      </c>
      <c r="AV21" s="30">
        <f t="shared" si="11"/>
        <v>-409.6700000000001</v>
      </c>
    </row>
    <row r="22" spans="1:48" ht="12.75">
      <c r="A22" s="11" t="s">
        <v>47</v>
      </c>
      <c r="B22" s="120">
        <v>905.3</v>
      </c>
      <c r="C22" s="121">
        <f t="shared" si="1"/>
        <v>7830.845</v>
      </c>
      <c r="D22" s="140">
        <f>C22-E22-F22-G22-H22-I22-J22-K22-L22-M22-N22</f>
        <v>3509.7650000000003</v>
      </c>
      <c r="E22" s="95">
        <v>461.32</v>
      </c>
      <c r="F22" s="95">
        <v>37.45</v>
      </c>
      <c r="G22" s="95">
        <v>624.79</v>
      </c>
      <c r="H22" s="95">
        <v>50.77</v>
      </c>
      <c r="I22" s="95">
        <v>1501.33</v>
      </c>
      <c r="J22" s="95">
        <v>121.92</v>
      </c>
      <c r="K22" s="95">
        <v>1040.01</v>
      </c>
      <c r="L22" s="95">
        <v>84.47</v>
      </c>
      <c r="M22" s="95">
        <v>369.06</v>
      </c>
      <c r="N22" s="123">
        <v>29.96</v>
      </c>
      <c r="O22" s="85">
        <f t="shared" si="2"/>
        <v>3996.5099999999998</v>
      </c>
      <c r="P22" s="96">
        <f t="shared" si="12"/>
        <v>324.57</v>
      </c>
      <c r="Q22" s="125">
        <v>308.07</v>
      </c>
      <c r="R22" s="125">
        <v>417.22</v>
      </c>
      <c r="S22" s="125">
        <v>1079.91</v>
      </c>
      <c r="T22" s="125">
        <v>694.5</v>
      </c>
      <c r="U22" s="125">
        <v>246.43</v>
      </c>
      <c r="V22" s="120">
        <f t="shared" si="3"/>
        <v>2746.1299999999997</v>
      </c>
      <c r="W22" s="115">
        <f t="shared" si="4"/>
        <v>6580.465</v>
      </c>
      <c r="X22" s="115"/>
      <c r="Y22" s="113">
        <f t="shared" si="14"/>
        <v>543.18</v>
      </c>
      <c r="Z22" s="113">
        <f>B22*0.2*0.9997</f>
        <v>181.005682</v>
      </c>
      <c r="AA22" s="113">
        <f>0.85*B22*0.9883</f>
        <v>760.5017915</v>
      </c>
      <c r="AB22" s="113">
        <f t="shared" si="5"/>
        <v>136.89032247</v>
      </c>
      <c r="AC22" s="113">
        <f>(0.83*B22)*0.9902</f>
        <v>744.0352897999999</v>
      </c>
      <c r="AD22" s="113">
        <f t="shared" si="6"/>
        <v>133.92635216399998</v>
      </c>
      <c r="AE22" s="113">
        <f>1.91*B22*0.9903</f>
        <v>1712.3505068999998</v>
      </c>
      <c r="AF22" s="113">
        <f t="shared" si="7"/>
        <v>308.22309124199995</v>
      </c>
      <c r="AG22" s="113">
        <v>0</v>
      </c>
      <c r="AH22" s="113">
        <f t="shared" si="8"/>
        <v>0</v>
      </c>
      <c r="AI22" s="139"/>
      <c r="AJ22" s="99">
        <f t="shared" si="8"/>
        <v>0</v>
      </c>
      <c r="AK22" s="116">
        <v>805.45</v>
      </c>
      <c r="AL22" s="116"/>
      <c r="AM22" s="87">
        <f>(AK22+AL22)*0.18</f>
        <v>144.981</v>
      </c>
      <c r="AN22" s="110">
        <v>349</v>
      </c>
      <c r="AO22" s="118">
        <v>0.3</v>
      </c>
      <c r="AP22" s="113">
        <f t="shared" si="9"/>
        <v>138.37152</v>
      </c>
      <c r="AQ22" s="119"/>
      <c r="AR22" s="119">
        <f t="shared" si="13"/>
        <v>0</v>
      </c>
      <c r="AS22" s="119">
        <f t="shared" si="15"/>
        <v>5608.915556075999</v>
      </c>
      <c r="AT22" s="131"/>
      <c r="AU22" s="14">
        <f t="shared" si="10"/>
        <v>971.549443924001</v>
      </c>
      <c r="AV22" s="30">
        <f t="shared" si="11"/>
        <v>-1250.38</v>
      </c>
    </row>
    <row r="23" spans="1:48" ht="12.75">
      <c r="A23" s="11" t="s">
        <v>35</v>
      </c>
      <c r="B23" s="148">
        <v>905.3</v>
      </c>
      <c r="C23" s="94">
        <f t="shared" si="1"/>
        <v>7830.845</v>
      </c>
      <c r="D23" s="140">
        <f>C23-O23-P23</f>
        <v>3510.7650000000003</v>
      </c>
      <c r="E23" s="95">
        <v>461.32</v>
      </c>
      <c r="F23" s="95">
        <v>37.45</v>
      </c>
      <c r="G23" s="95">
        <v>624.79</v>
      </c>
      <c r="H23" s="95">
        <v>50.77</v>
      </c>
      <c r="I23" s="95">
        <v>1501.33</v>
      </c>
      <c r="J23" s="95">
        <v>120.92</v>
      </c>
      <c r="K23" s="95">
        <v>1040.01</v>
      </c>
      <c r="L23" s="95">
        <v>84.47</v>
      </c>
      <c r="M23" s="95">
        <v>369.06</v>
      </c>
      <c r="N23" s="98">
        <v>29.96</v>
      </c>
      <c r="O23" s="145">
        <f t="shared" si="2"/>
        <v>3996.5099999999998</v>
      </c>
      <c r="P23" s="146">
        <f t="shared" si="12"/>
        <v>323.57</v>
      </c>
      <c r="Q23" s="125">
        <v>392.97</v>
      </c>
      <c r="R23" s="125">
        <v>532.11</v>
      </c>
      <c r="S23" s="125">
        <v>1309.78</v>
      </c>
      <c r="T23" s="125">
        <v>885.77</v>
      </c>
      <c r="U23" s="125">
        <v>314.35</v>
      </c>
      <c r="V23" s="98">
        <f t="shared" si="3"/>
        <v>3434.98</v>
      </c>
      <c r="W23" s="97">
        <f t="shared" si="4"/>
        <v>7269.3150000000005</v>
      </c>
      <c r="X23" s="92"/>
      <c r="Y23" s="147">
        <f t="shared" si="14"/>
        <v>543.18</v>
      </c>
      <c r="Z23" s="16">
        <f>B23*0.2</f>
        <v>181.06</v>
      </c>
      <c r="AA23" s="16">
        <f>0.85*B23</f>
        <v>769.505</v>
      </c>
      <c r="AB23" s="16">
        <f t="shared" si="5"/>
        <v>138.5109</v>
      </c>
      <c r="AC23" s="16">
        <f>(0.83*B23)</f>
        <v>751.3989999999999</v>
      </c>
      <c r="AD23" s="16">
        <f t="shared" si="6"/>
        <v>135.25181999999998</v>
      </c>
      <c r="AE23" s="16">
        <f>1.91*B23</f>
        <v>1729.1229999999998</v>
      </c>
      <c r="AF23" s="16">
        <f t="shared" si="7"/>
        <v>311.24213999999995</v>
      </c>
      <c r="AG23" s="16">
        <v>0</v>
      </c>
      <c r="AH23" s="16">
        <f t="shared" si="8"/>
        <v>0</v>
      </c>
      <c r="AI23" s="139"/>
      <c r="AJ23" s="99">
        <f t="shared" si="8"/>
        <v>0</v>
      </c>
      <c r="AK23" s="87"/>
      <c r="AL23" s="87"/>
      <c r="AM23" s="87">
        <f>(AK23+AL23)*0.18</f>
        <v>0</v>
      </c>
      <c r="AN23" s="128">
        <v>425</v>
      </c>
      <c r="AO23" s="109">
        <v>0.3</v>
      </c>
      <c r="AP23" s="16">
        <f t="shared" si="9"/>
        <v>168.504</v>
      </c>
      <c r="AQ23" s="103"/>
      <c r="AR23" s="103">
        <f t="shared" si="13"/>
        <v>0</v>
      </c>
      <c r="AS23" s="103">
        <f t="shared" si="15"/>
        <v>4727.77586</v>
      </c>
      <c r="AT23" s="106"/>
      <c r="AU23" s="14">
        <f t="shared" si="10"/>
        <v>2541.5391400000008</v>
      </c>
      <c r="AV23" s="30">
        <f t="shared" si="11"/>
        <v>-561.5299999999997</v>
      </c>
    </row>
    <row r="24" spans="1:48" ht="12.75">
      <c r="A24" s="11" t="s">
        <v>36</v>
      </c>
      <c r="B24" s="148">
        <v>905.3</v>
      </c>
      <c r="C24" s="94">
        <f t="shared" si="1"/>
        <v>7830.845</v>
      </c>
      <c r="D24" s="140">
        <f>C24-O24-P24</f>
        <v>3509.7650000000003</v>
      </c>
      <c r="E24" s="95">
        <v>461.32</v>
      </c>
      <c r="F24" s="95">
        <v>37.45</v>
      </c>
      <c r="G24" s="95">
        <v>624.79</v>
      </c>
      <c r="H24" s="95">
        <v>50.77</v>
      </c>
      <c r="I24" s="95">
        <v>1501.33</v>
      </c>
      <c r="J24" s="95">
        <v>121.92</v>
      </c>
      <c r="K24" s="95">
        <v>1040.01</v>
      </c>
      <c r="L24" s="95">
        <v>84.47</v>
      </c>
      <c r="M24" s="95">
        <v>369.06</v>
      </c>
      <c r="N24" s="123">
        <v>29.96</v>
      </c>
      <c r="O24" s="145">
        <f t="shared" si="2"/>
        <v>3996.5099999999998</v>
      </c>
      <c r="P24" s="146">
        <f t="shared" si="12"/>
        <v>324.57</v>
      </c>
      <c r="Q24" s="149">
        <v>401.56</v>
      </c>
      <c r="R24" s="149">
        <v>543.79</v>
      </c>
      <c r="S24" s="149">
        <v>1317.71</v>
      </c>
      <c r="T24" s="149">
        <v>905.22</v>
      </c>
      <c r="U24" s="149">
        <v>321.26</v>
      </c>
      <c r="V24" s="98">
        <f t="shared" si="3"/>
        <v>3489.54</v>
      </c>
      <c r="W24" s="97">
        <f t="shared" si="4"/>
        <v>7323.875</v>
      </c>
      <c r="X24" s="97"/>
      <c r="Y24" s="16">
        <f t="shared" si="14"/>
        <v>543.18</v>
      </c>
      <c r="Z24" s="16">
        <f>B24*0.2</f>
        <v>181.06</v>
      </c>
      <c r="AA24" s="16">
        <f>0.85*B24</f>
        <v>769.505</v>
      </c>
      <c r="AB24" s="16">
        <f t="shared" si="5"/>
        <v>138.5109</v>
      </c>
      <c r="AC24" s="16">
        <f>(0.83*B24)</f>
        <v>751.3989999999999</v>
      </c>
      <c r="AD24" s="16">
        <f t="shared" si="6"/>
        <v>135.25181999999998</v>
      </c>
      <c r="AE24" s="16">
        <f>1.91*B24</f>
        <v>1729.1229999999998</v>
      </c>
      <c r="AF24" s="16">
        <f t="shared" si="7"/>
        <v>311.24213999999995</v>
      </c>
      <c r="AG24" s="16">
        <v>0</v>
      </c>
      <c r="AH24" s="16">
        <f t="shared" si="8"/>
        <v>0</v>
      </c>
      <c r="AI24" s="139"/>
      <c r="AJ24" s="99">
        <f t="shared" si="8"/>
        <v>0</v>
      </c>
      <c r="AK24" s="87"/>
      <c r="AL24" s="87"/>
      <c r="AM24" s="87">
        <f>AK24*0.18</f>
        <v>0</v>
      </c>
      <c r="AN24" s="128">
        <v>470</v>
      </c>
      <c r="AO24" s="109">
        <v>0.3</v>
      </c>
      <c r="AP24" s="16">
        <f t="shared" si="9"/>
        <v>186.34560000000002</v>
      </c>
      <c r="AQ24" s="103"/>
      <c r="AR24" s="103">
        <f t="shared" si="13"/>
        <v>0</v>
      </c>
      <c r="AS24" s="103">
        <f t="shared" si="15"/>
        <v>4745.6174599999995</v>
      </c>
      <c r="AT24" s="106"/>
      <c r="AU24" s="14">
        <f t="shared" si="10"/>
        <v>2578.2575400000005</v>
      </c>
      <c r="AV24" s="30">
        <f t="shared" si="11"/>
        <v>-506.9699999999998</v>
      </c>
    </row>
    <row r="25" spans="1:48" ht="12.75">
      <c r="A25" s="11" t="s">
        <v>37</v>
      </c>
      <c r="B25" s="150">
        <v>905.3</v>
      </c>
      <c r="C25" s="121">
        <f t="shared" si="1"/>
        <v>7830.845</v>
      </c>
      <c r="D25" s="122">
        <f>C25-E25-F25-G25-H25-I25-J25-K25-L25-M25-N25</f>
        <v>3509.7650000000003</v>
      </c>
      <c r="E25" s="151">
        <v>461.32</v>
      </c>
      <c r="F25" s="151">
        <v>37.45</v>
      </c>
      <c r="G25" s="151">
        <v>624.79</v>
      </c>
      <c r="H25" s="151">
        <v>50.77</v>
      </c>
      <c r="I25" s="151">
        <v>1501.33</v>
      </c>
      <c r="J25" s="151">
        <v>121.92</v>
      </c>
      <c r="K25" s="151">
        <v>1040.01</v>
      </c>
      <c r="L25" s="151">
        <v>84.47</v>
      </c>
      <c r="M25" s="151">
        <v>369.06</v>
      </c>
      <c r="N25" s="151">
        <v>29.96</v>
      </c>
      <c r="O25" s="84">
        <f t="shared" si="2"/>
        <v>3996.5099999999998</v>
      </c>
      <c r="P25" s="96">
        <f t="shared" si="12"/>
        <v>324.57</v>
      </c>
      <c r="Q25" s="125">
        <v>482.1</v>
      </c>
      <c r="R25" s="125">
        <v>653.14</v>
      </c>
      <c r="S25" s="125">
        <v>1580.99</v>
      </c>
      <c r="T25" s="125">
        <v>1087.01</v>
      </c>
      <c r="U25" s="125">
        <v>385.7</v>
      </c>
      <c r="V25" s="98">
        <f t="shared" si="3"/>
        <v>4188.94</v>
      </c>
      <c r="W25" s="97">
        <f t="shared" si="4"/>
        <v>8023.275</v>
      </c>
      <c r="X25" s="97"/>
      <c r="Y25" s="16">
        <f t="shared" si="14"/>
        <v>543.18</v>
      </c>
      <c r="Z25" s="16">
        <f>B25*0.2</f>
        <v>181.06</v>
      </c>
      <c r="AA25" s="16">
        <f>0.85*B25</f>
        <v>769.505</v>
      </c>
      <c r="AB25" s="16">
        <f t="shared" si="5"/>
        <v>138.5109</v>
      </c>
      <c r="AC25" s="16">
        <f>(0.83*B25)</f>
        <v>751.3989999999999</v>
      </c>
      <c r="AD25" s="16">
        <f t="shared" si="6"/>
        <v>135.25181999999998</v>
      </c>
      <c r="AE25" s="16">
        <f>1.91*B25</f>
        <v>1729.1229999999998</v>
      </c>
      <c r="AF25" s="16">
        <f t="shared" si="7"/>
        <v>311.24213999999995</v>
      </c>
      <c r="AG25" s="16">
        <v>0</v>
      </c>
      <c r="AH25" s="16">
        <f t="shared" si="8"/>
        <v>0</v>
      </c>
      <c r="AI25" s="139"/>
      <c r="AJ25" s="99">
        <f t="shared" si="8"/>
        <v>0</v>
      </c>
      <c r="AK25" s="87"/>
      <c r="AL25" s="87"/>
      <c r="AM25" s="87">
        <f>AK25*0.18</f>
        <v>0</v>
      </c>
      <c r="AN25" s="128">
        <v>514</v>
      </c>
      <c r="AO25" s="109">
        <v>0.3</v>
      </c>
      <c r="AP25" s="16">
        <f t="shared" si="9"/>
        <v>203.79072</v>
      </c>
      <c r="AQ25" s="103"/>
      <c r="AR25" s="103">
        <f t="shared" si="13"/>
        <v>0</v>
      </c>
      <c r="AS25" s="103">
        <f t="shared" si="15"/>
        <v>4763.06258</v>
      </c>
      <c r="AT25" s="106"/>
      <c r="AU25" s="14">
        <f t="shared" si="10"/>
        <v>3260.21242</v>
      </c>
      <c r="AV25" s="30">
        <f t="shared" si="11"/>
        <v>192.42999999999984</v>
      </c>
    </row>
    <row r="26" spans="1:48" s="20" customFormat="1" ht="12.75">
      <c r="A26" s="17" t="s">
        <v>5</v>
      </c>
      <c r="B26" s="59"/>
      <c r="C26" s="59">
        <f aca="true" t="shared" si="16" ref="C26:AT26">SUM(C14:C25)</f>
        <v>93970.14</v>
      </c>
      <c r="D26" s="59">
        <f t="shared" si="16"/>
        <v>32004.642499999998</v>
      </c>
      <c r="E26" s="56">
        <f t="shared" si="16"/>
        <v>5348.7</v>
      </c>
      <c r="F26" s="56">
        <f t="shared" si="16"/>
        <v>447.64</v>
      </c>
      <c r="G26" s="56">
        <f t="shared" si="16"/>
        <v>7237.469999999999</v>
      </c>
      <c r="H26" s="56">
        <f t="shared" si="16"/>
        <v>606.1999999999999</v>
      </c>
      <c r="I26" s="56">
        <f t="shared" si="16"/>
        <v>17401.38</v>
      </c>
      <c r="J26" s="56">
        <f t="shared" si="16"/>
        <v>1455.5000000000002</v>
      </c>
      <c r="K26" s="56">
        <f t="shared" si="16"/>
        <v>12052.18</v>
      </c>
      <c r="L26" s="56">
        <f t="shared" si="16"/>
        <v>1009.4600000000002</v>
      </c>
      <c r="M26" s="56">
        <f t="shared" si="16"/>
        <v>4279.35</v>
      </c>
      <c r="N26" s="56">
        <f t="shared" si="16"/>
        <v>358.13</v>
      </c>
      <c r="O26" s="56">
        <f t="shared" si="16"/>
        <v>46319.08</v>
      </c>
      <c r="P26" s="56">
        <f t="shared" si="16"/>
        <v>3876.9300000000007</v>
      </c>
      <c r="Q26" s="60">
        <f t="shared" si="16"/>
        <v>4584.490000000001</v>
      </c>
      <c r="R26" s="60">
        <f t="shared" si="16"/>
        <v>6200.94</v>
      </c>
      <c r="S26" s="60">
        <f t="shared" si="16"/>
        <v>14904.47</v>
      </c>
      <c r="T26" s="60">
        <f t="shared" si="16"/>
        <v>10327.3</v>
      </c>
      <c r="U26" s="60">
        <f t="shared" si="16"/>
        <v>3667.5999999999995</v>
      </c>
      <c r="V26" s="60">
        <f t="shared" si="16"/>
        <v>39684.8</v>
      </c>
      <c r="W26" s="60">
        <f t="shared" si="16"/>
        <v>75566.3725</v>
      </c>
      <c r="X26" s="90">
        <f t="shared" si="16"/>
        <v>0</v>
      </c>
      <c r="Y26" s="18">
        <f t="shared" si="16"/>
        <v>6300.888000000001</v>
      </c>
      <c r="Z26" s="18">
        <f t="shared" si="16"/>
        <v>2109.7400896000004</v>
      </c>
      <c r="AA26" s="18">
        <f t="shared" si="16"/>
        <v>8845.9062879</v>
      </c>
      <c r="AB26" s="18">
        <f t="shared" si="16"/>
        <v>1592.2631318219999</v>
      </c>
      <c r="AC26" s="18">
        <f t="shared" si="16"/>
        <v>8660.294258439999</v>
      </c>
      <c r="AD26" s="18">
        <f t="shared" si="16"/>
        <v>1558.8529665191998</v>
      </c>
      <c r="AE26" s="18">
        <f t="shared" si="16"/>
        <v>19928.76505928</v>
      </c>
      <c r="AF26" s="18">
        <f t="shared" si="16"/>
        <v>3587.177710670399</v>
      </c>
      <c r="AG26" s="18">
        <f t="shared" si="16"/>
        <v>0</v>
      </c>
      <c r="AH26" s="18">
        <f t="shared" si="16"/>
        <v>0</v>
      </c>
      <c r="AI26" s="18">
        <f>SUM(AI14:AI25)</f>
        <v>0</v>
      </c>
      <c r="AJ26" s="18">
        <f>SUM(AJ14:AJ25)</f>
        <v>0</v>
      </c>
      <c r="AK26" s="18">
        <f>SUM(AK14:AK25)</f>
        <v>9528.35</v>
      </c>
      <c r="AL26" s="18">
        <f>SUM(AL14:AL25)</f>
        <v>0</v>
      </c>
      <c r="AM26" s="18">
        <f>SUM(AM14:AM25)</f>
        <v>1715.1029999999998</v>
      </c>
      <c r="AN26" s="18"/>
      <c r="AO26" s="18"/>
      <c r="AP26" s="18">
        <f t="shared" si="16"/>
        <v>1744.512</v>
      </c>
      <c r="AQ26" s="18">
        <f t="shared" si="16"/>
        <v>0</v>
      </c>
      <c r="AR26" s="18">
        <f t="shared" si="16"/>
        <v>0</v>
      </c>
      <c r="AS26" s="18">
        <f t="shared" si="16"/>
        <v>65571.85250423159</v>
      </c>
      <c r="AT26" s="18">
        <f t="shared" si="16"/>
        <v>0</v>
      </c>
      <c r="AU26" s="18">
        <f>SUM(AU14:AU25)</f>
        <v>9994.51999576841</v>
      </c>
      <c r="AV26" s="19">
        <f>SUM(AV14:AV25)</f>
        <v>-6634.279999999999</v>
      </c>
    </row>
    <row r="27" spans="1:48" ht="12.75">
      <c r="A27" s="11"/>
      <c r="B27" s="12"/>
      <c r="C27" s="13"/>
      <c r="D27" s="13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7"/>
      <c r="P27" s="47"/>
      <c r="Q27" s="51"/>
      <c r="R27" s="51"/>
      <c r="S27" s="51"/>
      <c r="T27" s="51"/>
      <c r="U27" s="51"/>
      <c r="V27" s="51"/>
      <c r="W27" s="91"/>
      <c r="X27" s="92"/>
      <c r="Y27" s="16"/>
      <c r="Z27" s="16"/>
      <c r="AA27" s="16"/>
      <c r="AB27" s="16"/>
      <c r="AC27" s="16"/>
      <c r="AD27" s="16"/>
      <c r="AE27" s="16"/>
      <c r="AF27" s="16"/>
      <c r="AG27" s="15"/>
      <c r="AH27" s="15"/>
      <c r="AI27" s="15"/>
      <c r="AJ27" s="15"/>
      <c r="AK27" s="86"/>
      <c r="AL27" s="86"/>
      <c r="AM27" s="87"/>
      <c r="AN27" s="87"/>
      <c r="AO27" s="87"/>
      <c r="AP27" s="21"/>
      <c r="AQ27" s="15"/>
      <c r="AR27" s="16"/>
      <c r="AS27" s="16"/>
      <c r="AT27" s="16"/>
      <c r="AU27" s="16"/>
      <c r="AV27" s="10"/>
    </row>
    <row r="28" spans="1:48" s="20" customFormat="1" ht="13.5" thickBot="1">
      <c r="A28" s="22" t="s">
        <v>48</v>
      </c>
      <c r="B28" s="23"/>
      <c r="C28" s="23">
        <f>C12+C26</f>
        <v>117462.675</v>
      </c>
      <c r="D28" s="23">
        <f>D12+D26</f>
        <v>37658.37398295</v>
      </c>
      <c r="E28" s="49">
        <f aca="true" t="shared" si="17" ref="E28:AT28">E12+E26</f>
        <v>6587.25</v>
      </c>
      <c r="F28" s="49">
        <f t="shared" si="17"/>
        <v>565</v>
      </c>
      <c r="G28" s="49">
        <f t="shared" si="17"/>
        <v>8909.46</v>
      </c>
      <c r="H28" s="49">
        <f t="shared" si="17"/>
        <v>764.6299999999999</v>
      </c>
      <c r="I28" s="49">
        <f t="shared" si="17"/>
        <v>21426.75</v>
      </c>
      <c r="J28" s="49">
        <f t="shared" si="17"/>
        <v>1836.9200000000003</v>
      </c>
      <c r="K28" s="49">
        <f t="shared" si="17"/>
        <v>14839</v>
      </c>
      <c r="L28" s="49">
        <f t="shared" si="17"/>
        <v>1273.5200000000002</v>
      </c>
      <c r="M28" s="49">
        <f t="shared" si="17"/>
        <v>5270.160000000001</v>
      </c>
      <c r="N28" s="49">
        <f>N12+N26</f>
        <v>452.03</v>
      </c>
      <c r="O28" s="49">
        <f t="shared" si="17"/>
        <v>57032.62</v>
      </c>
      <c r="P28" s="49">
        <f t="shared" si="17"/>
        <v>4892.1</v>
      </c>
      <c r="Q28" s="52">
        <f t="shared" si="17"/>
        <v>5267.85</v>
      </c>
      <c r="R28" s="52">
        <f t="shared" si="17"/>
        <v>7123.49</v>
      </c>
      <c r="S28" s="52">
        <f t="shared" si="17"/>
        <v>17125.489999999998</v>
      </c>
      <c r="T28" s="52">
        <f t="shared" si="17"/>
        <v>11864.949999999999</v>
      </c>
      <c r="U28" s="52">
        <f t="shared" si="17"/>
        <v>4214.289999999999</v>
      </c>
      <c r="V28" s="52">
        <f t="shared" si="17"/>
        <v>45596.07000000001</v>
      </c>
      <c r="W28" s="52">
        <f t="shared" si="17"/>
        <v>88146.54398295</v>
      </c>
      <c r="X28" s="52">
        <f t="shared" si="17"/>
        <v>0</v>
      </c>
      <c r="Y28" s="23">
        <f t="shared" si="17"/>
        <v>7930.428000000001</v>
      </c>
      <c r="Z28" s="23">
        <f t="shared" si="17"/>
        <v>2668.9438996000003</v>
      </c>
      <c r="AA28" s="23">
        <f t="shared" si="17"/>
        <v>11147.9031279</v>
      </c>
      <c r="AB28" s="23">
        <f t="shared" si="17"/>
        <v>2006.6225630219997</v>
      </c>
      <c r="AC28" s="23">
        <f t="shared" si="17"/>
        <v>10796.914515639999</v>
      </c>
      <c r="AD28" s="23">
        <f t="shared" si="17"/>
        <v>1943.4446128151997</v>
      </c>
      <c r="AE28" s="23">
        <f t="shared" si="17"/>
        <v>23852.75033933</v>
      </c>
      <c r="AF28" s="23">
        <f t="shared" si="17"/>
        <v>4293.4950610793985</v>
      </c>
      <c r="AG28" s="23">
        <f t="shared" si="17"/>
        <v>0</v>
      </c>
      <c r="AH28" s="23">
        <f t="shared" si="17"/>
        <v>0</v>
      </c>
      <c r="AI28" s="23">
        <f t="shared" si="17"/>
        <v>0</v>
      </c>
      <c r="AJ28" s="23">
        <f t="shared" si="17"/>
        <v>0</v>
      </c>
      <c r="AK28" s="23">
        <f t="shared" si="17"/>
        <v>10069.75</v>
      </c>
      <c r="AL28" s="23">
        <f t="shared" si="17"/>
        <v>0</v>
      </c>
      <c r="AM28" s="23">
        <f t="shared" si="17"/>
        <v>1812.5549999999998</v>
      </c>
      <c r="AN28" s="23"/>
      <c r="AO28" s="23"/>
      <c r="AP28" s="23">
        <f t="shared" si="17"/>
        <v>1744.512</v>
      </c>
      <c r="AQ28" s="23">
        <f t="shared" si="17"/>
        <v>0</v>
      </c>
      <c r="AR28" s="23">
        <f t="shared" si="17"/>
        <v>0</v>
      </c>
      <c r="AS28" s="23">
        <f t="shared" si="17"/>
        <v>78267.31911938658</v>
      </c>
      <c r="AT28" s="23">
        <f t="shared" si="17"/>
        <v>0</v>
      </c>
      <c r="AU28" s="23">
        <f>AU12+AU26</f>
        <v>9879.224863563413</v>
      </c>
      <c r="AV28" s="24">
        <f>AV12+AV26</f>
        <v>-11436.55</v>
      </c>
    </row>
    <row r="29" spans="1:48" ht="15" customHeight="1">
      <c r="A29" s="5" t="s">
        <v>85</v>
      </c>
      <c r="B29" s="57"/>
      <c r="C29" s="58"/>
      <c r="D29" s="58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4"/>
      <c r="P29" s="54"/>
      <c r="Q29" s="61"/>
      <c r="R29" s="61"/>
      <c r="S29" s="61"/>
      <c r="T29" s="61"/>
      <c r="U29" s="61"/>
      <c r="V29" s="53"/>
      <c r="W29" s="88"/>
      <c r="X29" s="89"/>
      <c r="Y29" s="14"/>
      <c r="Z29" s="14"/>
      <c r="AA29" s="14"/>
      <c r="AB29" s="14"/>
      <c r="AC29" s="14"/>
      <c r="AD29" s="14"/>
      <c r="AE29" s="14"/>
      <c r="AF29" s="14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14"/>
      <c r="AS29" s="14"/>
      <c r="AT29" s="14"/>
      <c r="AU29" s="14"/>
      <c r="AV29" s="30"/>
    </row>
    <row r="30" spans="1:48" ht="12.75">
      <c r="A30" s="11" t="s">
        <v>39</v>
      </c>
      <c r="B30" s="150">
        <v>905.3</v>
      </c>
      <c r="C30" s="121">
        <f aca="true" t="shared" si="18" ref="C30:C41">B30*8.65</f>
        <v>7830.845</v>
      </c>
      <c r="D30" s="122">
        <f>C30-E30-F30-G30-H30-I30-J30-K30-L30-M30-N30</f>
        <v>3509.7650000000003</v>
      </c>
      <c r="E30" s="95">
        <v>457.02</v>
      </c>
      <c r="F30" s="95">
        <v>41.75</v>
      </c>
      <c r="G30" s="95">
        <v>618.96</v>
      </c>
      <c r="H30" s="95">
        <v>56.6</v>
      </c>
      <c r="I30" s="95">
        <v>1487.34</v>
      </c>
      <c r="J30" s="95">
        <v>135.91</v>
      </c>
      <c r="K30" s="95">
        <v>1030.31</v>
      </c>
      <c r="L30" s="95">
        <v>94.17</v>
      </c>
      <c r="M30" s="95">
        <v>365.62</v>
      </c>
      <c r="N30" s="123">
        <v>33.4</v>
      </c>
      <c r="O30" s="84">
        <f aca="true" t="shared" si="19" ref="O30:O41">E30+G30+I30+K30+M30</f>
        <v>3959.2499999999995</v>
      </c>
      <c r="P30" s="153">
        <f aca="true" t="shared" si="20" ref="P30:P41">N30+L30+J30+H30+F30</f>
        <v>361.83000000000004</v>
      </c>
      <c r="Q30" s="124">
        <v>401.73</v>
      </c>
      <c r="R30" s="125">
        <v>544</v>
      </c>
      <c r="S30" s="125">
        <v>1311.31</v>
      </c>
      <c r="T30" s="125">
        <v>905.62</v>
      </c>
      <c r="U30" s="125">
        <v>321.4</v>
      </c>
      <c r="V30" s="120">
        <f>SUM(Q30:U30)</f>
        <v>3484.06</v>
      </c>
      <c r="W30" s="126">
        <f aca="true" t="shared" si="21" ref="W30:W41">D30+P30+V30</f>
        <v>7355.655000000001</v>
      </c>
      <c r="X30" s="97"/>
      <c r="Y30" s="16">
        <f aca="true" t="shared" si="22" ref="Y30:Y41">0.6*B30</f>
        <v>543.18</v>
      </c>
      <c r="Z30" s="16">
        <f aca="true" t="shared" si="23" ref="Z30:Z41">B30*0.2</f>
        <v>181.06</v>
      </c>
      <c r="AA30" s="16">
        <f aca="true" t="shared" si="24" ref="AA30:AA41">1*B30</f>
        <v>905.3</v>
      </c>
      <c r="AB30" s="16">
        <v>0</v>
      </c>
      <c r="AC30" s="16">
        <f>0.98*B30</f>
        <v>887.194</v>
      </c>
      <c r="AD30" s="16">
        <v>0</v>
      </c>
      <c r="AE30" s="16">
        <f aca="true" t="shared" si="25" ref="AE30:AE41">2.25*B30</f>
        <v>2036.925</v>
      </c>
      <c r="AF30" s="16">
        <v>0</v>
      </c>
      <c r="AG30" s="16">
        <v>0</v>
      </c>
      <c r="AH30" s="16">
        <f>AG30*0.18</f>
        <v>0</v>
      </c>
      <c r="AI30" s="99"/>
      <c r="AJ30" s="99"/>
      <c r="AK30" s="87"/>
      <c r="AL30" s="87"/>
      <c r="AM30" s="87"/>
      <c r="AN30" s="128">
        <v>508</v>
      </c>
      <c r="AO30" s="109">
        <v>0.3</v>
      </c>
      <c r="AP30" s="16">
        <f aca="true" t="shared" si="26" ref="AP30:AP41">AN30*AO30*1.4</f>
        <v>213.35999999999999</v>
      </c>
      <c r="AQ30" s="103"/>
      <c r="AR30" s="103">
        <f aca="true" t="shared" si="27" ref="AR30:AR41">AQ30*0.18</f>
        <v>0</v>
      </c>
      <c r="AS30" s="103">
        <f>SUM(Y30:AR30)-AN30-AO30</f>
        <v>4767.018999999999</v>
      </c>
      <c r="AT30" s="106"/>
      <c r="AU30" s="14">
        <f aca="true" t="shared" si="28" ref="AU30:AU41">W30+X30-AS30-AT30</f>
        <v>2588.6360000000013</v>
      </c>
      <c r="AV30" s="30">
        <f aca="true" t="shared" si="29" ref="AV30:AV41">V30-O30</f>
        <v>-475.1899999999996</v>
      </c>
    </row>
    <row r="31" spans="1:48" ht="12.75">
      <c r="A31" s="11" t="s">
        <v>40</v>
      </c>
      <c r="B31" s="150">
        <v>905.3</v>
      </c>
      <c r="C31" s="121">
        <f t="shared" si="18"/>
        <v>7830.845</v>
      </c>
      <c r="D31" s="122">
        <f>C31-E31-F31-G31-H31-I31-J31-K31-L31-M31-N31</f>
        <v>3509.7650000000003</v>
      </c>
      <c r="E31" s="95">
        <v>457.02</v>
      </c>
      <c r="F31" s="95">
        <v>41.75</v>
      </c>
      <c r="G31" s="95">
        <v>618.96</v>
      </c>
      <c r="H31" s="95">
        <v>56.6</v>
      </c>
      <c r="I31" s="95">
        <v>1487.34</v>
      </c>
      <c r="J31" s="95">
        <v>135.91</v>
      </c>
      <c r="K31" s="95">
        <v>1030.31</v>
      </c>
      <c r="L31" s="95">
        <v>94.17</v>
      </c>
      <c r="M31" s="95">
        <v>365.62</v>
      </c>
      <c r="N31" s="123">
        <v>33.4</v>
      </c>
      <c r="O31" s="84">
        <f t="shared" si="19"/>
        <v>3959.2499999999995</v>
      </c>
      <c r="P31" s="96">
        <f t="shared" si="20"/>
        <v>361.83000000000004</v>
      </c>
      <c r="Q31" s="125">
        <v>439.47</v>
      </c>
      <c r="R31" s="125">
        <v>595.33</v>
      </c>
      <c r="S31" s="125">
        <v>1431.98</v>
      </c>
      <c r="T31" s="125">
        <v>990.89</v>
      </c>
      <c r="U31" s="125">
        <v>351.6</v>
      </c>
      <c r="V31" s="120">
        <f>SUM(Q31:U31)</f>
        <v>3809.27</v>
      </c>
      <c r="W31" s="97">
        <f t="shared" si="21"/>
        <v>7680.865</v>
      </c>
      <c r="X31" s="97"/>
      <c r="Y31" s="16">
        <f t="shared" si="22"/>
        <v>543.18</v>
      </c>
      <c r="Z31" s="16">
        <f t="shared" si="23"/>
        <v>181.06</v>
      </c>
      <c r="AA31" s="16">
        <f t="shared" si="24"/>
        <v>905.3</v>
      </c>
      <c r="AB31" s="16">
        <v>0</v>
      </c>
      <c r="AC31" s="16">
        <f>0.98*B31</f>
        <v>887.194</v>
      </c>
      <c r="AD31" s="16">
        <v>0</v>
      </c>
      <c r="AE31" s="16">
        <f t="shared" si="25"/>
        <v>2036.925</v>
      </c>
      <c r="AF31" s="16">
        <v>0</v>
      </c>
      <c r="AG31" s="16">
        <v>0</v>
      </c>
      <c r="AH31" s="16">
        <f>AG31*0.18</f>
        <v>0</v>
      </c>
      <c r="AI31" s="99"/>
      <c r="AJ31" s="99"/>
      <c r="AK31" s="87">
        <v>2800</v>
      </c>
      <c r="AL31" s="87"/>
      <c r="AM31" s="87"/>
      <c r="AN31" s="128">
        <v>407</v>
      </c>
      <c r="AO31" s="109">
        <v>0.3</v>
      </c>
      <c r="AP31" s="16">
        <f t="shared" si="26"/>
        <v>170.93999999999997</v>
      </c>
      <c r="AQ31" s="103"/>
      <c r="AR31" s="103">
        <f t="shared" si="27"/>
        <v>0</v>
      </c>
      <c r="AS31" s="103">
        <f>SUM(Y31:AR31)-AN31-AO31</f>
        <v>7524.598999999999</v>
      </c>
      <c r="AT31" s="106"/>
      <c r="AU31" s="14">
        <f t="shared" si="28"/>
        <v>156.26600000000053</v>
      </c>
      <c r="AV31" s="30">
        <f t="shared" si="29"/>
        <v>-149.97999999999956</v>
      </c>
    </row>
    <row r="32" spans="1:48" ht="12.75">
      <c r="A32" s="11" t="s">
        <v>41</v>
      </c>
      <c r="B32" s="150">
        <v>905.3</v>
      </c>
      <c r="C32" s="121">
        <f t="shared" si="18"/>
        <v>7830.845</v>
      </c>
      <c r="D32" s="122">
        <f>C32-E32-F32-G32-H32-I32-J32-K32-L32-M32-N32</f>
        <v>3509.7650000000003</v>
      </c>
      <c r="E32" s="95">
        <v>469.04</v>
      </c>
      <c r="F32" s="95">
        <v>29.73</v>
      </c>
      <c r="G32" s="95">
        <v>635.25</v>
      </c>
      <c r="H32" s="95">
        <v>40.31</v>
      </c>
      <c r="I32" s="95">
        <v>1526.46</v>
      </c>
      <c r="J32" s="95">
        <v>96.78</v>
      </c>
      <c r="K32" s="95">
        <v>1057.42</v>
      </c>
      <c r="L32" s="95">
        <v>67.06</v>
      </c>
      <c r="M32" s="95">
        <v>375.25</v>
      </c>
      <c r="N32" s="123">
        <v>23.78</v>
      </c>
      <c r="O32" s="84">
        <f t="shared" si="19"/>
        <v>4063.42</v>
      </c>
      <c r="P32" s="96">
        <f t="shared" si="20"/>
        <v>257.66</v>
      </c>
      <c r="Q32" s="125">
        <v>513.35</v>
      </c>
      <c r="R32" s="125">
        <v>695.2</v>
      </c>
      <c r="S32" s="125">
        <v>1671.65</v>
      </c>
      <c r="T32" s="125">
        <v>1157.26</v>
      </c>
      <c r="U32" s="125">
        <v>410.7</v>
      </c>
      <c r="V32" s="120">
        <f>SUM(Q32:U32)</f>
        <v>4448.16</v>
      </c>
      <c r="W32" s="97">
        <f t="shared" si="21"/>
        <v>8215.585</v>
      </c>
      <c r="X32" s="97"/>
      <c r="Y32" s="16">
        <f t="shared" si="22"/>
        <v>543.18</v>
      </c>
      <c r="Z32" s="16">
        <f t="shared" si="23"/>
        <v>181.06</v>
      </c>
      <c r="AA32" s="16">
        <f t="shared" si="24"/>
        <v>905.3</v>
      </c>
      <c r="AB32" s="16">
        <v>0</v>
      </c>
      <c r="AC32" s="16">
        <f>0.98*B32</f>
        <v>887.194</v>
      </c>
      <c r="AD32" s="16">
        <v>0</v>
      </c>
      <c r="AE32" s="16">
        <f t="shared" si="25"/>
        <v>2036.925</v>
      </c>
      <c r="AF32" s="16">
        <v>0</v>
      </c>
      <c r="AG32" s="16"/>
      <c r="AH32" s="16"/>
      <c r="AI32" s="99"/>
      <c r="AJ32" s="99"/>
      <c r="AK32" s="87"/>
      <c r="AL32" s="87"/>
      <c r="AM32" s="87"/>
      <c r="AN32" s="128">
        <v>383</v>
      </c>
      <c r="AO32" s="109">
        <v>0.3</v>
      </c>
      <c r="AP32" s="16">
        <f t="shared" si="26"/>
        <v>160.85999999999999</v>
      </c>
      <c r="AQ32" s="103"/>
      <c r="AR32" s="103">
        <f t="shared" si="27"/>
        <v>0</v>
      </c>
      <c r="AS32" s="103">
        <f>SUM(Y32:AR32)-AN32-AO32</f>
        <v>4714.518999999999</v>
      </c>
      <c r="AT32" s="106"/>
      <c r="AU32" s="14">
        <f t="shared" si="28"/>
        <v>3501.066</v>
      </c>
      <c r="AV32" s="30">
        <f t="shared" si="29"/>
        <v>384.7399999999998</v>
      </c>
    </row>
    <row r="33" spans="1:48" ht="12.75">
      <c r="A33" s="11" t="s">
        <v>42</v>
      </c>
      <c r="B33" s="150">
        <v>905.3</v>
      </c>
      <c r="C33" s="121">
        <f t="shared" si="18"/>
        <v>7830.845</v>
      </c>
      <c r="D33" s="122">
        <f>C33-E33-F33-G33-H33-I33-J33-K33-L33-M33-N33</f>
        <v>3509.7649999999994</v>
      </c>
      <c r="E33" s="95">
        <v>473.22</v>
      </c>
      <c r="F33" s="95">
        <v>25.55</v>
      </c>
      <c r="G33" s="95">
        <v>640.92</v>
      </c>
      <c r="H33" s="95">
        <v>34.64</v>
      </c>
      <c r="I33" s="95">
        <v>1540.08</v>
      </c>
      <c r="J33" s="95">
        <v>83.17</v>
      </c>
      <c r="K33" s="95">
        <v>1066.85</v>
      </c>
      <c r="L33" s="95">
        <v>57.63</v>
      </c>
      <c r="M33" s="95">
        <v>378.58</v>
      </c>
      <c r="N33" s="123">
        <v>20.44</v>
      </c>
      <c r="O33" s="84">
        <f t="shared" si="19"/>
        <v>4099.65</v>
      </c>
      <c r="P33" s="96">
        <f t="shared" si="20"/>
        <v>221.43</v>
      </c>
      <c r="Q33" s="125">
        <v>428.38</v>
      </c>
      <c r="R33" s="125">
        <v>580.24</v>
      </c>
      <c r="S33" s="125">
        <v>1394.54</v>
      </c>
      <c r="T33" s="125">
        <v>965.76</v>
      </c>
      <c r="U33" s="125">
        <v>342.72</v>
      </c>
      <c r="V33" s="120">
        <f aca="true" t="shared" si="30" ref="V33:V41">SUM(Q33:U33)</f>
        <v>3711.6400000000003</v>
      </c>
      <c r="W33" s="97">
        <f t="shared" si="21"/>
        <v>7442.834999999999</v>
      </c>
      <c r="X33" s="97"/>
      <c r="Y33" s="16">
        <f t="shared" si="22"/>
        <v>543.18</v>
      </c>
      <c r="Z33" s="16">
        <f t="shared" si="23"/>
        <v>181.06</v>
      </c>
      <c r="AA33" s="16">
        <f t="shared" si="24"/>
        <v>905.3</v>
      </c>
      <c r="AB33" s="16">
        <v>0</v>
      </c>
      <c r="AC33" s="16">
        <f aca="true" t="shared" si="31" ref="AC33:AC41">(0.98*B33)</f>
        <v>887.194</v>
      </c>
      <c r="AD33" s="16">
        <v>0</v>
      </c>
      <c r="AE33" s="16">
        <f t="shared" si="25"/>
        <v>2036.925</v>
      </c>
      <c r="AF33" s="16">
        <v>0</v>
      </c>
      <c r="AG33" s="16"/>
      <c r="AH33" s="16"/>
      <c r="AI33" s="99"/>
      <c r="AJ33" s="99"/>
      <c r="AK33" s="87">
        <v>681</v>
      </c>
      <c r="AL33" s="87"/>
      <c r="AM33" s="87"/>
      <c r="AN33" s="128">
        <v>307</v>
      </c>
      <c r="AO33" s="109">
        <v>0.3</v>
      </c>
      <c r="AP33" s="16">
        <f t="shared" si="26"/>
        <v>128.94</v>
      </c>
      <c r="AQ33" s="103"/>
      <c r="AR33" s="103">
        <f t="shared" si="27"/>
        <v>0</v>
      </c>
      <c r="AS33" s="103">
        <f>SUM(Y33:AR33)-AN33-AO33</f>
        <v>5363.598999999999</v>
      </c>
      <c r="AT33" s="106"/>
      <c r="AU33" s="14">
        <f t="shared" si="28"/>
        <v>2079.236</v>
      </c>
      <c r="AV33" s="30">
        <f t="shared" si="29"/>
        <v>-388.0099999999993</v>
      </c>
    </row>
    <row r="34" spans="1:48" ht="12.75">
      <c r="A34" s="11" t="s">
        <v>43</v>
      </c>
      <c r="B34" s="120">
        <v>905.3</v>
      </c>
      <c r="C34" s="121">
        <f t="shared" si="18"/>
        <v>7830.845</v>
      </c>
      <c r="D34" s="122">
        <f>C34-E34-F34-G34-H34-I34-J34-K34-L34-M34-N34</f>
        <v>3509.754999999999</v>
      </c>
      <c r="E34" s="95">
        <v>473.23</v>
      </c>
      <c r="F34" s="95">
        <v>25.54</v>
      </c>
      <c r="G34" s="95">
        <v>640.92</v>
      </c>
      <c r="H34" s="95">
        <v>34.64</v>
      </c>
      <c r="I34" s="95">
        <v>1540.09</v>
      </c>
      <c r="J34" s="95">
        <v>83.17</v>
      </c>
      <c r="K34" s="95">
        <v>1066.85</v>
      </c>
      <c r="L34" s="95">
        <v>57.63</v>
      </c>
      <c r="M34" s="95">
        <v>378.57</v>
      </c>
      <c r="N34" s="123">
        <v>20.45</v>
      </c>
      <c r="O34" s="84">
        <f t="shared" si="19"/>
        <v>4099.66</v>
      </c>
      <c r="P34" s="96">
        <f t="shared" si="20"/>
        <v>221.42999999999998</v>
      </c>
      <c r="Q34" s="125">
        <v>375.55</v>
      </c>
      <c r="R34" s="125">
        <v>508.57</v>
      </c>
      <c r="S34" s="125">
        <v>1222.33</v>
      </c>
      <c r="T34" s="125">
        <v>846.59</v>
      </c>
      <c r="U34" s="125">
        <v>300.45</v>
      </c>
      <c r="V34" s="120">
        <f t="shared" si="30"/>
        <v>3253.49</v>
      </c>
      <c r="W34" s="97">
        <f t="shared" si="21"/>
        <v>6984.674999999999</v>
      </c>
      <c r="X34" s="97"/>
      <c r="Y34" s="16">
        <f t="shared" si="22"/>
        <v>543.18</v>
      </c>
      <c r="Z34" s="16">
        <f t="shared" si="23"/>
        <v>181.06</v>
      </c>
      <c r="AA34" s="16">
        <f t="shared" si="24"/>
        <v>905.3</v>
      </c>
      <c r="AB34" s="16">
        <v>0</v>
      </c>
      <c r="AC34" s="16">
        <f t="shared" si="31"/>
        <v>887.194</v>
      </c>
      <c r="AD34" s="16">
        <v>0</v>
      </c>
      <c r="AE34" s="16">
        <f t="shared" si="25"/>
        <v>2036.925</v>
      </c>
      <c r="AF34" s="16">
        <v>0</v>
      </c>
      <c r="AG34" s="16"/>
      <c r="AH34" s="16"/>
      <c r="AI34" s="99"/>
      <c r="AJ34" s="99"/>
      <c r="AK34" s="87"/>
      <c r="AL34" s="87"/>
      <c r="AM34" s="87"/>
      <c r="AN34" s="128">
        <v>263</v>
      </c>
      <c r="AO34" s="109">
        <v>0.3</v>
      </c>
      <c r="AP34" s="16">
        <f t="shared" si="26"/>
        <v>110.45999999999998</v>
      </c>
      <c r="AQ34" s="103"/>
      <c r="AR34" s="103">
        <f t="shared" si="27"/>
        <v>0</v>
      </c>
      <c r="AS34" s="103">
        <f>SUM(Y34:AR34)-AN34-AO34</f>
        <v>4664.119</v>
      </c>
      <c r="AT34" s="106"/>
      <c r="AU34" s="14">
        <f t="shared" si="28"/>
        <v>2320.5559999999996</v>
      </c>
      <c r="AV34" s="30">
        <f t="shared" si="29"/>
        <v>-846.1700000000001</v>
      </c>
    </row>
    <row r="35" spans="1:48" ht="12.75">
      <c r="A35" s="11" t="s">
        <v>44</v>
      </c>
      <c r="B35" s="120">
        <v>905.3</v>
      </c>
      <c r="C35" s="121">
        <f t="shared" si="18"/>
        <v>7830.845</v>
      </c>
      <c r="D35" s="122">
        <f>(C35-E35-F35-G35-H35-I35-J35-K35-L35-M35-N35)*0.80125+0.01</f>
        <v>2812.2092062499996</v>
      </c>
      <c r="E35" s="95">
        <v>473.22</v>
      </c>
      <c r="F35" s="95">
        <v>25.55</v>
      </c>
      <c r="G35" s="95">
        <v>640.92</v>
      </c>
      <c r="H35" s="95">
        <v>34.64</v>
      </c>
      <c r="I35" s="95">
        <v>1540.08</v>
      </c>
      <c r="J35" s="95">
        <v>83.17</v>
      </c>
      <c r="K35" s="95">
        <v>1066.85</v>
      </c>
      <c r="L35" s="95">
        <v>57.63</v>
      </c>
      <c r="M35" s="95">
        <v>378.58</v>
      </c>
      <c r="N35" s="123">
        <v>20.44</v>
      </c>
      <c r="O35" s="84">
        <f t="shared" si="19"/>
        <v>4099.65</v>
      </c>
      <c r="P35" s="96">
        <f t="shared" si="20"/>
        <v>221.43</v>
      </c>
      <c r="Q35" s="125">
        <v>341.01</v>
      </c>
      <c r="R35" s="125">
        <v>461.9</v>
      </c>
      <c r="S35" s="125">
        <v>1109.82</v>
      </c>
      <c r="T35" s="125">
        <v>768.82</v>
      </c>
      <c r="U35" s="125">
        <v>272.79</v>
      </c>
      <c r="V35" s="120">
        <f t="shared" si="30"/>
        <v>2954.34</v>
      </c>
      <c r="W35" s="97">
        <f t="shared" si="21"/>
        <v>5987.97920625</v>
      </c>
      <c r="X35" s="97"/>
      <c r="Y35" s="16">
        <f t="shared" si="22"/>
        <v>543.18</v>
      </c>
      <c r="Z35" s="16">
        <f t="shared" si="23"/>
        <v>181.06</v>
      </c>
      <c r="AA35" s="16">
        <f t="shared" si="24"/>
        <v>905.3</v>
      </c>
      <c r="AB35" s="16">
        <v>0</v>
      </c>
      <c r="AC35" s="16">
        <f t="shared" si="31"/>
        <v>887.194</v>
      </c>
      <c r="AD35" s="16">
        <v>0</v>
      </c>
      <c r="AE35" s="16">
        <f t="shared" si="25"/>
        <v>2036.925</v>
      </c>
      <c r="AF35" s="16">
        <v>0</v>
      </c>
      <c r="AG35" s="16"/>
      <c r="AH35" s="16"/>
      <c r="AI35" s="99"/>
      <c r="AJ35" s="99"/>
      <c r="AK35" s="87"/>
      <c r="AL35" s="87"/>
      <c r="AM35" s="87"/>
      <c r="AN35" s="128">
        <v>233</v>
      </c>
      <c r="AO35" s="109">
        <v>0.3</v>
      </c>
      <c r="AP35" s="16">
        <f t="shared" si="26"/>
        <v>97.85999999999999</v>
      </c>
      <c r="AQ35" s="103"/>
      <c r="AR35" s="103">
        <f t="shared" si="27"/>
        <v>0</v>
      </c>
      <c r="AS35" s="103">
        <f aca="true" t="shared" si="32" ref="AS35:AS41">SUM(Y35:AM35)+AP35</f>
        <v>4651.518999999999</v>
      </c>
      <c r="AT35" s="106"/>
      <c r="AU35" s="14">
        <f t="shared" si="28"/>
        <v>1336.4602062500007</v>
      </c>
      <c r="AV35" s="30">
        <f t="shared" si="29"/>
        <v>-1145.3099999999995</v>
      </c>
    </row>
    <row r="36" spans="1:48" ht="12.75">
      <c r="A36" s="11" t="s">
        <v>45</v>
      </c>
      <c r="B36" s="154">
        <v>905.3</v>
      </c>
      <c r="C36" s="121">
        <f t="shared" si="18"/>
        <v>7830.845</v>
      </c>
      <c r="D36" s="122">
        <f>(C36-E36-F36-G36-H36-I36-J36-K36-L36-M36-N36)*0.805915</f>
        <v>2828.572259975001</v>
      </c>
      <c r="E36" s="95">
        <v>498.77</v>
      </c>
      <c r="F36" s="95">
        <v>0</v>
      </c>
      <c r="G36" s="95">
        <v>675.56</v>
      </c>
      <c r="H36" s="95">
        <v>0</v>
      </c>
      <c r="I36" s="95">
        <v>1623.25</v>
      </c>
      <c r="J36" s="95">
        <v>0</v>
      </c>
      <c r="K36" s="95">
        <v>1124.48</v>
      </c>
      <c r="L36" s="95">
        <v>0</v>
      </c>
      <c r="M36" s="95">
        <v>399.02</v>
      </c>
      <c r="N36" s="123">
        <v>0</v>
      </c>
      <c r="O36" s="84">
        <f t="shared" si="19"/>
        <v>4321.08</v>
      </c>
      <c r="P36" s="96">
        <f t="shared" si="20"/>
        <v>0</v>
      </c>
      <c r="Q36" s="125">
        <v>499.3</v>
      </c>
      <c r="R36" s="125">
        <v>676.23</v>
      </c>
      <c r="S36" s="125">
        <v>1625.16</v>
      </c>
      <c r="T36" s="125">
        <v>1125.64</v>
      </c>
      <c r="U36" s="125">
        <v>399.45</v>
      </c>
      <c r="V36" s="120">
        <f t="shared" si="30"/>
        <v>4325.78</v>
      </c>
      <c r="W36" s="97">
        <f t="shared" si="21"/>
        <v>7154.352259975001</v>
      </c>
      <c r="X36" s="97"/>
      <c r="Y36" s="16">
        <f t="shared" si="22"/>
        <v>543.18</v>
      </c>
      <c r="Z36" s="16">
        <f t="shared" si="23"/>
        <v>181.06</v>
      </c>
      <c r="AA36" s="16">
        <f t="shared" si="24"/>
        <v>905.3</v>
      </c>
      <c r="AB36" s="16">
        <v>0</v>
      </c>
      <c r="AC36" s="16">
        <f t="shared" si="31"/>
        <v>887.194</v>
      </c>
      <c r="AD36" s="16">
        <v>0</v>
      </c>
      <c r="AE36" s="16">
        <f t="shared" si="25"/>
        <v>2036.925</v>
      </c>
      <c r="AF36" s="16">
        <v>0</v>
      </c>
      <c r="AG36" s="16"/>
      <c r="AH36" s="16"/>
      <c r="AI36" s="99"/>
      <c r="AJ36" s="99"/>
      <c r="AK36" s="87"/>
      <c r="AL36" s="87"/>
      <c r="AM36" s="87"/>
      <c r="AN36" s="128">
        <v>248</v>
      </c>
      <c r="AO36" s="109">
        <v>0.3</v>
      </c>
      <c r="AP36" s="16">
        <f t="shared" si="26"/>
        <v>104.15999999999998</v>
      </c>
      <c r="AQ36" s="103"/>
      <c r="AR36" s="103">
        <f t="shared" si="27"/>
        <v>0</v>
      </c>
      <c r="AS36" s="103">
        <f t="shared" si="32"/>
        <v>4657.8189999999995</v>
      </c>
      <c r="AT36" s="106"/>
      <c r="AU36" s="14">
        <f t="shared" si="28"/>
        <v>2496.533259975002</v>
      </c>
      <c r="AV36" s="30">
        <f t="shared" si="29"/>
        <v>4.699999999999818</v>
      </c>
    </row>
    <row r="37" spans="1:48" ht="12.75">
      <c r="A37" s="11" t="s">
        <v>46</v>
      </c>
      <c r="B37" s="120">
        <v>905.3</v>
      </c>
      <c r="C37" s="121">
        <f t="shared" si="18"/>
        <v>7830.845</v>
      </c>
      <c r="D37" s="122">
        <f>(C37-E37-F37-G37-H37-I37-J37-K37-L37-M37-N37)*0.857717</f>
        <v>3010.3851065050007</v>
      </c>
      <c r="E37" s="95">
        <v>498.77</v>
      </c>
      <c r="F37" s="95">
        <v>0</v>
      </c>
      <c r="G37" s="95">
        <v>675.56</v>
      </c>
      <c r="H37" s="95">
        <v>0</v>
      </c>
      <c r="I37" s="95">
        <v>1623.25</v>
      </c>
      <c r="J37" s="95">
        <v>0</v>
      </c>
      <c r="K37" s="95">
        <v>1124.48</v>
      </c>
      <c r="L37" s="95">
        <v>0</v>
      </c>
      <c r="M37" s="95">
        <v>399.02</v>
      </c>
      <c r="N37" s="123">
        <v>0</v>
      </c>
      <c r="O37" s="84">
        <f t="shared" si="19"/>
        <v>4321.08</v>
      </c>
      <c r="P37" s="96">
        <f t="shared" si="20"/>
        <v>0</v>
      </c>
      <c r="Q37" s="125">
        <v>406.4</v>
      </c>
      <c r="R37" s="125">
        <v>550.44</v>
      </c>
      <c r="S37" s="125">
        <v>1322.71</v>
      </c>
      <c r="T37" s="125">
        <v>916.25</v>
      </c>
      <c r="U37" s="125">
        <v>325.14</v>
      </c>
      <c r="V37" s="120">
        <f t="shared" si="30"/>
        <v>3520.94</v>
      </c>
      <c r="W37" s="97">
        <f t="shared" si="21"/>
        <v>6531.325106505001</v>
      </c>
      <c r="X37" s="97"/>
      <c r="Y37" s="16">
        <f t="shared" si="22"/>
        <v>543.18</v>
      </c>
      <c r="Z37" s="16">
        <f t="shared" si="23"/>
        <v>181.06</v>
      </c>
      <c r="AA37" s="16">
        <f t="shared" si="24"/>
        <v>905.3</v>
      </c>
      <c r="AB37" s="16">
        <v>0</v>
      </c>
      <c r="AC37" s="16">
        <f t="shared" si="31"/>
        <v>887.194</v>
      </c>
      <c r="AD37" s="16">
        <v>0</v>
      </c>
      <c r="AE37" s="16">
        <f t="shared" si="25"/>
        <v>2036.925</v>
      </c>
      <c r="AF37" s="16">
        <v>0</v>
      </c>
      <c r="AG37" s="16"/>
      <c r="AH37" s="16"/>
      <c r="AI37" s="99"/>
      <c r="AJ37" s="99"/>
      <c r="AK37" s="87"/>
      <c r="AL37" s="87">
        <f>47.8</f>
        <v>47.8</v>
      </c>
      <c r="AM37" s="87">
        <f>AL37*0.18</f>
        <v>8.604</v>
      </c>
      <c r="AN37" s="128">
        <v>293</v>
      </c>
      <c r="AO37" s="109">
        <v>0.3</v>
      </c>
      <c r="AP37" s="16">
        <f t="shared" si="26"/>
        <v>123.05999999999997</v>
      </c>
      <c r="AQ37" s="103"/>
      <c r="AR37" s="103">
        <f t="shared" si="27"/>
        <v>0</v>
      </c>
      <c r="AS37" s="103">
        <f t="shared" si="32"/>
        <v>4733.1230000000005</v>
      </c>
      <c r="AT37" s="106"/>
      <c r="AU37" s="14">
        <f t="shared" si="28"/>
        <v>1798.2021065050003</v>
      </c>
      <c r="AV37" s="30">
        <f t="shared" si="29"/>
        <v>-800.1399999999999</v>
      </c>
    </row>
    <row r="38" spans="1:48" ht="12.75">
      <c r="A38" s="11" t="s">
        <v>47</v>
      </c>
      <c r="B38" s="120">
        <v>905.3</v>
      </c>
      <c r="C38" s="121">
        <f t="shared" si="18"/>
        <v>7830.845</v>
      </c>
      <c r="D38" s="122">
        <f>(C38-E38-F38-G38-H38-I38-J38-K38-L38-M38-N38)*0.87553</f>
        <v>3072.9045504500014</v>
      </c>
      <c r="E38" s="95">
        <v>498.77</v>
      </c>
      <c r="F38" s="95">
        <v>0</v>
      </c>
      <c r="G38" s="95">
        <v>675.56</v>
      </c>
      <c r="H38" s="95">
        <v>0</v>
      </c>
      <c r="I38" s="95">
        <v>1623.25</v>
      </c>
      <c r="J38" s="95">
        <v>0</v>
      </c>
      <c r="K38" s="95">
        <v>1124.48</v>
      </c>
      <c r="L38" s="95">
        <v>0</v>
      </c>
      <c r="M38" s="95">
        <v>399.02</v>
      </c>
      <c r="N38" s="123">
        <v>0</v>
      </c>
      <c r="O38" s="84">
        <f t="shared" si="19"/>
        <v>4321.08</v>
      </c>
      <c r="P38" s="96">
        <f t="shared" si="20"/>
        <v>0</v>
      </c>
      <c r="Q38" s="125">
        <v>413.92</v>
      </c>
      <c r="R38" s="125">
        <v>560.59</v>
      </c>
      <c r="S38" s="125">
        <v>1347.01</v>
      </c>
      <c r="T38" s="125">
        <v>933.1</v>
      </c>
      <c r="U38" s="125">
        <v>331.1</v>
      </c>
      <c r="V38" s="120">
        <f t="shared" si="30"/>
        <v>3585.72</v>
      </c>
      <c r="W38" s="97">
        <f t="shared" si="21"/>
        <v>6658.624550450001</v>
      </c>
      <c r="X38" s="97"/>
      <c r="Y38" s="16">
        <f t="shared" si="22"/>
        <v>543.18</v>
      </c>
      <c r="Z38" s="16">
        <f t="shared" si="23"/>
        <v>181.06</v>
      </c>
      <c r="AA38" s="16">
        <f t="shared" si="24"/>
        <v>905.3</v>
      </c>
      <c r="AB38" s="16">
        <v>0</v>
      </c>
      <c r="AC38" s="16">
        <f t="shared" si="31"/>
        <v>887.194</v>
      </c>
      <c r="AD38" s="16">
        <v>0</v>
      </c>
      <c r="AE38" s="16">
        <f t="shared" si="25"/>
        <v>2036.925</v>
      </c>
      <c r="AF38" s="16">
        <v>0</v>
      </c>
      <c r="AG38" s="16"/>
      <c r="AH38" s="16"/>
      <c r="AI38" s="99"/>
      <c r="AJ38" s="99"/>
      <c r="AK38" s="87"/>
      <c r="AL38" s="87"/>
      <c r="AM38" s="87"/>
      <c r="AN38" s="128">
        <v>349</v>
      </c>
      <c r="AO38" s="109">
        <v>0.3</v>
      </c>
      <c r="AP38" s="16">
        <f t="shared" si="26"/>
        <v>146.57999999999998</v>
      </c>
      <c r="AQ38" s="103"/>
      <c r="AR38" s="103">
        <f t="shared" si="27"/>
        <v>0</v>
      </c>
      <c r="AS38" s="103">
        <f t="shared" si="32"/>
        <v>4700.239</v>
      </c>
      <c r="AT38" s="106"/>
      <c r="AU38" s="14">
        <f t="shared" si="28"/>
        <v>1958.3855504500016</v>
      </c>
      <c r="AV38" s="30">
        <f t="shared" si="29"/>
        <v>-735.3600000000001</v>
      </c>
    </row>
    <row r="39" spans="1:48" ht="12.75">
      <c r="A39" s="11" t="s">
        <v>35</v>
      </c>
      <c r="B39" s="120">
        <v>905.3</v>
      </c>
      <c r="C39" s="121">
        <f t="shared" si="18"/>
        <v>7830.845</v>
      </c>
      <c r="D39" s="122">
        <f>(C39-E39-F39-G39-H39-I39-J39-K39-L39-M39-N39)*0.811308</f>
        <v>2847.5004226200012</v>
      </c>
      <c r="E39" s="95">
        <v>498.77</v>
      </c>
      <c r="F39" s="95">
        <v>0</v>
      </c>
      <c r="G39" s="95">
        <v>675.56</v>
      </c>
      <c r="H39" s="95">
        <v>0</v>
      </c>
      <c r="I39" s="95">
        <v>1623.25</v>
      </c>
      <c r="J39" s="95">
        <v>0</v>
      </c>
      <c r="K39" s="95">
        <v>1124.48</v>
      </c>
      <c r="L39" s="95">
        <v>0</v>
      </c>
      <c r="M39" s="95">
        <v>399.02</v>
      </c>
      <c r="N39" s="123">
        <v>0</v>
      </c>
      <c r="O39" s="84">
        <f t="shared" si="19"/>
        <v>4321.08</v>
      </c>
      <c r="P39" s="96">
        <f t="shared" si="20"/>
        <v>0</v>
      </c>
      <c r="Q39" s="125">
        <v>523.36</v>
      </c>
      <c r="R39" s="125">
        <v>708.86</v>
      </c>
      <c r="S39" s="125">
        <v>1703.31</v>
      </c>
      <c r="T39" s="125">
        <v>1179.92</v>
      </c>
      <c r="U39" s="125">
        <v>418.7</v>
      </c>
      <c r="V39" s="120">
        <f t="shared" si="30"/>
        <v>4534.15</v>
      </c>
      <c r="W39" s="97">
        <f t="shared" si="21"/>
        <v>7381.650422620001</v>
      </c>
      <c r="X39" s="97"/>
      <c r="Y39" s="16">
        <f t="shared" si="22"/>
        <v>543.18</v>
      </c>
      <c r="Z39" s="16">
        <f t="shared" si="23"/>
        <v>181.06</v>
      </c>
      <c r="AA39" s="16">
        <f t="shared" si="24"/>
        <v>905.3</v>
      </c>
      <c r="AB39" s="16">
        <v>0</v>
      </c>
      <c r="AC39" s="16">
        <f t="shared" si="31"/>
        <v>887.194</v>
      </c>
      <c r="AD39" s="16">
        <v>0</v>
      </c>
      <c r="AE39" s="16">
        <f t="shared" si="25"/>
        <v>2036.925</v>
      </c>
      <c r="AF39" s="16">
        <v>0</v>
      </c>
      <c r="AG39" s="16"/>
      <c r="AH39" s="16"/>
      <c r="AI39" s="99"/>
      <c r="AJ39" s="99"/>
      <c r="AK39" s="87"/>
      <c r="AL39" s="87"/>
      <c r="AM39" s="87"/>
      <c r="AN39" s="128">
        <v>425</v>
      </c>
      <c r="AO39" s="109">
        <v>0.3</v>
      </c>
      <c r="AP39" s="16">
        <f t="shared" si="26"/>
        <v>178.5</v>
      </c>
      <c r="AQ39" s="103"/>
      <c r="AR39" s="103">
        <f t="shared" si="27"/>
        <v>0</v>
      </c>
      <c r="AS39" s="103">
        <f t="shared" si="32"/>
        <v>4732.159</v>
      </c>
      <c r="AT39" s="106"/>
      <c r="AU39" s="14">
        <f t="shared" si="28"/>
        <v>2649.4914226200017</v>
      </c>
      <c r="AV39" s="30">
        <f t="shared" si="29"/>
        <v>213.0699999999997</v>
      </c>
    </row>
    <row r="40" spans="1:48" ht="12.75">
      <c r="A40" s="11" t="s">
        <v>36</v>
      </c>
      <c r="B40" s="120">
        <v>905.3</v>
      </c>
      <c r="C40" s="121">
        <f t="shared" si="18"/>
        <v>7830.845</v>
      </c>
      <c r="D40" s="122">
        <f>(C40-E40-F40-G40-H40-I40-J40-K40-L40-M40-N40)*0.870679</f>
        <v>3055.878680435001</v>
      </c>
      <c r="E40" s="95">
        <v>498.77</v>
      </c>
      <c r="F40" s="95">
        <v>0</v>
      </c>
      <c r="G40" s="95">
        <v>675.56</v>
      </c>
      <c r="H40" s="95">
        <v>0</v>
      </c>
      <c r="I40" s="95">
        <v>1623.25</v>
      </c>
      <c r="J40" s="95">
        <v>0</v>
      </c>
      <c r="K40" s="95">
        <v>1124.48</v>
      </c>
      <c r="L40" s="95">
        <v>0</v>
      </c>
      <c r="M40" s="95">
        <v>399.02</v>
      </c>
      <c r="N40" s="123">
        <v>0</v>
      </c>
      <c r="O40" s="84">
        <f t="shared" si="19"/>
        <v>4321.08</v>
      </c>
      <c r="P40" s="96">
        <f t="shared" si="20"/>
        <v>0</v>
      </c>
      <c r="Q40" s="125">
        <v>455.28</v>
      </c>
      <c r="R40" s="125">
        <v>616.87</v>
      </c>
      <c r="S40" s="125">
        <v>1481.94</v>
      </c>
      <c r="T40" s="125">
        <v>1026.64</v>
      </c>
      <c r="U40" s="125">
        <v>364.27</v>
      </c>
      <c r="V40" s="120">
        <f t="shared" si="30"/>
        <v>3945.0000000000005</v>
      </c>
      <c r="W40" s="97">
        <f t="shared" si="21"/>
        <v>7000.878680435002</v>
      </c>
      <c r="X40" s="97"/>
      <c r="Y40" s="16">
        <f t="shared" si="22"/>
        <v>543.18</v>
      </c>
      <c r="Z40" s="16">
        <f t="shared" si="23"/>
        <v>181.06</v>
      </c>
      <c r="AA40" s="16">
        <f t="shared" si="24"/>
        <v>905.3</v>
      </c>
      <c r="AB40" s="16">
        <v>0</v>
      </c>
      <c r="AC40" s="16">
        <f t="shared" si="31"/>
        <v>887.194</v>
      </c>
      <c r="AD40" s="16">
        <v>0</v>
      </c>
      <c r="AE40" s="16">
        <f t="shared" si="25"/>
        <v>2036.925</v>
      </c>
      <c r="AF40" s="16">
        <v>0</v>
      </c>
      <c r="AG40" s="16"/>
      <c r="AH40" s="16"/>
      <c r="AI40" s="99"/>
      <c r="AJ40" s="99"/>
      <c r="AK40" s="87"/>
      <c r="AL40" s="87"/>
      <c r="AM40" s="87"/>
      <c r="AN40" s="128">
        <v>470</v>
      </c>
      <c r="AO40" s="109">
        <v>0.3</v>
      </c>
      <c r="AP40" s="16">
        <f t="shared" si="26"/>
        <v>197.39999999999998</v>
      </c>
      <c r="AQ40" s="103"/>
      <c r="AR40" s="103">
        <f t="shared" si="27"/>
        <v>0</v>
      </c>
      <c r="AS40" s="103">
        <f t="shared" si="32"/>
        <v>4751.058999999999</v>
      </c>
      <c r="AT40" s="106"/>
      <c r="AU40" s="14">
        <f t="shared" si="28"/>
        <v>2249.8196804350027</v>
      </c>
      <c r="AV40" s="30">
        <f t="shared" si="29"/>
        <v>-376.0799999999995</v>
      </c>
    </row>
    <row r="41" spans="1:48" ht="12.75">
      <c r="A41" s="11" t="s">
        <v>37</v>
      </c>
      <c r="B41" s="120">
        <v>905.3</v>
      </c>
      <c r="C41" s="121">
        <f t="shared" si="18"/>
        <v>7830.845</v>
      </c>
      <c r="D41" s="122">
        <f>(C41-E41-F41-G41-H41-I41-J41-K41-L41-M41-N41)*0.91496</f>
        <v>3211.294584400001</v>
      </c>
      <c r="E41" s="95">
        <v>498.77</v>
      </c>
      <c r="F41" s="95">
        <v>0</v>
      </c>
      <c r="G41" s="95">
        <v>675.56</v>
      </c>
      <c r="H41" s="95">
        <v>0</v>
      </c>
      <c r="I41" s="95">
        <v>1623.25</v>
      </c>
      <c r="J41" s="95">
        <v>0</v>
      </c>
      <c r="K41" s="95">
        <v>1124.48</v>
      </c>
      <c r="L41" s="95">
        <v>0</v>
      </c>
      <c r="M41" s="95">
        <v>399.02</v>
      </c>
      <c r="N41" s="123">
        <v>0</v>
      </c>
      <c r="O41" s="84">
        <f t="shared" si="19"/>
        <v>4321.08</v>
      </c>
      <c r="P41" s="96">
        <f t="shared" si="20"/>
        <v>0</v>
      </c>
      <c r="Q41" s="125">
        <v>528.25</v>
      </c>
      <c r="R41" s="125">
        <v>715.36</v>
      </c>
      <c r="S41" s="125">
        <v>1719.01</v>
      </c>
      <c r="T41" s="125">
        <v>1190.79</v>
      </c>
      <c r="U41" s="125">
        <v>422.58</v>
      </c>
      <c r="V41" s="120">
        <f t="shared" si="30"/>
        <v>4575.99</v>
      </c>
      <c r="W41" s="97">
        <f t="shared" si="21"/>
        <v>7787.2845844</v>
      </c>
      <c r="X41" s="97"/>
      <c r="Y41" s="16">
        <f t="shared" si="22"/>
        <v>543.18</v>
      </c>
      <c r="Z41" s="16">
        <f t="shared" si="23"/>
        <v>181.06</v>
      </c>
      <c r="AA41" s="16">
        <f t="shared" si="24"/>
        <v>905.3</v>
      </c>
      <c r="AB41" s="16">
        <v>0</v>
      </c>
      <c r="AC41" s="16">
        <f t="shared" si="31"/>
        <v>887.194</v>
      </c>
      <c r="AD41" s="16">
        <v>0</v>
      </c>
      <c r="AE41" s="16">
        <f t="shared" si="25"/>
        <v>2036.925</v>
      </c>
      <c r="AF41" s="16">
        <v>0</v>
      </c>
      <c r="AG41" s="16"/>
      <c r="AH41" s="16"/>
      <c r="AI41" s="99"/>
      <c r="AJ41" s="99"/>
      <c r="AK41" s="87"/>
      <c r="AL41" s="87"/>
      <c r="AM41" s="87"/>
      <c r="AN41" s="128">
        <v>514</v>
      </c>
      <c r="AO41" s="109">
        <v>0.3</v>
      </c>
      <c r="AP41" s="16">
        <f t="shared" si="26"/>
        <v>215.87999999999997</v>
      </c>
      <c r="AQ41" s="103"/>
      <c r="AR41" s="103">
        <f t="shared" si="27"/>
        <v>0</v>
      </c>
      <c r="AS41" s="103">
        <f t="shared" si="32"/>
        <v>4769.539</v>
      </c>
      <c r="AT41" s="106"/>
      <c r="AU41" s="14">
        <f t="shared" si="28"/>
        <v>3017.7455844000006</v>
      </c>
      <c r="AV41" s="30">
        <f t="shared" si="29"/>
        <v>254.90999999999985</v>
      </c>
    </row>
    <row r="42" spans="1:48" s="20" customFormat="1" ht="12.75">
      <c r="A42" s="17" t="s">
        <v>5</v>
      </c>
      <c r="B42" s="59"/>
      <c r="C42" s="59">
        <f aca="true" t="shared" si="33" ref="C42:AM42">SUM(C30:C41)</f>
        <v>93970.14</v>
      </c>
      <c r="D42" s="59">
        <f t="shared" si="33"/>
        <v>38387.55981063501</v>
      </c>
      <c r="E42" s="56">
        <f t="shared" si="33"/>
        <v>5795.370000000001</v>
      </c>
      <c r="F42" s="56">
        <f t="shared" si="33"/>
        <v>189.87</v>
      </c>
      <c r="G42" s="56">
        <f t="shared" si="33"/>
        <v>7849.289999999997</v>
      </c>
      <c r="H42" s="56">
        <f t="shared" si="33"/>
        <v>257.42999999999995</v>
      </c>
      <c r="I42" s="56">
        <f t="shared" si="33"/>
        <v>18860.89</v>
      </c>
      <c r="J42" s="56">
        <f t="shared" si="33"/>
        <v>618.11</v>
      </c>
      <c r="K42" s="56">
        <f t="shared" si="33"/>
        <v>13065.469999999998</v>
      </c>
      <c r="L42" s="56">
        <f t="shared" si="33"/>
        <v>428.29</v>
      </c>
      <c r="M42" s="56">
        <f t="shared" si="33"/>
        <v>4636.34</v>
      </c>
      <c r="N42" s="56">
        <f t="shared" si="33"/>
        <v>151.91</v>
      </c>
      <c r="O42" s="56">
        <f t="shared" si="33"/>
        <v>50207.36000000001</v>
      </c>
      <c r="P42" s="56">
        <f t="shared" si="33"/>
        <v>1645.6100000000004</v>
      </c>
      <c r="Q42" s="60">
        <f t="shared" si="33"/>
        <v>5326.000000000001</v>
      </c>
      <c r="R42" s="60">
        <f t="shared" si="33"/>
        <v>7213.589999999999</v>
      </c>
      <c r="S42" s="60">
        <f t="shared" si="33"/>
        <v>17340.77</v>
      </c>
      <c r="T42" s="60">
        <f t="shared" si="33"/>
        <v>12007.279999999999</v>
      </c>
      <c r="U42" s="60">
        <f t="shared" si="33"/>
        <v>4260.9</v>
      </c>
      <c r="V42" s="60">
        <f t="shared" si="33"/>
        <v>46148.54</v>
      </c>
      <c r="W42" s="60">
        <f t="shared" si="33"/>
        <v>86181.709810635</v>
      </c>
      <c r="X42" s="90">
        <f t="shared" si="33"/>
        <v>0</v>
      </c>
      <c r="Y42" s="18">
        <f t="shared" si="33"/>
        <v>6518.160000000001</v>
      </c>
      <c r="Z42" s="18">
        <f t="shared" si="33"/>
        <v>2172.72</v>
      </c>
      <c r="AA42" s="18">
        <f t="shared" si="33"/>
        <v>10863.599999999999</v>
      </c>
      <c r="AB42" s="18">
        <f t="shared" si="33"/>
        <v>0</v>
      </c>
      <c r="AC42" s="18">
        <f t="shared" si="33"/>
        <v>10646.327999999996</v>
      </c>
      <c r="AD42" s="18">
        <f t="shared" si="33"/>
        <v>0</v>
      </c>
      <c r="AE42" s="18">
        <f t="shared" si="33"/>
        <v>24443.099999999995</v>
      </c>
      <c r="AF42" s="18">
        <f t="shared" si="33"/>
        <v>0</v>
      </c>
      <c r="AG42" s="18">
        <f t="shared" si="33"/>
        <v>0</v>
      </c>
      <c r="AH42" s="18">
        <f t="shared" si="33"/>
        <v>0</v>
      </c>
      <c r="AI42" s="18">
        <f t="shared" si="33"/>
        <v>0</v>
      </c>
      <c r="AJ42" s="18">
        <f t="shared" si="33"/>
        <v>0</v>
      </c>
      <c r="AK42" s="18">
        <f t="shared" si="33"/>
        <v>3481</v>
      </c>
      <c r="AL42" s="18">
        <f t="shared" si="33"/>
        <v>47.8</v>
      </c>
      <c r="AM42" s="18">
        <f t="shared" si="33"/>
        <v>8.604</v>
      </c>
      <c r="AN42" s="18"/>
      <c r="AO42" s="18"/>
      <c r="AP42" s="18">
        <f aca="true" t="shared" si="34" ref="AP42:AV42">SUM(AP30:AP41)</f>
        <v>1847.9999999999998</v>
      </c>
      <c r="AQ42" s="18">
        <f t="shared" si="34"/>
        <v>0</v>
      </c>
      <c r="AR42" s="18">
        <f t="shared" si="34"/>
        <v>0</v>
      </c>
      <c r="AS42" s="18">
        <f t="shared" si="34"/>
        <v>60029.312</v>
      </c>
      <c r="AT42" s="18">
        <f t="shared" si="34"/>
        <v>0</v>
      </c>
      <c r="AU42" s="18">
        <f t="shared" si="34"/>
        <v>26152.39781063501</v>
      </c>
      <c r="AV42" s="19">
        <f t="shared" si="34"/>
        <v>-4058.819999999998</v>
      </c>
    </row>
    <row r="43" spans="1:48" ht="12.75">
      <c r="A43" s="11"/>
      <c r="B43" s="12"/>
      <c r="C43" s="13"/>
      <c r="D43" s="13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7"/>
      <c r="P43" s="47"/>
      <c r="Q43" s="51"/>
      <c r="R43" s="51"/>
      <c r="S43" s="51"/>
      <c r="T43" s="51"/>
      <c r="U43" s="51"/>
      <c r="V43" s="51"/>
      <c r="W43" s="91"/>
      <c r="X43" s="92"/>
      <c r="Y43" s="16"/>
      <c r="Z43" s="16"/>
      <c r="AA43" s="16"/>
      <c r="AB43" s="16"/>
      <c r="AC43" s="16"/>
      <c r="AD43" s="16"/>
      <c r="AE43" s="16"/>
      <c r="AF43" s="16"/>
      <c r="AG43" s="15"/>
      <c r="AH43" s="15"/>
      <c r="AI43" s="15"/>
      <c r="AJ43" s="15"/>
      <c r="AK43" s="86"/>
      <c r="AL43" s="86"/>
      <c r="AM43" s="87"/>
      <c r="AN43" s="87"/>
      <c r="AO43" s="87"/>
      <c r="AP43" s="21"/>
      <c r="AQ43" s="15"/>
      <c r="AR43" s="16"/>
      <c r="AS43" s="16"/>
      <c r="AT43" s="16"/>
      <c r="AU43" s="16"/>
      <c r="AV43" s="10"/>
    </row>
    <row r="44" spans="1:48" s="20" customFormat="1" ht="13.5" thickBot="1">
      <c r="A44" s="22" t="s">
        <v>48</v>
      </c>
      <c r="B44" s="23"/>
      <c r="C44" s="23">
        <f aca="true" t="shared" si="35" ref="C44:N44">C28+C42</f>
        <v>211432.815</v>
      </c>
      <c r="D44" s="23">
        <f t="shared" si="35"/>
        <v>76045.933793585</v>
      </c>
      <c r="E44" s="49">
        <f t="shared" si="35"/>
        <v>12382.62</v>
      </c>
      <c r="F44" s="49">
        <f t="shared" si="35"/>
        <v>754.87</v>
      </c>
      <c r="G44" s="49">
        <f t="shared" si="35"/>
        <v>16758.749999999996</v>
      </c>
      <c r="H44" s="49">
        <f t="shared" si="35"/>
        <v>1022.0599999999998</v>
      </c>
      <c r="I44" s="49">
        <f t="shared" si="35"/>
        <v>40287.64</v>
      </c>
      <c r="J44" s="49">
        <f t="shared" si="35"/>
        <v>2455.03</v>
      </c>
      <c r="K44" s="49">
        <f t="shared" si="35"/>
        <v>27904.469999999998</v>
      </c>
      <c r="L44" s="49">
        <f t="shared" si="35"/>
        <v>1701.8100000000002</v>
      </c>
      <c r="M44" s="49">
        <f t="shared" si="35"/>
        <v>9906.5</v>
      </c>
      <c r="N44" s="49">
        <f t="shared" si="35"/>
        <v>603.9399999999999</v>
      </c>
      <c r="O44" s="49">
        <f aca="true" t="shared" si="36" ref="O44:AM44">O28+O42</f>
        <v>107239.98000000001</v>
      </c>
      <c r="P44" s="49">
        <f t="shared" si="36"/>
        <v>6537.710000000001</v>
      </c>
      <c r="Q44" s="52">
        <f t="shared" si="36"/>
        <v>10593.850000000002</v>
      </c>
      <c r="R44" s="52">
        <f t="shared" si="36"/>
        <v>14337.079999999998</v>
      </c>
      <c r="S44" s="52">
        <f t="shared" si="36"/>
        <v>34466.259999999995</v>
      </c>
      <c r="T44" s="52">
        <f t="shared" si="36"/>
        <v>23872.229999999996</v>
      </c>
      <c r="U44" s="52">
        <f t="shared" si="36"/>
        <v>8475.189999999999</v>
      </c>
      <c r="V44" s="52">
        <f t="shared" si="36"/>
        <v>91744.61000000002</v>
      </c>
      <c r="W44" s="52">
        <f t="shared" si="36"/>
        <v>174328.253793585</v>
      </c>
      <c r="X44" s="52">
        <f t="shared" si="36"/>
        <v>0</v>
      </c>
      <c r="Y44" s="23">
        <f t="shared" si="36"/>
        <v>14448.588000000002</v>
      </c>
      <c r="Z44" s="23">
        <f t="shared" si="36"/>
        <v>4841.6638996</v>
      </c>
      <c r="AA44" s="23">
        <f t="shared" si="36"/>
        <v>22011.503127899996</v>
      </c>
      <c r="AB44" s="23">
        <f t="shared" si="36"/>
        <v>2006.6225630219997</v>
      </c>
      <c r="AC44" s="23">
        <f t="shared" si="36"/>
        <v>21443.242515639995</v>
      </c>
      <c r="AD44" s="23">
        <f t="shared" si="36"/>
        <v>1943.4446128151997</v>
      </c>
      <c r="AE44" s="23">
        <f t="shared" si="36"/>
        <v>48295.85033932999</v>
      </c>
      <c r="AF44" s="23">
        <f t="shared" si="36"/>
        <v>4293.4950610793985</v>
      </c>
      <c r="AG44" s="23">
        <f t="shared" si="36"/>
        <v>0</v>
      </c>
      <c r="AH44" s="23">
        <f t="shared" si="36"/>
        <v>0</v>
      </c>
      <c r="AI44" s="23">
        <f t="shared" si="36"/>
        <v>0</v>
      </c>
      <c r="AJ44" s="23">
        <f t="shared" si="36"/>
        <v>0</v>
      </c>
      <c r="AK44" s="23">
        <f t="shared" si="36"/>
        <v>13550.75</v>
      </c>
      <c r="AL44" s="23">
        <f t="shared" si="36"/>
        <v>47.8</v>
      </c>
      <c r="AM44" s="23">
        <f t="shared" si="36"/>
        <v>1821.1589999999999</v>
      </c>
      <c r="AN44" s="23"/>
      <c r="AO44" s="23"/>
      <c r="AP44" s="23">
        <f aca="true" t="shared" si="37" ref="AP44:AV44">AP28+AP42</f>
        <v>3592.5119999999997</v>
      </c>
      <c r="AQ44" s="23">
        <f t="shared" si="37"/>
        <v>0</v>
      </c>
      <c r="AR44" s="23">
        <f t="shared" si="37"/>
        <v>0</v>
      </c>
      <c r="AS44" s="23">
        <f t="shared" si="37"/>
        <v>138296.63111938658</v>
      </c>
      <c r="AT44" s="23">
        <f t="shared" si="37"/>
        <v>0</v>
      </c>
      <c r="AU44" s="23">
        <f t="shared" si="37"/>
        <v>36031.62267419843</v>
      </c>
      <c r="AV44" s="24">
        <f t="shared" si="37"/>
        <v>-15495.369999999997</v>
      </c>
    </row>
  </sheetData>
  <sheetProtection/>
  <mergeCells count="56">
    <mergeCell ref="A1:N1"/>
    <mergeCell ref="A3:A6"/>
    <mergeCell ref="B3:B6"/>
    <mergeCell ref="C3:C6"/>
    <mergeCell ref="D3:D6"/>
    <mergeCell ref="E3:N3"/>
    <mergeCell ref="E4:F4"/>
    <mergeCell ref="G4:H4"/>
    <mergeCell ref="I4:J4"/>
    <mergeCell ref="K4:L4"/>
    <mergeCell ref="AV3:AV6"/>
    <mergeCell ref="Z5:Z6"/>
    <mergeCell ref="AA5:AA6"/>
    <mergeCell ref="AB5:AB6"/>
    <mergeCell ref="AC5:AC6"/>
    <mergeCell ref="AD5:AD6"/>
    <mergeCell ref="AE5:AE6"/>
    <mergeCell ref="AH5:AH6"/>
    <mergeCell ref="AK5:AK6"/>
    <mergeCell ref="AT3:AT6"/>
    <mergeCell ref="K5:K6"/>
    <mergeCell ref="AU3:AU6"/>
    <mergeCell ref="O3:P4"/>
    <mergeCell ref="Q3:V4"/>
    <mergeCell ref="W3:W6"/>
    <mergeCell ref="P5:P6"/>
    <mergeCell ref="Q5:Q6"/>
    <mergeCell ref="M4:N4"/>
    <mergeCell ref="E5:E6"/>
    <mergeCell ref="F5:F6"/>
    <mergeCell ref="G5:G6"/>
    <mergeCell ref="H5:H6"/>
    <mergeCell ref="I5:I6"/>
    <mergeCell ref="J5:J6"/>
    <mergeCell ref="L5:L6"/>
    <mergeCell ref="M5:M6"/>
    <mergeCell ref="N5:N6"/>
    <mergeCell ref="AS5:AS6"/>
    <mergeCell ref="AM5:AM6"/>
    <mergeCell ref="Y5:Y6"/>
    <mergeCell ref="X3:X6"/>
    <mergeCell ref="Y3:AS4"/>
    <mergeCell ref="AF5:AF6"/>
    <mergeCell ref="AG5:AG6"/>
    <mergeCell ref="AN5:AP5"/>
    <mergeCell ref="AR5:AR6"/>
    <mergeCell ref="AI5:AI6"/>
    <mergeCell ref="AJ5:AJ6"/>
    <mergeCell ref="AL5:AL6"/>
    <mergeCell ref="AQ5:AQ6"/>
    <mergeCell ref="U5:U6"/>
    <mergeCell ref="O5:O6"/>
    <mergeCell ref="R5:R6"/>
    <mergeCell ref="S5:S6"/>
    <mergeCell ref="T5:T6"/>
    <mergeCell ref="V5:V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0"/>
  <sheetViews>
    <sheetView tabSelected="1" workbookViewId="0" topLeftCell="A16">
      <selection activeCell="C54" sqref="C54:D54"/>
    </sheetView>
  </sheetViews>
  <sheetFormatPr defaultColWidth="9.00390625" defaultRowHeight="12.75"/>
  <cols>
    <col min="1" max="1" width="10.00390625" style="2" customWidth="1"/>
    <col min="2" max="2" width="9.125" style="2" customWidth="1"/>
    <col min="3" max="3" width="9.875" style="2" customWidth="1"/>
    <col min="4" max="4" width="9.625" style="2" customWidth="1"/>
    <col min="5" max="5" width="10.125" style="2" bestFit="1" customWidth="1"/>
    <col min="6" max="6" width="9.875" style="2" customWidth="1"/>
    <col min="7" max="7" width="11.00390625" style="2" customWidth="1"/>
    <col min="8" max="8" width="10.125" style="2" customWidth="1"/>
    <col min="9" max="9" width="9.25390625" style="2" customWidth="1"/>
    <col min="10" max="10" width="9.875" style="2" customWidth="1"/>
    <col min="11" max="11" width="10.875" style="2" customWidth="1"/>
    <col min="12" max="12" width="10.125" style="2" customWidth="1"/>
    <col min="13" max="13" width="9.375" style="2" customWidth="1"/>
    <col min="14" max="14" width="10.375" style="2" customWidth="1"/>
    <col min="15" max="15" width="10.75390625" style="2" customWidth="1"/>
    <col min="16" max="16" width="13.00390625" style="2" customWidth="1"/>
    <col min="17" max="16384" width="9.125" style="2" customWidth="1"/>
  </cols>
  <sheetData>
    <row r="1" spans="2:8" ht="20.25" customHeight="1">
      <c r="B1" s="238" t="s">
        <v>49</v>
      </c>
      <c r="C1" s="238"/>
      <c r="D1" s="238"/>
      <c r="E1" s="238"/>
      <c r="F1" s="238"/>
      <c r="G1" s="238"/>
      <c r="H1" s="238"/>
    </row>
    <row r="2" spans="2:8" ht="21" customHeight="1">
      <c r="B2" s="238" t="s">
        <v>50</v>
      </c>
      <c r="C2" s="238"/>
      <c r="D2" s="238"/>
      <c r="E2" s="238"/>
      <c r="F2" s="238"/>
      <c r="G2" s="238"/>
      <c r="H2" s="238"/>
    </row>
    <row r="5" spans="1:15" ht="12.75">
      <c r="A5" s="240" t="s">
        <v>84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</row>
    <row r="6" spans="1:15" ht="12.75">
      <c r="A6" s="241" t="s">
        <v>87</v>
      </c>
      <c r="B6" s="241"/>
      <c r="C6" s="241"/>
      <c r="D6" s="241"/>
      <c r="E6" s="241"/>
      <c r="F6" s="241"/>
      <c r="G6" s="241"/>
      <c r="H6" s="93"/>
      <c r="I6" s="93"/>
      <c r="J6" s="93"/>
      <c r="K6" s="93"/>
      <c r="L6" s="93"/>
      <c r="M6" s="93"/>
      <c r="N6" s="93"/>
      <c r="O6" s="93"/>
    </row>
    <row r="7" spans="1:15" ht="12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</row>
    <row r="8" spans="1:6" ht="13.5" thickBot="1">
      <c r="A8" s="239" t="s">
        <v>51</v>
      </c>
      <c r="B8" s="239"/>
      <c r="C8" s="239"/>
      <c r="D8" s="239"/>
      <c r="E8" s="239">
        <v>8.65</v>
      </c>
      <c r="F8" s="239"/>
    </row>
    <row r="9" spans="1:16" ht="12.75" customHeight="1">
      <c r="A9" s="193" t="s">
        <v>52</v>
      </c>
      <c r="B9" s="211" t="s">
        <v>1</v>
      </c>
      <c r="C9" s="214" t="s">
        <v>53</v>
      </c>
      <c r="D9" s="217" t="s">
        <v>3</v>
      </c>
      <c r="E9" s="230" t="s">
        <v>54</v>
      </c>
      <c r="F9" s="231"/>
      <c r="G9" s="234" t="s">
        <v>55</v>
      </c>
      <c r="H9" s="235"/>
      <c r="I9" s="220" t="s">
        <v>8</v>
      </c>
      <c r="J9" s="173"/>
      <c r="K9" s="173"/>
      <c r="L9" s="173"/>
      <c r="M9" s="173"/>
      <c r="N9" s="221"/>
      <c r="O9" s="207" t="s">
        <v>56</v>
      </c>
      <c r="P9" s="207" t="s">
        <v>10</v>
      </c>
    </row>
    <row r="10" spans="1:16" ht="12.75">
      <c r="A10" s="194"/>
      <c r="B10" s="212"/>
      <c r="C10" s="215"/>
      <c r="D10" s="218"/>
      <c r="E10" s="232"/>
      <c r="F10" s="233"/>
      <c r="G10" s="236"/>
      <c r="H10" s="237"/>
      <c r="I10" s="222"/>
      <c r="J10" s="162"/>
      <c r="K10" s="162"/>
      <c r="L10" s="162"/>
      <c r="M10" s="162"/>
      <c r="N10" s="223"/>
      <c r="O10" s="208"/>
      <c r="P10" s="208"/>
    </row>
    <row r="11" spans="1:16" ht="26.25" customHeight="1">
      <c r="A11" s="194"/>
      <c r="B11" s="212"/>
      <c r="C11" s="215"/>
      <c r="D11" s="218"/>
      <c r="E11" s="224" t="s">
        <v>57</v>
      </c>
      <c r="F11" s="225"/>
      <c r="G11" s="83" t="s">
        <v>58</v>
      </c>
      <c r="H11" s="204" t="s">
        <v>7</v>
      </c>
      <c r="I11" s="226" t="s">
        <v>59</v>
      </c>
      <c r="J11" s="228" t="s">
        <v>26</v>
      </c>
      <c r="K11" s="228" t="s">
        <v>60</v>
      </c>
      <c r="L11" s="228" t="s">
        <v>31</v>
      </c>
      <c r="M11" s="228" t="s">
        <v>61</v>
      </c>
      <c r="N11" s="204" t="s">
        <v>33</v>
      </c>
      <c r="O11" s="208"/>
      <c r="P11" s="208"/>
    </row>
    <row r="12" spans="1:16" ht="66.75" customHeight="1" thickBot="1">
      <c r="A12" s="210"/>
      <c r="B12" s="213"/>
      <c r="C12" s="216"/>
      <c r="D12" s="219"/>
      <c r="E12" s="62" t="s">
        <v>62</v>
      </c>
      <c r="F12" s="65" t="s">
        <v>17</v>
      </c>
      <c r="G12" s="80" t="s">
        <v>82</v>
      </c>
      <c r="H12" s="205"/>
      <c r="I12" s="227"/>
      <c r="J12" s="229"/>
      <c r="K12" s="229"/>
      <c r="L12" s="229"/>
      <c r="M12" s="229"/>
      <c r="N12" s="205"/>
      <c r="O12" s="209"/>
      <c r="P12" s="209"/>
    </row>
    <row r="13" spans="1:16" ht="13.5" thickBot="1">
      <c r="A13" s="63">
        <v>1</v>
      </c>
      <c r="B13" s="64">
        <v>2</v>
      </c>
      <c r="C13" s="63">
        <v>3</v>
      </c>
      <c r="D13" s="64">
        <v>4</v>
      </c>
      <c r="E13" s="63">
        <v>5</v>
      </c>
      <c r="F13" s="64">
        <v>6</v>
      </c>
      <c r="G13" s="63">
        <v>7</v>
      </c>
      <c r="H13" s="64">
        <v>8</v>
      </c>
      <c r="I13" s="63">
        <v>9</v>
      </c>
      <c r="J13" s="64">
        <v>10</v>
      </c>
      <c r="K13" s="63">
        <v>11</v>
      </c>
      <c r="L13" s="64">
        <v>12</v>
      </c>
      <c r="M13" s="63">
        <v>13</v>
      </c>
      <c r="N13" s="64">
        <v>14</v>
      </c>
      <c r="O13" s="63">
        <v>15</v>
      </c>
      <c r="P13" s="64">
        <v>16</v>
      </c>
    </row>
    <row r="14" spans="1:16" ht="12.75">
      <c r="A14" s="7" t="s">
        <v>34</v>
      </c>
      <c r="B14" s="8"/>
      <c r="C14" s="26"/>
      <c r="D14" s="7"/>
      <c r="E14" s="8"/>
      <c r="F14" s="9"/>
      <c r="G14" s="7"/>
      <c r="H14" s="9"/>
      <c r="I14" s="7"/>
      <c r="J14" s="8"/>
      <c r="K14" s="8"/>
      <c r="L14" s="8"/>
      <c r="M14" s="8"/>
      <c r="N14" s="9"/>
      <c r="O14" s="75"/>
      <c r="P14" s="72"/>
    </row>
    <row r="15" spans="1:16" ht="12.75">
      <c r="A15" s="11" t="s">
        <v>35</v>
      </c>
      <c r="B15" s="81">
        <f>Лист1!B9</f>
        <v>905.3</v>
      </c>
      <c r="C15" s="27">
        <f>B15*8.65</f>
        <v>7830.845</v>
      </c>
      <c r="D15" s="28">
        <f>Лист1!D9</f>
        <v>1885.2939436000001</v>
      </c>
      <c r="E15" s="14">
        <f>Лист1!O9</f>
        <v>5951.9800000000005</v>
      </c>
      <c r="F15" s="30">
        <f>Лист1!P9</f>
        <v>563.98</v>
      </c>
      <c r="G15" s="29">
        <f>Лист1!V9</f>
        <v>0</v>
      </c>
      <c r="H15" s="30">
        <f>Лист1!W9</f>
        <v>2449.2739436</v>
      </c>
      <c r="I15" s="29">
        <f>Лист1!Y9</f>
        <v>543.18</v>
      </c>
      <c r="J15" s="14">
        <f>Лист1!AA9+Лист1!AB9</f>
        <v>905.4520904</v>
      </c>
      <c r="K15" s="14">
        <f>Лист1!Z9+Лист1!AC9+Лист1!AD9+Лист1!AE9+Лист1!AF9+Лист1!AG9+Лист1!AH9</f>
        <v>2575.4467335849995</v>
      </c>
      <c r="L15" s="31">
        <f>Лист1!AK9+Лист1!AM9</f>
        <v>0</v>
      </c>
      <c r="M15" s="31">
        <f>Лист1!AP9</f>
        <v>0</v>
      </c>
      <c r="N15" s="30">
        <f>Лист1!AS9</f>
        <v>4024.078823984999</v>
      </c>
      <c r="O15" s="73">
        <f>Лист1!AU9</f>
        <v>-1574.8048803849988</v>
      </c>
      <c r="P15" s="73">
        <f>Лист1!AV9</f>
        <v>-5951.9800000000005</v>
      </c>
    </row>
    <row r="16" spans="1:16" ht="12.75">
      <c r="A16" s="11" t="s">
        <v>36</v>
      </c>
      <c r="B16" s="81">
        <f>Лист1!B10</f>
        <v>905.3</v>
      </c>
      <c r="C16" s="27">
        <f aca="true" t="shared" si="0" ref="C16:C31">B16*8.65</f>
        <v>7830.845</v>
      </c>
      <c r="D16" s="28">
        <f>Лист1!D10</f>
        <v>1885.2939436000001</v>
      </c>
      <c r="E16" s="14">
        <f>Лист1!O10</f>
        <v>1190.38</v>
      </c>
      <c r="F16" s="30">
        <f>Лист1!P10</f>
        <v>112.79999999999998</v>
      </c>
      <c r="G16" s="29">
        <f>Лист1!V10</f>
        <v>2528</v>
      </c>
      <c r="H16" s="30">
        <f>Лист1!W10</f>
        <v>4526.0939436</v>
      </c>
      <c r="I16" s="29">
        <f>Лист1!Y10</f>
        <v>543.18</v>
      </c>
      <c r="J16" s="14">
        <f>Лист1!AA10+Лист1!AB10</f>
        <v>905.4520904</v>
      </c>
      <c r="K16" s="14">
        <f>Лист1!Z10+Лист1!AC10+Лист1!AD10+Лист1!AE10+Лист1!AF10+Лист1!AG10+Лист1!AH10</f>
        <v>2565.8034779849995</v>
      </c>
      <c r="L16" s="31">
        <f>Лист1!AK10+Лист1!AM10</f>
        <v>638.852</v>
      </c>
      <c r="M16" s="31">
        <f>Лист1!AP10</f>
        <v>0</v>
      </c>
      <c r="N16" s="30">
        <f>Лист1!AS10</f>
        <v>4653.287568384999</v>
      </c>
      <c r="O16" s="73">
        <f>Лист1!AU10</f>
        <v>-127.19362478499897</v>
      </c>
      <c r="P16" s="73">
        <f>Лист1!AV10</f>
        <v>1337.62</v>
      </c>
    </row>
    <row r="17" spans="1:18" ht="13.5" thickBot="1">
      <c r="A17" s="32" t="s">
        <v>37</v>
      </c>
      <c r="B17" s="81">
        <f>Лист1!B11</f>
        <v>905.3</v>
      </c>
      <c r="C17" s="33">
        <f t="shared" si="0"/>
        <v>7830.845</v>
      </c>
      <c r="D17" s="28">
        <f>Лист1!D11</f>
        <v>1883.14359575</v>
      </c>
      <c r="E17" s="14">
        <f>Лист1!O11</f>
        <v>3571.1800000000003</v>
      </c>
      <c r="F17" s="30">
        <f>Лист1!P11</f>
        <v>338.39</v>
      </c>
      <c r="G17" s="29">
        <f>Лист1!V11</f>
        <v>3383.2700000000004</v>
      </c>
      <c r="H17" s="30">
        <f>Лист1!W11</f>
        <v>5604.803595750001</v>
      </c>
      <c r="I17" s="29">
        <f>Лист1!Y11</f>
        <v>543.18</v>
      </c>
      <c r="J17" s="14">
        <f>Лист1!AA11+Лист1!AB11</f>
        <v>905.4520904</v>
      </c>
      <c r="K17" s="14">
        <f>Лист1!Z11+Лист1!AC11+Лист1!AD11+Лист1!AE11+Лист1!AF11+Лист1!AG11+Лист1!AH11</f>
        <v>2569.468132384999</v>
      </c>
      <c r="L17" s="31">
        <f>Лист1!AK11+Лист1!AM11</f>
        <v>0</v>
      </c>
      <c r="M17" s="31">
        <f>Лист1!AP11</f>
        <v>0</v>
      </c>
      <c r="N17" s="30">
        <f>Лист1!AS11</f>
        <v>4018.1002227849995</v>
      </c>
      <c r="O17" s="73">
        <f>Лист1!AU11</f>
        <v>1586.703372965001</v>
      </c>
      <c r="P17" s="73">
        <f>Лист1!AV11</f>
        <v>-187.90999999999985</v>
      </c>
      <c r="Q17" s="1"/>
      <c r="R17" s="1"/>
    </row>
    <row r="18" spans="1:18" s="20" customFormat="1" ht="13.5" thickBot="1">
      <c r="A18" s="34" t="s">
        <v>5</v>
      </c>
      <c r="B18" s="35"/>
      <c r="C18" s="36">
        <f>SUM(C15:C17)</f>
        <v>23492.535</v>
      </c>
      <c r="D18" s="66">
        <f aca="true" t="shared" si="1" ref="D18:I18">SUM(D15:D17)</f>
        <v>5653.73148295</v>
      </c>
      <c r="E18" s="36">
        <f t="shared" si="1"/>
        <v>10713.54</v>
      </c>
      <c r="F18" s="67">
        <f t="shared" si="1"/>
        <v>1015.17</v>
      </c>
      <c r="G18" s="66">
        <f t="shared" si="1"/>
        <v>5911.27</v>
      </c>
      <c r="H18" s="67">
        <f t="shared" si="1"/>
        <v>12580.171482950002</v>
      </c>
      <c r="I18" s="66">
        <f t="shared" si="1"/>
        <v>1629.54</v>
      </c>
      <c r="J18" s="36">
        <f aca="true" t="shared" si="2" ref="J18:P18">SUM(J15:J17)</f>
        <v>2716.3562712</v>
      </c>
      <c r="K18" s="36">
        <f t="shared" si="2"/>
        <v>7710.718343954998</v>
      </c>
      <c r="L18" s="36">
        <f t="shared" si="2"/>
        <v>638.852</v>
      </c>
      <c r="M18" s="36">
        <f t="shared" si="2"/>
        <v>0</v>
      </c>
      <c r="N18" s="67">
        <f t="shared" si="2"/>
        <v>12695.466615154997</v>
      </c>
      <c r="O18" s="74">
        <f t="shared" si="2"/>
        <v>-115.29513220499666</v>
      </c>
      <c r="P18" s="74">
        <f t="shared" si="2"/>
        <v>-4802.27</v>
      </c>
      <c r="Q18" s="69"/>
      <c r="R18" s="70"/>
    </row>
    <row r="19" spans="1:18" ht="12.75">
      <c r="A19" s="7" t="s">
        <v>38</v>
      </c>
      <c r="B19" s="40"/>
      <c r="C19" s="41"/>
      <c r="D19" s="42"/>
      <c r="E19" s="43"/>
      <c r="F19" s="45"/>
      <c r="G19" s="44"/>
      <c r="H19" s="45"/>
      <c r="I19" s="44"/>
      <c r="J19" s="14"/>
      <c r="K19" s="14"/>
      <c r="L19" s="31"/>
      <c r="M19" s="68"/>
      <c r="N19" s="30"/>
      <c r="O19" s="73"/>
      <c r="P19" s="73"/>
      <c r="Q19" s="1"/>
      <c r="R19" s="1"/>
    </row>
    <row r="20" spans="1:18" ht="12.75">
      <c r="A20" s="11" t="s">
        <v>39</v>
      </c>
      <c r="B20" s="81">
        <f>Лист1!B14</f>
        <v>905.3</v>
      </c>
      <c r="C20" s="27">
        <f t="shared" si="0"/>
        <v>7830.845</v>
      </c>
      <c r="D20" s="28">
        <f>Лист1!D14</f>
        <v>978.855625</v>
      </c>
      <c r="E20" s="14">
        <f>Лист1!O14</f>
        <v>3571.1800000000003</v>
      </c>
      <c r="F20" s="30">
        <f>Лист1!P14</f>
        <v>338.39</v>
      </c>
      <c r="G20" s="29">
        <f>Лист1!V14</f>
        <v>2881.96</v>
      </c>
      <c r="H20" s="30">
        <f>Лист1!W14</f>
        <v>4199.2056250000005</v>
      </c>
      <c r="I20" s="29">
        <f>Лист1!Y14</f>
        <v>488.86199999999997</v>
      </c>
      <c r="J20" s="14">
        <f>Лист1!AA14+Лист1!AB14</f>
        <v>803.7874746800001</v>
      </c>
      <c r="K20" s="14">
        <f>Лист1!Z14+Лист1!AC14+Лист1!AD14+Лист1!AE14+Лист1!AF14+Лист1!AG14+Лист1!AH14+Лист1!AI14+Лист1!AJ14</f>
        <v>2757.6537345199995</v>
      </c>
      <c r="L20" s="31">
        <f>Лист1!AK14+Лист1!AL14+Лист1!AM14+Лист1!AQ14+Лист1!AR14</f>
        <v>2124</v>
      </c>
      <c r="M20" s="31">
        <f>Лист1!AP14</f>
        <v>201.41184</v>
      </c>
      <c r="N20" s="30">
        <f>Лист1!AS14</f>
        <v>6174.303209199999</v>
      </c>
      <c r="O20" s="73">
        <f>Лист1!AU14</f>
        <v>-1975.097584199999</v>
      </c>
      <c r="P20" s="73">
        <f>Лист1!AV14</f>
        <v>-689.2200000000003</v>
      </c>
      <c r="Q20" s="1"/>
      <c r="R20" s="1"/>
    </row>
    <row r="21" spans="1:18" ht="12.75">
      <c r="A21" s="11" t="s">
        <v>40</v>
      </c>
      <c r="B21" s="81">
        <f>Лист1!B15</f>
        <v>905.3</v>
      </c>
      <c r="C21" s="27">
        <f t="shared" si="0"/>
        <v>7830.845</v>
      </c>
      <c r="D21" s="28">
        <f>Лист1!D15</f>
        <v>978.855625</v>
      </c>
      <c r="E21" s="14">
        <f>Лист1!O15</f>
        <v>3571.1800000000003</v>
      </c>
      <c r="F21" s="30">
        <f>Лист1!P15</f>
        <v>338.58</v>
      </c>
      <c r="G21" s="29">
        <f>Лист1!V15</f>
        <v>3147.66</v>
      </c>
      <c r="H21" s="30">
        <f>Лист1!W15</f>
        <v>4465.095625</v>
      </c>
      <c r="I21" s="29">
        <f>Лист1!Y15</f>
        <v>488.86199999999997</v>
      </c>
      <c r="J21" s="14">
        <f>Лист1!AA15+Лист1!AB15</f>
        <v>803.85467627</v>
      </c>
      <c r="K21" s="14">
        <f>Лист1!Z15+Лист1!AC15+Лист1!AD15+Лист1!AE15+Лист1!AF15+Лист1!AG15+Лист1!AH15+Лист1!AI15+Лист1!AJ15</f>
        <v>2800.0204759999997</v>
      </c>
      <c r="L21" s="31">
        <f>Лист1!AK15+Лист1!AL15+Лист1!AM15+Лист1!AQ15+Лист1!AR15</f>
        <v>0</v>
      </c>
      <c r="M21" s="31">
        <f>Лист1!AP15</f>
        <v>161.36736</v>
      </c>
      <c r="N21" s="30">
        <f>Лист1!AS15</f>
        <v>4092.7371522699996</v>
      </c>
      <c r="O21" s="73">
        <f>Лист1!AU15</f>
        <v>372.35847273000036</v>
      </c>
      <c r="P21" s="73">
        <f>Лист1!AV15</f>
        <v>-423.52000000000044</v>
      </c>
      <c r="Q21" s="1"/>
      <c r="R21" s="1"/>
    </row>
    <row r="22" spans="1:18" ht="12.75">
      <c r="A22" s="11" t="s">
        <v>41</v>
      </c>
      <c r="B22" s="81">
        <f>Лист1!B16</f>
        <v>905.3</v>
      </c>
      <c r="C22" s="27">
        <f t="shared" si="0"/>
        <v>7830.845</v>
      </c>
      <c r="D22" s="28">
        <f>Лист1!D16</f>
        <v>978.855625</v>
      </c>
      <c r="E22" s="14">
        <f>Лист1!O16</f>
        <v>3612.7000000000003</v>
      </c>
      <c r="F22" s="30">
        <f>Лист1!P16</f>
        <v>296.87</v>
      </c>
      <c r="G22" s="29">
        <f>Лист1!V16</f>
        <v>1949.9299999999998</v>
      </c>
      <c r="H22" s="30">
        <f>Лист1!W16</f>
        <v>3225.655625</v>
      </c>
      <c r="I22" s="29">
        <f>Лист1!Y16</f>
        <v>488.86199999999997</v>
      </c>
      <c r="J22" s="14">
        <f>Лист1!AA16+Лист1!AB16</f>
        <v>809.0421669</v>
      </c>
      <c r="K22" s="14">
        <f>Лист1!Z16+Лист1!AC16+Лист1!AD16+Лист1!AE16+Лист1!AF16+Лист1!AG16+Лист1!AH16+Лист1!AI16+Лист1!AJ16</f>
        <v>2777.4563985739996</v>
      </c>
      <c r="L22" s="31">
        <f>Лист1!AK16+Лист1!AL16+Лист1!AM16+Лист1!AQ16+Лист1!AR16</f>
        <v>5097.6</v>
      </c>
      <c r="M22" s="31">
        <f>Лист1!AP16</f>
        <v>151.85184</v>
      </c>
      <c r="N22" s="30">
        <f>Лист1!AS16</f>
        <v>9172.960565473999</v>
      </c>
      <c r="O22" s="73">
        <f>Лист1!AU16</f>
        <v>-5947.3049404739995</v>
      </c>
      <c r="P22" s="73">
        <f>Лист1!AV16</f>
        <v>-1662.7700000000004</v>
      </c>
      <c r="Q22" s="1"/>
      <c r="R22" s="1"/>
    </row>
    <row r="23" spans="1:18" ht="12.75">
      <c r="A23" s="11" t="s">
        <v>42</v>
      </c>
      <c r="B23" s="81">
        <f>Лист1!B17</f>
        <v>905.3</v>
      </c>
      <c r="C23" s="27">
        <f t="shared" si="0"/>
        <v>7830.845</v>
      </c>
      <c r="D23" s="28">
        <f>Лист1!D17</f>
        <v>978.855625</v>
      </c>
      <c r="E23" s="14">
        <f>Лист1!O17</f>
        <v>3612.7000000000003</v>
      </c>
      <c r="F23" s="30">
        <f>Лист1!P17</f>
        <v>296.87</v>
      </c>
      <c r="G23" s="29">
        <f>Лист1!V17</f>
        <v>4309.360000000001</v>
      </c>
      <c r="H23" s="30">
        <f>Лист1!W17</f>
        <v>5585.085625000001</v>
      </c>
      <c r="I23" s="29">
        <f>Лист1!Y17</f>
        <v>488.86199999999997</v>
      </c>
      <c r="J23" s="14">
        <f>Лист1!AA17+Лист1!AB17</f>
        <v>809.0421669</v>
      </c>
      <c r="K23" s="14">
        <f>Лист1!Z17+Лист1!AC17+Лист1!AD17+Лист1!AE17+Лист1!AF17+Лист1!AG17+Лист1!AH17+Лист1!AI17+Лист1!AJ17</f>
        <v>2780.226616574</v>
      </c>
      <c r="L23" s="31">
        <f>Лист1!AK17+Лист1!AL17+Лист1!AM17+Лист1!AQ17+Лист1!AR17</f>
        <v>3071.422</v>
      </c>
      <c r="M23" s="31">
        <f>Лист1!AP17</f>
        <v>121.71936</v>
      </c>
      <c r="N23" s="30">
        <f>Лист1!AS17</f>
        <v>7785.903183474</v>
      </c>
      <c r="O23" s="73">
        <f>Лист1!AU17</f>
        <v>-2200.8175584739993</v>
      </c>
      <c r="P23" s="73">
        <f>Лист1!AV17</f>
        <v>696.6600000000003</v>
      </c>
      <c r="Q23" s="1"/>
      <c r="R23" s="1"/>
    </row>
    <row r="24" spans="1:18" ht="12.75">
      <c r="A24" s="11" t="s">
        <v>43</v>
      </c>
      <c r="B24" s="81">
        <f>Лист1!B18</f>
        <v>905.3</v>
      </c>
      <c r="C24" s="27">
        <f t="shared" si="0"/>
        <v>7830.845</v>
      </c>
      <c r="D24" s="28">
        <f>Лист1!D18</f>
        <v>3519.3650000000007</v>
      </c>
      <c r="E24" s="14">
        <f>Лист1!O18</f>
        <v>3976.25</v>
      </c>
      <c r="F24" s="30">
        <f>Лист1!P18</f>
        <v>335.23</v>
      </c>
      <c r="G24" s="29">
        <f>Лист1!V18</f>
        <v>3265.6800000000003</v>
      </c>
      <c r="H24" s="30">
        <f>Лист1!W18</f>
        <v>7120.2750000000015</v>
      </c>
      <c r="I24" s="29">
        <f>Лист1!Y18</f>
        <v>543.18</v>
      </c>
      <c r="J24" s="14">
        <f>Лист1!AA18+Лист1!AB18</f>
        <v>898.935741</v>
      </c>
      <c r="K24" s="14">
        <f>Лист1!Z18+Лист1!AC18+Лист1!AD18+Лист1!AE18+Лист1!AF18+Лист1!AG18+Лист1!AH18+Лист1!AI18+Лист1!AJ18</f>
        <v>3086.6396923199995</v>
      </c>
      <c r="L24" s="31">
        <f>Лист1!AK18+Лист1!AL18+Лист1!AM18+Лист1!AQ18+Лист1!AR18</f>
        <v>0</v>
      </c>
      <c r="M24" s="31">
        <f>Лист1!AP18</f>
        <v>104.27423999999999</v>
      </c>
      <c r="N24" s="30">
        <f>Лист1!AS18</f>
        <v>4633.029673319998</v>
      </c>
      <c r="O24" s="73">
        <f>Лист1!AU18</f>
        <v>2487.245326680003</v>
      </c>
      <c r="P24" s="73">
        <f>Лист1!AV18</f>
        <v>-710.5699999999997</v>
      </c>
      <c r="Q24" s="1"/>
      <c r="R24" s="1"/>
    </row>
    <row r="25" spans="1:18" ht="12.75">
      <c r="A25" s="11" t="s">
        <v>44</v>
      </c>
      <c r="B25" s="81">
        <f>Лист1!B19</f>
        <v>905.3</v>
      </c>
      <c r="C25" s="27">
        <f t="shared" si="0"/>
        <v>7830.845</v>
      </c>
      <c r="D25" s="28">
        <f>Лист1!D19</f>
        <v>3509.75</v>
      </c>
      <c r="E25" s="14">
        <f>Лист1!O19</f>
        <v>5659.99</v>
      </c>
      <c r="F25" s="30">
        <f>Лист1!P19</f>
        <v>459.67</v>
      </c>
      <c r="G25" s="29">
        <f>Лист1!V19</f>
        <v>2040.5200000000002</v>
      </c>
      <c r="H25" s="30">
        <f>Лист1!W19</f>
        <v>6009.9400000000005</v>
      </c>
      <c r="I25" s="29">
        <f>Лист1!Y19</f>
        <v>543.18</v>
      </c>
      <c r="J25" s="14">
        <f>Лист1!AA19+Лист1!AB19</f>
        <v>897.3376330159999</v>
      </c>
      <c r="K25" s="14">
        <f>Лист1!Z19+Лист1!AC19+Лист1!AD19+Лист1!AE19+Лист1!AF19+Лист1!AG19+Лист1!AH19+Лист1!AI19+Лист1!AJ19</f>
        <v>3081.3710910707996</v>
      </c>
      <c r="L25" s="31">
        <f>Лист1!AK19+Лист1!AL19+Лист1!AM19+Лист1!AQ19+Лист1!AR19</f>
        <v>0</v>
      </c>
      <c r="M25" s="31">
        <f>Лист1!AP19</f>
        <v>92.37983999999999</v>
      </c>
      <c r="N25" s="30">
        <f>Лист1!AS19</f>
        <v>4614.268564086799</v>
      </c>
      <c r="O25" s="73">
        <f>Лист1!AU19</f>
        <v>1395.671435913201</v>
      </c>
      <c r="P25" s="73">
        <f>Лист1!AV19</f>
        <v>-3619.4699999999993</v>
      </c>
      <c r="Q25" s="1"/>
      <c r="R25" s="1"/>
    </row>
    <row r="26" spans="1:18" ht="12.75">
      <c r="A26" s="11" t="s">
        <v>45</v>
      </c>
      <c r="B26" s="81">
        <f>Лист1!B20</f>
        <v>905.3</v>
      </c>
      <c r="C26" s="27">
        <f t="shared" si="0"/>
        <v>7830.845</v>
      </c>
      <c r="D26" s="28">
        <f>Лист1!D20</f>
        <v>3510.28</v>
      </c>
      <c r="E26" s="14">
        <f>Лист1!O20</f>
        <v>2332.5299999999997</v>
      </c>
      <c r="F26" s="30">
        <f>Лист1!P20</f>
        <v>189.47</v>
      </c>
      <c r="G26" s="29">
        <f>Лист1!V20</f>
        <v>4643.26</v>
      </c>
      <c r="H26" s="30">
        <f>Лист1!W20</f>
        <v>8343.01</v>
      </c>
      <c r="I26" s="29">
        <f>Лист1!Y20</f>
        <v>543.18</v>
      </c>
      <c r="J26" s="14">
        <f>Лист1!AA20+Лист1!AB20</f>
        <v>897.3376330159999</v>
      </c>
      <c r="K26" s="14">
        <f>Лист1!Z20+Лист1!AC20+Лист1!AD20+Лист1!AE20+Лист1!AF20+Лист1!AG20+Лист1!AH20+Лист1!AI20+Лист1!AJ20</f>
        <v>3078.4397296707994</v>
      </c>
      <c r="L26" s="31">
        <f>Лист1!AK20+Лист1!AL20+Лист1!AM20+Лист1!AQ20+Лист1!AR20</f>
        <v>0</v>
      </c>
      <c r="M26" s="31">
        <f>Лист1!AP20</f>
        <v>98.32704</v>
      </c>
      <c r="N26" s="30">
        <f>Лист1!AS20</f>
        <v>4617.2844026868</v>
      </c>
      <c r="O26" s="73">
        <f>Лист1!AU20</f>
        <v>3725.7255973132005</v>
      </c>
      <c r="P26" s="73">
        <f>Лист1!AV20</f>
        <v>2310.7300000000005</v>
      </c>
      <c r="Q26" s="1"/>
      <c r="R26" s="1"/>
    </row>
    <row r="27" spans="1:18" ht="12.75">
      <c r="A27" s="11" t="s">
        <v>46</v>
      </c>
      <c r="B27" s="81">
        <f>Лист1!B21</f>
        <v>905.3</v>
      </c>
      <c r="C27" s="27">
        <f t="shared" si="0"/>
        <v>7830.845</v>
      </c>
      <c r="D27" s="28">
        <f>Лист1!D21</f>
        <v>3509.7650000000003</v>
      </c>
      <c r="E27" s="14">
        <f>Лист1!O21</f>
        <v>3996.5099999999998</v>
      </c>
      <c r="F27" s="30">
        <f>Лист1!P21</f>
        <v>324.57</v>
      </c>
      <c r="G27" s="29">
        <f>Лист1!V21</f>
        <v>3586.8399999999997</v>
      </c>
      <c r="H27" s="30">
        <f>Лист1!W21</f>
        <v>7421.175</v>
      </c>
      <c r="I27" s="29">
        <f>Лист1!Y21</f>
        <v>543.18</v>
      </c>
      <c r="J27" s="14">
        <f>Лист1!AA21+Лист1!AB21</f>
        <v>897.39211397</v>
      </c>
      <c r="K27" s="14">
        <f>Лист1!Z21+Лист1!AC21+Лист1!AD21+Лист1!AE21+Лист1!AF21+Лист1!AG21+Лист1!AH21+Лист1!AI21+Лист1!AJ21</f>
        <v>3079.2535436739995</v>
      </c>
      <c r="L27" s="31">
        <f>Лист1!AK21+Лист1!AL21+Лист1!AM21+Лист1!AQ21+Лист1!AR21</f>
        <v>0</v>
      </c>
      <c r="M27" s="31">
        <f>Лист1!AP21</f>
        <v>116.16863999999998</v>
      </c>
      <c r="N27" s="30">
        <f>Лист1!AS21</f>
        <v>4635.994297644</v>
      </c>
      <c r="O27" s="73">
        <f>Лист1!AU21</f>
        <v>2785.1807023560004</v>
      </c>
      <c r="P27" s="73">
        <f>Лист1!AV21</f>
        <v>-409.6700000000001</v>
      </c>
      <c r="Q27" s="1"/>
      <c r="R27" s="1"/>
    </row>
    <row r="28" spans="1:18" ht="12.75">
      <c r="A28" s="11" t="s">
        <v>47</v>
      </c>
      <c r="B28" s="81">
        <f>Лист1!B22</f>
        <v>905.3</v>
      </c>
      <c r="C28" s="27">
        <f t="shared" si="0"/>
        <v>7830.845</v>
      </c>
      <c r="D28" s="28">
        <f>Лист1!D22</f>
        <v>3509.7650000000003</v>
      </c>
      <c r="E28" s="14">
        <f>Лист1!O22</f>
        <v>3996.5099999999998</v>
      </c>
      <c r="F28" s="30">
        <f>Лист1!P22</f>
        <v>324.57</v>
      </c>
      <c r="G28" s="29">
        <f>Лист1!V22</f>
        <v>2746.1299999999997</v>
      </c>
      <c r="H28" s="30">
        <f>Лист1!W22</f>
        <v>6580.465</v>
      </c>
      <c r="I28" s="29">
        <f>Лист1!Y22</f>
        <v>543.18</v>
      </c>
      <c r="J28" s="14">
        <f>Лист1!AA22+Лист1!AB22</f>
        <v>897.39211397</v>
      </c>
      <c r="K28" s="14">
        <f>Лист1!Z22+Лист1!AC22+Лист1!AD22+Лист1!AE22+Лист1!AF22+Лист1!AG22+Лист1!AH22+Лист1!AI22+Лист1!AJ22</f>
        <v>3079.540922106</v>
      </c>
      <c r="L28" s="31">
        <f>Лист1!AK22+Лист1!AL22+Лист1!AM22+Лист1!AQ22+Лист1!AR22</f>
        <v>950.431</v>
      </c>
      <c r="M28" s="31">
        <f>Лист1!AP22</f>
        <v>138.37152</v>
      </c>
      <c r="N28" s="30">
        <f>Лист1!AS22</f>
        <v>5608.915556075999</v>
      </c>
      <c r="O28" s="73">
        <f>Лист1!AU22</f>
        <v>971.549443924001</v>
      </c>
      <c r="P28" s="73">
        <f>Лист1!AV22</f>
        <v>-1250.38</v>
      </c>
      <c r="Q28" s="1"/>
      <c r="R28" s="1"/>
    </row>
    <row r="29" spans="1:18" ht="12.75">
      <c r="A29" s="11" t="s">
        <v>35</v>
      </c>
      <c r="B29" s="81">
        <f>Лист1!B23</f>
        <v>905.3</v>
      </c>
      <c r="C29" s="27">
        <f>B29*8.65</f>
        <v>7830.845</v>
      </c>
      <c r="D29" s="28">
        <f>Лист1!D23</f>
        <v>3510.7650000000003</v>
      </c>
      <c r="E29" s="14">
        <f>Лист1!O23</f>
        <v>3996.5099999999998</v>
      </c>
      <c r="F29" s="30">
        <f>Лист1!P23</f>
        <v>323.57</v>
      </c>
      <c r="G29" s="29">
        <f>Лист1!V23</f>
        <v>3434.98</v>
      </c>
      <c r="H29" s="30">
        <f>Лист1!W23</f>
        <v>7269.3150000000005</v>
      </c>
      <c r="I29" s="29">
        <f>Лист1!Y23</f>
        <v>543.18</v>
      </c>
      <c r="J29" s="14">
        <f>Лист1!AA23+Лист1!AB23</f>
        <v>908.0159</v>
      </c>
      <c r="K29" s="14">
        <f>Лист1!Z23+Лист1!AC23+Лист1!AD23+Лист1!AE23+Лист1!AF23+Лист1!AG23+Лист1!AH23+Лист1!AI23+Лист1!AJ23</f>
        <v>3108.0759599999997</v>
      </c>
      <c r="L29" s="31">
        <f>Лист1!AK23+Лист1!AL23+Лист1!AM23+Лист1!AQ23+Лист1!AR23</f>
        <v>0</v>
      </c>
      <c r="M29" s="31">
        <f>Лист1!AP23</f>
        <v>168.504</v>
      </c>
      <c r="N29" s="30">
        <f>Лист1!AS23</f>
        <v>4727.77586</v>
      </c>
      <c r="O29" s="73">
        <f>Лист1!AU23</f>
        <v>2541.5391400000008</v>
      </c>
      <c r="P29" s="73">
        <f>Лист1!AV23</f>
        <v>-561.5299999999997</v>
      </c>
      <c r="Q29" s="1"/>
      <c r="R29" s="1"/>
    </row>
    <row r="30" spans="1:18" ht="12.75">
      <c r="A30" s="11" t="s">
        <v>36</v>
      </c>
      <c r="B30" s="81">
        <f>Лист1!B24</f>
        <v>905.3</v>
      </c>
      <c r="C30" s="27">
        <f t="shared" si="0"/>
        <v>7830.845</v>
      </c>
      <c r="D30" s="28">
        <f>Лист1!D24</f>
        <v>3509.7650000000003</v>
      </c>
      <c r="E30" s="14">
        <f>Лист1!O24</f>
        <v>3996.5099999999998</v>
      </c>
      <c r="F30" s="30">
        <f>Лист1!P24</f>
        <v>324.57</v>
      </c>
      <c r="G30" s="29">
        <f>Лист1!V24</f>
        <v>3489.54</v>
      </c>
      <c r="H30" s="30">
        <f>Лист1!W24</f>
        <v>7323.875</v>
      </c>
      <c r="I30" s="29">
        <f>Лист1!Y24</f>
        <v>543.18</v>
      </c>
      <c r="J30" s="14">
        <f>Лист1!AA24+Лист1!AB24</f>
        <v>908.0159</v>
      </c>
      <c r="K30" s="14">
        <f>Лист1!Z24+Лист1!AC24+Лист1!AD24+Лист1!AE24+Лист1!AF24+Лист1!AG24+Лист1!AH24+Лист1!AI24+Лист1!AJ24</f>
        <v>3108.0759599999997</v>
      </c>
      <c r="L30" s="31">
        <f>Лист1!AK24+Лист1!AL24+Лист1!AM24+Лист1!AQ24+Лист1!AR24</f>
        <v>0</v>
      </c>
      <c r="M30" s="31">
        <f>Лист1!AP24</f>
        <v>186.34560000000002</v>
      </c>
      <c r="N30" s="30">
        <f>Лист1!AS24</f>
        <v>4745.6174599999995</v>
      </c>
      <c r="O30" s="73">
        <f>Лист1!AU24</f>
        <v>2578.2575400000005</v>
      </c>
      <c r="P30" s="73">
        <f>Лист1!AV24</f>
        <v>-506.9699999999998</v>
      </c>
      <c r="Q30" s="1"/>
      <c r="R30" s="1"/>
    </row>
    <row r="31" spans="1:18" ht="13.5" thickBot="1">
      <c r="A31" s="32" t="s">
        <v>37</v>
      </c>
      <c r="B31" s="81">
        <f>Лист1!B25</f>
        <v>905.3</v>
      </c>
      <c r="C31" s="33">
        <f t="shared" si="0"/>
        <v>7830.845</v>
      </c>
      <c r="D31" s="28">
        <f>Лист1!D25</f>
        <v>3509.7650000000003</v>
      </c>
      <c r="E31" s="14">
        <f>Лист1!O25</f>
        <v>3996.5099999999998</v>
      </c>
      <c r="F31" s="30">
        <f>Лист1!P25</f>
        <v>324.57</v>
      </c>
      <c r="G31" s="29">
        <f>Лист1!V25</f>
        <v>4188.94</v>
      </c>
      <c r="H31" s="30">
        <f>Лист1!W25</f>
        <v>8023.275</v>
      </c>
      <c r="I31" s="29">
        <f>Лист1!Y25</f>
        <v>543.18</v>
      </c>
      <c r="J31" s="14">
        <f>Лист1!AA25+Лист1!AB25</f>
        <v>908.0159</v>
      </c>
      <c r="K31" s="14">
        <f>Лист1!Z25+Лист1!AC25+Лист1!AD25+Лист1!AE25+Лист1!AF25+Лист1!AG25+Лист1!AH25+Лист1!AI25+Лист1!AJ25</f>
        <v>3108.0759599999997</v>
      </c>
      <c r="L31" s="31">
        <f>Лист1!AK25+Лист1!AL25+Лист1!AM25+Лист1!AQ25+Лист1!AR25</f>
        <v>0</v>
      </c>
      <c r="M31" s="31">
        <f>Лист1!AP25</f>
        <v>203.79072</v>
      </c>
      <c r="N31" s="30">
        <f>Лист1!AS25</f>
        <v>4763.06258</v>
      </c>
      <c r="O31" s="73">
        <f>Лист1!AU25</f>
        <v>3260.21242</v>
      </c>
      <c r="P31" s="73">
        <f>Лист1!AV25</f>
        <v>192.42999999999984</v>
      </c>
      <c r="Q31" s="1"/>
      <c r="R31" s="1"/>
    </row>
    <row r="32" spans="1:18" s="20" customFormat="1" ht="13.5" thickBot="1">
      <c r="A32" s="34" t="s">
        <v>5</v>
      </c>
      <c r="B32" s="35"/>
      <c r="C32" s="36">
        <f aca="true" t="shared" si="3" ref="C32:P32">SUM(C20:C31)</f>
        <v>93970.14</v>
      </c>
      <c r="D32" s="66">
        <f t="shared" si="3"/>
        <v>32004.642499999998</v>
      </c>
      <c r="E32" s="36">
        <f t="shared" si="3"/>
        <v>46319.08</v>
      </c>
      <c r="F32" s="67">
        <f t="shared" si="3"/>
        <v>3876.9300000000007</v>
      </c>
      <c r="G32" s="66">
        <f t="shared" si="3"/>
        <v>39684.8</v>
      </c>
      <c r="H32" s="67">
        <f t="shared" si="3"/>
        <v>75566.3725</v>
      </c>
      <c r="I32" s="66">
        <f t="shared" si="3"/>
        <v>6300.888000000001</v>
      </c>
      <c r="J32" s="36">
        <f t="shared" si="3"/>
        <v>10438.169419722</v>
      </c>
      <c r="K32" s="36">
        <f t="shared" si="3"/>
        <v>35844.83008450959</v>
      </c>
      <c r="L32" s="36">
        <f>SUM(L20:L31)</f>
        <v>11243.453000000001</v>
      </c>
      <c r="M32" s="36">
        <f t="shared" si="3"/>
        <v>1744.512</v>
      </c>
      <c r="N32" s="67">
        <f t="shared" si="3"/>
        <v>65571.85250423159</v>
      </c>
      <c r="O32" s="74">
        <f t="shared" si="3"/>
        <v>9994.51999576841</v>
      </c>
      <c r="P32" s="74">
        <f t="shared" si="3"/>
        <v>-6634.279999999999</v>
      </c>
      <c r="Q32" s="70"/>
      <c r="R32" s="70"/>
    </row>
    <row r="33" spans="1:18" ht="13.5" thickBot="1">
      <c r="A33" s="200" t="s">
        <v>63</v>
      </c>
      <c r="B33" s="201"/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78"/>
      <c r="Q33" s="1"/>
      <c r="R33" s="1"/>
    </row>
    <row r="34" spans="1:18" s="20" customFormat="1" ht="13.5" thickBot="1">
      <c r="A34" s="79" t="s">
        <v>48</v>
      </c>
      <c r="B34" s="38"/>
      <c r="C34" s="39">
        <f>C18+C32</f>
        <v>117462.675</v>
      </c>
      <c r="D34" s="37">
        <f aca="true" t="shared" si="4" ref="D34:P34">D18+D32</f>
        <v>37658.37398295</v>
      </c>
      <c r="E34" s="38">
        <f t="shared" si="4"/>
        <v>57032.62</v>
      </c>
      <c r="F34" s="39">
        <f t="shared" si="4"/>
        <v>4892.1</v>
      </c>
      <c r="G34" s="37">
        <f t="shared" si="4"/>
        <v>45596.07000000001</v>
      </c>
      <c r="H34" s="39">
        <f t="shared" si="4"/>
        <v>88146.54398295</v>
      </c>
      <c r="I34" s="37">
        <f t="shared" si="4"/>
        <v>7930.428000000001</v>
      </c>
      <c r="J34" s="38">
        <f t="shared" si="4"/>
        <v>13154.525690922</v>
      </c>
      <c r="K34" s="38">
        <f t="shared" si="4"/>
        <v>43555.548428464586</v>
      </c>
      <c r="L34" s="38">
        <f t="shared" si="4"/>
        <v>11882.305000000002</v>
      </c>
      <c r="M34" s="38">
        <f t="shared" si="4"/>
        <v>1744.512</v>
      </c>
      <c r="N34" s="77">
        <f t="shared" si="4"/>
        <v>78267.31911938658</v>
      </c>
      <c r="O34" s="76">
        <f>O18+O32</f>
        <v>9879.224863563413</v>
      </c>
      <c r="P34" s="76">
        <f t="shared" si="4"/>
        <v>-11436.55</v>
      </c>
      <c r="Q34" s="71"/>
      <c r="R34" s="70"/>
    </row>
    <row r="35" spans="1:18" ht="12.75">
      <c r="A35" s="7" t="s">
        <v>85</v>
      </c>
      <c r="B35" s="40"/>
      <c r="C35" s="41"/>
      <c r="D35" s="42"/>
      <c r="E35" s="43"/>
      <c r="F35" s="45"/>
      <c r="G35" s="44"/>
      <c r="H35" s="45"/>
      <c r="I35" s="44"/>
      <c r="J35" s="14"/>
      <c r="K35" s="14"/>
      <c r="L35" s="31"/>
      <c r="M35" s="68"/>
      <c r="N35" s="30"/>
      <c r="O35" s="73"/>
      <c r="P35" s="73"/>
      <c r="Q35" s="1"/>
      <c r="R35" s="1"/>
    </row>
    <row r="36" spans="1:18" ht="12.75">
      <c r="A36" s="11" t="s">
        <v>39</v>
      </c>
      <c r="B36" s="81">
        <f>Лист1!B30</f>
        <v>905.3</v>
      </c>
      <c r="C36" s="27">
        <f aca="true" t="shared" si="5" ref="C36:C47">B36*8.65</f>
        <v>7830.845</v>
      </c>
      <c r="D36" s="28">
        <f>Лист1!D30</f>
        <v>3509.7650000000003</v>
      </c>
      <c r="E36" s="14">
        <f>Лист1!O30</f>
        <v>3959.2499999999995</v>
      </c>
      <c r="F36" s="30">
        <f>Лист1!P30</f>
        <v>361.83000000000004</v>
      </c>
      <c r="G36" s="29">
        <f>Лист1!V30</f>
        <v>3484.06</v>
      </c>
      <c r="H36" s="30">
        <f>Лист1!W30</f>
        <v>7355.655000000001</v>
      </c>
      <c r="I36" s="29">
        <f>Лист1!Y30</f>
        <v>543.18</v>
      </c>
      <c r="J36" s="14">
        <f>Лист1!AA30+Лист1!AB30</f>
        <v>905.3</v>
      </c>
      <c r="K36" s="14">
        <f>Лист1!Z30+Лист1!AC30+Лист1!AD30+Лист1!AE30+Лист1!AF30+Лист1!AG30+Лист1!AH30+Лист1!AI30+Лист1!AJ30</f>
        <v>3105.179</v>
      </c>
      <c r="L36" s="31">
        <f>Лист1!AK30+Лист1!AL30+Лист1!AM30+Лист1!AQ30+Лист1!AR30</f>
        <v>0</v>
      </c>
      <c r="M36" s="31">
        <f>Лист1!AP30</f>
        <v>213.35999999999999</v>
      </c>
      <c r="N36" s="30">
        <f>Лист1!AS30</f>
        <v>4767.018999999999</v>
      </c>
      <c r="O36" s="73">
        <f>Лист1!AU30</f>
        <v>2588.6360000000013</v>
      </c>
      <c r="P36" s="73">
        <f>Лист1!AV30</f>
        <v>-475.1899999999996</v>
      </c>
      <c r="Q36" s="1"/>
      <c r="R36" s="1"/>
    </row>
    <row r="37" spans="1:18" ht="12.75">
      <c r="A37" s="11" t="s">
        <v>40</v>
      </c>
      <c r="B37" s="81">
        <f>Лист1!B31</f>
        <v>905.3</v>
      </c>
      <c r="C37" s="27">
        <f t="shared" si="5"/>
        <v>7830.845</v>
      </c>
      <c r="D37" s="28">
        <f>Лист1!D31</f>
        <v>3509.7650000000003</v>
      </c>
      <c r="E37" s="14">
        <f>Лист1!O31</f>
        <v>3959.2499999999995</v>
      </c>
      <c r="F37" s="30">
        <f>Лист1!P31</f>
        <v>361.83000000000004</v>
      </c>
      <c r="G37" s="29">
        <f>Лист1!V31</f>
        <v>3809.27</v>
      </c>
      <c r="H37" s="30">
        <f>Лист1!W31</f>
        <v>7680.865</v>
      </c>
      <c r="I37" s="29">
        <f>Лист1!Y31</f>
        <v>543.18</v>
      </c>
      <c r="J37" s="14">
        <f>Лист1!AA31+Лист1!AB31</f>
        <v>905.3</v>
      </c>
      <c r="K37" s="14">
        <f>Лист1!Z31+Лист1!AC31+Лист1!AD31+Лист1!AE31+Лист1!AF31+Лист1!AG31+Лист1!AH31+Лист1!AI31+Лист1!AJ31</f>
        <v>3105.179</v>
      </c>
      <c r="L37" s="31">
        <f>Лист1!AK31+Лист1!AL31+Лист1!AM31+Лист1!AQ31+Лист1!AR31</f>
        <v>2800</v>
      </c>
      <c r="M37" s="31">
        <f>Лист1!AP31</f>
        <v>170.93999999999997</v>
      </c>
      <c r="N37" s="30">
        <f>Лист1!AS31</f>
        <v>7524.598999999999</v>
      </c>
      <c r="O37" s="73">
        <f>Лист1!AU31</f>
        <v>156.26600000000053</v>
      </c>
      <c r="P37" s="73">
        <f>Лист1!AV31</f>
        <v>-149.97999999999956</v>
      </c>
      <c r="Q37" s="1"/>
      <c r="R37" s="1"/>
    </row>
    <row r="38" spans="1:18" ht="12.75">
      <c r="A38" s="11" t="s">
        <v>41</v>
      </c>
      <c r="B38" s="81">
        <f>Лист1!B32</f>
        <v>905.3</v>
      </c>
      <c r="C38" s="27">
        <f t="shared" si="5"/>
        <v>7830.845</v>
      </c>
      <c r="D38" s="28">
        <f>Лист1!D32</f>
        <v>3509.7650000000003</v>
      </c>
      <c r="E38" s="14">
        <f>Лист1!O32</f>
        <v>4063.42</v>
      </c>
      <c r="F38" s="30">
        <f>Лист1!P32</f>
        <v>257.66</v>
      </c>
      <c r="G38" s="29">
        <f>Лист1!V32</f>
        <v>4448.16</v>
      </c>
      <c r="H38" s="30">
        <f>Лист1!W32</f>
        <v>8215.585</v>
      </c>
      <c r="I38" s="29">
        <f>Лист1!Y32</f>
        <v>543.18</v>
      </c>
      <c r="J38" s="14">
        <f>Лист1!AA32+Лист1!AB32</f>
        <v>905.3</v>
      </c>
      <c r="K38" s="14">
        <f>Лист1!Z32+Лист1!AC32+Лист1!AD32+Лист1!AE32+Лист1!AF32+Лист1!AG32+Лист1!AH32+Лист1!AI32+Лист1!AJ32</f>
        <v>3105.179</v>
      </c>
      <c r="L38" s="31">
        <f>Лист1!AK32+Лист1!AL32+Лист1!AM32+Лист1!AQ32+Лист1!AR32</f>
        <v>0</v>
      </c>
      <c r="M38" s="31">
        <f>Лист1!AP32</f>
        <v>160.85999999999999</v>
      </c>
      <c r="N38" s="30">
        <f>Лист1!AS32</f>
        <v>4714.518999999999</v>
      </c>
      <c r="O38" s="73">
        <f>Лист1!AU32</f>
        <v>3501.066</v>
      </c>
      <c r="P38" s="73">
        <f>Лист1!AV32</f>
        <v>384.7399999999998</v>
      </c>
      <c r="Q38" s="1"/>
      <c r="R38" s="1"/>
    </row>
    <row r="39" spans="1:18" ht="12.75">
      <c r="A39" s="11" t="s">
        <v>42</v>
      </c>
      <c r="B39" s="81">
        <f>Лист1!B33</f>
        <v>905.3</v>
      </c>
      <c r="C39" s="27">
        <f t="shared" si="5"/>
        <v>7830.845</v>
      </c>
      <c r="D39" s="28">
        <f>Лист1!D33</f>
        <v>3509.7649999999994</v>
      </c>
      <c r="E39" s="14">
        <f>Лист1!O33</f>
        <v>4099.65</v>
      </c>
      <c r="F39" s="30">
        <f>Лист1!P33</f>
        <v>221.43</v>
      </c>
      <c r="G39" s="29">
        <f>Лист1!V33</f>
        <v>3711.6400000000003</v>
      </c>
      <c r="H39" s="30">
        <f>Лист1!W33</f>
        <v>7442.834999999999</v>
      </c>
      <c r="I39" s="29">
        <f>Лист1!Y33</f>
        <v>543.18</v>
      </c>
      <c r="J39" s="14">
        <f>Лист1!AA33+Лист1!AB33</f>
        <v>905.3</v>
      </c>
      <c r="K39" s="14">
        <f>Лист1!Z33+Лист1!AC33+Лист1!AD33+Лист1!AE33+Лист1!AF33+Лист1!AG33+Лист1!AH33+Лист1!AI33+Лист1!AJ33</f>
        <v>3105.179</v>
      </c>
      <c r="L39" s="31">
        <f>Лист1!AK33+Лист1!AL33+Лист1!AM33+Лист1!AQ33+Лист1!AR33</f>
        <v>681</v>
      </c>
      <c r="M39" s="31">
        <f>Лист1!AP33</f>
        <v>128.94</v>
      </c>
      <c r="N39" s="30">
        <f>Лист1!AS33</f>
        <v>5363.598999999999</v>
      </c>
      <c r="O39" s="73">
        <f>Лист1!AU33</f>
        <v>2079.236</v>
      </c>
      <c r="P39" s="73">
        <f>Лист1!AV33</f>
        <v>-388.0099999999993</v>
      </c>
      <c r="Q39" s="1"/>
      <c r="R39" s="1"/>
    </row>
    <row r="40" spans="1:18" ht="12.75">
      <c r="A40" s="11" t="s">
        <v>43</v>
      </c>
      <c r="B40" s="81">
        <f>Лист1!B34</f>
        <v>905.3</v>
      </c>
      <c r="C40" s="27">
        <f t="shared" si="5"/>
        <v>7830.845</v>
      </c>
      <c r="D40" s="28">
        <f>Лист1!D34</f>
        <v>3509.754999999999</v>
      </c>
      <c r="E40" s="14">
        <f>Лист1!O34</f>
        <v>4099.66</v>
      </c>
      <c r="F40" s="30">
        <f>Лист1!P34</f>
        <v>221.42999999999998</v>
      </c>
      <c r="G40" s="29">
        <f>Лист1!V34</f>
        <v>3253.49</v>
      </c>
      <c r="H40" s="30">
        <f>Лист1!W34</f>
        <v>6984.674999999999</v>
      </c>
      <c r="I40" s="29">
        <f>Лист1!Y34</f>
        <v>543.18</v>
      </c>
      <c r="J40" s="14">
        <f>Лист1!AA34+Лист1!AB34</f>
        <v>905.3</v>
      </c>
      <c r="K40" s="14">
        <f>Лист1!Z34+Лист1!AC34+Лист1!AD34+Лист1!AE34+Лист1!AF34+Лист1!AG34+Лист1!AH34+Лист1!AI34+Лист1!AJ34</f>
        <v>3105.179</v>
      </c>
      <c r="L40" s="31">
        <f>Лист1!AK34+Лист1!AL34+Лист1!AM34+Лист1!AQ34+Лист1!AR34</f>
        <v>0</v>
      </c>
      <c r="M40" s="31">
        <f>Лист1!AP34</f>
        <v>110.45999999999998</v>
      </c>
      <c r="N40" s="30">
        <f>Лист1!AS34</f>
        <v>4664.119</v>
      </c>
      <c r="O40" s="73">
        <f>Лист1!AU34</f>
        <v>2320.5559999999996</v>
      </c>
      <c r="P40" s="73">
        <f>Лист1!AV34</f>
        <v>-846.1700000000001</v>
      </c>
      <c r="Q40" s="1"/>
      <c r="R40" s="1"/>
    </row>
    <row r="41" spans="1:18" ht="12.75">
      <c r="A41" s="11" t="s">
        <v>44</v>
      </c>
      <c r="B41" s="81">
        <f>Лист1!B35</f>
        <v>905.3</v>
      </c>
      <c r="C41" s="27">
        <f t="shared" si="5"/>
        <v>7830.845</v>
      </c>
      <c r="D41" s="28">
        <f>Лист1!D35</f>
        <v>2812.2092062499996</v>
      </c>
      <c r="E41" s="14">
        <f>Лист1!O35</f>
        <v>4099.65</v>
      </c>
      <c r="F41" s="30">
        <f>Лист1!P35</f>
        <v>221.43</v>
      </c>
      <c r="G41" s="29">
        <f>Лист1!V35</f>
        <v>2954.34</v>
      </c>
      <c r="H41" s="30">
        <f>Лист1!W35</f>
        <v>5987.97920625</v>
      </c>
      <c r="I41" s="29">
        <f>Лист1!Y35</f>
        <v>543.18</v>
      </c>
      <c r="J41" s="14">
        <f>Лист1!AA35+Лист1!AB35</f>
        <v>905.3</v>
      </c>
      <c r="K41" s="14">
        <f>Лист1!Z35+Лист1!AC35+Лист1!AD35+Лист1!AE35+Лист1!AF35+Лист1!AG35+Лист1!AH35+Лист1!AI35+Лист1!AJ35</f>
        <v>3105.179</v>
      </c>
      <c r="L41" s="31">
        <f>Лист1!AK35+Лист1!AL35+Лист1!AM35+Лист1!AQ35+Лист1!AR35</f>
        <v>0</v>
      </c>
      <c r="M41" s="31">
        <f>Лист1!AP35</f>
        <v>97.85999999999999</v>
      </c>
      <c r="N41" s="30">
        <f>Лист1!AS35</f>
        <v>4651.518999999999</v>
      </c>
      <c r="O41" s="73">
        <f>Лист1!AU35</f>
        <v>1336.4602062500007</v>
      </c>
      <c r="P41" s="73">
        <f>Лист1!AV35</f>
        <v>-1145.3099999999995</v>
      </c>
      <c r="Q41" s="1"/>
      <c r="R41" s="1"/>
    </row>
    <row r="42" spans="1:18" ht="12.75">
      <c r="A42" s="11" t="s">
        <v>45</v>
      </c>
      <c r="B42" s="81">
        <f>Лист1!B36</f>
        <v>905.3</v>
      </c>
      <c r="C42" s="27">
        <f t="shared" si="5"/>
        <v>7830.845</v>
      </c>
      <c r="D42" s="28">
        <f>Лист1!D36</f>
        <v>2828.572259975001</v>
      </c>
      <c r="E42" s="14">
        <f>Лист1!O36</f>
        <v>4321.08</v>
      </c>
      <c r="F42" s="30">
        <f>Лист1!P36</f>
        <v>0</v>
      </c>
      <c r="G42" s="29">
        <f>Лист1!V36</f>
        <v>4325.78</v>
      </c>
      <c r="H42" s="30">
        <f>Лист1!W36</f>
        <v>7154.352259975001</v>
      </c>
      <c r="I42" s="29">
        <f>Лист1!Y36</f>
        <v>543.18</v>
      </c>
      <c r="J42" s="14">
        <f>Лист1!AA36+Лист1!AB36</f>
        <v>905.3</v>
      </c>
      <c r="K42" s="14">
        <f>Лист1!Z36+Лист1!AC36+Лист1!AD36+Лист1!AE36+Лист1!AF36+Лист1!AG36+Лист1!AH36+Лист1!AI36+Лист1!AJ36</f>
        <v>3105.179</v>
      </c>
      <c r="L42" s="31">
        <f>Лист1!AK36+Лист1!AL36+Лист1!AM36+Лист1!AQ36+Лист1!AR36</f>
        <v>0</v>
      </c>
      <c r="M42" s="31">
        <f>Лист1!AP36</f>
        <v>104.15999999999998</v>
      </c>
      <c r="N42" s="30">
        <f>Лист1!AS36</f>
        <v>4657.8189999999995</v>
      </c>
      <c r="O42" s="73">
        <f>Лист1!AU36</f>
        <v>2496.533259975002</v>
      </c>
      <c r="P42" s="73">
        <f>Лист1!AV36</f>
        <v>4.699999999999818</v>
      </c>
      <c r="Q42" s="1"/>
      <c r="R42" s="1"/>
    </row>
    <row r="43" spans="1:18" ht="12.75">
      <c r="A43" s="11" t="s">
        <v>46</v>
      </c>
      <c r="B43" s="81">
        <f>Лист1!B37</f>
        <v>905.3</v>
      </c>
      <c r="C43" s="27">
        <f t="shared" si="5"/>
        <v>7830.845</v>
      </c>
      <c r="D43" s="28">
        <f>Лист1!D37</f>
        <v>3010.3851065050007</v>
      </c>
      <c r="E43" s="14">
        <f>Лист1!O37</f>
        <v>4321.08</v>
      </c>
      <c r="F43" s="30">
        <f>Лист1!P37</f>
        <v>0</v>
      </c>
      <c r="G43" s="29">
        <f>Лист1!V37</f>
        <v>3520.94</v>
      </c>
      <c r="H43" s="30">
        <f>Лист1!W37</f>
        <v>6531.325106505001</v>
      </c>
      <c r="I43" s="29">
        <f>Лист1!Y37</f>
        <v>543.18</v>
      </c>
      <c r="J43" s="14">
        <f>Лист1!AA37+Лист1!AB37</f>
        <v>905.3</v>
      </c>
      <c r="K43" s="14">
        <f>Лист1!Z37+Лист1!AC37+Лист1!AD37+Лист1!AE37+Лист1!AF37+Лист1!AG37+Лист1!AH37+Лист1!AI37+Лист1!AJ37</f>
        <v>3105.179</v>
      </c>
      <c r="L43" s="31">
        <f>Лист1!AK37+Лист1!AL37+Лист1!AM37+Лист1!AQ37+Лист1!AR37</f>
        <v>56.403999999999996</v>
      </c>
      <c r="M43" s="31">
        <f>Лист1!AP37</f>
        <v>123.05999999999997</v>
      </c>
      <c r="N43" s="30">
        <f>Лист1!AS37</f>
        <v>4733.1230000000005</v>
      </c>
      <c r="O43" s="73">
        <f>Лист1!AU37</f>
        <v>1798.2021065050003</v>
      </c>
      <c r="P43" s="73">
        <f>Лист1!AV37</f>
        <v>-800.1399999999999</v>
      </c>
      <c r="Q43" s="1"/>
      <c r="R43" s="1"/>
    </row>
    <row r="44" spans="1:18" ht="12.75">
      <c r="A44" s="11" t="s">
        <v>47</v>
      </c>
      <c r="B44" s="81">
        <f>Лист1!B38</f>
        <v>905.3</v>
      </c>
      <c r="C44" s="27">
        <f t="shared" si="5"/>
        <v>7830.845</v>
      </c>
      <c r="D44" s="28">
        <f>Лист1!D38</f>
        <v>3072.9045504500014</v>
      </c>
      <c r="E44" s="14">
        <f>Лист1!O38</f>
        <v>4321.08</v>
      </c>
      <c r="F44" s="30">
        <f>Лист1!P38</f>
        <v>0</v>
      </c>
      <c r="G44" s="29">
        <f>Лист1!V38</f>
        <v>3585.72</v>
      </c>
      <c r="H44" s="30">
        <f>Лист1!W38</f>
        <v>6658.624550450001</v>
      </c>
      <c r="I44" s="29">
        <f>Лист1!Y38</f>
        <v>543.18</v>
      </c>
      <c r="J44" s="14">
        <f>Лист1!AA38+Лист1!AB38</f>
        <v>905.3</v>
      </c>
      <c r="K44" s="14">
        <f>Лист1!Z38+Лист1!AC38+Лист1!AD38+Лист1!AE38+Лист1!AF38+Лист1!AG38+Лист1!AH38+Лист1!AI38+Лист1!AJ38</f>
        <v>3105.179</v>
      </c>
      <c r="L44" s="31">
        <f>Лист1!AK38+Лист1!AL38+Лист1!AM38+Лист1!AQ38+Лист1!AR38</f>
        <v>0</v>
      </c>
      <c r="M44" s="31">
        <f>Лист1!AP38</f>
        <v>146.57999999999998</v>
      </c>
      <c r="N44" s="30">
        <f>Лист1!AS38</f>
        <v>4700.239</v>
      </c>
      <c r="O44" s="73">
        <f>Лист1!AU38</f>
        <v>1958.3855504500016</v>
      </c>
      <c r="P44" s="73">
        <f>Лист1!AV38</f>
        <v>-735.3600000000001</v>
      </c>
      <c r="Q44" s="1"/>
      <c r="R44" s="1"/>
    </row>
    <row r="45" spans="1:18" ht="12.75">
      <c r="A45" s="11" t="s">
        <v>35</v>
      </c>
      <c r="B45" s="81">
        <f>Лист1!B39</f>
        <v>905.3</v>
      </c>
      <c r="C45" s="27">
        <f>B45*8.65</f>
        <v>7830.845</v>
      </c>
      <c r="D45" s="28">
        <f>Лист1!D39</f>
        <v>2847.5004226200012</v>
      </c>
      <c r="E45" s="14">
        <f>Лист1!O39</f>
        <v>4321.08</v>
      </c>
      <c r="F45" s="30">
        <f>Лист1!P39</f>
        <v>0</v>
      </c>
      <c r="G45" s="29">
        <f>Лист1!V39</f>
        <v>4534.15</v>
      </c>
      <c r="H45" s="30">
        <f>Лист1!W39</f>
        <v>7381.650422620001</v>
      </c>
      <c r="I45" s="29">
        <f>Лист1!Y39</f>
        <v>543.18</v>
      </c>
      <c r="J45" s="14">
        <f>Лист1!AA39+Лист1!AB39</f>
        <v>905.3</v>
      </c>
      <c r="K45" s="14">
        <f>Лист1!Z39+Лист1!AC39+Лист1!AD39+Лист1!AE39+Лист1!AF39+Лист1!AG39+Лист1!AH39+Лист1!AI39+Лист1!AJ39</f>
        <v>3105.179</v>
      </c>
      <c r="L45" s="31">
        <f>Лист1!AK39+Лист1!AL39+Лист1!AM39+Лист1!AQ39+Лист1!AR39</f>
        <v>0</v>
      </c>
      <c r="M45" s="31">
        <f>Лист1!AP39</f>
        <v>178.5</v>
      </c>
      <c r="N45" s="30">
        <f>Лист1!AS39</f>
        <v>4732.159</v>
      </c>
      <c r="O45" s="73">
        <f>Лист1!AU39</f>
        <v>2649.4914226200017</v>
      </c>
      <c r="P45" s="73">
        <f>Лист1!AV39</f>
        <v>213.0699999999997</v>
      </c>
      <c r="Q45" s="1"/>
      <c r="R45" s="1"/>
    </row>
    <row r="46" spans="1:18" ht="12.75">
      <c r="A46" s="11" t="s">
        <v>36</v>
      </c>
      <c r="B46" s="81">
        <f>Лист1!B40</f>
        <v>905.3</v>
      </c>
      <c r="C46" s="27">
        <f t="shared" si="5"/>
        <v>7830.845</v>
      </c>
      <c r="D46" s="28">
        <f>Лист1!D40</f>
        <v>3055.878680435001</v>
      </c>
      <c r="E46" s="14">
        <f>Лист1!O40</f>
        <v>4321.08</v>
      </c>
      <c r="F46" s="30">
        <f>Лист1!P40</f>
        <v>0</v>
      </c>
      <c r="G46" s="29">
        <f>Лист1!V40</f>
        <v>3945.0000000000005</v>
      </c>
      <c r="H46" s="30">
        <f>Лист1!W40</f>
        <v>7000.878680435002</v>
      </c>
      <c r="I46" s="29">
        <f>Лист1!Y40</f>
        <v>543.18</v>
      </c>
      <c r="J46" s="14">
        <f>Лист1!AA40+Лист1!AB40</f>
        <v>905.3</v>
      </c>
      <c r="K46" s="14">
        <f>Лист1!Z40+Лист1!AC40+Лист1!AD40+Лист1!AE40+Лист1!AF40+Лист1!AG40+Лист1!AH40+Лист1!AI40+Лист1!AJ40</f>
        <v>3105.179</v>
      </c>
      <c r="L46" s="31">
        <f>Лист1!AK40+Лист1!AL40+Лист1!AM40+Лист1!AQ40+Лист1!AR40</f>
        <v>0</v>
      </c>
      <c r="M46" s="31">
        <f>Лист1!AP40</f>
        <v>197.39999999999998</v>
      </c>
      <c r="N46" s="30">
        <f>Лист1!AS40</f>
        <v>4751.058999999999</v>
      </c>
      <c r="O46" s="73">
        <f>Лист1!AU40</f>
        <v>2249.8196804350027</v>
      </c>
      <c r="P46" s="73">
        <f>Лист1!AV40</f>
        <v>-376.0799999999995</v>
      </c>
      <c r="Q46" s="1"/>
      <c r="R46" s="1"/>
    </row>
    <row r="47" spans="1:18" ht="13.5" thickBot="1">
      <c r="A47" s="32" t="s">
        <v>37</v>
      </c>
      <c r="B47" s="81">
        <f>Лист1!B41</f>
        <v>905.3</v>
      </c>
      <c r="C47" s="33">
        <f t="shared" si="5"/>
        <v>7830.845</v>
      </c>
      <c r="D47" s="28">
        <f>Лист1!D41</f>
        <v>3211.294584400001</v>
      </c>
      <c r="E47" s="14">
        <f>Лист1!O41</f>
        <v>4321.08</v>
      </c>
      <c r="F47" s="30">
        <f>Лист1!P41</f>
        <v>0</v>
      </c>
      <c r="G47" s="29">
        <f>Лист1!V41</f>
        <v>4575.99</v>
      </c>
      <c r="H47" s="30">
        <f>Лист1!W41</f>
        <v>7787.2845844</v>
      </c>
      <c r="I47" s="29">
        <f>Лист1!Y41</f>
        <v>543.18</v>
      </c>
      <c r="J47" s="14">
        <f>Лист1!AA41+Лист1!AB41</f>
        <v>905.3</v>
      </c>
      <c r="K47" s="14">
        <f>Лист1!Z41+Лист1!AC41+Лист1!AD41+Лист1!AE41+Лист1!AF41+Лист1!AG41+Лист1!AH41+Лист1!AI41+Лист1!AJ41</f>
        <v>3105.179</v>
      </c>
      <c r="L47" s="31">
        <f>Лист1!AK41+Лист1!AL41+Лист1!AM41+Лист1!AQ41+Лист1!AR41</f>
        <v>0</v>
      </c>
      <c r="M47" s="31">
        <f>Лист1!AP41</f>
        <v>215.87999999999997</v>
      </c>
      <c r="N47" s="30">
        <f>Лист1!AS41</f>
        <v>4769.539</v>
      </c>
      <c r="O47" s="73">
        <f>Лист1!AU41</f>
        <v>3017.7455844000006</v>
      </c>
      <c r="P47" s="73">
        <f>Лист1!AV41</f>
        <v>254.90999999999985</v>
      </c>
      <c r="Q47" s="1"/>
      <c r="R47" s="1"/>
    </row>
    <row r="48" spans="1:18" s="20" customFormat="1" ht="13.5" thickBot="1">
      <c r="A48" s="34" t="s">
        <v>5</v>
      </c>
      <c r="B48" s="35"/>
      <c r="C48" s="36">
        <f aca="true" t="shared" si="6" ref="C48:P48">SUM(C36:C47)</f>
        <v>93970.14</v>
      </c>
      <c r="D48" s="66">
        <f t="shared" si="6"/>
        <v>38387.55981063501</v>
      </c>
      <c r="E48" s="36">
        <f t="shared" si="6"/>
        <v>50207.36000000001</v>
      </c>
      <c r="F48" s="67">
        <f t="shared" si="6"/>
        <v>1645.6100000000004</v>
      </c>
      <c r="G48" s="66">
        <f t="shared" si="6"/>
        <v>46148.54</v>
      </c>
      <c r="H48" s="67">
        <f t="shared" si="6"/>
        <v>86181.709810635</v>
      </c>
      <c r="I48" s="66">
        <f t="shared" si="6"/>
        <v>6518.160000000001</v>
      </c>
      <c r="J48" s="36">
        <f t="shared" si="6"/>
        <v>10863.599999999999</v>
      </c>
      <c r="K48" s="36">
        <f t="shared" si="6"/>
        <v>37262.148</v>
      </c>
      <c r="L48" s="36">
        <f t="shared" si="6"/>
        <v>3537.404</v>
      </c>
      <c r="M48" s="36">
        <f t="shared" si="6"/>
        <v>1847.9999999999998</v>
      </c>
      <c r="N48" s="67">
        <f t="shared" si="6"/>
        <v>60029.312</v>
      </c>
      <c r="O48" s="74">
        <f t="shared" si="6"/>
        <v>26152.39781063501</v>
      </c>
      <c r="P48" s="74">
        <f t="shared" si="6"/>
        <v>-4058.819999999998</v>
      </c>
      <c r="Q48" s="70"/>
      <c r="R48" s="70"/>
    </row>
    <row r="49" spans="1:18" ht="13.5" thickBot="1">
      <c r="A49" s="200" t="s">
        <v>63</v>
      </c>
      <c r="B49" s="201"/>
      <c r="C49" s="201"/>
      <c r="D49" s="201"/>
      <c r="E49" s="201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78"/>
      <c r="Q49" s="1"/>
      <c r="R49" s="1"/>
    </row>
    <row r="50" spans="1:18" s="20" customFormat="1" ht="13.5" thickBot="1">
      <c r="A50" s="79" t="s">
        <v>48</v>
      </c>
      <c r="B50" s="38"/>
      <c r="C50" s="39">
        <f>C34+C48</f>
        <v>211432.815</v>
      </c>
      <c r="D50" s="37">
        <f aca="true" t="shared" si="7" ref="D50:N50">D34+D48</f>
        <v>76045.933793585</v>
      </c>
      <c r="E50" s="38">
        <f t="shared" si="7"/>
        <v>107239.98000000001</v>
      </c>
      <c r="F50" s="39">
        <f t="shared" si="7"/>
        <v>6537.710000000001</v>
      </c>
      <c r="G50" s="37">
        <f t="shared" si="7"/>
        <v>91744.61000000002</v>
      </c>
      <c r="H50" s="39">
        <f t="shared" si="7"/>
        <v>174328.253793585</v>
      </c>
      <c r="I50" s="37">
        <f t="shared" si="7"/>
        <v>14448.588000000002</v>
      </c>
      <c r="J50" s="38">
        <f t="shared" si="7"/>
        <v>24018.125690922</v>
      </c>
      <c r="K50" s="38">
        <f t="shared" si="7"/>
        <v>80817.69642846458</v>
      </c>
      <c r="L50" s="38">
        <f t="shared" si="7"/>
        <v>15419.709000000003</v>
      </c>
      <c r="M50" s="38">
        <f t="shared" si="7"/>
        <v>3592.5119999999997</v>
      </c>
      <c r="N50" s="77">
        <f t="shared" si="7"/>
        <v>138296.63111938658</v>
      </c>
      <c r="O50" s="76">
        <f>O34+O48</f>
        <v>36031.62267419843</v>
      </c>
      <c r="P50" s="76">
        <f>P34+P48</f>
        <v>-15495.369999999997</v>
      </c>
      <c r="Q50" s="71"/>
      <c r="R50" s="70"/>
    </row>
    <row r="52" spans="1:18" ht="12.75">
      <c r="A52" s="20" t="s">
        <v>81</v>
      </c>
      <c r="D52" s="82" t="s">
        <v>86</v>
      </c>
      <c r="Q52" s="1"/>
      <c r="R52" s="1"/>
    </row>
    <row r="53" spans="1:18" ht="12.75">
      <c r="A53" s="21" t="s">
        <v>64</v>
      </c>
      <c r="B53" s="21" t="s">
        <v>65</v>
      </c>
      <c r="C53" s="206" t="s">
        <v>66</v>
      </c>
      <c r="D53" s="206"/>
      <c r="Q53" s="1"/>
      <c r="R53" s="1"/>
    </row>
    <row r="54" spans="1:18" ht="12.75">
      <c r="A54" s="108">
        <v>1.25</v>
      </c>
      <c r="B54" s="108">
        <v>22821</v>
      </c>
      <c r="C54" s="202">
        <f>A54-B54</f>
        <v>-22819.75</v>
      </c>
      <c r="D54" s="203"/>
      <c r="Q54" s="1"/>
      <c r="R54" s="1"/>
    </row>
    <row r="55" spans="17:18" ht="12.75">
      <c r="Q55" s="1"/>
      <c r="R55" s="1"/>
    </row>
    <row r="56" spans="1:18" ht="12.75">
      <c r="A56" s="2" t="s">
        <v>69</v>
      </c>
      <c r="G56" s="2" t="s">
        <v>70</v>
      </c>
      <c r="Q56" s="1"/>
      <c r="R56" s="1"/>
    </row>
    <row r="57" ht="12.75">
      <c r="A57" s="1"/>
    </row>
    <row r="58" ht="12.75">
      <c r="A58" s="1"/>
    </row>
    <row r="59" ht="12.75">
      <c r="A59" s="2" t="s">
        <v>80</v>
      </c>
    </row>
    <row r="60" ht="12.75">
      <c r="A60" s="2" t="s">
        <v>71</v>
      </c>
    </row>
  </sheetData>
  <sheetProtection/>
  <mergeCells count="27">
    <mergeCell ref="G9:H10"/>
    <mergeCell ref="B1:H1"/>
    <mergeCell ref="B2:H2"/>
    <mergeCell ref="A8:D8"/>
    <mergeCell ref="E8:F8"/>
    <mergeCell ref="A5:O5"/>
    <mergeCell ref="A6:G6"/>
    <mergeCell ref="I9:N10"/>
    <mergeCell ref="P9:P12"/>
    <mergeCell ref="E11:F11"/>
    <mergeCell ref="H11:H12"/>
    <mergeCell ref="I11:I12"/>
    <mergeCell ref="J11:J12"/>
    <mergeCell ref="K11:K12"/>
    <mergeCell ref="L11:L12"/>
    <mergeCell ref="M11:M12"/>
    <mergeCell ref="E9:F10"/>
    <mergeCell ref="A49:O49"/>
    <mergeCell ref="C54:D54"/>
    <mergeCell ref="N11:N12"/>
    <mergeCell ref="A33:O33"/>
    <mergeCell ref="C53:D53"/>
    <mergeCell ref="O9:O12"/>
    <mergeCell ref="A9:A12"/>
    <mergeCell ref="B9:B12"/>
    <mergeCell ref="C9:C12"/>
    <mergeCell ref="D9:D12"/>
  </mergeCells>
  <printOptions/>
  <pageMargins left="0.25" right="0.17" top="0.63" bottom="0.47" header="0.3" footer="0.3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User</cp:lastModifiedBy>
  <cp:lastPrinted>2010-08-17T07:53:17Z</cp:lastPrinted>
  <dcterms:created xsi:type="dcterms:W3CDTF">2010-04-02T05:03:24Z</dcterms:created>
  <dcterms:modified xsi:type="dcterms:W3CDTF">2011-04-13T08:51:40Z</dcterms:modified>
  <cp:category/>
  <cp:version/>
  <cp:contentType/>
  <cp:contentStatus/>
</cp:coreProperties>
</file>