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9210" tabRatio="601" activeTab="1"/>
  </bookViews>
  <sheets>
    <sheet name="Лист1" sheetId="1" r:id="rId1"/>
    <sheet name="Лист2" sheetId="2" r:id="rId2"/>
    <sheet name="Лист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<sst xmlns="http://schemas.openxmlformats.org/spreadsheetml/2006/main" count="171" uniqueCount="90">
  <si>
    <t>№ п/п</t>
  </si>
  <si>
    <t>Площадь</t>
  </si>
  <si>
    <t>Тариф 100 %</t>
  </si>
  <si>
    <t>Дотация</t>
  </si>
  <si>
    <t>НАЧИСЛЕНИЕ КВАРТПЛАТЫ</t>
  </si>
  <si>
    <t>ИТОГО</t>
  </si>
  <si>
    <t>СОБРАНО НАСЕЛЕНИЕМ</t>
  </si>
  <si>
    <t>Собрано всего (+льгота и дотация)</t>
  </si>
  <si>
    <t>Собрано по отоплению</t>
  </si>
  <si>
    <t>Собрано по лифтам</t>
  </si>
  <si>
    <t xml:space="preserve">Расходы </t>
  </si>
  <si>
    <t>Остаток на Л/СЧ МКД (доходы- расходы)</t>
  </si>
  <si>
    <t>Долг(-)/ переплата(+)  жителей (разница между начислено и собрано)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</si>
  <si>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</si>
  <si>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</si>
  <si>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</si>
  <si>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 жилых зданий</t>
  </si>
  <si>
    <t>Плата за управление</t>
  </si>
  <si>
    <t>Отопление</t>
  </si>
  <si>
    <t>Лифты</t>
  </si>
  <si>
    <t>население</t>
  </si>
  <si>
    <t>льгота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</si>
  <si>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</si>
  <si>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</si>
  <si>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</si>
  <si>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</t>
  </si>
  <si>
    <t>плата за управление</t>
  </si>
  <si>
    <t>отопление</t>
  </si>
  <si>
    <t>лифты</t>
  </si>
  <si>
    <t>По всем услугам</t>
  </si>
  <si>
    <t>Услуга по управлению</t>
  </si>
  <si>
    <t>Услуги начисления</t>
  </si>
  <si>
    <t>Аварийное обслуживание</t>
  </si>
  <si>
    <t>НДС</t>
  </si>
  <si>
    <t>Сан. Содержание</t>
  </si>
  <si>
    <t>Тех. обслуживание</t>
  </si>
  <si>
    <t>Дератизация</t>
  </si>
  <si>
    <t>Тек. Ремонт</t>
  </si>
  <si>
    <t>Эл.энергии МОП</t>
  </si>
  <si>
    <t>По решению суда</t>
  </si>
  <si>
    <t>Расходов всего</t>
  </si>
  <si>
    <t>2008 год</t>
  </si>
  <si>
    <t>октябрь</t>
  </si>
  <si>
    <t>ноябрь</t>
  </si>
  <si>
    <t>декабрь</t>
  </si>
  <si>
    <t>2009 год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</si>
  <si>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</si>
  <si>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</si>
  <si>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</si>
  <si>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</si>
  <si>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</si>
  <si>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</si>
  <si>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</si>
  <si>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</si>
  <si>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</si>
  <si>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ВСЕГО:</t>
  </si>
  <si>
    <t>Общество с ограниченной ответственностью</t>
  </si>
  <si>
    <t>«Таштагольская управляющая компания»</t>
  </si>
  <si>
    <t>тариф на содержание и тек. ремонт</t>
  </si>
  <si>
    <t>месяц</t>
  </si>
  <si>
    <t>Тариф по содержанию и тек.ремонту 100 % (8,65руб.*площадь)</t>
  </si>
  <si>
    <t>Начислено квартплаты</t>
  </si>
  <si>
    <t>Остаток на Л/СЧ дома (доходы- расходы)</t>
  </si>
  <si>
    <t>по содержанию и тек. ремонту</t>
  </si>
  <si>
    <t>от населения</t>
  </si>
  <si>
    <t>Услуга управления</t>
  </si>
  <si>
    <t>Содержание</t>
  </si>
  <si>
    <t>Эл.энергия общ. Пользования</t>
  </si>
  <si>
    <t>населению</t>
  </si>
  <si>
    <t>на конец отчетного периода</t>
  </si>
  <si>
    <t>Капитальный ремонт</t>
  </si>
  <si>
    <t>Собрано</t>
  </si>
  <si>
    <t>Списано</t>
  </si>
  <si>
    <t>Остаток на счете</t>
  </si>
  <si>
    <t>Директор ООО "Таштагольская управляющая компания"</t>
  </si>
  <si>
    <t>_______________________________/ С.С. Малыгин</t>
  </si>
  <si>
    <t>тел. 3-48-80</t>
  </si>
  <si>
    <t xml:space="preserve">Собрано квартплаты </t>
  </si>
  <si>
    <t>содержанию и тек.рем.</t>
  </si>
  <si>
    <t>Лицевой счет по адресу г. Таштагол, ул. Советская, д. 38</t>
  </si>
  <si>
    <t>2010 год</t>
  </si>
  <si>
    <t>Доходы по нежил.помещениям</t>
  </si>
  <si>
    <t>Расходы по нежил. помещениям</t>
  </si>
  <si>
    <t>Выписка по лицевому счету по адресу г. Таштагол, ул. Советская, д. 38</t>
  </si>
  <si>
    <t>Собрано всего по жил.услугам</t>
  </si>
  <si>
    <t>*по состоянию на 01.01.2011 г.</t>
  </si>
  <si>
    <t>2010год</t>
  </si>
  <si>
    <t>на 01.01.2011г.</t>
  </si>
  <si>
    <t>на начало отчетного периода</t>
  </si>
  <si>
    <t>Исп. Ю.С. Дмитриева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</si>
</sst>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</numFmts>
  <fonts count="45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u val="single"/>
      <sz val="10"/>
      <name val="Arial Cyr"/>
      <family val="0"/>
    </font>
    <font>
      <sz val="8"/>
      <name val="Arial Cyr"/>
      <family val="0"/>
    </font>
    <font>
      <b/>
      <sz val="10"/>
      <name val="Arial"/>
      <family val="2"/>
    </font>
    <font>
      <sz val="10"/>
      <color indexed="10"/>
      <name val="Arial Cyr"/>
      <family val="0"/>
    </font>
    <font>
      <sz val="10"/>
      <color indexed="12"/>
      <name val="Arial Cyr"/>
      <family val="0"/>
    </font>
    <font>
      <b/>
      <sz val="10"/>
      <color indexed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" fillId="0" borderId="0">
      <alignment horizontal="left" vertical="center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59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4" fontId="0" fillId="0" borderId="11" xfId="0" applyNumberFormat="1" applyFont="1" applyFill="1" applyBorder="1" applyAlignment="1">
      <alignment wrapText="1"/>
    </xf>
    <xf numFmtId="4" fontId="2" fillId="0" borderId="11" xfId="33" applyNumberFormat="1" applyFont="1" applyFill="1" applyBorder="1" applyAlignment="1">
      <alignment vertical="center" wrapText="1"/>
      <protection/>
    </xf>
    <xf numFmtId="4" fontId="2" fillId="35" borderId="11" xfId="33" applyNumberFormat="1" applyFont="1" applyFill="1" applyBorder="1" applyAlignment="1">
      <alignment vertical="center" wrapText="1"/>
      <protection/>
    </xf>
    <xf numFmtId="4" fontId="0" fillId="33" borderId="11" xfId="0" applyNumberFormat="1" applyFont="1" applyFill="1" applyBorder="1" applyAlignment="1">
      <alignment/>
    </xf>
    <xf numFmtId="4" fontId="0" fillId="34" borderId="11" xfId="0" applyNumberFormat="1" applyFont="1" applyFill="1" applyBorder="1" applyAlignment="1">
      <alignment/>
    </xf>
    <xf numFmtId="4" fontId="1" fillId="0" borderId="11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 vertical="center" wrapText="1"/>
    </xf>
    <xf numFmtId="4" fontId="0" fillId="0" borderId="15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right" vertical="center" wrapText="1"/>
    </xf>
    <xf numFmtId="4" fontId="1" fillId="0" borderId="11" xfId="0" applyNumberFormat="1" applyFont="1" applyFill="1" applyBorder="1" applyAlignment="1">
      <alignment wrapText="1"/>
    </xf>
    <xf numFmtId="4" fontId="1" fillId="33" borderId="11" xfId="0" applyNumberFormat="1" applyFont="1" applyFill="1" applyBorder="1" applyAlignment="1">
      <alignment wrapText="1"/>
    </xf>
    <xf numFmtId="4" fontId="1" fillId="34" borderId="11" xfId="0" applyNumberFormat="1" applyFont="1" applyFill="1" applyBorder="1" applyAlignment="1">
      <alignment wrapText="1"/>
    </xf>
    <xf numFmtId="4" fontId="1" fillId="0" borderId="11" xfId="0" applyNumberFormat="1" applyFont="1" applyFill="1" applyBorder="1" applyAlignment="1">
      <alignment horizontal="right" wrapText="1"/>
    </xf>
    <xf numFmtId="4" fontId="1" fillId="0" borderId="15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/>
    </xf>
    <xf numFmtId="0" fontId="0" fillId="34" borderId="11" xfId="0" applyFont="1" applyFill="1" applyBorder="1" applyAlignment="1">
      <alignment vertical="center" wrapText="1"/>
    </xf>
    <xf numFmtId="4" fontId="0" fillId="33" borderId="11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 wrapText="1"/>
    </xf>
    <xf numFmtId="4" fontId="2" fillId="0" borderId="11" xfId="33" applyNumberFormat="1" applyFont="1" applyFill="1" applyBorder="1" applyAlignment="1">
      <alignment horizontal="right" vertical="center" wrapText="1"/>
      <protection/>
    </xf>
    <xf numFmtId="4" fontId="0" fillId="34" borderId="11" xfId="0" applyNumberFormat="1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1" fillId="0" borderId="16" xfId="0" applyFont="1" applyFill="1" applyBorder="1" applyAlignment="1">
      <alignment horizontal="right"/>
    </xf>
    <xf numFmtId="4" fontId="1" fillId="0" borderId="17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0" fillId="0" borderId="18" xfId="0" applyFont="1" applyFill="1" applyBorder="1" applyAlignment="1">
      <alignment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center" textRotation="90" wrapText="1"/>
    </xf>
    <xf numFmtId="0" fontId="1" fillId="0" borderId="22" xfId="0" applyFont="1" applyFill="1" applyBorder="1" applyAlignment="1">
      <alignment horizontal="center" textRotation="90"/>
    </xf>
    <xf numFmtId="2" fontId="1" fillId="0" borderId="23" xfId="0" applyNumberFormat="1" applyFont="1" applyFill="1" applyBorder="1" applyAlignment="1">
      <alignment horizontal="center" vertical="center" textRotation="90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/>
    </xf>
    <xf numFmtId="4" fontId="2" fillId="0" borderId="30" xfId="33" applyNumberFormat="1" applyFont="1" applyFill="1" applyBorder="1" applyAlignment="1">
      <alignment horizontal="right" vertical="center" wrapText="1"/>
      <protection/>
    </xf>
    <xf numFmtId="4" fontId="2" fillId="0" borderId="10" xfId="33" applyNumberFormat="1" applyFont="1" applyFill="1" applyBorder="1" applyAlignment="1">
      <alignment horizontal="right" vertical="center" wrapText="1"/>
      <protection/>
    </xf>
    <xf numFmtId="4" fontId="0" fillId="0" borderId="20" xfId="0" applyNumberFormat="1" applyFont="1" applyFill="1" applyBorder="1" applyAlignment="1">
      <alignment horizontal="right"/>
    </xf>
    <xf numFmtId="4" fontId="0" fillId="0" borderId="10" xfId="0" applyNumberFormat="1" applyFont="1" applyFill="1" applyBorder="1" applyAlignment="1">
      <alignment horizontal="right"/>
    </xf>
    <xf numFmtId="4" fontId="0" fillId="0" borderId="31" xfId="0" applyNumberFormat="1" applyFont="1" applyFill="1" applyBorder="1" applyAlignment="1">
      <alignment horizontal="right"/>
    </xf>
    <xf numFmtId="0" fontId="0" fillId="0" borderId="32" xfId="0" applyFont="1" applyFill="1" applyBorder="1" applyAlignment="1">
      <alignment/>
    </xf>
    <xf numFmtId="4" fontId="2" fillId="0" borderId="33" xfId="33" applyNumberFormat="1" applyFont="1" applyFill="1" applyBorder="1" applyAlignment="1">
      <alignment horizontal="right" vertical="center" wrapText="1"/>
      <protection/>
    </xf>
    <xf numFmtId="0" fontId="1" fillId="0" borderId="24" xfId="0" applyFont="1" applyFill="1" applyBorder="1" applyAlignment="1">
      <alignment horizontal="right" vertical="center" wrapText="1"/>
    </xf>
    <xf numFmtId="4" fontId="1" fillId="0" borderId="25" xfId="0" applyNumberFormat="1" applyFont="1" applyFill="1" applyBorder="1" applyAlignment="1">
      <alignment horizontal="right" wrapText="1"/>
    </xf>
    <xf numFmtId="4" fontId="1" fillId="0" borderId="26" xfId="0" applyNumberFormat="1" applyFont="1" applyFill="1" applyBorder="1" applyAlignment="1">
      <alignment horizontal="right" wrapText="1"/>
    </xf>
    <xf numFmtId="4" fontId="1" fillId="0" borderId="34" xfId="0" applyNumberFormat="1" applyFont="1" applyFill="1" applyBorder="1" applyAlignment="1">
      <alignment horizontal="right" wrapText="1"/>
    </xf>
    <xf numFmtId="4" fontId="1" fillId="0" borderId="27" xfId="0" applyNumberFormat="1" applyFont="1" applyFill="1" applyBorder="1" applyAlignment="1">
      <alignment horizontal="right" wrapText="1"/>
    </xf>
    <xf numFmtId="4" fontId="1" fillId="0" borderId="35" xfId="0" applyNumberFormat="1" applyFont="1" applyFill="1" applyBorder="1" applyAlignment="1">
      <alignment horizontal="right" wrapText="1"/>
    </xf>
    <xf numFmtId="4" fontId="1" fillId="0" borderId="36" xfId="0" applyNumberFormat="1" applyFont="1" applyFill="1" applyBorder="1" applyAlignment="1">
      <alignment horizontal="right" wrapText="1"/>
    </xf>
    <xf numFmtId="4" fontId="1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/>
    </xf>
    <xf numFmtId="4" fontId="2" fillId="0" borderId="19" xfId="33" applyNumberFormat="1" applyFont="1" applyFill="1" applyBorder="1" applyAlignment="1">
      <alignment horizontal="right" vertical="center" wrapText="1"/>
      <protection/>
    </xf>
    <xf numFmtId="4" fontId="2" fillId="0" borderId="12" xfId="33" applyNumberFormat="1" applyFont="1" applyFill="1" applyBorder="1" applyAlignment="1">
      <alignment horizontal="right" vertical="center" wrapText="1"/>
      <protection/>
    </xf>
    <xf numFmtId="4" fontId="0" fillId="0" borderId="13" xfId="0" applyNumberFormat="1" applyFont="1" applyFill="1" applyBorder="1" applyAlignment="1">
      <alignment horizontal="right"/>
    </xf>
    <xf numFmtId="4" fontId="0" fillId="0" borderId="14" xfId="0" applyNumberFormat="1" applyFont="1" applyFill="1" applyBorder="1" applyAlignment="1">
      <alignment horizontal="right"/>
    </xf>
    <xf numFmtId="4" fontId="0" fillId="0" borderId="28" xfId="0" applyNumberFormat="1" applyFont="1" applyFill="1" applyBorder="1" applyAlignment="1">
      <alignment horizontal="right"/>
    </xf>
    <xf numFmtId="4" fontId="0" fillId="0" borderId="12" xfId="0" applyNumberFormat="1" applyFont="1" applyFill="1" applyBorder="1" applyAlignment="1">
      <alignment horizontal="right"/>
    </xf>
    <xf numFmtId="4" fontId="0" fillId="0" borderId="37" xfId="0" applyNumberFormat="1" applyFont="1" applyFill="1" applyBorder="1" applyAlignment="1">
      <alignment/>
    </xf>
    <xf numFmtId="0" fontId="1" fillId="0" borderId="24" xfId="0" applyFont="1" applyFill="1" applyBorder="1" applyAlignment="1">
      <alignment horizontal="left"/>
    </xf>
    <xf numFmtId="4" fontId="1" fillId="0" borderId="25" xfId="0" applyNumberFormat="1" applyFont="1" applyFill="1" applyBorder="1" applyAlignment="1">
      <alignment horizontal="right"/>
    </xf>
    <xf numFmtId="4" fontId="1" fillId="0" borderId="27" xfId="0" applyNumberFormat="1" applyFont="1" applyFill="1" applyBorder="1" applyAlignment="1">
      <alignment horizontal="right"/>
    </xf>
    <xf numFmtId="4" fontId="1" fillId="0" borderId="24" xfId="0" applyNumberFormat="1" applyFont="1" applyFill="1" applyBorder="1" applyAlignment="1">
      <alignment horizontal="right"/>
    </xf>
    <xf numFmtId="4" fontId="1" fillId="0" borderId="26" xfId="0" applyNumberFormat="1" applyFont="1" applyFill="1" applyBorder="1" applyAlignment="1">
      <alignment horizontal="right"/>
    </xf>
    <xf numFmtId="4" fontId="1" fillId="0" borderId="36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4" fontId="0" fillId="0" borderId="21" xfId="0" applyNumberFormat="1" applyFont="1" applyFill="1" applyBorder="1" applyAlignment="1">
      <alignment wrapText="1"/>
    </xf>
    <xf numFmtId="4" fontId="2" fillId="0" borderId="32" xfId="33" applyNumberFormat="1" applyFont="1" applyFill="1" applyBorder="1" applyAlignment="1">
      <alignment horizontal="right" vertical="center" wrapText="1"/>
      <protection/>
    </xf>
    <xf numFmtId="4" fontId="0" fillId="0" borderId="21" xfId="0" applyNumberFormat="1" applyFont="1" applyFill="1" applyBorder="1" applyAlignment="1">
      <alignment horizontal="right"/>
    </xf>
    <xf numFmtId="4" fontId="0" fillId="0" borderId="23" xfId="0" applyNumberFormat="1" applyFont="1" applyFill="1" applyBorder="1" applyAlignment="1">
      <alignment horizontal="right"/>
    </xf>
    <xf numFmtId="4" fontId="0" fillId="0" borderId="21" xfId="0" applyNumberFormat="1" applyFont="1" applyFill="1" applyBorder="1" applyAlignment="1">
      <alignment horizontal="right" vertical="center" wrapText="1"/>
    </xf>
    <xf numFmtId="4" fontId="0" fillId="0" borderId="22" xfId="0" applyNumberFormat="1" applyFont="1" applyFill="1" applyBorder="1" applyAlignment="1">
      <alignment horizontal="right"/>
    </xf>
    <xf numFmtId="4" fontId="0" fillId="0" borderId="37" xfId="0" applyNumberFormat="1" applyFont="1" applyFill="1" applyBorder="1" applyAlignment="1">
      <alignment horizontal="right"/>
    </xf>
    <xf numFmtId="4" fontId="0" fillId="0" borderId="13" xfId="0" applyNumberFormat="1" applyFont="1" applyFill="1" applyBorder="1" applyAlignment="1">
      <alignment wrapText="1"/>
    </xf>
    <xf numFmtId="4" fontId="0" fillId="0" borderId="13" xfId="0" applyNumberFormat="1" applyFont="1" applyFill="1" applyBorder="1" applyAlignment="1">
      <alignment horizontal="right" vertical="center" wrapText="1"/>
    </xf>
    <xf numFmtId="4" fontId="0" fillId="0" borderId="29" xfId="0" applyNumberFormat="1" applyFont="1" applyFill="1" applyBorder="1" applyAlignment="1">
      <alignment horizontal="right"/>
    </xf>
    <xf numFmtId="4" fontId="1" fillId="0" borderId="25" xfId="0" applyNumberFormat="1" applyFont="1" applyFill="1" applyBorder="1" applyAlignment="1">
      <alignment wrapText="1"/>
    </xf>
    <xf numFmtId="4" fontId="7" fillId="0" borderId="26" xfId="33" applyNumberFormat="1" applyFont="1" applyFill="1" applyBorder="1" applyAlignment="1">
      <alignment horizontal="right" vertical="center" wrapText="1"/>
      <protection/>
    </xf>
    <xf numFmtId="4" fontId="7" fillId="0" borderId="27" xfId="33" applyNumberFormat="1" applyFont="1" applyFill="1" applyBorder="1" applyAlignment="1">
      <alignment horizontal="right" vertical="center" wrapText="1"/>
      <protection/>
    </xf>
    <xf numFmtId="4" fontId="0" fillId="0" borderId="11" xfId="0" applyNumberFormat="1" applyFont="1" applyFill="1" applyBorder="1" applyAlignment="1">
      <alignment wrapText="1"/>
    </xf>
    <xf numFmtId="4" fontId="0" fillId="0" borderId="11" xfId="0" applyNumberFormat="1" applyFont="1" applyBorder="1" applyAlignment="1">
      <alignment horizontal="right"/>
    </xf>
    <xf numFmtId="4" fontId="1" fillId="33" borderId="11" xfId="0" applyNumberFormat="1" applyFont="1" applyFill="1" applyBorder="1" applyAlignment="1">
      <alignment horizontal="right" wrapText="1"/>
    </xf>
    <xf numFmtId="4" fontId="2" fillId="0" borderId="11" xfId="53" applyNumberFormat="1" applyFont="1" applyFill="1" applyBorder="1" applyAlignment="1">
      <alignment horizontal="right"/>
      <protection/>
    </xf>
    <xf numFmtId="4" fontId="7" fillId="0" borderId="35" xfId="33" applyNumberFormat="1" applyFont="1" applyFill="1" applyBorder="1" applyAlignment="1">
      <alignment horizontal="right" vertical="center" wrapText="1"/>
      <protection/>
    </xf>
    <xf numFmtId="4" fontId="7" fillId="0" borderId="34" xfId="33" applyNumberFormat="1" applyFont="1" applyFill="1" applyBorder="1" applyAlignment="1">
      <alignment horizontal="right" vertical="center" wrapText="1"/>
      <protection/>
    </xf>
    <xf numFmtId="4" fontId="7" fillId="0" borderId="11" xfId="33" applyNumberFormat="1" applyFont="1" applyFill="1" applyBorder="1" applyAlignment="1">
      <alignment horizontal="right" vertical="center" wrapText="1"/>
      <protection/>
    </xf>
    <xf numFmtId="4" fontId="0" fillId="0" borderId="11" xfId="0" applyNumberFormat="1" applyFont="1" applyFill="1" applyBorder="1" applyAlignment="1">
      <alignment horizontal="center" wrapText="1"/>
    </xf>
    <xf numFmtId="4" fontId="0" fillId="0" borderId="11" xfId="0" applyNumberFormat="1" applyFont="1" applyBorder="1" applyAlignment="1">
      <alignment horizontal="center" wrapText="1"/>
    </xf>
    <xf numFmtId="0" fontId="0" fillId="0" borderId="38" xfId="0" applyFont="1" applyFill="1" applyBorder="1" applyAlignment="1">
      <alignment/>
    </xf>
    <xf numFmtId="4" fontId="2" fillId="0" borderId="20" xfId="33" applyNumberFormat="1" applyFont="1" applyFill="1" applyBorder="1" applyAlignment="1">
      <alignment vertical="center" wrapText="1"/>
      <protection/>
    </xf>
    <xf numFmtId="4" fontId="0" fillId="0" borderId="30" xfId="0" applyNumberFormat="1" applyFont="1" applyFill="1" applyBorder="1" applyAlignment="1">
      <alignment horizontal="right"/>
    </xf>
    <xf numFmtId="4" fontId="0" fillId="33" borderId="30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 horizontal="right"/>
    </xf>
    <xf numFmtId="4" fontId="0" fillId="0" borderId="30" xfId="0" applyNumberFormat="1" applyFont="1" applyBorder="1" applyAlignment="1">
      <alignment horizontal="center" wrapText="1"/>
    </xf>
    <xf numFmtId="4" fontId="0" fillId="0" borderId="30" xfId="0" applyNumberFormat="1" applyFont="1" applyFill="1" applyBorder="1" applyAlignment="1">
      <alignment horizontal="right"/>
    </xf>
    <xf numFmtId="4" fontId="0" fillId="0" borderId="30" xfId="0" applyNumberFormat="1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vertical="center" wrapText="1"/>
    </xf>
    <xf numFmtId="4" fontId="0" fillId="33" borderId="11" xfId="0" applyNumberFormat="1" applyFont="1" applyFill="1" applyBorder="1" applyAlignment="1">
      <alignment horizontal="right" vertical="center" wrapText="1"/>
    </xf>
    <xf numFmtId="4" fontId="0" fillId="33" borderId="11" xfId="0" applyNumberFormat="1" applyFont="1" applyFill="1" applyBorder="1" applyAlignment="1">
      <alignment/>
    </xf>
    <xf numFmtId="0" fontId="0" fillId="33" borderId="11" xfId="0" applyFont="1" applyFill="1" applyBorder="1" applyAlignment="1">
      <alignment horizontal="center" vertical="center" wrapText="1"/>
    </xf>
    <xf numFmtId="4" fontId="7" fillId="33" borderId="11" xfId="33" applyNumberFormat="1" applyFont="1" applyFill="1" applyBorder="1" applyAlignment="1">
      <alignment horizontal="right" vertical="center" wrapText="1"/>
      <protection/>
    </xf>
    <xf numFmtId="4" fontId="1" fillId="0" borderId="20" xfId="0" applyNumberFormat="1" applyFont="1" applyFill="1" applyBorder="1" applyAlignment="1">
      <alignment horizontal="right" wrapText="1"/>
    </xf>
    <xf numFmtId="0" fontId="0" fillId="0" borderId="11" xfId="0" applyFont="1" applyFill="1" applyBorder="1" applyAlignment="1">
      <alignment horizontal="right" vertical="center" wrapText="1"/>
    </xf>
    <xf numFmtId="0" fontId="0" fillId="0" borderId="20" xfId="0" applyFont="1" applyFill="1" applyBorder="1" applyAlignment="1">
      <alignment horizontal="right" vertical="center" wrapText="1"/>
    </xf>
    <xf numFmtId="0" fontId="0" fillId="0" borderId="11" xfId="0" applyFont="1" applyFill="1" applyBorder="1" applyAlignment="1">
      <alignment vertical="center" wrapText="1"/>
    </xf>
    <xf numFmtId="4" fontId="0" fillId="0" borderId="11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center"/>
    </xf>
    <xf numFmtId="4" fontId="1" fillId="34" borderId="11" xfId="0" applyNumberFormat="1" applyFont="1" applyFill="1" applyBorder="1" applyAlignment="1">
      <alignment/>
    </xf>
    <xf numFmtId="4" fontId="1" fillId="34" borderId="11" xfId="0" applyNumberFormat="1" applyFont="1" applyFill="1" applyBorder="1" applyAlignment="1">
      <alignment/>
    </xf>
    <xf numFmtId="4" fontId="0" fillId="0" borderId="21" xfId="0" applyNumberFormat="1" applyFont="1" applyFill="1" applyBorder="1" applyAlignment="1">
      <alignment/>
    </xf>
    <xf numFmtId="2" fontId="1" fillId="33" borderId="11" xfId="0" applyNumberFormat="1" applyFont="1" applyFill="1" applyBorder="1" applyAlignment="1">
      <alignment horizontal="center" vertical="center" wrapText="1"/>
    </xf>
    <xf numFmtId="2" fontId="1" fillId="33" borderId="17" xfId="0" applyNumberFormat="1" applyFont="1" applyFill="1" applyBorder="1" applyAlignment="1">
      <alignment horizontal="center" vertical="center" wrapText="1"/>
    </xf>
    <xf numFmtId="4" fontId="0" fillId="33" borderId="21" xfId="0" applyNumberFormat="1" applyFont="1" applyFill="1" applyBorder="1" applyAlignment="1">
      <alignment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0" borderId="17" xfId="0" applyNumberFormat="1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4" fontId="8" fillId="0" borderId="15" xfId="0" applyNumberFormat="1" applyFont="1" applyBorder="1" applyAlignment="1">
      <alignment horizontal="center" wrapText="1"/>
    </xf>
    <xf numFmtId="4" fontId="2" fillId="0" borderId="20" xfId="33" applyNumberFormat="1" applyFont="1" applyFill="1" applyBorder="1" applyAlignment="1">
      <alignment horizontal="center" vertical="center" wrapText="1"/>
      <protection/>
    </xf>
    <xf numFmtId="4" fontId="2" fillId="34" borderId="11" xfId="33" applyNumberFormat="1" applyFont="1" applyFill="1" applyBorder="1" applyAlignment="1">
      <alignment horizontal="center" vertical="center" wrapText="1"/>
      <protection/>
    </xf>
    <xf numFmtId="4" fontId="0" fillId="0" borderId="11" xfId="0" applyNumberFormat="1" applyFont="1" applyBorder="1" applyAlignment="1">
      <alignment horizontal="center"/>
    </xf>
    <xf numFmtId="4" fontId="0" fillId="0" borderId="30" xfId="0" applyNumberFormat="1" applyFont="1" applyBorder="1" applyAlignment="1">
      <alignment horizontal="center"/>
    </xf>
    <xf numFmtId="4" fontId="0" fillId="36" borderId="15" xfId="0" applyNumberFormat="1" applyFont="1" applyFill="1" applyBorder="1" applyAlignment="1">
      <alignment horizontal="center"/>
    </xf>
    <xf numFmtId="4" fontId="0" fillId="0" borderId="30" xfId="0" applyNumberFormat="1" applyFont="1" applyFill="1" applyBorder="1" applyAlignment="1">
      <alignment horizontal="center"/>
    </xf>
    <xf numFmtId="4" fontId="0" fillId="34" borderId="30" xfId="0" applyNumberFormat="1" applyFont="1" applyFill="1" applyBorder="1" applyAlignment="1">
      <alignment/>
    </xf>
    <xf numFmtId="4" fontId="0" fillId="34" borderId="11" xfId="0" applyNumberFormat="1" applyFont="1" applyFill="1" applyBorder="1" applyAlignment="1">
      <alignment/>
    </xf>
    <xf numFmtId="4" fontId="0" fillId="37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 horizontal="center"/>
    </xf>
    <xf numFmtId="165" fontId="0" fillId="0" borderId="11" xfId="0" applyNumberFormat="1" applyFont="1" applyFill="1" applyBorder="1" applyAlignment="1">
      <alignment/>
    </xf>
    <xf numFmtId="4" fontId="9" fillId="0" borderId="11" xfId="0" applyNumberFormat="1" applyFont="1" applyFill="1" applyBorder="1" applyAlignment="1">
      <alignment/>
    </xf>
    <xf numFmtId="4" fontId="0" fillId="0" borderId="30" xfId="0" applyNumberFormat="1" applyFont="1" applyFill="1" applyBorder="1" applyAlignment="1">
      <alignment/>
    </xf>
    <xf numFmtId="4" fontId="0" fillId="35" borderId="30" xfId="0" applyNumberFormat="1" applyFont="1" applyFill="1" applyBorder="1" applyAlignment="1">
      <alignment/>
    </xf>
    <xf numFmtId="4" fontId="0" fillId="0" borderId="15" xfId="0" applyNumberFormat="1" applyFont="1" applyBorder="1" applyAlignment="1">
      <alignment horizontal="center" wrapText="1"/>
    </xf>
    <xf numFmtId="4" fontId="0" fillId="36" borderId="20" xfId="0" applyNumberFormat="1" applyFont="1" applyFill="1" applyBorder="1" applyAlignment="1">
      <alignment horizontal="center"/>
    </xf>
    <xf numFmtId="4" fontId="0" fillId="36" borderId="11" xfId="0" applyNumberFormat="1" applyFont="1" applyFill="1" applyBorder="1" applyAlignment="1">
      <alignment horizontal="center"/>
    </xf>
    <xf numFmtId="4" fontId="0" fillId="36" borderId="30" xfId="0" applyNumberFormat="1" applyFont="1" applyFill="1" applyBorder="1" applyAlignment="1">
      <alignment horizontal="center"/>
    </xf>
    <xf numFmtId="4" fontId="0" fillId="0" borderId="15" xfId="0" applyNumberFormat="1" applyFont="1" applyFill="1" applyBorder="1" applyAlignment="1">
      <alignment horizontal="center" wrapText="1"/>
    </xf>
    <xf numFmtId="4" fontId="2" fillId="0" borderId="11" xfId="0" applyNumberFormat="1" applyFont="1" applyFill="1" applyBorder="1" applyAlignment="1">
      <alignment horizontal="center"/>
    </xf>
    <xf numFmtId="4" fontId="2" fillId="0" borderId="30" xfId="0" applyNumberFormat="1" applyFont="1" applyFill="1" applyBorder="1" applyAlignment="1">
      <alignment horizontal="center"/>
    </xf>
    <xf numFmtId="4" fontId="0" fillId="0" borderId="20" xfId="0" applyNumberFormat="1" applyFont="1" applyBorder="1" applyAlignment="1">
      <alignment horizontal="center"/>
    </xf>
    <xf numFmtId="4" fontId="0" fillId="0" borderId="20" xfId="0" applyNumberFormat="1" applyFont="1" applyFill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4" fontId="0" fillId="0" borderId="30" xfId="0" applyNumberFormat="1" applyFont="1" applyBorder="1" applyAlignment="1">
      <alignment horizontal="center"/>
    </xf>
    <xf numFmtId="4" fontId="1" fillId="0" borderId="35" xfId="0" applyNumberFormat="1" applyFont="1" applyFill="1" applyBorder="1" applyAlignment="1">
      <alignment horizontal="right"/>
    </xf>
    <xf numFmtId="4" fontId="0" fillId="0" borderId="40" xfId="0" applyNumberFormat="1" applyFont="1" applyFill="1" applyBorder="1" applyAlignment="1">
      <alignment horizontal="right"/>
    </xf>
    <xf numFmtId="4" fontId="0" fillId="0" borderId="41" xfId="0" applyNumberFormat="1" applyFont="1" applyFill="1" applyBorder="1" applyAlignment="1">
      <alignment horizontal="right"/>
    </xf>
    <xf numFmtId="4" fontId="0" fillId="0" borderId="39" xfId="0" applyNumberFormat="1" applyFont="1" applyFill="1" applyBorder="1" applyAlignment="1">
      <alignment horizontal="right"/>
    </xf>
    <xf numFmtId="4" fontId="1" fillId="0" borderId="42" xfId="0" applyNumberFormat="1" applyFont="1" applyFill="1" applyBorder="1" applyAlignment="1">
      <alignment horizontal="right" wrapText="1"/>
    </xf>
    <xf numFmtId="4" fontId="1" fillId="0" borderId="31" xfId="0" applyNumberFormat="1" applyFont="1" applyFill="1" applyBorder="1" applyAlignment="1">
      <alignment horizontal="right"/>
    </xf>
    <xf numFmtId="4" fontId="1" fillId="0" borderId="29" xfId="0" applyNumberFormat="1" applyFont="1" applyFill="1" applyBorder="1" applyAlignment="1">
      <alignment horizontal="right"/>
    </xf>
    <xf numFmtId="0" fontId="1" fillId="0" borderId="43" xfId="0" applyFont="1" applyFill="1" applyBorder="1" applyAlignment="1">
      <alignment horizontal="center"/>
    </xf>
    <xf numFmtId="0" fontId="1" fillId="0" borderId="44" xfId="0" applyFont="1" applyFill="1" applyBorder="1" applyAlignment="1">
      <alignment horizontal="center"/>
    </xf>
    <xf numFmtId="0" fontId="1" fillId="0" borderId="45" xfId="0" applyFont="1" applyFill="1" applyBorder="1" applyAlignment="1">
      <alignment horizontal="center"/>
    </xf>
    <xf numFmtId="0" fontId="1" fillId="0" borderId="46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47" xfId="0" applyFont="1" applyFill="1" applyBorder="1" applyAlignment="1">
      <alignment horizontal="center"/>
    </xf>
    <xf numFmtId="2" fontId="1" fillId="34" borderId="43" xfId="0" applyNumberFormat="1" applyFont="1" applyFill="1" applyBorder="1" applyAlignment="1">
      <alignment horizontal="center" vertical="center" wrapText="1"/>
    </xf>
    <xf numFmtId="2" fontId="1" fillId="34" borderId="46" xfId="0" applyNumberFormat="1" applyFont="1" applyFill="1" applyBorder="1" applyAlignment="1">
      <alignment horizontal="center" vertical="center" wrapText="1"/>
    </xf>
    <xf numFmtId="2" fontId="1" fillId="34" borderId="48" xfId="0" applyNumberFormat="1" applyFont="1" applyFill="1" applyBorder="1" applyAlignment="1">
      <alignment horizontal="center" vertical="center" wrapText="1"/>
    </xf>
    <xf numFmtId="2" fontId="1" fillId="34" borderId="49" xfId="0" applyNumberFormat="1" applyFont="1" applyFill="1" applyBorder="1" applyAlignment="1">
      <alignment horizontal="center" vertical="center" wrapText="1"/>
    </xf>
    <xf numFmtId="2" fontId="1" fillId="34" borderId="50" xfId="0" applyNumberFormat="1" applyFont="1" applyFill="1" applyBorder="1" applyAlignment="1">
      <alignment horizontal="center" vertical="center" wrapText="1"/>
    </xf>
    <xf numFmtId="2" fontId="1" fillId="34" borderId="51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0" borderId="17" xfId="0" applyNumberFormat="1" applyFont="1" applyFill="1" applyBorder="1" applyAlignment="1">
      <alignment horizontal="center" vertical="center" wrapText="1"/>
    </xf>
    <xf numFmtId="2" fontId="10" fillId="0" borderId="52" xfId="0" applyNumberFormat="1" applyFont="1" applyFill="1" applyBorder="1" applyAlignment="1">
      <alignment horizontal="center" vertical="center" wrapText="1"/>
    </xf>
    <xf numFmtId="2" fontId="10" fillId="0" borderId="53" xfId="0" applyNumberFormat="1" applyFont="1" applyFill="1" applyBorder="1" applyAlignment="1">
      <alignment horizontal="center" vertical="center" wrapText="1"/>
    </xf>
    <xf numFmtId="2" fontId="10" fillId="0" borderId="54" xfId="0" applyNumberFormat="1" applyFont="1" applyFill="1" applyBorder="1" applyAlignment="1">
      <alignment horizontal="center" vertical="center" wrapText="1"/>
    </xf>
    <xf numFmtId="2" fontId="1" fillId="0" borderId="55" xfId="0" applyNumberFormat="1" applyFont="1" applyFill="1" applyBorder="1" applyAlignment="1">
      <alignment horizontal="center" vertical="center" wrapText="1"/>
    </xf>
    <xf numFmtId="2" fontId="1" fillId="33" borderId="11" xfId="0" applyNumberFormat="1" applyFont="1" applyFill="1" applyBorder="1" applyAlignment="1">
      <alignment horizontal="center" vertical="center" wrapText="1"/>
    </xf>
    <xf numFmtId="2" fontId="1" fillId="33" borderId="17" xfId="0" applyNumberFormat="1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textRotation="90"/>
    </xf>
    <xf numFmtId="0" fontId="1" fillId="33" borderId="17" xfId="0" applyFont="1" applyFill="1" applyBorder="1" applyAlignment="1">
      <alignment horizontal="center" textRotation="90"/>
    </xf>
    <xf numFmtId="2" fontId="1" fillId="0" borderId="56" xfId="0" applyNumberFormat="1" applyFont="1" applyBorder="1" applyAlignment="1">
      <alignment horizontal="center" vertical="center" wrapText="1"/>
    </xf>
    <xf numFmtId="2" fontId="1" fillId="0" borderId="57" xfId="0" applyNumberFormat="1" applyFont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58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2" fontId="1" fillId="0" borderId="60" xfId="0" applyNumberFormat="1" applyFont="1" applyBorder="1" applyAlignment="1">
      <alignment horizontal="center" vertical="center" wrapText="1"/>
    </xf>
    <xf numFmtId="2" fontId="1" fillId="0" borderId="46" xfId="0" applyNumberFormat="1" applyFont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55" xfId="0" applyFont="1" applyFill="1" applyBorder="1" applyAlignment="1">
      <alignment horizontal="center" vertical="center" wrapText="1"/>
    </xf>
    <xf numFmtId="2" fontId="1" fillId="0" borderId="61" xfId="0" applyNumberFormat="1" applyFont="1" applyFill="1" applyBorder="1" applyAlignment="1">
      <alignment horizontal="center" vertical="center" wrapText="1"/>
    </xf>
    <xf numFmtId="2" fontId="1" fillId="0" borderId="62" xfId="0" applyNumberFormat="1" applyFont="1" applyFill="1" applyBorder="1" applyAlignment="1">
      <alignment horizontal="center" vertical="center" wrapText="1"/>
    </xf>
    <xf numFmtId="2" fontId="1" fillId="0" borderId="63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1" fillId="0" borderId="6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4" fontId="1" fillId="0" borderId="55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4" fontId="1" fillId="0" borderId="17" xfId="0" applyNumberFormat="1" applyFont="1" applyFill="1" applyBorder="1" applyAlignment="1">
      <alignment horizontal="center" vertical="center" wrapText="1"/>
    </xf>
    <xf numFmtId="0" fontId="1" fillId="33" borderId="55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left"/>
    </xf>
    <xf numFmtId="0" fontId="1" fillId="0" borderId="44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center"/>
    </xf>
    <xf numFmtId="43" fontId="0" fillId="0" borderId="30" xfId="60" applyFont="1" applyFill="1" applyBorder="1" applyAlignment="1">
      <alignment horizontal="center"/>
    </xf>
    <xf numFmtId="43" fontId="0" fillId="0" borderId="20" xfId="60" applyFont="1" applyFill="1" applyBorder="1" applyAlignment="1">
      <alignment horizontal="center"/>
    </xf>
    <xf numFmtId="0" fontId="1" fillId="0" borderId="48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65" xfId="0" applyFont="1" applyFill="1" applyBorder="1" applyAlignment="1">
      <alignment horizontal="center" vertical="center" wrapText="1"/>
    </xf>
    <xf numFmtId="0" fontId="1" fillId="0" borderId="66" xfId="0" applyFont="1" applyFill="1" applyBorder="1" applyAlignment="1">
      <alignment horizontal="center" vertical="center" wrapText="1"/>
    </xf>
    <xf numFmtId="2" fontId="1" fillId="0" borderId="30" xfId="0" applyNumberFormat="1" applyFont="1" applyFill="1" applyBorder="1" applyAlignment="1">
      <alignment horizontal="center" vertical="center" textRotation="90" wrapText="1"/>
    </xf>
    <xf numFmtId="2" fontId="1" fillId="0" borderId="33" xfId="0" applyNumberFormat="1" applyFont="1" applyFill="1" applyBorder="1" applyAlignment="1">
      <alignment horizontal="center" vertical="center" textRotation="90" wrapText="1"/>
    </xf>
    <xf numFmtId="2" fontId="1" fillId="0" borderId="10" xfId="0" applyNumberFormat="1" applyFont="1" applyFill="1" applyBorder="1" applyAlignment="1">
      <alignment horizontal="center" vertical="center" textRotation="90" wrapText="1"/>
    </xf>
    <xf numFmtId="2" fontId="1" fillId="0" borderId="32" xfId="0" applyNumberFormat="1" applyFont="1" applyFill="1" applyBorder="1" applyAlignment="1">
      <alignment horizontal="center" vertical="center" textRotation="90" wrapText="1"/>
    </xf>
    <xf numFmtId="2" fontId="1" fillId="0" borderId="11" xfId="0" applyNumberFormat="1" applyFont="1" applyFill="1" applyBorder="1" applyAlignment="1">
      <alignment horizontal="center" vertical="center" textRotation="90" wrapText="1"/>
    </xf>
    <xf numFmtId="2" fontId="1" fillId="0" borderId="21" xfId="0" applyNumberFormat="1" applyFont="1" applyFill="1" applyBorder="1" applyAlignment="1">
      <alignment horizontal="center" vertical="center" textRotation="90" wrapText="1"/>
    </xf>
    <xf numFmtId="0" fontId="1" fillId="0" borderId="44" xfId="0" applyFont="1" applyFill="1" applyBorder="1" applyAlignment="1">
      <alignment horizontal="center" wrapText="1"/>
    </xf>
    <xf numFmtId="0" fontId="1" fillId="0" borderId="67" xfId="0" applyFont="1" applyFill="1" applyBorder="1" applyAlignment="1">
      <alignment horizontal="center" wrapText="1"/>
    </xf>
    <xf numFmtId="2" fontId="1" fillId="0" borderId="15" xfId="0" applyNumberFormat="1" applyFont="1" applyFill="1" applyBorder="1" applyAlignment="1">
      <alignment horizontal="center" vertical="center" textRotation="90" wrapText="1"/>
    </xf>
    <xf numFmtId="2" fontId="1" fillId="0" borderId="22" xfId="0" applyNumberFormat="1" applyFont="1" applyFill="1" applyBorder="1" applyAlignment="1">
      <alignment horizontal="center" vertical="center" textRotation="90" wrapText="1"/>
    </xf>
    <xf numFmtId="2" fontId="1" fillId="0" borderId="52" xfId="0" applyNumberFormat="1" applyFont="1" applyFill="1" applyBorder="1" applyAlignment="1">
      <alignment horizontal="center" textRotation="90" wrapText="1"/>
    </xf>
    <xf numFmtId="2" fontId="1" fillId="0" borderId="53" xfId="0" applyNumberFormat="1" applyFont="1" applyFill="1" applyBorder="1" applyAlignment="1">
      <alignment horizontal="center" textRotation="90" wrapText="1"/>
    </xf>
    <xf numFmtId="2" fontId="1" fillId="0" borderId="54" xfId="0" applyNumberFormat="1" applyFont="1" applyFill="1" applyBorder="1" applyAlignment="1">
      <alignment horizontal="center" textRotation="90" wrapText="1"/>
    </xf>
    <xf numFmtId="0" fontId="1" fillId="0" borderId="0" xfId="0" applyFont="1" applyFill="1" applyBorder="1" applyAlignment="1">
      <alignment horizontal="left"/>
    </xf>
    <xf numFmtId="0" fontId="1" fillId="0" borderId="32" xfId="0" applyFont="1" applyFill="1" applyBorder="1" applyAlignment="1">
      <alignment horizontal="center" vertical="center" wrapText="1"/>
    </xf>
    <xf numFmtId="4" fontId="1" fillId="0" borderId="55" xfId="0" applyNumberFormat="1" applyFont="1" applyFill="1" applyBorder="1" applyAlignment="1">
      <alignment horizontal="center" vertical="center" textRotation="90" wrapText="1"/>
    </xf>
    <xf numFmtId="4" fontId="1" fillId="0" borderId="11" xfId="0" applyNumberFormat="1" applyFont="1" applyFill="1" applyBorder="1" applyAlignment="1">
      <alignment horizontal="center" vertical="center" textRotation="90" wrapText="1"/>
    </xf>
    <xf numFmtId="4" fontId="1" fillId="0" borderId="21" xfId="0" applyNumberFormat="1" applyFont="1" applyFill="1" applyBorder="1" applyAlignment="1">
      <alignment horizontal="center" vertical="center" textRotation="90" wrapText="1"/>
    </xf>
    <xf numFmtId="4" fontId="1" fillId="0" borderId="68" xfId="0" applyNumberFormat="1" applyFont="1" applyFill="1" applyBorder="1" applyAlignment="1">
      <alignment horizontal="center" vertical="center" textRotation="90" wrapText="1"/>
    </xf>
    <xf numFmtId="4" fontId="1" fillId="0" borderId="30" xfId="0" applyNumberFormat="1" applyFont="1" applyFill="1" applyBorder="1" applyAlignment="1">
      <alignment horizontal="center" vertical="center" textRotation="90" wrapText="1"/>
    </xf>
    <xf numFmtId="4" fontId="1" fillId="0" borderId="33" xfId="0" applyNumberFormat="1" applyFont="1" applyFill="1" applyBorder="1" applyAlignment="1">
      <alignment horizontal="center" vertical="center" textRotation="90" wrapText="1"/>
    </xf>
    <xf numFmtId="4" fontId="1" fillId="0" borderId="64" xfId="0" applyNumberFormat="1" applyFont="1" applyFill="1" applyBorder="1" applyAlignment="1">
      <alignment horizontal="center" vertical="center" textRotation="90" wrapText="1"/>
    </xf>
    <xf numFmtId="4" fontId="1" fillId="0" borderId="10" xfId="0" applyNumberFormat="1" applyFont="1" applyFill="1" applyBorder="1" applyAlignment="1">
      <alignment horizontal="center" vertical="center" textRotation="90" wrapText="1"/>
    </xf>
    <xf numFmtId="4" fontId="1" fillId="0" borderId="32" xfId="0" applyNumberFormat="1" applyFont="1" applyFill="1" applyBorder="1" applyAlignment="1">
      <alignment horizontal="center" vertical="center" textRotation="90" wrapText="1"/>
    </xf>
    <xf numFmtId="0" fontId="1" fillId="0" borderId="69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2" fontId="1" fillId="0" borderId="64" xfId="0" applyNumberFormat="1" applyFont="1" applyFill="1" applyBorder="1" applyAlignment="1">
      <alignment horizontal="center" vertical="center" wrapText="1"/>
    </xf>
    <xf numFmtId="2" fontId="1" fillId="0" borderId="58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152400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239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computer\&#1086;&#1073;&#1097;&#1072;&#1103;%20&#1087;&#1072;&#1087;&#1082;&#1072;\&#1070;&#1083;&#1080;&#1103;%20&#1057;&#1077;&#1088;&#1075;&#1077;&#1077;&#1074;&#1085;&#1072;\2009&#1075;&#1086;&#1076;\&#1083;&#1089;&#1095;&#1077;&#1090;%20&#1085;&#1077;&#1078;&#1080;&#1083;%20&#1087;&#1086;&#1084;%204&#1082;&#1074;%2020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computer\&#1054;&#1073;&#1097;&#1072;&#1103;%20&#1087;&#1072;&#1087;&#1082;&#1072;\&#1070;&#1083;&#1080;&#1103;%20&#1057;&#1077;&#1088;&#1075;&#1077;&#1077;&#1074;&#1085;&#1072;\2010%20&#1075;&#1086;&#1076;\&#1083;&#1089;&#1095;&#1077;&#1090;&#1072;%20&#1085;&#1077;&#1078;&#1080;&#1083;%20&#1087;&#1086;&#1084;%201%20&#1082;&#1074;.20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computer\&#1054;&#1073;&#1097;&#1072;&#1103;%20&#1087;&#1072;&#1087;&#1082;&#1072;\&#1070;&#1083;&#1080;&#1103;%20&#1057;&#1077;&#1088;&#1075;&#1077;&#1077;&#1074;&#1085;&#1072;\2010%20&#1075;&#1086;&#1076;\&#1083;&#1089;&#1095;&#1077;&#1090;&#1072;%20&#1085;&#1077;&#1078;&#1080;&#1083;%20&#1087;&#1086;&#1084;%20201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computer\&#1054;&#1073;&#1097;&#1072;&#1103;%20&#1087;&#1072;&#1087;&#1082;&#1072;\&#1070;&#1083;&#1080;&#1103;%20&#1057;&#1077;&#1088;&#1075;&#1077;&#1077;&#1074;&#1085;&#1072;\2010%20&#1075;&#1086;&#1076;\&#1083;&#1089;&#1095;&#1077;&#1090;&#1072;%20&#1085;&#1077;&#1078;&#1080;&#1083;%20&#1087;&#1086;&#1084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94;&#1077;&#1074;&#1086;&#1081;%20&#1089;&#1095;&#1077;&#1090;%20&#1051;&#1077;&#1085;&#1080;&#1085;&#1072;,%2056%20&#1089;%202010%20&#1075;.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computer\&#1054;&#1073;&#1097;&#1072;&#1103;%20&#1087;&#1072;&#1087;&#1082;&#1072;\&#1070;&#1083;&#1080;&#1103;%20&#1057;&#1077;&#1088;&#1075;&#1077;&#1077;&#1074;&#1085;&#1072;\2009&#1075;&#1086;&#1076;\&#1051;&#1048;&#1062;%20&#1057;&#1063;&#1045;&#1058;&#1040;%204&#1082;&#1074;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10"/>
      <sheetName val="Т11"/>
      <sheetName val="Т12"/>
      <sheetName val="Шер10"/>
      <sheetName val="Шер11"/>
      <sheetName val="Шер12"/>
      <sheetName val="Шалым"/>
    </sheetNames>
    <sheetDataSet>
      <sheetData sheetId="0">
        <row r="23">
          <cell r="O23">
            <v>310.606324</v>
          </cell>
        </row>
      </sheetData>
      <sheetData sheetId="1">
        <row r="23">
          <cell r="O23">
            <v>311.03028</v>
          </cell>
        </row>
      </sheetData>
      <sheetData sheetId="2">
        <row r="23">
          <cell r="O23">
            <v>311.03028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01-10"/>
      <sheetName val="Т02-10"/>
      <sheetName val="Т03-10"/>
      <sheetName val="Ш01-10"/>
      <sheetName val="Ш02-10"/>
      <sheetName val="Ш03-10"/>
      <sheetName val="Шалым"/>
      <sheetName val="Т0-10"/>
      <sheetName val="Т05-10"/>
    </sheetNames>
    <sheetDataSet>
      <sheetData sheetId="0">
        <row r="23">
          <cell r="I23">
            <v>652.54652</v>
          </cell>
        </row>
      </sheetData>
      <sheetData sheetId="2">
        <row r="23">
          <cell r="M23">
            <v>310.662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01-10"/>
      <sheetName val="Т02-10"/>
      <sheetName val="Т03-10"/>
      <sheetName val="Т04-10"/>
      <sheetName val="Т05-10"/>
      <sheetName val="Т06-10"/>
      <sheetName val="Т07-10"/>
      <sheetName val="Ш01-10"/>
      <sheetName val="Ш02-10"/>
      <sheetName val="Ш03-10"/>
      <sheetName val="Ш04-10"/>
      <sheetName val="Ш05-10"/>
      <sheetName val="Шалым"/>
      <sheetName val="Т08-10 "/>
    </sheetNames>
    <sheetDataSet>
      <sheetData sheetId="3">
        <row r="23">
          <cell r="I23">
            <v>652.54652</v>
          </cell>
          <cell r="M23">
            <v>310.662</v>
          </cell>
        </row>
      </sheetData>
      <sheetData sheetId="5">
        <row r="23">
          <cell r="M23">
            <v>310.662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Т01-10"/>
      <sheetName val="Т02-10"/>
      <sheetName val="Т03-10"/>
      <sheetName val="Т04-10"/>
      <sheetName val="Т05-10"/>
      <sheetName val="Т06-10"/>
      <sheetName val="Т07-10"/>
      <sheetName val="Т08-10 "/>
      <sheetName val="Т09-10"/>
      <sheetName val="Т10-10"/>
      <sheetName val="Т11"/>
      <sheetName val="Т12"/>
      <sheetName val="Шалым"/>
      <sheetName val="Ш01-10"/>
      <sheetName val="Ш02-10"/>
      <sheetName val="Ш03-10"/>
      <sheetName val="Ш04-10"/>
      <sheetName val="Ш05-10"/>
    </sheetNames>
    <sheetDataSet>
      <sheetData sheetId="5">
        <row r="23">
          <cell r="I23">
            <v>0</v>
          </cell>
        </row>
      </sheetData>
      <sheetData sheetId="6">
        <row r="22">
          <cell r="I22">
            <v>0</v>
          </cell>
        </row>
      </sheetData>
      <sheetData sheetId="8">
        <row r="22">
          <cell r="I22">
            <v>2610.19608</v>
          </cell>
        </row>
      </sheetData>
      <sheetData sheetId="9">
        <row r="22">
          <cell r="I22">
            <v>652.54652</v>
          </cell>
          <cell r="M22">
            <v>310.662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">
          <cell r="AF3" t="str">
            <v>Доходы по нежил.помещениям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Таштагол 10"/>
      <sheetName val="Таштагол 11"/>
      <sheetName val="Таштагол 12"/>
      <sheetName val="Шерегеш10"/>
      <sheetName val="Шерегеш11"/>
      <sheetName val="Шерегеш12"/>
      <sheetName val="Шалым10"/>
      <sheetName val="Шалым11"/>
      <sheetName val="Шалым12"/>
    </sheetNames>
    <sheetDataSet>
      <sheetData sheetId="1">
        <row r="101">
          <cell r="AH101">
            <v>652.54652</v>
          </cell>
        </row>
      </sheetData>
      <sheetData sheetId="2">
        <row r="101">
          <cell r="AG101">
            <v>652.54652</v>
          </cell>
        </row>
      </sheetData>
      <sheetData sheetId="3">
        <row r="101">
          <cell r="AG101">
            <v>652.54652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42"/>
  <sheetViews>
    <sheetView zoomScalePageLayoutView="0" workbookViewId="0" topLeftCell="X16">
      <selection activeCell="AF26" sqref="AF26"/>
    </sheetView>
  </sheetViews>
  <sheetFormatPr defaultColWidth="9.00390625" defaultRowHeight="12.75"/>
  <cols>
    <col min="1" max="1" width="8.75390625" style="2" bestFit="1" customWidth="1"/>
    <col min="2" max="2" width="9.375" style="2" bestFit="1" customWidth="1"/>
    <col min="3" max="3" width="11.375" style="2" customWidth="1"/>
    <col min="4" max="4" width="10.375" style="2" customWidth="1"/>
    <col min="5" max="5" width="8.875" style="2" customWidth="1"/>
    <col min="6" max="7" width="9.00390625" style="2" customWidth="1"/>
    <col min="8" max="8" width="9.125" style="2" customWidth="1"/>
    <col min="9" max="9" width="9.875" style="2" customWidth="1"/>
    <col min="10" max="10" width="9.125" style="2" customWidth="1"/>
    <col min="11" max="11" width="10.00390625" style="2" customWidth="1"/>
    <col min="12" max="12" width="9.125" style="2" bestFit="1" customWidth="1"/>
    <col min="13" max="13" width="9.75390625" style="2" customWidth="1"/>
    <col min="14" max="14" width="9.375" style="2" customWidth="1"/>
    <col min="15" max="15" width="10.125" style="2" bestFit="1" customWidth="1"/>
    <col min="16" max="18" width="9.125" style="2" customWidth="1"/>
    <col min="19" max="19" width="10.125" style="2" bestFit="1" customWidth="1"/>
    <col min="20" max="20" width="10.125" style="2" customWidth="1"/>
    <col min="21" max="22" width="9.125" style="2" customWidth="1"/>
    <col min="23" max="23" width="10.00390625" style="2" customWidth="1"/>
    <col min="24" max="24" width="10.125" style="2" customWidth="1"/>
    <col min="25" max="27" width="9.125" style="2" customWidth="1"/>
    <col min="28" max="28" width="10.125" style="2" bestFit="1" customWidth="1"/>
    <col min="29" max="30" width="11.375" style="2" customWidth="1"/>
    <col min="31" max="32" width="9.25390625" style="2" bestFit="1" customWidth="1"/>
    <col min="33" max="33" width="10.25390625" style="2" customWidth="1"/>
    <col min="34" max="38" width="9.25390625" style="2" bestFit="1" customWidth="1"/>
    <col min="39" max="39" width="10.125" style="2" bestFit="1" customWidth="1"/>
    <col min="40" max="42" width="9.25390625" style="2" bestFit="1" customWidth="1"/>
    <col min="43" max="44" width="9.25390625" style="2" customWidth="1"/>
    <col min="45" max="45" width="10.125" style="2" bestFit="1" customWidth="1"/>
    <col min="46" max="46" width="10.125" style="2" customWidth="1"/>
    <col min="47" max="47" width="9.25390625" style="2" bestFit="1" customWidth="1"/>
    <col min="48" max="49" width="9.25390625" style="2" customWidth="1"/>
    <col min="50" max="50" width="10.625" style="2" customWidth="1"/>
    <col min="51" max="51" width="9.25390625" style="2" bestFit="1" customWidth="1"/>
    <col min="52" max="53" width="10.125" style="2" bestFit="1" customWidth="1"/>
    <col min="54" max="54" width="12.125" style="2" customWidth="1"/>
    <col min="55" max="55" width="10.375" style="2" customWidth="1"/>
    <col min="56" max="56" width="10.75390625" style="2" customWidth="1"/>
    <col min="57" max="57" width="14.00390625" style="2" customWidth="1"/>
    <col min="58" max="16384" width="9.125" style="2" customWidth="1"/>
  </cols>
  <sheetData>
    <row r="1" spans="1:18" ht="12.75">
      <c r="A1" s="209" t="s">
        <v>79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1"/>
      <c r="P1" s="1"/>
      <c r="Q1" s="1"/>
      <c r="R1" s="1"/>
    </row>
    <row r="2" spans="1:18" ht="13.5" thickBot="1">
      <c r="A2" s="1"/>
      <c r="B2" s="3"/>
      <c r="C2" s="4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57" ht="13.5" customHeight="1">
      <c r="A3" s="210" t="s">
        <v>0</v>
      </c>
      <c r="B3" s="213" t="s">
        <v>1</v>
      </c>
      <c r="C3" s="213" t="s">
        <v>2</v>
      </c>
      <c r="D3" s="213" t="s">
        <v>3</v>
      </c>
      <c r="E3" s="216" t="s">
        <v>4</v>
      </c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05" t="s">
        <v>5</v>
      </c>
      <c r="T3" s="205"/>
      <c r="U3" s="172" t="s">
        <v>6</v>
      </c>
      <c r="V3" s="173"/>
      <c r="W3" s="173"/>
      <c r="X3" s="173"/>
      <c r="Y3" s="173"/>
      <c r="Z3" s="173"/>
      <c r="AA3" s="173"/>
      <c r="AB3" s="173"/>
      <c r="AC3" s="173"/>
      <c r="AD3" s="173"/>
      <c r="AE3" s="174"/>
      <c r="AF3" s="186" t="s">
        <v>81</v>
      </c>
      <c r="AG3" s="189" t="s">
        <v>10</v>
      </c>
      <c r="AH3" s="189"/>
      <c r="AI3" s="189"/>
      <c r="AJ3" s="189"/>
      <c r="AK3" s="189"/>
      <c r="AL3" s="189"/>
      <c r="AM3" s="189"/>
      <c r="AN3" s="189"/>
      <c r="AO3" s="189"/>
      <c r="AP3" s="189"/>
      <c r="AQ3" s="189"/>
      <c r="AR3" s="189"/>
      <c r="AS3" s="189"/>
      <c r="AT3" s="189"/>
      <c r="AU3" s="189"/>
      <c r="AV3" s="189"/>
      <c r="AW3" s="189"/>
      <c r="AX3" s="189"/>
      <c r="AY3" s="189"/>
      <c r="AZ3" s="189"/>
      <c r="BA3" s="189"/>
      <c r="BB3" s="189"/>
      <c r="BC3" s="206" t="s">
        <v>82</v>
      </c>
      <c r="BD3" s="196" t="s">
        <v>11</v>
      </c>
      <c r="BE3" s="199" t="s">
        <v>12</v>
      </c>
    </row>
    <row r="4" spans="1:57" ht="36" customHeight="1" thickBot="1">
      <c r="A4" s="211"/>
      <c r="B4" s="214"/>
      <c r="C4" s="214"/>
      <c r="D4" s="214"/>
      <c r="E4" s="204" t="s">
        <v>13</v>
      </c>
      <c r="F4" s="204"/>
      <c r="G4" s="204" t="s">
        <v>14</v>
      </c>
      <c r="H4" s="204"/>
      <c r="I4" s="204" t="s">
        <v>15</v>
      </c>
      <c r="J4" s="204"/>
      <c r="K4" s="204" t="s">
        <v>16</v>
      </c>
      <c r="L4" s="204"/>
      <c r="M4" s="204" t="s">
        <v>17</v>
      </c>
      <c r="N4" s="204"/>
      <c r="O4" s="204" t="s">
        <v>18</v>
      </c>
      <c r="P4" s="204"/>
      <c r="Q4" s="204" t="s">
        <v>19</v>
      </c>
      <c r="R4" s="204"/>
      <c r="S4" s="204"/>
      <c r="T4" s="204"/>
      <c r="U4" s="175"/>
      <c r="V4" s="176"/>
      <c r="W4" s="176"/>
      <c r="X4" s="176"/>
      <c r="Y4" s="176"/>
      <c r="Z4" s="176"/>
      <c r="AA4" s="176"/>
      <c r="AB4" s="176"/>
      <c r="AC4" s="176"/>
      <c r="AD4" s="176"/>
      <c r="AE4" s="177"/>
      <c r="AF4" s="187"/>
      <c r="AG4" s="184"/>
      <c r="AH4" s="184"/>
      <c r="AI4" s="184"/>
      <c r="AJ4" s="184"/>
      <c r="AK4" s="184"/>
      <c r="AL4" s="184"/>
      <c r="AM4" s="184"/>
      <c r="AN4" s="184"/>
      <c r="AO4" s="184"/>
      <c r="AP4" s="184"/>
      <c r="AQ4" s="184"/>
      <c r="AR4" s="184"/>
      <c r="AS4" s="184"/>
      <c r="AT4" s="184"/>
      <c r="AU4" s="184"/>
      <c r="AV4" s="184"/>
      <c r="AW4" s="184"/>
      <c r="AX4" s="184"/>
      <c r="AY4" s="184"/>
      <c r="AZ4" s="184"/>
      <c r="BA4" s="184"/>
      <c r="BB4" s="184"/>
      <c r="BC4" s="207"/>
      <c r="BD4" s="197"/>
      <c r="BE4" s="200"/>
    </row>
    <row r="5" spans="1:57" ht="29.25" customHeight="1">
      <c r="A5" s="211"/>
      <c r="B5" s="214"/>
      <c r="C5" s="214"/>
      <c r="D5" s="214"/>
      <c r="E5" s="192" t="s">
        <v>20</v>
      </c>
      <c r="F5" s="192" t="s">
        <v>21</v>
      </c>
      <c r="G5" s="192" t="s">
        <v>20</v>
      </c>
      <c r="H5" s="192" t="s">
        <v>21</v>
      </c>
      <c r="I5" s="192" t="s">
        <v>20</v>
      </c>
      <c r="J5" s="192" t="s">
        <v>21</v>
      </c>
      <c r="K5" s="192" t="s">
        <v>20</v>
      </c>
      <c r="L5" s="192" t="s">
        <v>21</v>
      </c>
      <c r="M5" s="192" t="s">
        <v>20</v>
      </c>
      <c r="N5" s="192" t="s">
        <v>21</v>
      </c>
      <c r="O5" s="192" t="s">
        <v>20</v>
      </c>
      <c r="P5" s="192" t="s">
        <v>21</v>
      </c>
      <c r="Q5" s="192" t="s">
        <v>20</v>
      </c>
      <c r="R5" s="192" t="s">
        <v>21</v>
      </c>
      <c r="S5" s="192" t="s">
        <v>20</v>
      </c>
      <c r="T5" s="192" t="s">
        <v>21</v>
      </c>
      <c r="U5" s="194" t="s">
        <v>22</v>
      </c>
      <c r="V5" s="194" t="s">
        <v>23</v>
      </c>
      <c r="W5" s="194" t="s">
        <v>24</v>
      </c>
      <c r="X5" s="194" t="s">
        <v>25</v>
      </c>
      <c r="Y5" s="194" t="s">
        <v>26</v>
      </c>
      <c r="Z5" s="194" t="s">
        <v>27</v>
      </c>
      <c r="AA5" s="194" t="s">
        <v>28</v>
      </c>
      <c r="AB5" s="202" t="s">
        <v>29</v>
      </c>
      <c r="AC5" s="178" t="s">
        <v>84</v>
      </c>
      <c r="AD5" s="180" t="s">
        <v>8</v>
      </c>
      <c r="AE5" s="182" t="s">
        <v>9</v>
      </c>
      <c r="AF5" s="187"/>
      <c r="AG5" s="184" t="s">
        <v>30</v>
      </c>
      <c r="AH5" s="184" t="s">
        <v>31</v>
      </c>
      <c r="AI5" s="184" t="s">
        <v>32</v>
      </c>
      <c r="AJ5" s="184" t="s">
        <v>33</v>
      </c>
      <c r="AK5" s="184" t="s">
        <v>34</v>
      </c>
      <c r="AL5" s="184" t="s">
        <v>33</v>
      </c>
      <c r="AM5" s="184" t="s">
        <v>35</v>
      </c>
      <c r="AN5" s="184" t="s">
        <v>33</v>
      </c>
      <c r="AO5" s="184" t="s">
        <v>36</v>
      </c>
      <c r="AP5" s="184" t="s">
        <v>33</v>
      </c>
      <c r="AQ5" s="136"/>
      <c r="AR5" s="136"/>
      <c r="AS5" s="190" t="s">
        <v>37</v>
      </c>
      <c r="AT5" s="133"/>
      <c r="AU5" s="190" t="s">
        <v>33</v>
      </c>
      <c r="AV5" s="133"/>
      <c r="AW5" s="133"/>
      <c r="AX5" s="184" t="s">
        <v>38</v>
      </c>
      <c r="AY5" s="184" t="s">
        <v>19</v>
      </c>
      <c r="AZ5" s="184" t="s">
        <v>39</v>
      </c>
      <c r="BA5" s="184" t="s">
        <v>33</v>
      </c>
      <c r="BB5" s="184" t="s">
        <v>40</v>
      </c>
      <c r="BC5" s="207"/>
      <c r="BD5" s="197"/>
      <c r="BE5" s="200"/>
    </row>
    <row r="6" spans="1:57" ht="54" customHeight="1" thickBot="1">
      <c r="A6" s="212"/>
      <c r="B6" s="215"/>
      <c r="C6" s="215"/>
      <c r="D6" s="215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193"/>
      <c r="T6" s="193"/>
      <c r="U6" s="195"/>
      <c r="V6" s="195"/>
      <c r="W6" s="195"/>
      <c r="X6" s="195"/>
      <c r="Y6" s="195"/>
      <c r="Z6" s="195"/>
      <c r="AA6" s="195"/>
      <c r="AB6" s="203"/>
      <c r="AC6" s="179"/>
      <c r="AD6" s="181"/>
      <c r="AE6" s="183"/>
      <c r="AF6" s="188"/>
      <c r="AG6" s="185"/>
      <c r="AH6" s="185"/>
      <c r="AI6" s="185"/>
      <c r="AJ6" s="185"/>
      <c r="AK6" s="185"/>
      <c r="AL6" s="185"/>
      <c r="AM6" s="185"/>
      <c r="AN6" s="185"/>
      <c r="AO6" s="185"/>
      <c r="AP6" s="185"/>
      <c r="AQ6" s="137"/>
      <c r="AR6" s="137"/>
      <c r="AS6" s="191"/>
      <c r="AT6" s="134"/>
      <c r="AU6" s="191"/>
      <c r="AV6" s="134"/>
      <c r="AW6" s="134"/>
      <c r="AX6" s="185"/>
      <c r="AY6" s="185"/>
      <c r="AZ6" s="185"/>
      <c r="BA6" s="185"/>
      <c r="BB6" s="185"/>
      <c r="BC6" s="208"/>
      <c r="BD6" s="198"/>
      <c r="BE6" s="201"/>
    </row>
    <row r="7" spans="1:57" ht="12.75">
      <c r="A7" s="8">
        <v>1</v>
      </c>
      <c r="B7" s="9">
        <v>3</v>
      </c>
      <c r="C7" s="9">
        <v>4</v>
      </c>
      <c r="D7" s="9">
        <v>5</v>
      </c>
      <c r="E7" s="10">
        <v>6</v>
      </c>
      <c r="F7" s="10">
        <v>7</v>
      </c>
      <c r="G7" s="10">
        <v>8</v>
      </c>
      <c r="H7" s="10">
        <v>9</v>
      </c>
      <c r="I7" s="10">
        <v>10</v>
      </c>
      <c r="J7" s="10">
        <v>11</v>
      </c>
      <c r="K7" s="10">
        <v>12</v>
      </c>
      <c r="L7" s="10">
        <v>13</v>
      </c>
      <c r="M7" s="10">
        <v>14</v>
      </c>
      <c r="N7" s="10">
        <v>15</v>
      </c>
      <c r="O7" s="10">
        <v>16</v>
      </c>
      <c r="P7" s="10">
        <v>17</v>
      </c>
      <c r="Q7" s="10">
        <v>18</v>
      </c>
      <c r="R7" s="10">
        <v>19</v>
      </c>
      <c r="S7" s="10">
        <v>20</v>
      </c>
      <c r="T7" s="10">
        <v>21</v>
      </c>
      <c r="U7" s="11">
        <v>22</v>
      </c>
      <c r="V7" s="11">
        <v>23</v>
      </c>
      <c r="W7" s="11">
        <v>24</v>
      </c>
      <c r="X7" s="11">
        <v>25</v>
      </c>
      <c r="Y7" s="11">
        <v>26</v>
      </c>
      <c r="Z7" s="11">
        <v>27</v>
      </c>
      <c r="AA7" s="11">
        <v>28</v>
      </c>
      <c r="AB7" s="11">
        <v>29</v>
      </c>
      <c r="AC7" s="9">
        <v>30</v>
      </c>
      <c r="AD7" s="11"/>
      <c r="AE7" s="9">
        <v>31</v>
      </c>
      <c r="AF7" s="9">
        <v>32</v>
      </c>
      <c r="AG7" s="9">
        <v>33</v>
      </c>
      <c r="AH7" s="9">
        <v>34</v>
      </c>
      <c r="AI7" s="9">
        <v>35</v>
      </c>
      <c r="AJ7" s="9">
        <v>36</v>
      </c>
      <c r="AK7" s="9">
        <v>37</v>
      </c>
      <c r="AL7" s="9">
        <v>38</v>
      </c>
      <c r="AM7" s="9">
        <v>39</v>
      </c>
      <c r="AN7" s="9">
        <v>40</v>
      </c>
      <c r="AO7" s="9">
        <v>41</v>
      </c>
      <c r="AP7" s="9">
        <v>42</v>
      </c>
      <c r="AQ7" s="9"/>
      <c r="AR7" s="9"/>
      <c r="AS7" s="10">
        <v>43</v>
      </c>
      <c r="AT7" s="10"/>
      <c r="AU7" s="10">
        <v>44</v>
      </c>
      <c r="AV7" s="10"/>
      <c r="AW7" s="10"/>
      <c r="AX7" s="9">
        <v>45</v>
      </c>
      <c r="AY7" s="9">
        <v>46</v>
      </c>
      <c r="AZ7" s="9">
        <v>47</v>
      </c>
      <c r="BA7" s="9">
        <v>48</v>
      </c>
      <c r="BB7" s="9">
        <v>49</v>
      </c>
      <c r="BC7" s="9"/>
      <c r="BD7" s="9">
        <v>50</v>
      </c>
      <c r="BE7" s="12">
        <v>51</v>
      </c>
    </row>
    <row r="8" spans="1:57" ht="12.75">
      <c r="A8" s="5" t="s">
        <v>41</v>
      </c>
      <c r="B8" s="7"/>
      <c r="C8" s="7"/>
      <c r="D8" s="7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13"/>
      <c r="V8" s="13"/>
      <c r="W8" s="13"/>
      <c r="X8" s="13"/>
      <c r="Y8" s="13"/>
      <c r="Z8" s="13"/>
      <c r="AA8" s="13"/>
      <c r="AB8" s="13"/>
      <c r="AC8" s="7"/>
      <c r="AD8" s="13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6"/>
      <c r="AT8" s="6"/>
      <c r="AU8" s="6"/>
      <c r="AV8" s="6"/>
      <c r="AW8" s="6"/>
      <c r="AX8" s="7"/>
      <c r="AY8" s="7"/>
      <c r="AZ8" s="7"/>
      <c r="BA8" s="7"/>
      <c r="BB8" s="7"/>
      <c r="BC8" s="7"/>
      <c r="BD8" s="7"/>
      <c r="BE8" s="14"/>
    </row>
    <row r="9" spans="1:57" ht="12.75">
      <c r="A9" s="15" t="s">
        <v>42</v>
      </c>
      <c r="B9" s="116">
        <v>5340.4</v>
      </c>
      <c r="C9" s="17">
        <f aca="true" t="shared" si="0" ref="C9:C25">B9*8.65</f>
        <v>46194.46</v>
      </c>
      <c r="D9" s="18">
        <v>11127.3215248</v>
      </c>
      <c r="E9" s="22">
        <v>3867.47</v>
      </c>
      <c r="F9" s="22">
        <v>651.43</v>
      </c>
      <c r="G9" s="22">
        <v>5220.34</v>
      </c>
      <c r="H9" s="22">
        <v>879.44</v>
      </c>
      <c r="I9" s="22">
        <v>12568.09</v>
      </c>
      <c r="J9" s="22">
        <v>2117.15</v>
      </c>
      <c r="K9" s="22">
        <v>8701.57</v>
      </c>
      <c r="L9" s="22">
        <v>1465.74</v>
      </c>
      <c r="M9" s="22">
        <v>3093.93</v>
      </c>
      <c r="N9" s="22">
        <v>521.14</v>
      </c>
      <c r="O9" s="22">
        <v>0</v>
      </c>
      <c r="P9" s="22">
        <v>0</v>
      </c>
      <c r="Q9" s="22">
        <v>0</v>
      </c>
      <c r="R9" s="22">
        <v>0</v>
      </c>
      <c r="S9" s="19">
        <f>E9+G9+I9+K9+M9+O9+Q9</f>
        <v>33451.4</v>
      </c>
      <c r="T9" s="19">
        <f aca="true" t="shared" si="1" ref="T9:T22">P9+N9+L9+J9+H9+F9+R9</f>
        <v>5634.9000000000015</v>
      </c>
      <c r="U9" s="22">
        <v>45</v>
      </c>
      <c r="V9" s="22">
        <v>60</v>
      </c>
      <c r="W9" s="22">
        <v>145</v>
      </c>
      <c r="X9" s="22">
        <v>101</v>
      </c>
      <c r="Y9" s="22">
        <v>36</v>
      </c>
      <c r="Z9" s="111">
        <v>0</v>
      </c>
      <c r="AA9" s="111">
        <v>0</v>
      </c>
      <c r="AB9" s="20">
        <f aca="true" t="shared" si="2" ref="AB9:AB22">SUM(U9:AA9)</f>
        <v>387</v>
      </c>
      <c r="AC9" s="21">
        <f>AB9+T9+D9</f>
        <v>17149.2215248</v>
      </c>
      <c r="AD9" s="130">
        <v>0</v>
      </c>
      <c r="AE9" s="22">
        <f aca="true" t="shared" si="3" ref="AE9:AE22">P9+Z9</f>
        <v>0</v>
      </c>
      <c r="AF9" s="22">
        <f aca="true" t="shared" si="4" ref="AF9:AF22">R9+AA9</f>
        <v>0</v>
      </c>
      <c r="AG9" s="22">
        <v>3204.24</v>
      </c>
      <c r="AH9" s="22">
        <v>1130.3063407999998</v>
      </c>
      <c r="AI9" s="22">
        <v>4548.942719999999</v>
      </c>
      <c r="AJ9" s="22">
        <v>818.8096895999998</v>
      </c>
      <c r="AK9" s="22">
        <v>5293.5326496</v>
      </c>
      <c r="AL9" s="22">
        <v>952.835876928</v>
      </c>
      <c r="AM9" s="22">
        <v>9721.776308399998</v>
      </c>
      <c r="AN9" s="22">
        <v>1749.9197355119995</v>
      </c>
      <c r="AO9" s="23">
        <v>0</v>
      </c>
      <c r="AP9" s="23">
        <v>0</v>
      </c>
      <c r="AQ9" s="23"/>
      <c r="AR9" s="23"/>
      <c r="AS9" s="118">
        <v>0</v>
      </c>
      <c r="AT9" s="118"/>
      <c r="AU9" s="33">
        <f aca="true" t="shared" si="5" ref="AU9:AU21">AS9*0.18</f>
        <v>0</v>
      </c>
      <c r="AV9" s="33"/>
      <c r="AW9" s="33"/>
      <c r="AX9" s="23">
        <v>0</v>
      </c>
      <c r="AY9" s="23">
        <v>0</v>
      </c>
      <c r="AZ9" s="23">
        <v>0</v>
      </c>
      <c r="BA9" s="22">
        <f aca="true" t="shared" si="6" ref="BA9:BA25">AZ9*0.18</f>
        <v>0</v>
      </c>
      <c r="BB9" s="22">
        <f>SUM(AG9:BA9)</f>
        <v>27420.36332084</v>
      </c>
      <c r="BC9" s="22">
        <v>0</v>
      </c>
      <c r="BD9" s="22">
        <f>AC9-BB9</f>
        <v>-10271.14179604</v>
      </c>
      <c r="BE9" s="24">
        <f>AB9-S9</f>
        <v>-33064.4</v>
      </c>
    </row>
    <row r="10" spans="1:57" ht="12.75">
      <c r="A10" s="15" t="s">
        <v>43</v>
      </c>
      <c r="B10" s="116">
        <v>5340.4</v>
      </c>
      <c r="C10" s="17">
        <f>B10*8.65</f>
        <v>46194.46</v>
      </c>
      <c r="D10" s="18">
        <v>11127.3215248</v>
      </c>
      <c r="E10" s="22">
        <v>3867.47</v>
      </c>
      <c r="F10" s="22">
        <v>651.43</v>
      </c>
      <c r="G10" s="22">
        <v>5220.34</v>
      </c>
      <c r="H10" s="22">
        <v>879.44</v>
      </c>
      <c r="I10" s="22">
        <v>12568.09</v>
      </c>
      <c r="J10" s="22">
        <v>2117.15</v>
      </c>
      <c r="K10" s="22">
        <v>8701.57</v>
      </c>
      <c r="L10" s="22">
        <v>1465.74</v>
      </c>
      <c r="M10" s="22">
        <v>3093.93</v>
      </c>
      <c r="N10" s="22">
        <v>521.14</v>
      </c>
      <c r="O10" s="22">
        <v>0</v>
      </c>
      <c r="P10" s="22">
        <v>0</v>
      </c>
      <c r="Q10" s="22">
        <v>0</v>
      </c>
      <c r="R10" s="22">
        <v>0</v>
      </c>
      <c r="S10" s="19">
        <f>E10+G10+I10+K10+M10+O10+Q10</f>
        <v>33451.4</v>
      </c>
      <c r="T10" s="19">
        <f>P10+N10+L10+J10+H10+F10+R10</f>
        <v>5634.9000000000015</v>
      </c>
      <c r="U10" s="129">
        <v>2360.55</v>
      </c>
      <c r="V10" s="129">
        <v>3186.76</v>
      </c>
      <c r="W10" s="129">
        <v>7671.89</v>
      </c>
      <c r="X10" s="129">
        <v>5311.29</v>
      </c>
      <c r="Y10" s="129">
        <v>1888.39</v>
      </c>
      <c r="Z10" s="111">
        <v>0</v>
      </c>
      <c r="AA10" s="111">
        <v>0</v>
      </c>
      <c r="AB10" s="20">
        <f t="shared" si="2"/>
        <v>20418.88</v>
      </c>
      <c r="AC10" s="21">
        <f aca="true" t="shared" si="7" ref="AC10:AC25">AB10+T10+D10</f>
        <v>37181.101524800004</v>
      </c>
      <c r="AD10" s="130">
        <v>0</v>
      </c>
      <c r="AE10" s="22">
        <f t="shared" si="3"/>
        <v>0</v>
      </c>
      <c r="AF10" s="22">
        <f t="shared" si="4"/>
        <v>0</v>
      </c>
      <c r="AG10" s="22">
        <v>3204.24</v>
      </c>
      <c r="AH10" s="22">
        <v>1074.4204</v>
      </c>
      <c r="AI10" s="22">
        <v>4548.942719999999</v>
      </c>
      <c r="AJ10" s="22">
        <v>818.8096895999998</v>
      </c>
      <c r="AK10" s="22">
        <v>5293.5326496</v>
      </c>
      <c r="AL10" s="22">
        <v>952.835876928</v>
      </c>
      <c r="AM10" s="22">
        <v>9721.776308399998</v>
      </c>
      <c r="AN10" s="22">
        <v>1749.9197355119995</v>
      </c>
      <c r="AO10" s="23">
        <v>0</v>
      </c>
      <c r="AP10" s="23">
        <v>0</v>
      </c>
      <c r="AQ10" s="23"/>
      <c r="AR10" s="23"/>
      <c r="AS10" s="119">
        <v>8380</v>
      </c>
      <c r="AT10" s="119"/>
      <c r="AU10" s="33">
        <f t="shared" si="5"/>
        <v>1508.3999999999999</v>
      </c>
      <c r="AV10" s="33"/>
      <c r="AW10" s="33"/>
      <c r="AX10" s="23">
        <v>0</v>
      </c>
      <c r="AY10" s="23">
        <v>0</v>
      </c>
      <c r="AZ10" s="23">
        <v>0</v>
      </c>
      <c r="BA10" s="22">
        <f t="shared" si="6"/>
        <v>0</v>
      </c>
      <c r="BB10" s="22">
        <f>SUM(AG10:BA10)</f>
        <v>37252.87738004</v>
      </c>
      <c r="BC10" s="22">
        <v>0</v>
      </c>
      <c r="BD10" s="22">
        <f>AC10-BB10</f>
        <v>-71.77585523999733</v>
      </c>
      <c r="BE10" s="24">
        <f>AB10-S10</f>
        <v>-13032.52</v>
      </c>
    </row>
    <row r="11" spans="1:57" ht="12.75">
      <c r="A11" s="15" t="s">
        <v>44</v>
      </c>
      <c r="B11" s="107">
        <v>5340.4</v>
      </c>
      <c r="C11" s="17">
        <f>B11*8.65</f>
        <v>46194.46</v>
      </c>
      <c r="D11" s="18">
        <v>11102.838461</v>
      </c>
      <c r="E11" s="22">
        <v>3704.61</v>
      </c>
      <c r="F11" s="22">
        <v>666.17</v>
      </c>
      <c r="G11" s="22">
        <v>5001.26</v>
      </c>
      <c r="H11" s="22">
        <v>899.33</v>
      </c>
      <c r="I11" s="22">
        <v>12040.03</v>
      </c>
      <c r="J11" s="22">
        <v>2165.05</v>
      </c>
      <c r="K11" s="22">
        <v>8335.38</v>
      </c>
      <c r="L11" s="22">
        <v>1498.89</v>
      </c>
      <c r="M11" s="22">
        <v>2963.65</v>
      </c>
      <c r="N11" s="22">
        <v>532.93</v>
      </c>
      <c r="O11" s="22">
        <v>0</v>
      </c>
      <c r="P11" s="111">
        <v>0</v>
      </c>
      <c r="Q11" s="22">
        <v>0</v>
      </c>
      <c r="R11" s="111">
        <v>0</v>
      </c>
      <c r="S11" s="19">
        <f aca="true" t="shared" si="8" ref="S11:S22">E11+G11+I11+K11+M11+O11+Q11</f>
        <v>32044.93</v>
      </c>
      <c r="T11" s="19">
        <f t="shared" si="1"/>
        <v>5762.370000000001</v>
      </c>
      <c r="U11" s="22">
        <v>3367.04</v>
      </c>
      <c r="V11" s="22">
        <v>4545.43</v>
      </c>
      <c r="W11" s="22">
        <v>10942.84</v>
      </c>
      <c r="X11" s="22">
        <v>7575.7</v>
      </c>
      <c r="Y11" s="22">
        <v>2693.57</v>
      </c>
      <c r="Z11" s="111">
        <v>0</v>
      </c>
      <c r="AA11" s="111">
        <v>0</v>
      </c>
      <c r="AB11" s="20">
        <f>SUM(U11:AA11)</f>
        <v>29124.58</v>
      </c>
      <c r="AC11" s="21">
        <f t="shared" si="7"/>
        <v>45989.788461000004</v>
      </c>
      <c r="AD11" s="130">
        <v>0</v>
      </c>
      <c r="AE11" s="22">
        <f t="shared" si="3"/>
        <v>0</v>
      </c>
      <c r="AF11" s="22">
        <f t="shared" si="4"/>
        <v>0</v>
      </c>
      <c r="AG11" s="22">
        <v>3204.24</v>
      </c>
      <c r="AH11" s="22">
        <v>1095.0283392</v>
      </c>
      <c r="AI11" s="22">
        <v>4535.708527999999</v>
      </c>
      <c r="AJ11" s="22">
        <v>816.4275350399998</v>
      </c>
      <c r="AK11" s="22">
        <v>5278.148025279999</v>
      </c>
      <c r="AL11" s="22">
        <v>950.0666445503998</v>
      </c>
      <c r="AM11" s="22">
        <v>9693.52185412</v>
      </c>
      <c r="AN11" s="22">
        <v>1744.8339337415998</v>
      </c>
      <c r="AO11" s="38">
        <v>1967</v>
      </c>
      <c r="AP11" s="23">
        <f>AO11*0.18</f>
        <v>354.06</v>
      </c>
      <c r="AQ11" s="23"/>
      <c r="AR11" s="23"/>
      <c r="AS11" s="119">
        <v>21921</v>
      </c>
      <c r="AT11" s="119"/>
      <c r="AU11" s="33">
        <f t="shared" si="5"/>
        <v>3945.7799999999997</v>
      </c>
      <c r="AV11" s="33"/>
      <c r="AW11" s="33"/>
      <c r="AX11" s="23">
        <v>0</v>
      </c>
      <c r="AY11" s="23">
        <v>0</v>
      </c>
      <c r="AZ11" s="23">
        <v>0</v>
      </c>
      <c r="BA11" s="22">
        <f t="shared" si="6"/>
        <v>0</v>
      </c>
      <c r="BB11" s="22">
        <f>SUM(AG11:BA11)</f>
        <v>55505.814859932</v>
      </c>
      <c r="BC11" s="22">
        <v>0</v>
      </c>
      <c r="BD11" s="22">
        <f>AC11-BB11</f>
        <v>-9516.026398931994</v>
      </c>
      <c r="BE11" s="24">
        <f>AB11-S11</f>
        <v>-2920.3499999999985</v>
      </c>
    </row>
    <row r="12" spans="1:57" s="31" customFormat="1" ht="15" customHeight="1">
      <c r="A12" s="25" t="s">
        <v>5</v>
      </c>
      <c r="B12" s="26"/>
      <c r="C12" s="26">
        <f aca="true" t="shared" si="9" ref="C12:BE12">SUM(C9:C11)</f>
        <v>138583.38</v>
      </c>
      <c r="D12" s="26">
        <f t="shared" si="9"/>
        <v>33357.4815106</v>
      </c>
      <c r="E12" s="29">
        <f t="shared" si="9"/>
        <v>11439.55</v>
      </c>
      <c r="F12" s="29">
        <f t="shared" si="9"/>
        <v>1969.0299999999997</v>
      </c>
      <c r="G12" s="29">
        <f t="shared" si="9"/>
        <v>15441.94</v>
      </c>
      <c r="H12" s="29">
        <f t="shared" si="9"/>
        <v>2658.21</v>
      </c>
      <c r="I12" s="29">
        <f t="shared" si="9"/>
        <v>37176.21</v>
      </c>
      <c r="J12" s="29">
        <f t="shared" si="9"/>
        <v>6399.35</v>
      </c>
      <c r="K12" s="29">
        <f t="shared" si="9"/>
        <v>25738.519999999997</v>
      </c>
      <c r="L12" s="29">
        <f t="shared" si="9"/>
        <v>4430.37</v>
      </c>
      <c r="M12" s="29">
        <f t="shared" si="9"/>
        <v>9151.51</v>
      </c>
      <c r="N12" s="29">
        <f t="shared" si="9"/>
        <v>1575.21</v>
      </c>
      <c r="O12" s="122">
        <f t="shared" si="9"/>
        <v>0</v>
      </c>
      <c r="P12" s="26">
        <f t="shared" si="9"/>
        <v>0</v>
      </c>
      <c r="Q12" s="26">
        <f t="shared" si="9"/>
        <v>0</v>
      </c>
      <c r="R12" s="26">
        <f t="shared" si="9"/>
        <v>0</v>
      </c>
      <c r="S12" s="27">
        <f t="shared" si="9"/>
        <v>98947.73000000001</v>
      </c>
      <c r="T12" s="27">
        <f t="shared" si="9"/>
        <v>17032.170000000006</v>
      </c>
      <c r="U12" s="28">
        <f t="shared" si="9"/>
        <v>5772.59</v>
      </c>
      <c r="V12" s="28">
        <f t="shared" si="9"/>
        <v>7792.1900000000005</v>
      </c>
      <c r="W12" s="28">
        <f t="shared" si="9"/>
        <v>18759.73</v>
      </c>
      <c r="X12" s="28">
        <f t="shared" si="9"/>
        <v>12987.99</v>
      </c>
      <c r="Y12" s="28">
        <f t="shared" si="9"/>
        <v>4617.96</v>
      </c>
      <c r="Z12" s="28">
        <f t="shared" si="9"/>
        <v>0</v>
      </c>
      <c r="AA12" s="28">
        <f t="shared" si="9"/>
        <v>0</v>
      </c>
      <c r="AB12" s="28">
        <f t="shared" si="9"/>
        <v>49930.46000000001</v>
      </c>
      <c r="AC12" s="26">
        <f t="shared" si="9"/>
        <v>100320.1115106</v>
      </c>
      <c r="AD12" s="28">
        <f>SUM(AD9:AD11)</f>
        <v>0</v>
      </c>
      <c r="AE12" s="29">
        <f t="shared" si="9"/>
        <v>0</v>
      </c>
      <c r="AF12" s="29">
        <f t="shared" si="9"/>
        <v>0</v>
      </c>
      <c r="AG12" s="29">
        <f t="shared" si="9"/>
        <v>9612.72</v>
      </c>
      <c r="AH12" s="29">
        <f t="shared" si="9"/>
        <v>3299.75508</v>
      </c>
      <c r="AI12" s="29">
        <f t="shared" si="9"/>
        <v>13633.593967999997</v>
      </c>
      <c r="AJ12" s="29">
        <f t="shared" si="9"/>
        <v>2454.0469142399998</v>
      </c>
      <c r="AK12" s="29">
        <f t="shared" si="9"/>
        <v>15865.213324479999</v>
      </c>
      <c r="AL12" s="29">
        <f t="shared" si="9"/>
        <v>2855.7383984064</v>
      </c>
      <c r="AM12" s="29">
        <f>SUM(AM9:AM11)</f>
        <v>29137.074470919993</v>
      </c>
      <c r="AN12" s="29">
        <f>SUM(AN9:AN11)</f>
        <v>5244.673404765599</v>
      </c>
      <c r="AO12" s="29">
        <f t="shared" si="9"/>
        <v>1967</v>
      </c>
      <c r="AP12" s="29">
        <f t="shared" si="9"/>
        <v>354.06</v>
      </c>
      <c r="AQ12" s="29"/>
      <c r="AR12" s="29"/>
      <c r="AS12" s="102">
        <f t="shared" si="9"/>
        <v>30301</v>
      </c>
      <c r="AT12" s="102"/>
      <c r="AU12" s="102">
        <f t="shared" si="9"/>
        <v>5454.179999999999</v>
      </c>
      <c r="AV12" s="102"/>
      <c r="AW12" s="102"/>
      <c r="AX12" s="29">
        <f t="shared" si="9"/>
        <v>0</v>
      </c>
      <c r="AY12" s="29">
        <f t="shared" si="9"/>
        <v>0</v>
      </c>
      <c r="AZ12" s="29">
        <f t="shared" si="9"/>
        <v>0</v>
      </c>
      <c r="BA12" s="29">
        <f t="shared" si="9"/>
        <v>0</v>
      </c>
      <c r="BB12" s="29">
        <f t="shared" si="9"/>
        <v>120179.055560812</v>
      </c>
      <c r="BC12" s="29">
        <f t="shared" si="9"/>
        <v>0</v>
      </c>
      <c r="BD12" s="29">
        <f t="shared" si="9"/>
        <v>-19858.94405021199</v>
      </c>
      <c r="BE12" s="30">
        <f t="shared" si="9"/>
        <v>-49017.27</v>
      </c>
    </row>
    <row r="13" spans="1:57" ht="15" customHeight="1">
      <c r="A13" s="5" t="s">
        <v>45</v>
      </c>
      <c r="B13" s="100"/>
      <c r="C13" s="17"/>
      <c r="D13" s="17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4"/>
      <c r="P13" s="125"/>
      <c r="Q13" s="126"/>
      <c r="R13" s="126"/>
      <c r="S13" s="19"/>
      <c r="T13" s="19"/>
      <c r="U13" s="32"/>
      <c r="V13" s="32"/>
      <c r="W13" s="32"/>
      <c r="X13" s="32"/>
      <c r="Y13" s="32"/>
      <c r="Z13" s="32"/>
      <c r="AA13" s="20"/>
      <c r="AB13" s="20"/>
      <c r="AC13" s="21"/>
      <c r="AD13" s="130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3"/>
      <c r="AP13" s="23"/>
      <c r="AQ13" s="23"/>
      <c r="AR13" s="23"/>
      <c r="AS13" s="118"/>
      <c r="AT13" s="118"/>
      <c r="AU13" s="33"/>
      <c r="AV13" s="33"/>
      <c r="AW13" s="33"/>
      <c r="AX13" s="23"/>
      <c r="AY13" s="23"/>
      <c r="AZ13" s="23"/>
      <c r="BA13" s="22"/>
      <c r="BB13" s="22"/>
      <c r="BC13" s="22"/>
      <c r="BD13" s="22"/>
      <c r="BE13" s="24"/>
    </row>
    <row r="14" spans="1:57" ht="12.75">
      <c r="A14" s="15" t="s">
        <v>46</v>
      </c>
      <c r="B14" s="114">
        <v>5448.1</v>
      </c>
      <c r="C14" s="17">
        <f>B14*8.65</f>
        <v>47126.065</v>
      </c>
      <c r="D14" s="18">
        <f>C14*0.125</f>
        <v>5890.758125</v>
      </c>
      <c r="E14" s="127">
        <v>3775.61</v>
      </c>
      <c r="F14" s="127">
        <v>648.09</v>
      </c>
      <c r="G14" s="127">
        <v>5097.13</v>
      </c>
      <c r="H14" s="127">
        <v>874.94</v>
      </c>
      <c r="I14" s="127">
        <v>12270.88</v>
      </c>
      <c r="J14" s="127">
        <v>2106.31</v>
      </c>
      <c r="K14" s="127">
        <v>8495.21</v>
      </c>
      <c r="L14" s="127">
        <v>1458.23</v>
      </c>
      <c r="M14" s="127">
        <v>3020.48</v>
      </c>
      <c r="N14" s="127">
        <v>518.47</v>
      </c>
      <c r="O14" s="58">
        <v>0</v>
      </c>
      <c r="P14" s="126">
        <v>0</v>
      </c>
      <c r="Q14" s="126">
        <v>0</v>
      </c>
      <c r="R14" s="126">
        <v>0</v>
      </c>
      <c r="S14" s="19">
        <f t="shared" si="8"/>
        <v>32659.309999999998</v>
      </c>
      <c r="T14" s="19">
        <f t="shared" si="1"/>
        <v>5606.040000000001</v>
      </c>
      <c r="U14" s="22">
        <v>2476.42</v>
      </c>
      <c r="V14" s="22">
        <v>3343.16</v>
      </c>
      <c r="W14" s="22">
        <v>8048.29</v>
      </c>
      <c r="X14" s="22">
        <v>5572.01</v>
      </c>
      <c r="Y14" s="22">
        <v>1981.13</v>
      </c>
      <c r="Z14" s="111">
        <v>0</v>
      </c>
      <c r="AA14" s="111">
        <v>0</v>
      </c>
      <c r="AB14" s="20">
        <f t="shared" si="2"/>
        <v>21421.01</v>
      </c>
      <c r="AC14" s="21">
        <f t="shared" si="7"/>
        <v>32917.808124999996</v>
      </c>
      <c r="AD14" s="130">
        <v>0</v>
      </c>
      <c r="AE14" s="22">
        <f>P14+Z14</f>
        <v>0</v>
      </c>
      <c r="AF14" s="22">
        <f t="shared" si="4"/>
        <v>0</v>
      </c>
      <c r="AG14" s="22">
        <v>2941.974</v>
      </c>
      <c r="AH14" s="22">
        <v>970.8514200000001</v>
      </c>
      <c r="AI14" s="22">
        <v>4014.957295</v>
      </c>
      <c r="AJ14" s="22">
        <v>722.6923131</v>
      </c>
      <c r="AK14" s="22">
        <v>3927.7423178</v>
      </c>
      <c r="AL14" s="22">
        <v>706.993617204</v>
      </c>
      <c r="AM14" s="22">
        <v>9038.5395506</v>
      </c>
      <c r="AN14" s="22">
        <v>1626.937119108</v>
      </c>
      <c r="AO14" s="23">
        <v>0</v>
      </c>
      <c r="AP14" s="23">
        <v>0</v>
      </c>
      <c r="AQ14" s="23"/>
      <c r="AR14" s="23"/>
      <c r="AS14" s="118">
        <v>1076</v>
      </c>
      <c r="AT14" s="118"/>
      <c r="AU14" s="33">
        <f>AS14*0.18+0.01</f>
        <v>193.69</v>
      </c>
      <c r="AV14" s="33"/>
      <c r="AW14" s="33"/>
      <c r="AX14" s="22">
        <v>2349.8048</v>
      </c>
      <c r="AY14" s="23">
        <v>0</v>
      </c>
      <c r="AZ14" s="23">
        <v>0</v>
      </c>
      <c r="BA14" s="22">
        <f t="shared" si="6"/>
        <v>0</v>
      </c>
      <c r="BB14" s="22">
        <f>SUM(AG14:AU14)</f>
        <v>25220.377632811997</v>
      </c>
      <c r="BC14" s="22">
        <v>0</v>
      </c>
      <c r="BD14" s="22">
        <f>AC14-BB14+AF14-BC14</f>
        <v>7697.430492187999</v>
      </c>
      <c r="BE14" s="24">
        <f>AB14-S14</f>
        <v>-11238.3</v>
      </c>
    </row>
    <row r="15" spans="1:57" ht="12.75">
      <c r="A15" s="15" t="s">
        <v>47</v>
      </c>
      <c r="B15" s="114">
        <v>5448.1</v>
      </c>
      <c r="C15" s="17">
        <f t="shared" si="0"/>
        <v>47126.065</v>
      </c>
      <c r="D15" s="18">
        <f>C15*0.125</f>
        <v>5890.758125</v>
      </c>
      <c r="E15" s="22">
        <v>3605.5</v>
      </c>
      <c r="F15" s="22">
        <v>628.5</v>
      </c>
      <c r="G15" s="22">
        <v>4867.42</v>
      </c>
      <c r="H15" s="22">
        <v>848.48</v>
      </c>
      <c r="I15" s="22">
        <v>11717.94</v>
      </c>
      <c r="J15" s="22">
        <v>2042.63</v>
      </c>
      <c r="K15" s="22">
        <v>8112.42</v>
      </c>
      <c r="L15" s="22">
        <v>1414.14</v>
      </c>
      <c r="M15" s="22">
        <v>2884.35</v>
      </c>
      <c r="N15" s="22">
        <v>502.79</v>
      </c>
      <c r="O15" s="22">
        <v>0</v>
      </c>
      <c r="P15" s="111">
        <v>0</v>
      </c>
      <c r="Q15" s="22">
        <v>0</v>
      </c>
      <c r="R15" s="111">
        <v>0</v>
      </c>
      <c r="S15" s="19">
        <f t="shared" si="8"/>
        <v>31187.629999999997</v>
      </c>
      <c r="T15" s="19">
        <f t="shared" si="1"/>
        <v>5436.540000000001</v>
      </c>
      <c r="U15" s="22">
        <v>3040.74</v>
      </c>
      <c r="V15" s="22">
        <v>4104.98</v>
      </c>
      <c r="W15" s="22">
        <v>9882.51</v>
      </c>
      <c r="X15" s="22">
        <v>6841.67</v>
      </c>
      <c r="Y15" s="22">
        <v>2432.63</v>
      </c>
      <c r="Z15" s="111">
        <v>0</v>
      </c>
      <c r="AA15" s="111">
        <v>0</v>
      </c>
      <c r="AB15" s="20">
        <f t="shared" si="2"/>
        <v>26302.530000000002</v>
      </c>
      <c r="AC15" s="21">
        <f t="shared" si="7"/>
        <v>37629.828125</v>
      </c>
      <c r="AD15" s="130">
        <v>0</v>
      </c>
      <c r="AE15" s="22">
        <f t="shared" si="3"/>
        <v>0</v>
      </c>
      <c r="AF15" s="22">
        <f t="shared" si="4"/>
        <v>0</v>
      </c>
      <c r="AG15" s="22">
        <v>2941.974</v>
      </c>
      <c r="AH15" s="22">
        <v>997.3291860000002</v>
      </c>
      <c r="AI15" s="22">
        <v>4010.34641</v>
      </c>
      <c r="AJ15" s="22">
        <v>721.8623537999999</v>
      </c>
      <c r="AK15" s="22">
        <v>3926.8379331999995</v>
      </c>
      <c r="AL15" s="22">
        <v>706.8308279759999</v>
      </c>
      <c r="AM15" s="22">
        <v>9036.4583764</v>
      </c>
      <c r="AN15" s="22">
        <v>1626.5625077519999</v>
      </c>
      <c r="AO15" s="23">
        <v>0</v>
      </c>
      <c r="AP15" s="23">
        <v>0</v>
      </c>
      <c r="AQ15" s="23"/>
      <c r="AR15" s="23"/>
      <c r="AS15" s="118">
        <v>5433</v>
      </c>
      <c r="AT15" s="118"/>
      <c r="AU15" s="33">
        <f t="shared" si="5"/>
        <v>977.9399999999999</v>
      </c>
      <c r="AV15" s="33"/>
      <c r="AW15" s="33"/>
      <c r="AX15" s="22">
        <v>1882.6191999999999</v>
      </c>
      <c r="AY15" s="23">
        <v>0</v>
      </c>
      <c r="AZ15" s="23">
        <v>0</v>
      </c>
      <c r="BA15" s="22">
        <f t="shared" si="6"/>
        <v>0</v>
      </c>
      <c r="BB15" s="22">
        <f>SUM(AG15:AU15)</f>
        <v>30379.141595127996</v>
      </c>
      <c r="BC15" s="22">
        <v>0</v>
      </c>
      <c r="BD15" s="22">
        <f aca="true" t="shared" si="10" ref="BD15:BD25">AC15-BB15+AF15-BC15</f>
        <v>7250.686529872004</v>
      </c>
      <c r="BE15" s="24">
        <f aca="true" t="shared" si="11" ref="BE15:BE25">AB15-S15</f>
        <v>-4885.099999999995</v>
      </c>
    </row>
    <row r="16" spans="1:57" ht="12.75">
      <c r="A16" s="15" t="s">
        <v>48</v>
      </c>
      <c r="B16" s="114">
        <v>5448.4</v>
      </c>
      <c r="C16" s="17">
        <f t="shared" si="0"/>
        <v>47128.659999999996</v>
      </c>
      <c r="D16" s="18">
        <f>C16*0.125</f>
        <v>5891.0824999999995</v>
      </c>
      <c r="E16" s="22">
        <v>3809.89</v>
      </c>
      <c r="F16" s="22">
        <v>602.26</v>
      </c>
      <c r="G16" s="22">
        <v>5143.4</v>
      </c>
      <c r="H16" s="22">
        <v>813.05</v>
      </c>
      <c r="I16" s="22">
        <v>12382.22</v>
      </c>
      <c r="J16" s="22">
        <v>1957.35</v>
      </c>
      <c r="K16" s="22">
        <v>8572.3</v>
      </c>
      <c r="L16" s="22">
        <v>1355.1</v>
      </c>
      <c r="M16" s="22">
        <v>3047.89</v>
      </c>
      <c r="N16" s="22">
        <v>481.8</v>
      </c>
      <c r="O16" s="22">
        <v>0</v>
      </c>
      <c r="P16" s="111">
        <v>0</v>
      </c>
      <c r="Q16" s="22">
        <v>0</v>
      </c>
      <c r="R16" s="111">
        <v>0</v>
      </c>
      <c r="S16" s="19">
        <f t="shared" si="8"/>
        <v>32955.7</v>
      </c>
      <c r="T16" s="19">
        <f t="shared" si="1"/>
        <v>5209.56</v>
      </c>
      <c r="U16" s="22">
        <v>4036.42</v>
      </c>
      <c r="V16" s="22">
        <v>5449.2</v>
      </c>
      <c r="W16" s="22">
        <v>13118.48</v>
      </c>
      <c r="X16" s="22">
        <v>9082.07</v>
      </c>
      <c r="Y16" s="22">
        <v>3229.08</v>
      </c>
      <c r="Z16" s="111">
        <v>0</v>
      </c>
      <c r="AA16" s="111">
        <v>0</v>
      </c>
      <c r="AB16" s="20">
        <f t="shared" si="2"/>
        <v>34915.25</v>
      </c>
      <c r="AC16" s="21">
        <f t="shared" si="7"/>
        <v>46015.892499999994</v>
      </c>
      <c r="AD16" s="130">
        <v>0</v>
      </c>
      <c r="AE16" s="22">
        <f t="shared" si="3"/>
        <v>0</v>
      </c>
      <c r="AF16" s="22">
        <f t="shared" si="4"/>
        <v>0</v>
      </c>
      <c r="AG16" s="22">
        <v>2942.1359999999995</v>
      </c>
      <c r="AH16" s="22">
        <v>989.6373760000001</v>
      </c>
      <c r="AI16" s="22">
        <v>4017.52395</v>
      </c>
      <c r="AJ16" s="22">
        <v>723.1543109999999</v>
      </c>
      <c r="AK16" s="22">
        <v>3789.5801359999996</v>
      </c>
      <c r="AL16" s="22">
        <v>682.1244244799999</v>
      </c>
      <c r="AM16" s="22">
        <v>8721.630716399999</v>
      </c>
      <c r="AN16" s="22">
        <v>1569.8835289519998</v>
      </c>
      <c r="AO16" s="23">
        <v>0</v>
      </c>
      <c r="AP16" s="23">
        <v>0</v>
      </c>
      <c r="AQ16" s="23"/>
      <c r="AR16" s="23"/>
      <c r="AS16" s="119">
        <v>20733</v>
      </c>
      <c r="AT16" s="119"/>
      <c r="AU16" s="119">
        <f t="shared" si="5"/>
        <v>3731.94</v>
      </c>
      <c r="AV16" s="119"/>
      <c r="AW16" s="119"/>
      <c r="AX16" s="22">
        <v>1771.6048</v>
      </c>
      <c r="AY16" s="23">
        <v>0</v>
      </c>
      <c r="AZ16" s="23">
        <v>0</v>
      </c>
      <c r="BA16" s="22">
        <f t="shared" si="6"/>
        <v>0</v>
      </c>
      <c r="BB16" s="22">
        <f>SUM(AG16:AU16)</f>
        <v>47900.610442831996</v>
      </c>
      <c r="BC16" s="22">
        <v>0</v>
      </c>
      <c r="BD16" s="22">
        <f t="shared" si="10"/>
        <v>-1884.7179428320014</v>
      </c>
      <c r="BE16" s="24">
        <f t="shared" si="11"/>
        <v>1959.550000000003</v>
      </c>
    </row>
    <row r="17" spans="1:57" ht="12.75">
      <c r="A17" s="15" t="s">
        <v>49</v>
      </c>
      <c r="B17" s="114">
        <v>5448.4</v>
      </c>
      <c r="C17" s="17">
        <f t="shared" si="0"/>
        <v>47128.659999999996</v>
      </c>
      <c r="D17" s="18">
        <f>C17*0.125</f>
        <v>5891.0824999999995</v>
      </c>
      <c r="E17" s="22">
        <v>3812.58</v>
      </c>
      <c r="F17" s="22">
        <v>664.67</v>
      </c>
      <c r="G17" s="22">
        <v>5147.03</v>
      </c>
      <c r="H17" s="22">
        <v>897.31</v>
      </c>
      <c r="I17" s="22">
        <v>12390.97</v>
      </c>
      <c r="J17" s="22">
        <v>2160.17</v>
      </c>
      <c r="K17" s="22">
        <v>8578.36</v>
      </c>
      <c r="L17" s="22">
        <v>1495.5</v>
      </c>
      <c r="M17" s="22">
        <v>3050.02</v>
      </c>
      <c r="N17" s="22">
        <v>531.73</v>
      </c>
      <c r="O17" s="22">
        <v>0</v>
      </c>
      <c r="P17" s="111">
        <v>0</v>
      </c>
      <c r="Q17" s="22">
        <v>0</v>
      </c>
      <c r="R17" s="111">
        <v>0</v>
      </c>
      <c r="S17" s="19">
        <f t="shared" si="8"/>
        <v>32978.96</v>
      </c>
      <c r="T17" s="19">
        <f t="shared" si="1"/>
        <v>5749.379999999999</v>
      </c>
      <c r="U17" s="22">
        <v>2764.11</v>
      </c>
      <c r="V17" s="22">
        <v>3731.67</v>
      </c>
      <c r="W17" s="22">
        <v>8983.55</v>
      </c>
      <c r="X17" s="22">
        <v>6219.39</v>
      </c>
      <c r="Y17" s="22">
        <v>2211.34</v>
      </c>
      <c r="Z17" s="111">
        <v>0</v>
      </c>
      <c r="AA17" s="111">
        <v>0</v>
      </c>
      <c r="AB17" s="20">
        <f t="shared" si="2"/>
        <v>23910.06</v>
      </c>
      <c r="AC17" s="21">
        <f t="shared" si="7"/>
        <v>35550.5225</v>
      </c>
      <c r="AD17" s="130">
        <v>0</v>
      </c>
      <c r="AE17" s="22">
        <f t="shared" si="3"/>
        <v>0</v>
      </c>
      <c r="AF17" s="22">
        <f t="shared" si="4"/>
        <v>0</v>
      </c>
      <c r="AG17" s="22">
        <v>2942.1359999999995</v>
      </c>
      <c r="AH17" s="22">
        <v>1006.2105120000001</v>
      </c>
      <c r="AI17" s="22">
        <v>4137.460475999999</v>
      </c>
      <c r="AJ17" s="22">
        <v>744.7428856799999</v>
      </c>
      <c r="AK17" s="22">
        <v>3842.9417655999996</v>
      </c>
      <c r="AL17" s="22">
        <v>691.7295178079999</v>
      </c>
      <c r="AM17" s="22">
        <v>8843.3961112</v>
      </c>
      <c r="AN17" s="22">
        <v>1591.811300016</v>
      </c>
      <c r="AO17" s="23">
        <v>0</v>
      </c>
      <c r="AP17" s="23">
        <v>0</v>
      </c>
      <c r="AQ17" s="23"/>
      <c r="AR17" s="23"/>
      <c r="AS17" s="118">
        <f>8285+1024.53</f>
        <v>9309.53</v>
      </c>
      <c r="AT17" s="118"/>
      <c r="AU17" s="33">
        <f>AS17*0.18</f>
        <v>1675.7154</v>
      </c>
      <c r="AV17" s="33"/>
      <c r="AW17" s="33"/>
      <c r="AX17" s="22">
        <v>1420.0592</v>
      </c>
      <c r="AY17" s="23">
        <v>0</v>
      </c>
      <c r="AZ17" s="23">
        <v>0</v>
      </c>
      <c r="BA17" s="22">
        <f t="shared" si="6"/>
        <v>0</v>
      </c>
      <c r="BB17" s="22">
        <f>SUM(AG17:BA17)+AX14+AX15+AX16</f>
        <v>42209.761968304</v>
      </c>
      <c r="BC17" s="22">
        <v>0</v>
      </c>
      <c r="BD17" s="22">
        <f t="shared" si="10"/>
        <v>-6659.239468304004</v>
      </c>
      <c r="BE17" s="24">
        <f t="shared" si="11"/>
        <v>-9068.899999999998</v>
      </c>
    </row>
    <row r="18" spans="1:57" ht="12.75">
      <c r="A18" s="15" t="s">
        <v>50</v>
      </c>
      <c r="B18" s="114">
        <v>5451.1</v>
      </c>
      <c r="C18" s="17">
        <f t="shared" si="0"/>
        <v>47152.01500000001</v>
      </c>
      <c r="D18" s="18">
        <f>C18-S18-T18</f>
        <v>4863.87500000001</v>
      </c>
      <c r="E18" s="113">
        <v>4159.88</v>
      </c>
      <c r="F18" s="113">
        <v>720.57</v>
      </c>
      <c r="G18" s="113">
        <v>5636.03</v>
      </c>
      <c r="H18" s="113">
        <v>976.7</v>
      </c>
      <c r="I18" s="113">
        <v>13539.77</v>
      </c>
      <c r="J18" s="113">
        <v>2345.72</v>
      </c>
      <c r="K18" s="113">
        <v>9379.92</v>
      </c>
      <c r="L18" s="113">
        <v>1625.23</v>
      </c>
      <c r="M18" s="113">
        <v>3327.92</v>
      </c>
      <c r="N18" s="113">
        <v>576.4</v>
      </c>
      <c r="O18" s="113">
        <v>0</v>
      </c>
      <c r="P18" s="115">
        <v>0</v>
      </c>
      <c r="Q18" s="113">
        <v>0</v>
      </c>
      <c r="R18" s="115">
        <v>0</v>
      </c>
      <c r="S18" s="19">
        <f t="shared" si="8"/>
        <v>36043.52</v>
      </c>
      <c r="T18" s="19">
        <f>P18+N18+L18+J18+H18+F18+R18</f>
        <v>6244.62</v>
      </c>
      <c r="U18" s="113">
        <v>3572.83</v>
      </c>
      <c r="V18" s="113">
        <v>4823.32</v>
      </c>
      <c r="W18" s="113">
        <v>11611.68</v>
      </c>
      <c r="X18" s="113">
        <v>8038.82</v>
      </c>
      <c r="Y18" s="113">
        <v>2858.15</v>
      </c>
      <c r="Z18" s="115">
        <v>0</v>
      </c>
      <c r="AA18" s="115">
        <v>0</v>
      </c>
      <c r="AB18" s="20">
        <f t="shared" si="2"/>
        <v>30904.800000000003</v>
      </c>
      <c r="AC18" s="21">
        <f t="shared" si="7"/>
        <v>42013.29500000001</v>
      </c>
      <c r="AD18" s="130">
        <v>0</v>
      </c>
      <c r="AE18" s="22">
        <f t="shared" si="3"/>
        <v>0</v>
      </c>
      <c r="AF18" s="22">
        <f t="shared" si="4"/>
        <v>0</v>
      </c>
      <c r="AG18" s="38">
        <v>3270.66</v>
      </c>
      <c r="AH18" s="38">
        <v>1101.1222</v>
      </c>
      <c r="AI18" s="38">
        <v>4633.435</v>
      </c>
      <c r="AJ18" s="38">
        <v>834.0183000000001</v>
      </c>
      <c r="AK18" s="38">
        <v>4524.4130000000005</v>
      </c>
      <c r="AL18" s="38">
        <v>814.39434</v>
      </c>
      <c r="AM18" s="38">
        <v>10411.591</v>
      </c>
      <c r="AN18" s="38">
        <v>1874.08638</v>
      </c>
      <c r="AO18" s="38">
        <v>0</v>
      </c>
      <c r="AP18" s="38">
        <v>0</v>
      </c>
      <c r="AQ18" s="38"/>
      <c r="AR18" s="38"/>
      <c r="AS18" s="119">
        <v>0</v>
      </c>
      <c r="AT18" s="119"/>
      <c r="AU18" s="33">
        <f t="shared" si="5"/>
        <v>0</v>
      </c>
      <c r="AV18" s="33"/>
      <c r="AW18" s="33"/>
      <c r="AX18" s="22">
        <v>1216.5328</v>
      </c>
      <c r="AY18" s="23">
        <v>0</v>
      </c>
      <c r="AZ18" s="23">
        <v>0</v>
      </c>
      <c r="BA18" s="22">
        <f t="shared" si="6"/>
        <v>0</v>
      </c>
      <c r="BB18" s="22">
        <f aca="true" t="shared" si="12" ref="BB18:BB25">SUM(AG18:BA18)</f>
        <v>28680.253020000004</v>
      </c>
      <c r="BC18" s="22">
        <v>0</v>
      </c>
      <c r="BD18" s="22">
        <f t="shared" si="10"/>
        <v>13333.041980000009</v>
      </c>
      <c r="BE18" s="24">
        <f t="shared" si="11"/>
        <v>-5138.719999999994</v>
      </c>
    </row>
    <row r="19" spans="1:57" ht="12.75">
      <c r="A19" s="15" t="s">
        <v>51</v>
      </c>
      <c r="B19" s="114">
        <v>5451.1</v>
      </c>
      <c r="C19" s="17">
        <f t="shared" si="0"/>
        <v>47152.01500000001</v>
      </c>
      <c r="D19" s="18">
        <f aca="true" t="shared" si="13" ref="D19:D25">C19-S19-T19</f>
        <v>4575.435000000002</v>
      </c>
      <c r="E19" s="113">
        <v>4189.37</v>
      </c>
      <c r="F19" s="113">
        <v>724.47</v>
      </c>
      <c r="G19" s="113">
        <v>5675.69</v>
      </c>
      <c r="H19" s="113">
        <v>981.99</v>
      </c>
      <c r="I19" s="113">
        <v>13635.45</v>
      </c>
      <c r="J19" s="113">
        <v>2358.44</v>
      </c>
      <c r="K19" s="113">
        <v>9446.12</v>
      </c>
      <c r="L19" s="113">
        <v>1634.03</v>
      </c>
      <c r="M19" s="113">
        <v>3351.5</v>
      </c>
      <c r="N19" s="113">
        <v>579.52</v>
      </c>
      <c r="O19" s="113">
        <v>0</v>
      </c>
      <c r="P19" s="115">
        <v>0</v>
      </c>
      <c r="Q19" s="113">
        <v>0</v>
      </c>
      <c r="R19" s="115">
        <v>0</v>
      </c>
      <c r="S19" s="19">
        <f t="shared" si="8"/>
        <v>36298.130000000005</v>
      </c>
      <c r="T19" s="19">
        <f t="shared" si="1"/>
        <v>6278.45</v>
      </c>
      <c r="U19" s="113">
        <v>3225.08</v>
      </c>
      <c r="V19" s="113">
        <v>4366.36</v>
      </c>
      <c r="W19" s="113">
        <v>10493.94</v>
      </c>
      <c r="X19" s="113">
        <v>7268.66</v>
      </c>
      <c r="Y19" s="113">
        <v>2580.01</v>
      </c>
      <c r="Z19" s="115">
        <v>0</v>
      </c>
      <c r="AA19" s="115">
        <v>0</v>
      </c>
      <c r="AB19" s="20">
        <f t="shared" si="2"/>
        <v>27934.050000000003</v>
      </c>
      <c r="AC19" s="21">
        <f t="shared" si="7"/>
        <v>38787.935000000005</v>
      </c>
      <c r="AD19" s="130">
        <v>0</v>
      </c>
      <c r="AE19" s="22">
        <f t="shared" si="3"/>
        <v>0</v>
      </c>
      <c r="AF19" s="22">
        <f t="shared" si="4"/>
        <v>0</v>
      </c>
      <c r="AG19" s="22">
        <v>3270.66</v>
      </c>
      <c r="AH19" s="22">
        <v>1101.602799</v>
      </c>
      <c r="AI19" s="22">
        <v>4633.435</v>
      </c>
      <c r="AJ19" s="22">
        <v>834.0183000000001</v>
      </c>
      <c r="AK19" s="22">
        <v>4524.4130000000005</v>
      </c>
      <c r="AL19" s="22">
        <v>814.39434</v>
      </c>
      <c r="AM19" s="22">
        <v>10411.611</v>
      </c>
      <c r="AN19" s="22">
        <v>1874.08998</v>
      </c>
      <c r="AO19" s="23">
        <v>0</v>
      </c>
      <c r="AP19" s="23">
        <v>0</v>
      </c>
      <c r="AQ19" s="23"/>
      <c r="AR19" s="23"/>
      <c r="AS19" s="118">
        <f>17197.61+11857.64</f>
        <v>29055.25</v>
      </c>
      <c r="AT19" s="118"/>
      <c r="AU19" s="33">
        <f>AS19*0.18</f>
        <v>5229.945</v>
      </c>
      <c r="AV19" s="33"/>
      <c r="AW19" s="33"/>
      <c r="AX19" s="22">
        <v>1077.7648000000002</v>
      </c>
      <c r="AY19" s="23">
        <v>0</v>
      </c>
      <c r="AZ19" s="23">
        <v>0</v>
      </c>
      <c r="BA19" s="22">
        <f t="shared" si="6"/>
        <v>0</v>
      </c>
      <c r="BB19" s="22">
        <f t="shared" si="12"/>
        <v>62827.184219</v>
      </c>
      <c r="BC19" s="22">
        <v>0</v>
      </c>
      <c r="BD19" s="22">
        <f t="shared" si="10"/>
        <v>-24039.249218999998</v>
      </c>
      <c r="BE19" s="24">
        <f t="shared" si="11"/>
        <v>-8364.080000000002</v>
      </c>
    </row>
    <row r="20" spans="1:57" ht="12.75">
      <c r="A20" s="15" t="s">
        <v>52</v>
      </c>
      <c r="B20" s="114">
        <v>5450.8</v>
      </c>
      <c r="C20" s="17">
        <f t="shared" si="0"/>
        <v>47149.420000000006</v>
      </c>
      <c r="D20" s="18">
        <f t="shared" si="13"/>
        <v>4194.420000000011</v>
      </c>
      <c r="E20" s="113">
        <v>4204.49</v>
      </c>
      <c r="F20" s="113">
        <v>753.07</v>
      </c>
      <c r="G20" s="113">
        <v>5696.02</v>
      </c>
      <c r="H20" s="113">
        <v>1020.77</v>
      </c>
      <c r="I20" s="113">
        <v>13684.48</v>
      </c>
      <c r="J20" s="113">
        <v>2451.59</v>
      </c>
      <c r="K20" s="113">
        <v>9480.02</v>
      </c>
      <c r="L20" s="113">
        <v>1698.57</v>
      </c>
      <c r="M20" s="113">
        <v>3363.57</v>
      </c>
      <c r="N20" s="113">
        <v>602.42</v>
      </c>
      <c r="O20" s="113">
        <v>0</v>
      </c>
      <c r="P20" s="115">
        <v>0</v>
      </c>
      <c r="Q20" s="113">
        <v>0</v>
      </c>
      <c r="R20" s="115">
        <v>0</v>
      </c>
      <c r="S20" s="19">
        <f t="shared" si="8"/>
        <v>36428.579999999994</v>
      </c>
      <c r="T20" s="19">
        <f t="shared" si="1"/>
        <v>6526.42</v>
      </c>
      <c r="U20" s="113">
        <v>4150.06</v>
      </c>
      <c r="V20" s="113">
        <v>5619.82</v>
      </c>
      <c r="W20" s="113">
        <v>13504.87</v>
      </c>
      <c r="X20" s="113">
        <v>9354.79</v>
      </c>
      <c r="Y20" s="113">
        <v>3320.09</v>
      </c>
      <c r="Z20" s="115">
        <v>0</v>
      </c>
      <c r="AA20" s="115">
        <v>0</v>
      </c>
      <c r="AB20" s="20">
        <f t="shared" si="2"/>
        <v>35949.630000000005</v>
      </c>
      <c r="AC20" s="21">
        <f>AB20+T20+D20</f>
        <v>46670.470000000016</v>
      </c>
      <c r="AD20" s="130">
        <v>0</v>
      </c>
      <c r="AE20" s="22">
        <f t="shared" si="3"/>
        <v>0</v>
      </c>
      <c r="AF20" s="22">
        <f t="shared" si="4"/>
        <v>0</v>
      </c>
      <c r="AG20" s="38">
        <v>3270.48</v>
      </c>
      <c r="AH20" s="38">
        <v>1083.89158</v>
      </c>
      <c r="AI20" s="38">
        <v>4567.388844</v>
      </c>
      <c r="AJ20" s="22">
        <v>822.12999192</v>
      </c>
      <c r="AK20" s="38">
        <v>4481.184442</v>
      </c>
      <c r="AL20" s="22">
        <v>806.6131995599999</v>
      </c>
      <c r="AM20" s="38">
        <v>10311.082131199999</v>
      </c>
      <c r="AN20" s="22">
        <v>1855.9947836159997</v>
      </c>
      <c r="AO20" s="23">
        <v>0</v>
      </c>
      <c r="AP20" s="38">
        <v>0</v>
      </c>
      <c r="AQ20" s="38"/>
      <c r="AR20" s="38"/>
      <c r="AS20" s="119">
        <f>709.32+1170.62</f>
        <v>1879.94</v>
      </c>
      <c r="AT20" s="119"/>
      <c r="AU20" s="33">
        <f t="shared" si="5"/>
        <v>338.3892</v>
      </c>
      <c r="AV20" s="33"/>
      <c r="AW20" s="33"/>
      <c r="AX20" s="22">
        <v>1147.1488</v>
      </c>
      <c r="AY20" s="23">
        <v>0</v>
      </c>
      <c r="AZ20" s="23">
        <v>0</v>
      </c>
      <c r="BA20" s="22">
        <f t="shared" si="6"/>
        <v>0</v>
      </c>
      <c r="BB20" s="22">
        <f t="shared" si="12"/>
        <v>30564.242972295997</v>
      </c>
      <c r="BC20" s="22">
        <v>0</v>
      </c>
      <c r="BD20" s="22">
        <f t="shared" si="10"/>
        <v>16106.227027704019</v>
      </c>
      <c r="BE20" s="24">
        <f t="shared" si="11"/>
        <v>-478.9499999999898</v>
      </c>
    </row>
    <row r="21" spans="1:57" ht="12.75">
      <c r="A21" s="15" t="s">
        <v>53</v>
      </c>
      <c r="B21" s="114">
        <v>5483.98</v>
      </c>
      <c r="C21" s="17">
        <f t="shared" si="0"/>
        <v>47436.426999999996</v>
      </c>
      <c r="D21" s="18">
        <f t="shared" si="13"/>
        <v>5369.1469999999945</v>
      </c>
      <c r="E21" s="113">
        <v>4089.18</v>
      </c>
      <c r="F21" s="113">
        <v>765.89</v>
      </c>
      <c r="G21" s="113">
        <v>5539.87</v>
      </c>
      <c r="H21" s="113">
        <v>1038.15</v>
      </c>
      <c r="I21" s="113">
        <v>13309.33</v>
      </c>
      <c r="J21" s="113">
        <v>2493.27</v>
      </c>
      <c r="K21" s="113">
        <v>9220.14</v>
      </c>
      <c r="L21" s="113">
        <v>1727.46</v>
      </c>
      <c r="M21" s="113">
        <v>3271.34</v>
      </c>
      <c r="N21" s="113">
        <v>612.65</v>
      </c>
      <c r="O21" s="113">
        <v>0</v>
      </c>
      <c r="P21" s="115">
        <v>0</v>
      </c>
      <c r="Q21" s="113">
        <v>0</v>
      </c>
      <c r="R21" s="113">
        <v>0</v>
      </c>
      <c r="S21" s="19">
        <f t="shared" si="8"/>
        <v>35429.86</v>
      </c>
      <c r="T21" s="19">
        <f t="shared" si="1"/>
        <v>6637.420000000001</v>
      </c>
      <c r="U21" s="113">
        <v>3979.06</v>
      </c>
      <c r="V21" s="113">
        <v>5388.96</v>
      </c>
      <c r="W21" s="113">
        <v>12949.28</v>
      </c>
      <c r="X21" s="113">
        <v>8970</v>
      </c>
      <c r="Y21" s="113">
        <v>3183.38</v>
      </c>
      <c r="Z21" s="115">
        <v>0</v>
      </c>
      <c r="AA21" s="115">
        <v>0</v>
      </c>
      <c r="AB21" s="20">
        <f t="shared" si="2"/>
        <v>34470.68</v>
      </c>
      <c r="AC21" s="21">
        <f t="shared" si="7"/>
        <v>46477.246999999996</v>
      </c>
      <c r="AD21" s="130">
        <v>0</v>
      </c>
      <c r="AE21" s="22">
        <f t="shared" si="3"/>
        <v>0</v>
      </c>
      <c r="AF21" s="22">
        <f t="shared" si="4"/>
        <v>0</v>
      </c>
      <c r="AG21" s="22">
        <v>3290.3879999999995</v>
      </c>
      <c r="AH21" s="22">
        <v>1095.43597296</v>
      </c>
      <c r="AI21" s="22">
        <v>4592.62760075</v>
      </c>
      <c r="AJ21" s="22">
        <v>826.672968135</v>
      </c>
      <c r="AK21" s="22">
        <v>4506.186365999999</v>
      </c>
      <c r="AL21" s="22">
        <v>811.1135458799998</v>
      </c>
      <c r="AM21" s="22">
        <v>10368.610341819998</v>
      </c>
      <c r="AN21" s="22">
        <v>1866.3498615275996</v>
      </c>
      <c r="AO21" s="23">
        <v>0</v>
      </c>
      <c r="AP21" s="23">
        <v>0</v>
      </c>
      <c r="AQ21" s="23"/>
      <c r="AR21" s="23"/>
      <c r="AS21" s="33">
        <v>1660.1</v>
      </c>
      <c r="AT21" s="33"/>
      <c r="AU21" s="33">
        <f t="shared" si="5"/>
        <v>298.818</v>
      </c>
      <c r="AV21" s="33"/>
      <c r="AW21" s="33"/>
      <c r="AX21" s="22">
        <v>1355.3008000000002</v>
      </c>
      <c r="AY21" s="23">
        <v>0</v>
      </c>
      <c r="AZ21" s="23">
        <v>0</v>
      </c>
      <c r="BA21" s="22">
        <f t="shared" si="6"/>
        <v>0</v>
      </c>
      <c r="BB21" s="22">
        <f t="shared" si="12"/>
        <v>30671.603457072597</v>
      </c>
      <c r="BC21" s="22">
        <v>0</v>
      </c>
      <c r="BD21" s="22">
        <f t="shared" si="10"/>
        <v>15805.643542927399</v>
      </c>
      <c r="BE21" s="24">
        <f t="shared" si="11"/>
        <v>-959.1800000000003</v>
      </c>
    </row>
    <row r="22" spans="1:57" ht="12.75">
      <c r="A22" s="15" t="s">
        <v>54</v>
      </c>
      <c r="B22" s="107">
        <v>5483.98</v>
      </c>
      <c r="C22" s="17">
        <f t="shared" si="0"/>
        <v>47436.426999999996</v>
      </c>
      <c r="D22" s="18">
        <f t="shared" si="13"/>
        <v>4638.756999999993</v>
      </c>
      <c r="E22" s="22">
        <v>4167.38</v>
      </c>
      <c r="F22" s="22">
        <v>771.99</v>
      </c>
      <c r="G22" s="22">
        <v>5645.84</v>
      </c>
      <c r="H22" s="22">
        <v>1046.39</v>
      </c>
      <c r="I22" s="22">
        <v>13563.86</v>
      </c>
      <c r="J22" s="22">
        <v>2513.12</v>
      </c>
      <c r="K22" s="22">
        <v>9396.46</v>
      </c>
      <c r="L22" s="22">
        <v>1741.2</v>
      </c>
      <c r="M22" s="22">
        <v>3333.9</v>
      </c>
      <c r="N22" s="22">
        <v>617.53</v>
      </c>
      <c r="O22" s="22">
        <v>0</v>
      </c>
      <c r="P22" s="111">
        <v>0</v>
      </c>
      <c r="Q22" s="22">
        <v>0</v>
      </c>
      <c r="R22" s="111">
        <v>0</v>
      </c>
      <c r="S22" s="19">
        <f t="shared" si="8"/>
        <v>36107.44</v>
      </c>
      <c r="T22" s="19">
        <f t="shared" si="1"/>
        <v>6690.2300000000005</v>
      </c>
      <c r="U22" s="22">
        <v>4026.11</v>
      </c>
      <c r="V22" s="22">
        <v>5452.53</v>
      </c>
      <c r="W22" s="22">
        <v>13102.15</v>
      </c>
      <c r="X22" s="22">
        <v>9076.08</v>
      </c>
      <c r="Y22" s="22">
        <v>3220.84</v>
      </c>
      <c r="Z22" s="111">
        <v>0</v>
      </c>
      <c r="AA22" s="111">
        <v>0</v>
      </c>
      <c r="AB22" s="20">
        <f t="shared" si="2"/>
        <v>34877.71000000001</v>
      </c>
      <c r="AC22" s="21">
        <f t="shared" si="7"/>
        <v>46206.697</v>
      </c>
      <c r="AD22" s="130">
        <v>0</v>
      </c>
      <c r="AE22" s="22">
        <f t="shared" si="3"/>
        <v>0</v>
      </c>
      <c r="AF22" s="22">
        <f t="shared" si="4"/>
        <v>0</v>
      </c>
      <c r="AG22" s="22">
        <v>3290.3879999999995</v>
      </c>
      <c r="AH22" s="22">
        <v>1096.4669612</v>
      </c>
      <c r="AI22" s="22">
        <v>4591.83516564</v>
      </c>
      <c r="AJ22" s="22">
        <v>826.5303298151999</v>
      </c>
      <c r="AK22" s="22">
        <v>4505.321542354</v>
      </c>
      <c r="AL22" s="22">
        <v>810.9578776237199</v>
      </c>
      <c r="AM22" s="22">
        <v>10367.667645657997</v>
      </c>
      <c r="AN22" s="22">
        <v>1866.1801762184393</v>
      </c>
      <c r="AO22" s="23">
        <v>0</v>
      </c>
      <c r="AP22" s="23">
        <v>0</v>
      </c>
      <c r="AQ22" s="23"/>
      <c r="AR22" s="23"/>
      <c r="AS22" s="33"/>
      <c r="AT22" s="33"/>
      <c r="AU22" s="33">
        <f>AS22*0.18</f>
        <v>0</v>
      </c>
      <c r="AV22" s="33"/>
      <c r="AW22" s="33"/>
      <c r="AX22" s="22">
        <v>1614.3344000000002</v>
      </c>
      <c r="AY22" s="23">
        <v>0</v>
      </c>
      <c r="AZ22" s="23">
        <v>0</v>
      </c>
      <c r="BA22" s="22">
        <f t="shared" si="6"/>
        <v>0</v>
      </c>
      <c r="BB22" s="22">
        <f t="shared" si="12"/>
        <v>28969.682098509355</v>
      </c>
      <c r="BC22" s="22">
        <v>0</v>
      </c>
      <c r="BD22" s="22">
        <f t="shared" si="10"/>
        <v>17237.014901490646</v>
      </c>
      <c r="BE22" s="24">
        <f t="shared" si="11"/>
        <v>-1229.729999999996</v>
      </c>
    </row>
    <row r="23" spans="1:57" ht="12.75">
      <c r="A23" s="109" t="s">
        <v>42</v>
      </c>
      <c r="B23" s="107">
        <v>5483.98</v>
      </c>
      <c r="C23" s="110">
        <f>B23*8.65</f>
        <v>47436.426999999996</v>
      </c>
      <c r="D23" s="18">
        <f t="shared" si="13"/>
        <v>4227.206999999993</v>
      </c>
      <c r="E23" s="58">
        <f>4214.89-7.61</f>
        <v>4207.280000000001</v>
      </c>
      <c r="F23" s="22">
        <v>779.59</v>
      </c>
      <c r="G23" s="22">
        <f>5710.16-10.35</f>
        <v>5699.8099999999995</v>
      </c>
      <c r="H23" s="22">
        <v>1056.73</v>
      </c>
      <c r="I23" s="22">
        <f>13718.45-24.77</f>
        <v>13693.68</v>
      </c>
      <c r="J23" s="22">
        <v>2537.91</v>
      </c>
      <c r="K23" s="22">
        <f>9503.56-17.14</f>
        <v>9486.42</v>
      </c>
      <c r="L23" s="22">
        <v>1758.39</v>
      </c>
      <c r="M23" s="22">
        <f>3371.91-6.12</f>
        <v>3365.79</v>
      </c>
      <c r="N23" s="22">
        <v>623.62</v>
      </c>
      <c r="O23" s="22">
        <v>0</v>
      </c>
      <c r="P23" s="111">
        <v>0</v>
      </c>
      <c r="Q23" s="22">
        <v>0</v>
      </c>
      <c r="R23" s="22">
        <v>0</v>
      </c>
      <c r="S23" s="19">
        <f>E23+G23+I23+K23+M23+O23+Q23</f>
        <v>36452.98</v>
      </c>
      <c r="T23" s="112">
        <f>P23+N23+L23+J23+H23+F23+R23</f>
        <v>6756.24</v>
      </c>
      <c r="U23" s="22">
        <f>2911.92+1494.33</f>
        <v>4406.25</v>
      </c>
      <c r="V23" s="22">
        <f>3943.96+2023.88</f>
        <v>5967.84</v>
      </c>
      <c r="W23" s="22">
        <f>9476.47+4863.11</f>
        <v>14339.579999999998</v>
      </c>
      <c r="X23" s="22">
        <f>6564.52+3368.75</f>
        <v>9933.27</v>
      </c>
      <c r="Y23" s="22">
        <f>2329.51+1195.44</f>
        <v>3524.9500000000003</v>
      </c>
      <c r="Z23" s="22">
        <v>0</v>
      </c>
      <c r="AA23" s="22">
        <v>0</v>
      </c>
      <c r="AB23" s="20">
        <f>SUM(U23:AA23)</f>
        <v>38171.89</v>
      </c>
      <c r="AC23" s="21">
        <f>AB23+T23+D23</f>
        <v>49155.33699999999</v>
      </c>
      <c r="AD23" s="130">
        <v>0</v>
      </c>
      <c r="AE23" s="22">
        <f>P23+Z23</f>
        <v>0</v>
      </c>
      <c r="AF23" s="22">
        <f>'[6]Таштагол 10'!$AH$101</f>
        <v>652.54652</v>
      </c>
      <c r="AG23" s="38">
        <v>3290.3879999999995</v>
      </c>
      <c r="AH23" s="38">
        <v>1096.796</v>
      </c>
      <c r="AI23" s="38">
        <v>4644.93106</v>
      </c>
      <c r="AJ23" s="22">
        <f>AI23*0.18</f>
        <v>836.0875907999999</v>
      </c>
      <c r="AK23" s="38">
        <v>4551.703399999999</v>
      </c>
      <c r="AL23" s="22">
        <f>AK23*0.18</f>
        <v>819.3066119999999</v>
      </c>
      <c r="AM23" s="38">
        <v>10456.741525423728</v>
      </c>
      <c r="AN23" s="22">
        <f>AM23*0.18</f>
        <v>1882.213474576271</v>
      </c>
      <c r="AO23" s="23">
        <v>0</v>
      </c>
      <c r="AP23" s="23">
        <v>0</v>
      </c>
      <c r="AQ23" s="23"/>
      <c r="AR23" s="23"/>
      <c r="AS23" s="119">
        <v>751.47</v>
      </c>
      <c r="AT23" s="119"/>
      <c r="AU23" s="119">
        <v>135.2646</v>
      </c>
      <c r="AV23" s="119"/>
      <c r="AW23" s="119"/>
      <c r="AX23" s="38">
        <v>1965.88</v>
      </c>
      <c r="AY23" s="23">
        <v>0</v>
      </c>
      <c r="AZ23" s="23">
        <v>0</v>
      </c>
      <c r="BA23" s="22">
        <f t="shared" si="6"/>
        <v>0</v>
      </c>
      <c r="BB23" s="22">
        <f t="shared" si="12"/>
        <v>30430.7822628</v>
      </c>
      <c r="BC23" s="22">
        <f>'[1]Т10'!$O$23</f>
        <v>310.606324</v>
      </c>
      <c r="BD23" s="22">
        <f>AC23-BB23+AF23-BC23</f>
        <v>19066.494933199992</v>
      </c>
      <c r="BE23" s="24">
        <f t="shared" si="11"/>
        <v>1718.9099999999962</v>
      </c>
    </row>
    <row r="24" spans="1:57" ht="12.75">
      <c r="A24" s="15" t="s">
        <v>43</v>
      </c>
      <c r="B24" s="108">
        <v>5484.18</v>
      </c>
      <c r="C24" s="17">
        <f t="shared" si="0"/>
        <v>47438.15700000001</v>
      </c>
      <c r="D24" s="18">
        <f t="shared" si="13"/>
        <v>4216.967000000001</v>
      </c>
      <c r="E24" s="22">
        <v>4208.53</v>
      </c>
      <c r="F24" s="22">
        <v>779.74</v>
      </c>
      <c r="G24" s="22">
        <v>5701.5</v>
      </c>
      <c r="H24" s="22">
        <v>1056.9</v>
      </c>
      <c r="I24" s="22">
        <v>13697.76</v>
      </c>
      <c r="J24" s="22">
        <v>2538.33</v>
      </c>
      <c r="K24" s="22">
        <v>9489.2</v>
      </c>
      <c r="L24" s="22">
        <v>1758.67</v>
      </c>
      <c r="M24" s="22">
        <v>3366.83</v>
      </c>
      <c r="N24" s="22">
        <v>623.73</v>
      </c>
      <c r="O24" s="22">
        <v>0</v>
      </c>
      <c r="P24" s="111">
        <v>0</v>
      </c>
      <c r="Q24" s="111">
        <v>0</v>
      </c>
      <c r="R24" s="111">
        <v>0</v>
      </c>
      <c r="S24" s="19">
        <f>E24+G24+I24+K24+M24+O24+Q24</f>
        <v>36463.82000000001</v>
      </c>
      <c r="T24" s="112">
        <f>P24+N24+L24+J24+H24+F24+R24</f>
        <v>6757.369999999999</v>
      </c>
      <c r="U24" s="22">
        <v>3879.65</v>
      </c>
      <c r="V24" s="22">
        <v>5380.39</v>
      </c>
      <c r="W24" s="22">
        <v>12927.31</v>
      </c>
      <c r="X24" s="22">
        <v>8955.18</v>
      </c>
      <c r="Y24" s="22">
        <v>3177.61</v>
      </c>
      <c r="Z24" s="22">
        <v>0</v>
      </c>
      <c r="AA24" s="22">
        <v>0</v>
      </c>
      <c r="AB24" s="20">
        <f>SUM(U24:AA24)</f>
        <v>34320.14</v>
      </c>
      <c r="AC24" s="21">
        <f t="shared" si="7"/>
        <v>45294.477</v>
      </c>
      <c r="AD24" s="130">
        <v>0</v>
      </c>
      <c r="AE24" s="22">
        <f>P24+Z24</f>
        <v>0</v>
      </c>
      <c r="AF24" s="22">
        <f>'[6]Таштагол 11'!$AG$101</f>
        <v>652.54652</v>
      </c>
      <c r="AG24" s="38">
        <v>3290.5080000000003</v>
      </c>
      <c r="AH24" s="38">
        <v>1096.836</v>
      </c>
      <c r="AI24" s="38">
        <v>4661.553</v>
      </c>
      <c r="AJ24" s="22">
        <f>AI24*0.18</f>
        <v>839.07954</v>
      </c>
      <c r="AK24" s="38">
        <v>4551.8694</v>
      </c>
      <c r="AL24" s="22">
        <f>AK24*0.18</f>
        <v>819.3364919999999</v>
      </c>
      <c r="AM24" s="38">
        <v>10474.7838</v>
      </c>
      <c r="AN24" s="22">
        <f>AM24*0.18</f>
        <v>1885.4610839999998</v>
      </c>
      <c r="AO24" s="23">
        <v>0</v>
      </c>
      <c r="AP24" s="23">
        <v>0</v>
      </c>
      <c r="AQ24" s="23"/>
      <c r="AR24" s="23"/>
      <c r="AS24" s="119">
        <v>85918</v>
      </c>
      <c r="AT24" s="119"/>
      <c r="AU24" s="119">
        <v>15465.24</v>
      </c>
      <c r="AV24" s="119"/>
      <c r="AW24" s="119"/>
      <c r="AX24" s="22">
        <v>2174.032</v>
      </c>
      <c r="AY24" s="23">
        <v>0</v>
      </c>
      <c r="AZ24" s="23">
        <v>0</v>
      </c>
      <c r="BA24" s="22">
        <f t="shared" si="6"/>
        <v>0</v>
      </c>
      <c r="BB24" s="22">
        <f t="shared" si="12"/>
        <v>131176.699316</v>
      </c>
      <c r="BC24" s="22">
        <f>'[1]Т11'!$O$23</f>
        <v>311.03028</v>
      </c>
      <c r="BD24" s="22">
        <f t="shared" si="10"/>
        <v>-85540.70607600002</v>
      </c>
      <c r="BE24" s="24">
        <f t="shared" si="11"/>
        <v>-2143.6800000000076</v>
      </c>
    </row>
    <row r="25" spans="1:57" ht="12.75">
      <c r="A25" s="15" t="s">
        <v>44</v>
      </c>
      <c r="B25" s="107">
        <v>5484.28</v>
      </c>
      <c r="C25" s="17">
        <f t="shared" si="0"/>
        <v>47439.022</v>
      </c>
      <c r="D25" s="18">
        <f t="shared" si="13"/>
        <v>5124.202000000001</v>
      </c>
      <c r="E25" s="22">
        <v>4104</v>
      </c>
      <c r="F25" s="22">
        <v>779.74</v>
      </c>
      <c r="G25" s="22">
        <v>5559.68</v>
      </c>
      <c r="H25" s="22">
        <v>1056.9</v>
      </c>
      <c r="I25" s="22">
        <v>13357.32</v>
      </c>
      <c r="J25" s="22">
        <v>2538.33</v>
      </c>
      <c r="K25" s="22">
        <v>9253.27</v>
      </c>
      <c r="L25" s="22">
        <v>1758.67</v>
      </c>
      <c r="M25" s="22">
        <v>3283.18</v>
      </c>
      <c r="N25" s="22">
        <v>623.73</v>
      </c>
      <c r="O25" s="22">
        <v>0</v>
      </c>
      <c r="P25" s="111">
        <v>0</v>
      </c>
      <c r="Q25" s="111">
        <v>0</v>
      </c>
      <c r="R25" s="111">
        <v>0</v>
      </c>
      <c r="S25" s="19">
        <f>E25+G25+I25+K25+M25+O25+Q25</f>
        <v>35557.45</v>
      </c>
      <c r="T25" s="112">
        <f>P25+N25+L25+J25+H25+F25+R25</f>
        <v>6757.369999999999</v>
      </c>
      <c r="U25" s="22">
        <v>4465.24</v>
      </c>
      <c r="V25" s="22">
        <v>6022.08</v>
      </c>
      <c r="W25" s="22">
        <v>14470.74</v>
      </c>
      <c r="X25" s="22">
        <v>10023.97</v>
      </c>
      <c r="Y25" s="22">
        <v>3557.35</v>
      </c>
      <c r="Z25" s="22">
        <v>0</v>
      </c>
      <c r="AA25" s="22">
        <v>0</v>
      </c>
      <c r="AB25" s="20">
        <f>SUM(U25:AA25)</f>
        <v>38539.38</v>
      </c>
      <c r="AC25" s="21">
        <f t="shared" si="7"/>
        <v>50420.952000000005</v>
      </c>
      <c r="AD25" s="130">
        <v>0</v>
      </c>
      <c r="AE25" s="22">
        <f>P25+Z25</f>
        <v>0</v>
      </c>
      <c r="AF25" s="22">
        <f>'[6]Таштагол 12'!$AG$101</f>
        <v>652.54652</v>
      </c>
      <c r="AG25" s="38">
        <v>3290.5679999999998</v>
      </c>
      <c r="AH25" s="38">
        <v>1096.856</v>
      </c>
      <c r="AI25" s="38">
        <v>4661.638</v>
      </c>
      <c r="AJ25" s="22">
        <f>AI25*0.18</f>
        <v>839.09484</v>
      </c>
      <c r="AK25" s="38">
        <v>4551.952399999999</v>
      </c>
      <c r="AL25" s="22">
        <f>AK25*0.18</f>
        <v>819.3514319999998</v>
      </c>
      <c r="AM25" s="38">
        <v>10474.9748</v>
      </c>
      <c r="AN25" s="22">
        <f>AM25*0.18</f>
        <v>1885.4954639999999</v>
      </c>
      <c r="AO25" s="23">
        <v>0</v>
      </c>
      <c r="AP25" s="38">
        <v>0</v>
      </c>
      <c r="AQ25" s="38"/>
      <c r="AR25" s="38"/>
      <c r="AS25" s="119">
        <v>5603</v>
      </c>
      <c r="AT25" s="119"/>
      <c r="AU25" s="119">
        <v>1008.54</v>
      </c>
      <c r="AV25" s="119"/>
      <c r="AW25" s="119"/>
      <c r="AX25" s="22">
        <v>2377.5584</v>
      </c>
      <c r="AY25" s="23">
        <v>0</v>
      </c>
      <c r="AZ25" s="23">
        <v>0</v>
      </c>
      <c r="BA25" s="22">
        <f t="shared" si="6"/>
        <v>0</v>
      </c>
      <c r="BB25" s="22">
        <f t="shared" si="12"/>
        <v>36609.029336</v>
      </c>
      <c r="BC25" s="22">
        <f>'[1]Т12'!$O$23</f>
        <v>311.03028</v>
      </c>
      <c r="BD25" s="22">
        <f t="shared" si="10"/>
        <v>14153.438904000004</v>
      </c>
      <c r="BE25" s="24">
        <f t="shared" si="11"/>
        <v>2981.9300000000003</v>
      </c>
    </row>
    <row r="26" spans="1:57" s="31" customFormat="1" ht="12.75">
      <c r="A26" s="25" t="s">
        <v>5</v>
      </c>
      <c r="B26" s="26"/>
      <c r="C26" s="26">
        <f aca="true" t="shared" si="14" ref="C26:BC26">SUM(C14:C25)</f>
        <v>567149.3600000001</v>
      </c>
      <c r="D26" s="26">
        <f t="shared" si="14"/>
        <v>60773.69125000002</v>
      </c>
      <c r="E26" s="26">
        <f t="shared" si="14"/>
        <v>48333.689999999995</v>
      </c>
      <c r="F26" s="26">
        <f t="shared" si="14"/>
        <v>8618.58</v>
      </c>
      <c r="G26" s="26">
        <f t="shared" si="14"/>
        <v>65409.420000000006</v>
      </c>
      <c r="H26" s="26">
        <f t="shared" si="14"/>
        <v>11668.309999999998</v>
      </c>
      <c r="I26" s="26">
        <f t="shared" si="14"/>
        <v>157243.66</v>
      </c>
      <c r="J26" s="26">
        <f t="shared" si="14"/>
        <v>28043.17</v>
      </c>
      <c r="K26" s="26">
        <f t="shared" si="14"/>
        <v>108909.83999999998</v>
      </c>
      <c r="L26" s="26">
        <f t="shared" si="14"/>
        <v>19425.189999999995</v>
      </c>
      <c r="M26" s="26">
        <f t="shared" si="14"/>
        <v>38666.770000000004</v>
      </c>
      <c r="N26" s="26">
        <f t="shared" si="14"/>
        <v>6894.389999999999</v>
      </c>
      <c r="O26" s="26">
        <f t="shared" si="14"/>
        <v>0</v>
      </c>
      <c r="P26" s="26">
        <f t="shared" si="14"/>
        <v>0</v>
      </c>
      <c r="Q26" s="26">
        <f t="shared" si="14"/>
        <v>0</v>
      </c>
      <c r="R26" s="26">
        <f t="shared" si="14"/>
        <v>0</v>
      </c>
      <c r="S26" s="27">
        <f t="shared" si="14"/>
        <v>418563.37999999995</v>
      </c>
      <c r="T26" s="27">
        <f t="shared" si="14"/>
        <v>74649.64</v>
      </c>
      <c r="U26" s="28">
        <f t="shared" si="14"/>
        <v>44021.97</v>
      </c>
      <c r="V26" s="28">
        <f t="shared" si="14"/>
        <v>59650.31</v>
      </c>
      <c r="W26" s="28">
        <f t="shared" si="14"/>
        <v>143432.38</v>
      </c>
      <c r="X26" s="28">
        <f t="shared" si="14"/>
        <v>99335.91</v>
      </c>
      <c r="Y26" s="28">
        <f t="shared" si="14"/>
        <v>35276.560000000005</v>
      </c>
      <c r="Z26" s="28">
        <f t="shared" si="14"/>
        <v>0</v>
      </c>
      <c r="AA26" s="28">
        <f t="shared" si="14"/>
        <v>0</v>
      </c>
      <c r="AB26" s="28">
        <f t="shared" si="14"/>
        <v>381717.13000000006</v>
      </c>
      <c r="AC26" s="26">
        <f t="shared" si="14"/>
        <v>517140.46125</v>
      </c>
      <c r="AD26" s="28">
        <f t="shared" si="14"/>
        <v>0</v>
      </c>
      <c r="AE26" s="29">
        <f t="shared" si="14"/>
        <v>0</v>
      </c>
      <c r="AF26" s="29">
        <f t="shared" si="14"/>
        <v>1957.63956</v>
      </c>
      <c r="AG26" s="29">
        <f t="shared" si="14"/>
        <v>38032.259999999995</v>
      </c>
      <c r="AH26" s="29">
        <f t="shared" si="14"/>
        <v>12733.03600716</v>
      </c>
      <c r="AI26" s="29">
        <f t="shared" si="14"/>
        <v>53167.13180139</v>
      </c>
      <c r="AJ26" s="29">
        <f t="shared" si="14"/>
        <v>9570.0837242502</v>
      </c>
      <c r="AK26" s="29">
        <f t="shared" si="14"/>
        <v>51684.14570295401</v>
      </c>
      <c r="AL26" s="29">
        <f t="shared" si="14"/>
        <v>9303.146226531719</v>
      </c>
      <c r="AM26" s="29">
        <f t="shared" si="14"/>
        <v>118917.08699870174</v>
      </c>
      <c r="AN26" s="29">
        <f t="shared" si="14"/>
        <v>21405.065659766307</v>
      </c>
      <c r="AO26" s="29">
        <f t="shared" si="14"/>
        <v>0</v>
      </c>
      <c r="AP26" s="29">
        <f t="shared" si="14"/>
        <v>0</v>
      </c>
      <c r="AQ26" s="29"/>
      <c r="AR26" s="29"/>
      <c r="AS26" s="102">
        <f t="shared" si="14"/>
        <v>161419.29</v>
      </c>
      <c r="AT26" s="102"/>
      <c r="AU26" s="102">
        <f t="shared" si="14"/>
        <v>29055.4822</v>
      </c>
      <c r="AV26" s="102"/>
      <c r="AW26" s="102"/>
      <c r="AX26" s="29">
        <f t="shared" si="14"/>
        <v>20352.64</v>
      </c>
      <c r="AY26" s="29">
        <f t="shared" si="14"/>
        <v>0</v>
      </c>
      <c r="AZ26" s="29">
        <f t="shared" si="14"/>
        <v>0</v>
      </c>
      <c r="BA26" s="29">
        <f t="shared" si="14"/>
        <v>0</v>
      </c>
      <c r="BB26" s="29">
        <f t="shared" si="14"/>
        <v>525639.3683207539</v>
      </c>
      <c r="BC26" s="29">
        <f t="shared" si="14"/>
        <v>932.666884</v>
      </c>
      <c r="BD26" s="29">
        <f>SUM(BD14:BD25)</f>
        <v>-7473.934394753951</v>
      </c>
      <c r="BE26" s="30">
        <f>SUM(BE14:BE25)</f>
        <v>-36846.249999999985</v>
      </c>
    </row>
    <row r="27" spans="1:57" s="31" customFormat="1" ht="12.75">
      <c r="A27" s="25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7"/>
      <c r="T27" s="27"/>
      <c r="U27" s="28"/>
      <c r="V27" s="28"/>
      <c r="W27" s="28"/>
      <c r="X27" s="28"/>
      <c r="Y27" s="28"/>
      <c r="Z27" s="28"/>
      <c r="AA27" s="28"/>
      <c r="AB27" s="28"/>
      <c r="AC27" s="26"/>
      <c r="AD27" s="28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102"/>
      <c r="AT27" s="102"/>
      <c r="AU27" s="102"/>
      <c r="AV27" s="102"/>
      <c r="AW27" s="102"/>
      <c r="AX27" s="29"/>
      <c r="AY27" s="29"/>
      <c r="AZ27" s="29"/>
      <c r="BA27" s="29"/>
      <c r="BB27" s="29"/>
      <c r="BC27" s="29"/>
      <c r="BD27" s="29"/>
      <c r="BE27" s="30"/>
    </row>
    <row r="28" spans="1:57" ht="12.75">
      <c r="A28" s="5" t="s">
        <v>80</v>
      </c>
      <c r="B28" s="34"/>
      <c r="C28" s="35"/>
      <c r="D28" s="35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33"/>
      <c r="T28" s="33"/>
      <c r="U28" s="129"/>
      <c r="V28" s="129"/>
      <c r="W28" s="129"/>
      <c r="X28" s="129"/>
      <c r="Y28" s="129"/>
      <c r="Z28" s="126"/>
      <c r="AA28" s="126"/>
      <c r="AB28" s="36"/>
      <c r="AC28" s="37"/>
      <c r="AD28" s="131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117"/>
      <c r="AP28" s="117"/>
      <c r="AQ28" s="117"/>
      <c r="AR28" s="117"/>
      <c r="AS28" s="120"/>
      <c r="AT28" s="120"/>
      <c r="AU28" s="119"/>
      <c r="AV28" s="119"/>
      <c r="AW28" s="119"/>
      <c r="AX28" s="39"/>
      <c r="AY28" s="117"/>
      <c r="AZ28" s="117"/>
      <c r="BA28" s="38"/>
      <c r="BB28" s="38"/>
      <c r="BC28" s="38"/>
      <c r="BD28" s="38"/>
      <c r="BE28" s="14"/>
    </row>
    <row r="29" spans="1:57" ht="12.75">
      <c r="A29" s="15" t="s">
        <v>46</v>
      </c>
      <c r="B29" s="139">
        <v>5512.98</v>
      </c>
      <c r="C29" s="140">
        <f>B29*8.65</f>
        <v>47687.276999999995</v>
      </c>
      <c r="D29" s="141">
        <f>C29-E29-F29-G29-H29-I29-J29-K29-L29-M29-N29</f>
        <v>4219.336999999993</v>
      </c>
      <c r="E29" s="142">
        <v>4245.57</v>
      </c>
      <c r="F29" s="142">
        <v>771.22</v>
      </c>
      <c r="G29" s="142">
        <v>5751.58</v>
      </c>
      <c r="H29" s="142">
        <v>1045.35</v>
      </c>
      <c r="I29" s="142">
        <v>13818.19</v>
      </c>
      <c r="J29" s="142">
        <v>2510.6</v>
      </c>
      <c r="K29" s="142">
        <v>9572.59</v>
      </c>
      <c r="L29" s="142">
        <v>1739.46</v>
      </c>
      <c r="M29" s="142">
        <v>3396.46</v>
      </c>
      <c r="N29" s="142">
        <v>616.92</v>
      </c>
      <c r="O29" s="142">
        <v>0</v>
      </c>
      <c r="P29" s="143">
        <v>0</v>
      </c>
      <c r="Q29" s="143"/>
      <c r="R29" s="143"/>
      <c r="S29" s="129">
        <f aca="true" t="shared" si="15" ref="S29:S40">E29+G29+I29+K29+M29+O29+Q29</f>
        <v>36784.39</v>
      </c>
      <c r="T29" s="144">
        <f aca="true" t="shared" si="16" ref="T29:T40">P29+N29+L29+J29+H29+F29+R29</f>
        <v>6683.55</v>
      </c>
      <c r="U29" s="129">
        <v>3237.57</v>
      </c>
      <c r="V29" s="129">
        <v>4385.6</v>
      </c>
      <c r="W29" s="129">
        <v>10537</v>
      </c>
      <c r="X29" s="129">
        <v>7299.39</v>
      </c>
      <c r="Y29" s="129">
        <v>2590.02</v>
      </c>
      <c r="Z29" s="145">
        <v>0</v>
      </c>
      <c r="AA29" s="145">
        <v>0</v>
      </c>
      <c r="AB29" s="145">
        <f>SUM(U29:AA29)</f>
        <v>28049.579999999998</v>
      </c>
      <c r="AC29" s="146">
        <f aca="true" t="shared" si="17" ref="AC29:AC40">D29+T29+AB29</f>
        <v>38952.46699999999</v>
      </c>
      <c r="AD29" s="147">
        <f aca="true" t="shared" si="18" ref="AD29:AD40">P29+Z29</f>
        <v>0</v>
      </c>
      <c r="AE29" s="147">
        <f aca="true" t="shared" si="19" ref="AE29:AE40">R29+AA29</f>
        <v>0</v>
      </c>
      <c r="AF29" s="147">
        <f>'[2]Т01-10'!$I$23</f>
        <v>652.54652</v>
      </c>
      <c r="AG29" s="38">
        <f aca="true" t="shared" si="20" ref="AG29:AG40">0.6*B29</f>
        <v>3307.7879999999996</v>
      </c>
      <c r="AH29" s="38">
        <f aca="true" t="shared" si="21" ref="AH29:AH40">B29*0.2</f>
        <v>1102.596</v>
      </c>
      <c r="AI29" s="38">
        <f aca="true" t="shared" si="22" ref="AI29:AI40">1*B29</f>
        <v>5512.98</v>
      </c>
      <c r="AJ29" s="38">
        <v>0</v>
      </c>
      <c r="AK29" s="38">
        <f aca="true" t="shared" si="23" ref="AK29:AK40">0.98*B29</f>
        <v>5402.720399999999</v>
      </c>
      <c r="AL29" s="38">
        <v>0</v>
      </c>
      <c r="AM29" s="38">
        <f aca="true" t="shared" si="24" ref="AM29:AM40">2.25*B29</f>
        <v>12404.204999999998</v>
      </c>
      <c r="AN29" s="38">
        <v>0</v>
      </c>
      <c r="AO29" s="38"/>
      <c r="AP29" s="38">
        <v>0</v>
      </c>
      <c r="AQ29" s="148"/>
      <c r="AR29" s="148"/>
      <c r="AS29" s="119">
        <v>2234</v>
      </c>
      <c r="AT29" s="119"/>
      <c r="AU29" s="119">
        <f aca="true" t="shared" si="25" ref="AU29:AU40">AT29*0.18</f>
        <v>0</v>
      </c>
      <c r="AV29" s="149">
        <v>508</v>
      </c>
      <c r="AW29" s="150">
        <v>3.5</v>
      </c>
      <c r="AX29" s="132">
        <f>AV29*AW29*1.4</f>
        <v>2489.2</v>
      </c>
      <c r="AY29" s="151"/>
      <c r="AZ29" s="152"/>
      <c r="BA29" s="152">
        <f aca="true" t="shared" si="26" ref="BA29:BA40">AZ29*0.18</f>
        <v>0</v>
      </c>
      <c r="BB29" s="152">
        <f aca="true" t="shared" si="27" ref="BB29:BB40">SUM(AG29:BA29)-AV29-AW29</f>
        <v>32453.4894</v>
      </c>
      <c r="BC29" s="153">
        <f>'[2]Т03-10'!$M$23</f>
        <v>310.662</v>
      </c>
      <c r="BD29" s="22">
        <f>AC29+AF29-BB29-BC29</f>
        <v>6840.862119999994</v>
      </c>
      <c r="BE29" s="24">
        <f>AB29-S29</f>
        <v>-8734.810000000001</v>
      </c>
    </row>
    <row r="30" spans="1:57" ht="12.75">
      <c r="A30" s="15" t="s">
        <v>47</v>
      </c>
      <c r="B30" s="154">
        <v>5512.98</v>
      </c>
      <c r="C30" s="140">
        <f>B30*8.65</f>
        <v>47687.276999999995</v>
      </c>
      <c r="D30" s="141">
        <f>C30-E30-F30-G30-H30-I30-J30-K30-L30-M30-N30</f>
        <v>4222.916999999994</v>
      </c>
      <c r="E30" s="155">
        <v>4228.12</v>
      </c>
      <c r="F30" s="156">
        <v>788.25</v>
      </c>
      <c r="G30" s="156">
        <v>5727.94</v>
      </c>
      <c r="H30" s="156">
        <v>1068.45</v>
      </c>
      <c r="I30" s="156">
        <v>13761.4</v>
      </c>
      <c r="J30" s="156">
        <v>2566.05</v>
      </c>
      <c r="K30" s="156">
        <v>9533.24</v>
      </c>
      <c r="L30" s="156">
        <v>1777.88</v>
      </c>
      <c r="M30" s="156">
        <v>3382.47</v>
      </c>
      <c r="N30" s="156">
        <v>630.56</v>
      </c>
      <c r="O30" s="156">
        <v>0</v>
      </c>
      <c r="P30" s="157">
        <v>0</v>
      </c>
      <c r="Q30" s="156">
        <v>0</v>
      </c>
      <c r="R30" s="157">
        <v>0</v>
      </c>
      <c r="S30" s="129">
        <f t="shared" si="15"/>
        <v>36633.17</v>
      </c>
      <c r="T30" s="144">
        <f t="shared" si="16"/>
        <v>6831.19</v>
      </c>
      <c r="U30" s="129">
        <v>4782.93</v>
      </c>
      <c r="V30" s="129">
        <v>6454.54</v>
      </c>
      <c r="W30" s="129">
        <v>15509.68</v>
      </c>
      <c r="X30" s="129">
        <v>10743.67</v>
      </c>
      <c r="Y30" s="129">
        <v>3812.76</v>
      </c>
      <c r="Z30" s="145">
        <v>0</v>
      </c>
      <c r="AA30" s="145">
        <v>0</v>
      </c>
      <c r="AB30" s="145">
        <f>SUM(U30:AA30)</f>
        <v>41303.58</v>
      </c>
      <c r="AC30" s="146">
        <f t="shared" si="17"/>
        <v>52357.68699999999</v>
      </c>
      <c r="AD30" s="147">
        <f t="shared" si="18"/>
        <v>0</v>
      </c>
      <c r="AE30" s="147">
        <f t="shared" si="19"/>
        <v>0</v>
      </c>
      <c r="AF30" s="147">
        <f>'[2]Т01-10'!$I$23</f>
        <v>652.54652</v>
      </c>
      <c r="AG30" s="38">
        <f t="shared" si="20"/>
        <v>3307.7879999999996</v>
      </c>
      <c r="AH30" s="38">
        <f t="shared" si="21"/>
        <v>1102.596</v>
      </c>
      <c r="AI30" s="38">
        <f t="shared" si="22"/>
        <v>5512.98</v>
      </c>
      <c r="AJ30" s="38">
        <v>0</v>
      </c>
      <c r="AK30" s="38">
        <f t="shared" si="23"/>
        <v>5402.720399999999</v>
      </c>
      <c r="AL30" s="38">
        <v>0</v>
      </c>
      <c r="AM30" s="38">
        <f t="shared" si="24"/>
        <v>12404.204999999998</v>
      </c>
      <c r="AN30" s="38">
        <v>0</v>
      </c>
      <c r="AO30" s="38"/>
      <c r="AP30" s="38"/>
      <c r="AQ30" s="148">
        <v>700</v>
      </c>
      <c r="AR30" s="148"/>
      <c r="AS30" s="119">
        <v>4884</v>
      </c>
      <c r="AT30" s="119"/>
      <c r="AU30" s="119">
        <f t="shared" si="25"/>
        <v>0</v>
      </c>
      <c r="AV30" s="149">
        <v>407</v>
      </c>
      <c r="AW30" s="150">
        <v>3.5</v>
      </c>
      <c r="AX30" s="38">
        <f>AV30*AW30*1.4</f>
        <v>1994.3</v>
      </c>
      <c r="AY30" s="151"/>
      <c r="AZ30" s="152"/>
      <c r="BA30" s="152">
        <f t="shared" si="26"/>
        <v>0</v>
      </c>
      <c r="BB30" s="152">
        <f t="shared" si="27"/>
        <v>35308.5894</v>
      </c>
      <c r="BC30" s="153">
        <f>'[2]Т03-10'!$M$23</f>
        <v>310.662</v>
      </c>
      <c r="BD30" s="22">
        <f aca="true" t="shared" si="28" ref="BD30:BD40">AC30+AF30-BB30-BC30</f>
        <v>17390.982119999997</v>
      </c>
      <c r="BE30" s="24">
        <f aca="true" t="shared" si="29" ref="BE30:BE40">AB30-S30</f>
        <v>4670.4100000000035</v>
      </c>
    </row>
    <row r="31" spans="1:57" ht="12.75">
      <c r="A31" s="15" t="s">
        <v>48</v>
      </c>
      <c r="B31" s="158">
        <v>5512.98</v>
      </c>
      <c r="C31" s="140">
        <f aca="true" t="shared" si="30" ref="C31:C40">B31*8.65</f>
        <v>47687.276999999995</v>
      </c>
      <c r="D31" s="141">
        <f aca="true" t="shared" si="31" ref="D31:D40">C31-E31-F31-G31-H31-I31-J31-K31-L31-M31-N31</f>
        <v>4133.8469999999925</v>
      </c>
      <c r="E31" s="142">
        <v>4293.08</v>
      </c>
      <c r="F31" s="142">
        <v>733.77</v>
      </c>
      <c r="G31" s="142">
        <v>5815.45</v>
      </c>
      <c r="H31" s="142">
        <v>994.55</v>
      </c>
      <c r="I31" s="142">
        <v>13972.4</v>
      </c>
      <c r="J31" s="142">
        <v>2388.58</v>
      </c>
      <c r="K31" s="142">
        <v>9679.26</v>
      </c>
      <c r="L31" s="142">
        <v>1654.92</v>
      </c>
      <c r="M31" s="142">
        <v>3434.46</v>
      </c>
      <c r="N31" s="142">
        <v>586.96</v>
      </c>
      <c r="O31" s="142">
        <v>0</v>
      </c>
      <c r="P31" s="143">
        <v>0</v>
      </c>
      <c r="Q31" s="143">
        <v>0</v>
      </c>
      <c r="R31" s="143">
        <v>0</v>
      </c>
      <c r="S31" s="129">
        <f t="shared" si="15"/>
        <v>37194.65</v>
      </c>
      <c r="T31" s="144">
        <f t="shared" si="16"/>
        <v>6358.780000000001</v>
      </c>
      <c r="U31" s="129">
        <v>4229.97</v>
      </c>
      <c r="V31" s="129">
        <v>5689.28</v>
      </c>
      <c r="W31" s="129">
        <v>13669.7</v>
      </c>
      <c r="X31" s="129">
        <v>9469.47</v>
      </c>
      <c r="Y31" s="129">
        <v>3360.14</v>
      </c>
      <c r="Z31" s="145">
        <v>0</v>
      </c>
      <c r="AA31" s="145">
        <v>0</v>
      </c>
      <c r="AB31" s="145">
        <f>SUM(U31:AA31)</f>
        <v>36418.56</v>
      </c>
      <c r="AC31" s="146">
        <f t="shared" si="17"/>
        <v>46911.18699999999</v>
      </c>
      <c r="AD31" s="147">
        <f t="shared" si="18"/>
        <v>0</v>
      </c>
      <c r="AE31" s="147">
        <f t="shared" si="19"/>
        <v>0</v>
      </c>
      <c r="AF31" s="147">
        <f>'[2]Т01-10'!$I$23</f>
        <v>652.54652</v>
      </c>
      <c r="AG31" s="38">
        <f t="shared" si="20"/>
        <v>3307.7879999999996</v>
      </c>
      <c r="AH31" s="38">
        <f t="shared" si="21"/>
        <v>1102.596</v>
      </c>
      <c r="AI31" s="38">
        <f t="shared" si="22"/>
        <v>5512.98</v>
      </c>
      <c r="AJ31" s="38">
        <v>0</v>
      </c>
      <c r="AK31" s="38">
        <f t="shared" si="23"/>
        <v>5402.720399999999</v>
      </c>
      <c r="AL31" s="38">
        <v>0</v>
      </c>
      <c r="AM31" s="38">
        <f t="shared" si="24"/>
        <v>12404.204999999998</v>
      </c>
      <c r="AN31" s="38">
        <v>0</v>
      </c>
      <c r="AO31" s="38"/>
      <c r="AP31" s="38"/>
      <c r="AQ31" s="148"/>
      <c r="AR31" s="148"/>
      <c r="AS31" s="119">
        <v>61306</v>
      </c>
      <c r="AT31" s="119"/>
      <c r="AU31" s="119">
        <f t="shared" si="25"/>
        <v>0</v>
      </c>
      <c r="AV31" s="149">
        <v>383</v>
      </c>
      <c r="AW31" s="150">
        <v>3.5</v>
      </c>
      <c r="AX31" s="38">
        <f>AV31*AW31*1.4</f>
        <v>1876.6999999999998</v>
      </c>
      <c r="AY31" s="151"/>
      <c r="AZ31" s="152"/>
      <c r="BA31" s="152">
        <f t="shared" si="26"/>
        <v>0</v>
      </c>
      <c r="BB31" s="152">
        <f t="shared" si="27"/>
        <v>90912.98939999999</v>
      </c>
      <c r="BC31" s="153">
        <f>'[2]Т03-10'!$M$23</f>
        <v>310.662</v>
      </c>
      <c r="BD31" s="22">
        <f t="shared" si="28"/>
        <v>-43659.91787999999</v>
      </c>
      <c r="BE31" s="24">
        <f t="shared" si="29"/>
        <v>-776.0900000000038</v>
      </c>
    </row>
    <row r="32" spans="1:57" ht="12.75">
      <c r="A32" s="109" t="s">
        <v>49</v>
      </c>
      <c r="B32" s="158">
        <v>5512.98</v>
      </c>
      <c r="C32" s="140">
        <f t="shared" si="30"/>
        <v>47687.276999999995</v>
      </c>
      <c r="D32" s="141">
        <f t="shared" si="31"/>
        <v>4177.367</v>
      </c>
      <c r="E32" s="142">
        <v>4241.91</v>
      </c>
      <c r="F32" s="142">
        <v>779.82</v>
      </c>
      <c r="G32" s="142">
        <v>5746.4</v>
      </c>
      <c r="H32" s="142">
        <v>1056.95</v>
      </c>
      <c r="I32" s="142">
        <v>13806.11</v>
      </c>
      <c r="J32" s="142">
        <v>2538.48</v>
      </c>
      <c r="K32" s="142">
        <v>9564.12</v>
      </c>
      <c r="L32" s="142">
        <v>1758.79</v>
      </c>
      <c r="M32" s="142">
        <v>3393.55</v>
      </c>
      <c r="N32" s="142">
        <v>623.78</v>
      </c>
      <c r="O32" s="142">
        <v>0</v>
      </c>
      <c r="P32" s="143">
        <v>0</v>
      </c>
      <c r="Q32" s="143"/>
      <c r="R32" s="143"/>
      <c r="S32" s="129">
        <f t="shared" si="15"/>
        <v>36752.090000000004</v>
      </c>
      <c r="T32" s="144">
        <f t="shared" si="16"/>
        <v>6757.819999999999</v>
      </c>
      <c r="U32" s="129">
        <v>2764.11</v>
      </c>
      <c r="V32" s="129">
        <v>3731.67</v>
      </c>
      <c r="W32" s="129">
        <v>8983.55</v>
      </c>
      <c r="X32" s="129">
        <v>6219.39</v>
      </c>
      <c r="Y32" s="129">
        <v>2211.34</v>
      </c>
      <c r="Z32" s="145">
        <v>0</v>
      </c>
      <c r="AA32" s="145">
        <v>0</v>
      </c>
      <c r="AB32" s="145">
        <f>SUM(U32:AA32)</f>
        <v>23910.06</v>
      </c>
      <c r="AC32" s="146">
        <f t="shared" si="17"/>
        <v>34845.247</v>
      </c>
      <c r="AD32" s="147">
        <f t="shared" si="18"/>
        <v>0</v>
      </c>
      <c r="AE32" s="147">
        <f t="shared" si="19"/>
        <v>0</v>
      </c>
      <c r="AF32" s="147">
        <f>'[3]Т04-10'!$I$23</f>
        <v>652.54652</v>
      </c>
      <c r="AG32" s="38">
        <f t="shared" si="20"/>
        <v>3307.7879999999996</v>
      </c>
      <c r="AH32" s="38">
        <f t="shared" si="21"/>
        <v>1102.596</v>
      </c>
      <c r="AI32" s="38">
        <f t="shared" si="22"/>
        <v>5512.98</v>
      </c>
      <c r="AJ32" s="38">
        <v>0</v>
      </c>
      <c r="AK32" s="38">
        <f t="shared" si="23"/>
        <v>5402.720399999999</v>
      </c>
      <c r="AL32" s="38">
        <v>0</v>
      </c>
      <c r="AM32" s="38">
        <f t="shared" si="24"/>
        <v>12404.204999999998</v>
      </c>
      <c r="AN32" s="38">
        <v>0</v>
      </c>
      <c r="AO32" s="38"/>
      <c r="AP32" s="38"/>
      <c r="AQ32" s="148">
        <v>4088</v>
      </c>
      <c r="AR32" s="148"/>
      <c r="AS32" s="119">
        <v>5476</v>
      </c>
      <c r="AT32" s="119"/>
      <c r="AU32" s="119">
        <f t="shared" si="25"/>
        <v>0</v>
      </c>
      <c r="AV32" s="149">
        <v>307</v>
      </c>
      <c r="AW32" s="150">
        <v>3.5</v>
      </c>
      <c r="AX32" s="38">
        <f>AV32*AW32*1.4</f>
        <v>1504.3</v>
      </c>
      <c r="AY32" s="151"/>
      <c r="AZ32" s="152"/>
      <c r="BA32" s="152">
        <f t="shared" si="26"/>
        <v>0</v>
      </c>
      <c r="BB32" s="152">
        <f t="shared" si="27"/>
        <v>38798.5894</v>
      </c>
      <c r="BC32" s="153">
        <f>'[3]Т04-10'!$M$23</f>
        <v>310.662</v>
      </c>
      <c r="BD32" s="22">
        <f t="shared" si="28"/>
        <v>-3611.4578799999904</v>
      </c>
      <c r="BE32" s="24">
        <f t="shared" si="29"/>
        <v>-12842.030000000002</v>
      </c>
    </row>
    <row r="33" spans="1:57" ht="12.75">
      <c r="A33" s="109" t="s">
        <v>50</v>
      </c>
      <c r="B33" s="158">
        <v>5512.98</v>
      </c>
      <c r="C33" s="140">
        <f t="shared" si="30"/>
        <v>47687.276999999995</v>
      </c>
      <c r="D33" s="141">
        <f t="shared" si="31"/>
        <v>4186.226999999996</v>
      </c>
      <c r="E33" s="142">
        <v>4256.14</v>
      </c>
      <c r="F33" s="142">
        <v>764.52</v>
      </c>
      <c r="G33" s="142">
        <v>5765.76</v>
      </c>
      <c r="H33" s="142">
        <v>1036.22</v>
      </c>
      <c r="I33" s="142">
        <v>13852.61</v>
      </c>
      <c r="J33" s="142">
        <v>2488.67</v>
      </c>
      <c r="K33" s="142">
        <v>9596.34</v>
      </c>
      <c r="L33" s="142">
        <v>1724.27</v>
      </c>
      <c r="M33" s="142">
        <v>3404.97</v>
      </c>
      <c r="N33" s="142">
        <v>611.55</v>
      </c>
      <c r="O33" s="142">
        <v>0</v>
      </c>
      <c r="P33" s="143">
        <v>0</v>
      </c>
      <c r="Q33" s="143"/>
      <c r="R33" s="143"/>
      <c r="S33" s="129">
        <f t="shared" si="15"/>
        <v>36875.82000000001</v>
      </c>
      <c r="T33" s="144">
        <f t="shared" si="16"/>
        <v>6625.23</v>
      </c>
      <c r="U33" s="159">
        <v>4131.54</v>
      </c>
      <c r="V33" s="159">
        <v>5597.3</v>
      </c>
      <c r="W33" s="159">
        <v>13447.11</v>
      </c>
      <c r="X33" s="159">
        <v>9315.6</v>
      </c>
      <c r="Y33" s="159">
        <v>3305.14</v>
      </c>
      <c r="Z33" s="160">
        <v>0</v>
      </c>
      <c r="AA33" s="160">
        <v>0</v>
      </c>
      <c r="AB33" s="145">
        <f aca="true" t="shared" si="32" ref="AB33:AB40">SUM(U33:AA33)</f>
        <v>35796.69</v>
      </c>
      <c r="AC33" s="146">
        <f t="shared" si="17"/>
        <v>46608.147</v>
      </c>
      <c r="AD33" s="147">
        <f t="shared" si="18"/>
        <v>0</v>
      </c>
      <c r="AE33" s="147">
        <f t="shared" si="19"/>
        <v>0</v>
      </c>
      <c r="AF33" s="147">
        <f>'[3]Т04-10'!$I$23</f>
        <v>652.54652</v>
      </c>
      <c r="AG33" s="38">
        <f t="shared" si="20"/>
        <v>3307.7879999999996</v>
      </c>
      <c r="AH33" s="38">
        <f t="shared" si="21"/>
        <v>1102.596</v>
      </c>
      <c r="AI33" s="38">
        <f t="shared" si="22"/>
        <v>5512.98</v>
      </c>
      <c r="AJ33" s="38">
        <v>0</v>
      </c>
      <c r="AK33" s="38">
        <f t="shared" si="23"/>
        <v>5402.720399999999</v>
      </c>
      <c r="AL33" s="38">
        <v>0</v>
      </c>
      <c r="AM33" s="38">
        <f t="shared" si="24"/>
        <v>12404.204999999998</v>
      </c>
      <c r="AN33" s="38">
        <v>0</v>
      </c>
      <c r="AO33" s="38"/>
      <c r="AP33" s="38"/>
      <c r="AQ33" s="148"/>
      <c r="AR33" s="148"/>
      <c r="AS33" s="119">
        <f>704+45547</f>
        <v>46251</v>
      </c>
      <c r="AT33" s="119"/>
      <c r="AU33" s="119">
        <f t="shared" si="25"/>
        <v>0</v>
      </c>
      <c r="AV33" s="149">
        <v>263</v>
      </c>
      <c r="AW33" s="150">
        <v>3.5</v>
      </c>
      <c r="AX33" s="38">
        <f aca="true" t="shared" si="33" ref="AX33:AX40">AV33*AW33*1.4</f>
        <v>1288.6999999999998</v>
      </c>
      <c r="AY33" s="151"/>
      <c r="AZ33" s="152"/>
      <c r="BA33" s="152">
        <f t="shared" si="26"/>
        <v>0</v>
      </c>
      <c r="BB33" s="152">
        <f t="shared" si="27"/>
        <v>75269.98939999999</v>
      </c>
      <c r="BC33" s="153">
        <f>'[3]Т04-10'!$M$23</f>
        <v>310.662</v>
      </c>
      <c r="BD33" s="22">
        <f t="shared" si="28"/>
        <v>-28319.95787999999</v>
      </c>
      <c r="BE33" s="24">
        <f t="shared" si="29"/>
        <v>-1079.1300000000047</v>
      </c>
    </row>
    <row r="34" spans="1:57" ht="12.75">
      <c r="A34" s="109" t="s">
        <v>51</v>
      </c>
      <c r="B34" s="158">
        <v>5512.98</v>
      </c>
      <c r="C34" s="140">
        <f t="shared" si="30"/>
        <v>47687.276999999995</v>
      </c>
      <c r="D34" s="141">
        <f t="shared" si="31"/>
        <v>4160.8969999999945</v>
      </c>
      <c r="E34" s="142">
        <v>4260.5</v>
      </c>
      <c r="F34" s="142">
        <v>763.14</v>
      </c>
      <c r="G34" s="142">
        <v>5771.5</v>
      </c>
      <c r="H34" s="142">
        <v>1034.36</v>
      </c>
      <c r="I34" s="142">
        <v>13866.57</v>
      </c>
      <c r="J34" s="142">
        <v>2484.25</v>
      </c>
      <c r="K34" s="142">
        <v>9605.98</v>
      </c>
      <c r="L34" s="142">
        <v>1721.19</v>
      </c>
      <c r="M34" s="142">
        <v>3408.44</v>
      </c>
      <c r="N34" s="142">
        <v>610.45</v>
      </c>
      <c r="O34" s="142">
        <v>0</v>
      </c>
      <c r="P34" s="143">
        <v>0</v>
      </c>
      <c r="Q34" s="142">
        <v>0</v>
      </c>
      <c r="R34" s="143">
        <v>0</v>
      </c>
      <c r="S34" s="129">
        <f t="shared" si="15"/>
        <v>36912.990000000005</v>
      </c>
      <c r="T34" s="144">
        <f t="shared" si="16"/>
        <v>6613.39</v>
      </c>
      <c r="U34" s="129">
        <v>4131.15</v>
      </c>
      <c r="V34" s="129">
        <v>5579.97</v>
      </c>
      <c r="W34" s="129">
        <v>13408.3</v>
      </c>
      <c r="X34" s="129">
        <v>9288.02</v>
      </c>
      <c r="Y34" s="129">
        <v>3296.13</v>
      </c>
      <c r="Z34" s="145">
        <v>0</v>
      </c>
      <c r="AA34" s="145">
        <v>0</v>
      </c>
      <c r="AB34" s="145">
        <f t="shared" si="32"/>
        <v>35703.57</v>
      </c>
      <c r="AC34" s="146">
        <f t="shared" si="17"/>
        <v>46477.856999999996</v>
      </c>
      <c r="AD34" s="147">
        <f t="shared" si="18"/>
        <v>0</v>
      </c>
      <c r="AE34" s="147">
        <f t="shared" si="19"/>
        <v>0</v>
      </c>
      <c r="AF34" s="147">
        <f>'[4]Т06-10'!$I$23</f>
        <v>0</v>
      </c>
      <c r="AG34" s="38">
        <f t="shared" si="20"/>
        <v>3307.7879999999996</v>
      </c>
      <c r="AH34" s="38">
        <f t="shared" si="21"/>
        <v>1102.596</v>
      </c>
      <c r="AI34" s="38">
        <f t="shared" si="22"/>
        <v>5512.98</v>
      </c>
      <c r="AJ34" s="38">
        <v>0</v>
      </c>
      <c r="AK34" s="38">
        <f t="shared" si="23"/>
        <v>5402.720399999999</v>
      </c>
      <c r="AL34" s="38">
        <v>0</v>
      </c>
      <c r="AM34" s="38">
        <f t="shared" si="24"/>
        <v>12404.204999999998</v>
      </c>
      <c r="AN34" s="38">
        <v>0</v>
      </c>
      <c r="AO34" s="38"/>
      <c r="AP34" s="38"/>
      <c r="AQ34" s="148"/>
      <c r="AR34" s="148"/>
      <c r="AS34" s="119">
        <v>5556</v>
      </c>
      <c r="AT34" s="119"/>
      <c r="AU34" s="119">
        <f t="shared" si="25"/>
        <v>0</v>
      </c>
      <c r="AV34" s="149">
        <v>233</v>
      </c>
      <c r="AW34" s="150">
        <v>3.5</v>
      </c>
      <c r="AX34" s="38">
        <f t="shared" si="33"/>
        <v>1141.6999999999998</v>
      </c>
      <c r="AY34" s="151"/>
      <c r="AZ34" s="152"/>
      <c r="BA34" s="152">
        <f t="shared" si="26"/>
        <v>0</v>
      </c>
      <c r="BB34" s="152">
        <f t="shared" si="27"/>
        <v>34427.98939999999</v>
      </c>
      <c r="BC34" s="153">
        <f>'[3]Т06-10'!$M$23</f>
        <v>310.662</v>
      </c>
      <c r="BD34" s="22">
        <f t="shared" si="28"/>
        <v>11739.205600000005</v>
      </c>
      <c r="BE34" s="24">
        <f t="shared" si="29"/>
        <v>-1209.4200000000055</v>
      </c>
    </row>
    <row r="35" spans="1:57" ht="12.75">
      <c r="A35" s="109" t="s">
        <v>52</v>
      </c>
      <c r="B35" s="158">
        <v>5512.98</v>
      </c>
      <c r="C35" s="140">
        <f t="shared" si="30"/>
        <v>47687.276999999995</v>
      </c>
      <c r="D35" s="141">
        <f t="shared" si="31"/>
        <v>4162.31699999999</v>
      </c>
      <c r="E35" s="161">
        <v>5023.48</v>
      </c>
      <c r="F35" s="142">
        <v>0</v>
      </c>
      <c r="G35" s="142">
        <v>6805.61</v>
      </c>
      <c r="H35" s="142">
        <v>0</v>
      </c>
      <c r="I35" s="142">
        <v>16350.29</v>
      </c>
      <c r="J35" s="142">
        <v>0</v>
      </c>
      <c r="K35" s="142">
        <v>11326.8</v>
      </c>
      <c r="L35" s="142">
        <v>0</v>
      </c>
      <c r="M35" s="142">
        <v>4018.78</v>
      </c>
      <c r="N35" s="142">
        <v>0</v>
      </c>
      <c r="O35" s="142">
        <v>0</v>
      </c>
      <c r="P35" s="143">
        <v>0</v>
      </c>
      <c r="Q35" s="143"/>
      <c r="R35" s="143"/>
      <c r="S35" s="129">
        <f t="shared" si="15"/>
        <v>43524.96</v>
      </c>
      <c r="T35" s="144">
        <f t="shared" si="16"/>
        <v>0</v>
      </c>
      <c r="U35" s="162">
        <v>3944.24</v>
      </c>
      <c r="V35" s="129">
        <v>5343.2</v>
      </c>
      <c r="W35" s="129">
        <v>12837.24</v>
      </c>
      <c r="X35" s="129">
        <v>8892.97</v>
      </c>
      <c r="Y35" s="129">
        <v>3155.28</v>
      </c>
      <c r="Z35" s="145">
        <v>0</v>
      </c>
      <c r="AA35" s="145">
        <v>0</v>
      </c>
      <c r="AB35" s="145">
        <f t="shared" si="32"/>
        <v>34172.93</v>
      </c>
      <c r="AC35" s="146">
        <f t="shared" si="17"/>
        <v>38335.24699999999</v>
      </c>
      <c r="AD35" s="147">
        <f t="shared" si="18"/>
        <v>0</v>
      </c>
      <c r="AE35" s="147">
        <f t="shared" si="19"/>
        <v>0</v>
      </c>
      <c r="AF35" s="147">
        <f>'[4]Т07-10'!$I$22</f>
        <v>0</v>
      </c>
      <c r="AG35" s="38">
        <f t="shared" si="20"/>
        <v>3307.7879999999996</v>
      </c>
      <c r="AH35" s="38">
        <f t="shared" si="21"/>
        <v>1102.596</v>
      </c>
      <c r="AI35" s="38">
        <f t="shared" si="22"/>
        <v>5512.98</v>
      </c>
      <c r="AJ35" s="38">
        <v>0</v>
      </c>
      <c r="AK35" s="38">
        <f t="shared" si="23"/>
        <v>5402.720399999999</v>
      </c>
      <c r="AL35" s="38">
        <v>0</v>
      </c>
      <c r="AM35" s="38">
        <f t="shared" si="24"/>
        <v>12404.204999999998</v>
      </c>
      <c r="AN35" s="38">
        <v>0</v>
      </c>
      <c r="AO35" s="38"/>
      <c r="AP35" s="38"/>
      <c r="AQ35" s="148"/>
      <c r="AR35" s="148"/>
      <c r="AS35" s="119"/>
      <c r="AT35" s="119"/>
      <c r="AU35" s="119">
        <f t="shared" si="25"/>
        <v>0</v>
      </c>
      <c r="AV35" s="149">
        <v>248</v>
      </c>
      <c r="AW35" s="150">
        <v>3.5</v>
      </c>
      <c r="AX35" s="38">
        <f t="shared" si="33"/>
        <v>1215.1999999999998</v>
      </c>
      <c r="AY35" s="151"/>
      <c r="AZ35" s="152"/>
      <c r="BA35" s="152">
        <f t="shared" si="26"/>
        <v>0</v>
      </c>
      <c r="BB35" s="152">
        <f t="shared" si="27"/>
        <v>28945.4894</v>
      </c>
      <c r="BC35" s="153">
        <f>'[3]Т06-10'!$M$23</f>
        <v>310.662</v>
      </c>
      <c r="BD35" s="22">
        <f t="shared" si="28"/>
        <v>9079.09559999999</v>
      </c>
      <c r="BE35" s="24">
        <f t="shared" si="29"/>
        <v>-9352.029999999999</v>
      </c>
    </row>
    <row r="36" spans="1:57" ht="12.75">
      <c r="A36" s="109" t="s">
        <v>53</v>
      </c>
      <c r="B36" s="158">
        <v>5512.98</v>
      </c>
      <c r="C36" s="140">
        <f t="shared" si="30"/>
        <v>47687.276999999995</v>
      </c>
      <c r="D36" s="141">
        <f t="shared" si="31"/>
        <v>4157.036999999997</v>
      </c>
      <c r="E36" s="161">
        <v>5024.1</v>
      </c>
      <c r="F36" s="142">
        <v>0</v>
      </c>
      <c r="G36" s="142">
        <v>6806.42</v>
      </c>
      <c r="H36" s="142">
        <v>0</v>
      </c>
      <c r="I36" s="142">
        <v>16352.27</v>
      </c>
      <c r="J36" s="142">
        <v>0</v>
      </c>
      <c r="K36" s="142">
        <v>11328.17</v>
      </c>
      <c r="L36" s="142">
        <v>0</v>
      </c>
      <c r="M36" s="142">
        <v>4019.28</v>
      </c>
      <c r="N36" s="142">
        <v>0</v>
      </c>
      <c r="O36" s="142">
        <v>0</v>
      </c>
      <c r="P36" s="143">
        <v>0</v>
      </c>
      <c r="Q36" s="143"/>
      <c r="R36" s="143"/>
      <c r="S36" s="129">
        <f t="shared" si="15"/>
        <v>43530.24</v>
      </c>
      <c r="T36" s="144">
        <f t="shared" si="16"/>
        <v>0</v>
      </c>
      <c r="U36" s="159">
        <v>5424.36</v>
      </c>
      <c r="V36" s="159">
        <v>7334.87</v>
      </c>
      <c r="W36" s="159">
        <v>17645.89</v>
      </c>
      <c r="X36" s="159">
        <v>12224.37</v>
      </c>
      <c r="Y36" s="159">
        <v>4332.5</v>
      </c>
      <c r="Z36" s="160">
        <v>0</v>
      </c>
      <c r="AA36" s="160">
        <v>0</v>
      </c>
      <c r="AB36" s="145">
        <f t="shared" si="32"/>
        <v>46961.99</v>
      </c>
      <c r="AC36" s="146">
        <f t="shared" si="17"/>
        <v>51119.026999999995</v>
      </c>
      <c r="AD36" s="147">
        <f t="shared" si="18"/>
        <v>0</v>
      </c>
      <c r="AE36" s="147">
        <f t="shared" si="19"/>
        <v>0</v>
      </c>
      <c r="AF36" s="147">
        <f>'[4]Т07-10'!$I$22</f>
        <v>0</v>
      </c>
      <c r="AG36" s="38">
        <f t="shared" si="20"/>
        <v>3307.7879999999996</v>
      </c>
      <c r="AH36" s="38">
        <f t="shared" si="21"/>
        <v>1102.596</v>
      </c>
      <c r="AI36" s="38">
        <f t="shared" si="22"/>
        <v>5512.98</v>
      </c>
      <c r="AJ36" s="38">
        <v>0</v>
      </c>
      <c r="AK36" s="38">
        <f t="shared" si="23"/>
        <v>5402.720399999999</v>
      </c>
      <c r="AL36" s="38">
        <v>0</v>
      </c>
      <c r="AM36" s="38">
        <f t="shared" si="24"/>
        <v>12404.204999999998</v>
      </c>
      <c r="AN36" s="38">
        <v>0</v>
      </c>
      <c r="AO36" s="38"/>
      <c r="AP36" s="38"/>
      <c r="AQ36" s="148"/>
      <c r="AR36" s="148"/>
      <c r="AS36" s="119">
        <v>1988</v>
      </c>
      <c r="AT36" s="119">
        <f>47.8+42</f>
        <v>89.8</v>
      </c>
      <c r="AU36" s="119">
        <f t="shared" si="25"/>
        <v>16.163999999999998</v>
      </c>
      <c r="AV36" s="149">
        <v>293</v>
      </c>
      <c r="AW36" s="150">
        <v>3.5</v>
      </c>
      <c r="AX36" s="38">
        <f t="shared" si="33"/>
        <v>1435.6999999999998</v>
      </c>
      <c r="AY36" s="151"/>
      <c r="AZ36" s="152"/>
      <c r="BA36" s="152">
        <f t="shared" si="26"/>
        <v>0</v>
      </c>
      <c r="BB36" s="152">
        <f t="shared" si="27"/>
        <v>31259.9534</v>
      </c>
      <c r="BC36" s="153">
        <f>'[3]Т06-10'!$M$23</f>
        <v>310.662</v>
      </c>
      <c r="BD36" s="22">
        <f t="shared" si="28"/>
        <v>19548.411599999996</v>
      </c>
      <c r="BE36" s="24">
        <f t="shared" si="29"/>
        <v>3431.75</v>
      </c>
    </row>
    <row r="37" spans="1:57" ht="12.75">
      <c r="A37" s="109" t="s">
        <v>54</v>
      </c>
      <c r="B37" s="158">
        <v>5512.98</v>
      </c>
      <c r="C37" s="140">
        <f t="shared" si="30"/>
        <v>47687.276999999995</v>
      </c>
      <c r="D37" s="141">
        <f t="shared" si="31"/>
        <v>4157.036999999997</v>
      </c>
      <c r="E37" s="142">
        <v>5024.1</v>
      </c>
      <c r="F37" s="142">
        <v>0</v>
      </c>
      <c r="G37" s="142">
        <v>6806.42</v>
      </c>
      <c r="H37" s="142">
        <v>0</v>
      </c>
      <c r="I37" s="142">
        <v>16352.27</v>
      </c>
      <c r="J37" s="142">
        <v>0</v>
      </c>
      <c r="K37" s="142">
        <v>11328.17</v>
      </c>
      <c r="L37" s="142">
        <v>0</v>
      </c>
      <c r="M37" s="142">
        <v>4019.28</v>
      </c>
      <c r="N37" s="142">
        <v>0</v>
      </c>
      <c r="O37" s="142">
        <v>0</v>
      </c>
      <c r="P37" s="143">
        <v>0</v>
      </c>
      <c r="Q37" s="143"/>
      <c r="R37" s="143"/>
      <c r="S37" s="129">
        <f t="shared" si="15"/>
        <v>43530.24</v>
      </c>
      <c r="T37" s="144">
        <f t="shared" si="16"/>
        <v>0</v>
      </c>
      <c r="U37" s="129">
        <v>4713.48</v>
      </c>
      <c r="V37" s="129">
        <v>6385.16</v>
      </c>
      <c r="W37" s="129">
        <v>15319.53</v>
      </c>
      <c r="X37" s="129">
        <v>10611.99</v>
      </c>
      <c r="Y37" s="129">
        <v>3770.79</v>
      </c>
      <c r="Z37" s="145">
        <v>0</v>
      </c>
      <c r="AA37" s="145">
        <v>0</v>
      </c>
      <c r="AB37" s="145">
        <f t="shared" si="32"/>
        <v>40800.95</v>
      </c>
      <c r="AC37" s="146">
        <f t="shared" si="17"/>
        <v>44957.986999999994</v>
      </c>
      <c r="AD37" s="147">
        <f t="shared" si="18"/>
        <v>0</v>
      </c>
      <c r="AE37" s="147">
        <f t="shared" si="19"/>
        <v>0</v>
      </c>
      <c r="AF37" s="147">
        <f>'[4]Т09-10'!$I$22</f>
        <v>2610.19608</v>
      </c>
      <c r="AG37" s="38">
        <f t="shared" si="20"/>
        <v>3307.7879999999996</v>
      </c>
      <c r="AH37" s="38">
        <f t="shared" si="21"/>
        <v>1102.596</v>
      </c>
      <c r="AI37" s="38">
        <f t="shared" si="22"/>
        <v>5512.98</v>
      </c>
      <c r="AJ37" s="38">
        <v>0</v>
      </c>
      <c r="AK37" s="38">
        <f t="shared" si="23"/>
        <v>5402.720399999999</v>
      </c>
      <c r="AL37" s="38">
        <v>0</v>
      </c>
      <c r="AM37" s="38">
        <f t="shared" si="24"/>
        <v>12404.204999999998</v>
      </c>
      <c r="AN37" s="38">
        <v>0</v>
      </c>
      <c r="AO37" s="38"/>
      <c r="AP37" s="38"/>
      <c r="AQ37" s="148"/>
      <c r="AR37" s="148"/>
      <c r="AS37" s="119">
        <v>16726</v>
      </c>
      <c r="AT37" s="119"/>
      <c r="AU37" s="135">
        <f t="shared" si="25"/>
        <v>0</v>
      </c>
      <c r="AV37" s="149">
        <v>349</v>
      </c>
      <c r="AW37" s="150">
        <v>3.5</v>
      </c>
      <c r="AX37" s="38">
        <f t="shared" si="33"/>
        <v>1710.1</v>
      </c>
      <c r="AY37" s="151"/>
      <c r="AZ37" s="152"/>
      <c r="BA37" s="152">
        <f t="shared" si="26"/>
        <v>0</v>
      </c>
      <c r="BB37" s="152">
        <f t="shared" si="27"/>
        <v>46166.38939999999</v>
      </c>
      <c r="BC37" s="153">
        <f>'[3]Т06-10'!$M$23</f>
        <v>310.662</v>
      </c>
      <c r="BD37" s="22">
        <f t="shared" si="28"/>
        <v>1091.1316800000025</v>
      </c>
      <c r="BE37" s="24">
        <f t="shared" si="29"/>
        <v>-2729.290000000001</v>
      </c>
    </row>
    <row r="38" spans="1:57" ht="12.75">
      <c r="A38" s="109" t="s">
        <v>42</v>
      </c>
      <c r="B38" s="158">
        <v>5512.98</v>
      </c>
      <c r="C38" s="140">
        <f t="shared" si="30"/>
        <v>47687.276999999995</v>
      </c>
      <c r="D38" s="141">
        <f t="shared" si="31"/>
        <v>4169.616999999991</v>
      </c>
      <c r="E38" s="163">
        <v>5022.62</v>
      </c>
      <c r="F38" s="163">
        <v>0</v>
      </c>
      <c r="G38" s="163">
        <v>6804.51</v>
      </c>
      <c r="H38" s="163">
        <v>0</v>
      </c>
      <c r="I38" s="163">
        <v>16347.53</v>
      </c>
      <c r="J38" s="163">
        <v>0</v>
      </c>
      <c r="K38" s="163">
        <v>11324.9</v>
      </c>
      <c r="L38" s="163">
        <v>0</v>
      </c>
      <c r="M38" s="163">
        <v>4018.1</v>
      </c>
      <c r="N38" s="163">
        <v>0</v>
      </c>
      <c r="O38" s="163">
        <v>0</v>
      </c>
      <c r="P38" s="164">
        <v>0</v>
      </c>
      <c r="Q38" s="164"/>
      <c r="R38" s="164"/>
      <c r="S38" s="129">
        <f t="shared" si="15"/>
        <v>43517.66</v>
      </c>
      <c r="T38" s="144">
        <f t="shared" si="16"/>
        <v>0</v>
      </c>
      <c r="U38" s="129">
        <v>4219.04</v>
      </c>
      <c r="V38" s="129">
        <v>5715.99</v>
      </c>
      <c r="W38" s="129">
        <v>14432.18</v>
      </c>
      <c r="X38" s="129">
        <v>9513.23</v>
      </c>
      <c r="Y38" s="129">
        <v>3375.26</v>
      </c>
      <c r="Z38" s="145">
        <v>0</v>
      </c>
      <c r="AA38" s="145">
        <v>0</v>
      </c>
      <c r="AB38" s="145">
        <f t="shared" si="32"/>
        <v>37255.700000000004</v>
      </c>
      <c r="AC38" s="146">
        <f t="shared" si="17"/>
        <v>41425.316999999995</v>
      </c>
      <c r="AD38" s="147">
        <f t="shared" si="18"/>
        <v>0</v>
      </c>
      <c r="AE38" s="147">
        <f t="shared" si="19"/>
        <v>0</v>
      </c>
      <c r="AF38" s="147">
        <f>'[4]Т10-10'!$I$22</f>
        <v>652.54652</v>
      </c>
      <c r="AG38" s="38">
        <f t="shared" si="20"/>
        <v>3307.7879999999996</v>
      </c>
      <c r="AH38" s="38">
        <f t="shared" si="21"/>
        <v>1102.596</v>
      </c>
      <c r="AI38" s="38">
        <f t="shared" si="22"/>
        <v>5512.98</v>
      </c>
      <c r="AJ38" s="38">
        <v>0</v>
      </c>
      <c r="AK38" s="38">
        <f t="shared" si="23"/>
        <v>5402.720399999999</v>
      </c>
      <c r="AL38" s="38">
        <v>0</v>
      </c>
      <c r="AM38" s="38">
        <f t="shared" si="24"/>
        <v>12404.204999999998</v>
      </c>
      <c r="AN38" s="38">
        <v>0</v>
      </c>
      <c r="AO38" s="38"/>
      <c r="AP38" s="38"/>
      <c r="AQ38" s="148"/>
      <c r="AR38" s="148"/>
      <c r="AS38" s="119">
        <v>2664</v>
      </c>
      <c r="AT38" s="119"/>
      <c r="AU38" s="119">
        <f t="shared" si="25"/>
        <v>0</v>
      </c>
      <c r="AV38" s="149">
        <v>425</v>
      </c>
      <c r="AW38" s="150">
        <v>3.5</v>
      </c>
      <c r="AX38" s="38">
        <f t="shared" si="33"/>
        <v>2082.5</v>
      </c>
      <c r="AY38" s="151"/>
      <c r="AZ38" s="152"/>
      <c r="BA38" s="152">
        <f t="shared" si="26"/>
        <v>0</v>
      </c>
      <c r="BB38" s="152">
        <f t="shared" si="27"/>
        <v>32476.789399999994</v>
      </c>
      <c r="BC38" s="153">
        <f>'[4]Т10-10'!$M$22</f>
        <v>310.662</v>
      </c>
      <c r="BD38" s="22">
        <f t="shared" si="28"/>
        <v>9290.412120000005</v>
      </c>
      <c r="BE38" s="24">
        <f t="shared" si="29"/>
        <v>-6261.959999999999</v>
      </c>
    </row>
    <row r="39" spans="1:57" ht="12.75">
      <c r="A39" s="109" t="s">
        <v>43</v>
      </c>
      <c r="B39" s="158">
        <v>5512.98</v>
      </c>
      <c r="C39" s="140">
        <f t="shared" si="30"/>
        <v>47687.276999999995</v>
      </c>
      <c r="D39" s="141">
        <f t="shared" si="31"/>
        <v>4171.016999999994</v>
      </c>
      <c r="E39" s="142">
        <v>5022.42</v>
      </c>
      <c r="F39" s="142">
        <v>0</v>
      </c>
      <c r="G39" s="142">
        <v>6804.3</v>
      </c>
      <c r="H39" s="142">
        <v>0</v>
      </c>
      <c r="I39" s="142">
        <v>16347.02</v>
      </c>
      <c r="J39" s="142">
        <v>0</v>
      </c>
      <c r="K39" s="142">
        <v>11324.55</v>
      </c>
      <c r="L39" s="142">
        <v>0</v>
      </c>
      <c r="M39" s="142">
        <v>4017.97</v>
      </c>
      <c r="N39" s="142">
        <v>0</v>
      </c>
      <c r="O39" s="142">
        <v>0</v>
      </c>
      <c r="P39" s="143">
        <v>0</v>
      </c>
      <c r="Q39" s="143"/>
      <c r="R39" s="143"/>
      <c r="S39" s="129">
        <f t="shared" si="15"/>
        <v>43516.26</v>
      </c>
      <c r="T39" s="144">
        <f t="shared" si="16"/>
        <v>0</v>
      </c>
      <c r="U39" s="162">
        <v>4580.07</v>
      </c>
      <c r="V39" s="129">
        <v>6205.57</v>
      </c>
      <c r="W39" s="129">
        <v>14753.49</v>
      </c>
      <c r="X39" s="129">
        <v>10327.53</v>
      </c>
      <c r="Y39" s="129">
        <v>3664.07</v>
      </c>
      <c r="Z39" s="145">
        <v>0</v>
      </c>
      <c r="AA39" s="145">
        <v>0</v>
      </c>
      <c r="AB39" s="145">
        <f t="shared" si="32"/>
        <v>39530.729999999996</v>
      </c>
      <c r="AC39" s="146">
        <f t="shared" si="17"/>
        <v>43701.74699999999</v>
      </c>
      <c r="AD39" s="147">
        <f t="shared" si="18"/>
        <v>0</v>
      </c>
      <c r="AE39" s="147">
        <f t="shared" si="19"/>
        <v>0</v>
      </c>
      <c r="AF39" s="147">
        <f>'[4]Т10-10'!$I$22</f>
        <v>652.54652</v>
      </c>
      <c r="AG39" s="38">
        <f t="shared" si="20"/>
        <v>3307.7879999999996</v>
      </c>
      <c r="AH39" s="38">
        <f t="shared" si="21"/>
        <v>1102.596</v>
      </c>
      <c r="AI39" s="38">
        <f t="shared" si="22"/>
        <v>5512.98</v>
      </c>
      <c r="AJ39" s="38">
        <v>0</v>
      </c>
      <c r="AK39" s="38">
        <f t="shared" si="23"/>
        <v>5402.720399999999</v>
      </c>
      <c r="AL39" s="38">
        <v>0</v>
      </c>
      <c r="AM39" s="38">
        <f t="shared" si="24"/>
        <v>12404.204999999998</v>
      </c>
      <c r="AN39" s="38">
        <v>0</v>
      </c>
      <c r="AO39" s="38"/>
      <c r="AP39" s="38"/>
      <c r="AQ39" s="148"/>
      <c r="AR39" s="148"/>
      <c r="AS39" s="119"/>
      <c r="AT39" s="119"/>
      <c r="AU39" s="119">
        <f t="shared" si="25"/>
        <v>0</v>
      </c>
      <c r="AV39" s="149">
        <v>470</v>
      </c>
      <c r="AW39" s="150">
        <v>3.5</v>
      </c>
      <c r="AX39" s="38">
        <f t="shared" si="33"/>
        <v>2303</v>
      </c>
      <c r="AY39" s="151"/>
      <c r="AZ39" s="152"/>
      <c r="BA39" s="152">
        <f t="shared" si="26"/>
        <v>0</v>
      </c>
      <c r="BB39" s="152">
        <f t="shared" si="27"/>
        <v>30033.289399999998</v>
      </c>
      <c r="BC39" s="153">
        <f>'[4]Т10-10'!$M$22</f>
        <v>310.662</v>
      </c>
      <c r="BD39" s="22">
        <f t="shared" si="28"/>
        <v>14010.342119999994</v>
      </c>
      <c r="BE39" s="24">
        <f t="shared" si="29"/>
        <v>-3985.530000000006</v>
      </c>
    </row>
    <row r="40" spans="1:57" ht="12.75">
      <c r="A40" s="109" t="s">
        <v>44</v>
      </c>
      <c r="B40" s="158">
        <v>5512.98</v>
      </c>
      <c r="C40" s="140">
        <f t="shared" si="30"/>
        <v>47687.276999999995</v>
      </c>
      <c r="D40" s="141">
        <f t="shared" si="31"/>
        <v>4144.696999999997</v>
      </c>
      <c r="E40" s="142">
        <v>5025.57</v>
      </c>
      <c r="F40" s="142">
        <v>0</v>
      </c>
      <c r="G40" s="142">
        <v>6808.31</v>
      </c>
      <c r="H40" s="142">
        <v>0</v>
      </c>
      <c r="I40" s="142">
        <v>16356.91</v>
      </c>
      <c r="J40" s="142">
        <v>0</v>
      </c>
      <c r="K40" s="142">
        <v>11331.34</v>
      </c>
      <c r="L40" s="142">
        <v>0</v>
      </c>
      <c r="M40" s="142">
        <v>4020.45</v>
      </c>
      <c r="N40" s="142">
        <v>0</v>
      </c>
      <c r="O40" s="142">
        <v>0</v>
      </c>
      <c r="P40" s="143">
        <v>0</v>
      </c>
      <c r="Q40" s="143"/>
      <c r="R40" s="143"/>
      <c r="S40" s="129">
        <f t="shared" si="15"/>
        <v>43542.58</v>
      </c>
      <c r="T40" s="144">
        <f t="shared" si="16"/>
        <v>0</v>
      </c>
      <c r="U40" s="129">
        <v>6697.62</v>
      </c>
      <c r="V40" s="129">
        <v>9073.92</v>
      </c>
      <c r="W40" s="129">
        <v>21600.94</v>
      </c>
      <c r="X40" s="129">
        <v>15101.88</v>
      </c>
      <c r="Y40" s="129">
        <v>5358.12</v>
      </c>
      <c r="Z40" s="145">
        <v>0</v>
      </c>
      <c r="AA40" s="145">
        <v>0</v>
      </c>
      <c r="AB40" s="145">
        <f t="shared" si="32"/>
        <v>57832.479999999996</v>
      </c>
      <c r="AC40" s="146">
        <f t="shared" si="17"/>
        <v>61977.176999999996</v>
      </c>
      <c r="AD40" s="147">
        <f t="shared" si="18"/>
        <v>0</v>
      </c>
      <c r="AE40" s="147">
        <f t="shared" si="19"/>
        <v>0</v>
      </c>
      <c r="AF40" s="147">
        <f>'[4]Т10-10'!$I$22</f>
        <v>652.54652</v>
      </c>
      <c r="AG40" s="38">
        <f t="shared" si="20"/>
        <v>3307.7879999999996</v>
      </c>
      <c r="AH40" s="38">
        <f t="shared" si="21"/>
        <v>1102.596</v>
      </c>
      <c r="AI40" s="38">
        <f t="shared" si="22"/>
        <v>5512.98</v>
      </c>
      <c r="AJ40" s="38">
        <v>0</v>
      </c>
      <c r="AK40" s="38">
        <f t="shared" si="23"/>
        <v>5402.720399999999</v>
      </c>
      <c r="AL40" s="38">
        <v>0</v>
      </c>
      <c r="AM40" s="38">
        <f t="shared" si="24"/>
        <v>12404.204999999998</v>
      </c>
      <c r="AN40" s="38">
        <v>0</v>
      </c>
      <c r="AO40" s="38"/>
      <c r="AP40" s="38"/>
      <c r="AQ40" s="148"/>
      <c r="AR40" s="148"/>
      <c r="AS40" s="119">
        <v>41208</v>
      </c>
      <c r="AT40" s="119">
        <v>861.93</v>
      </c>
      <c r="AU40" s="119">
        <f t="shared" si="25"/>
        <v>155.14739999999998</v>
      </c>
      <c r="AV40" s="149">
        <v>514</v>
      </c>
      <c r="AW40" s="150">
        <v>3.5</v>
      </c>
      <c r="AX40" s="38">
        <f t="shared" si="33"/>
        <v>2518.6</v>
      </c>
      <c r="AY40" s="151"/>
      <c r="AZ40" s="152"/>
      <c r="BA40" s="152">
        <f t="shared" si="26"/>
        <v>0</v>
      </c>
      <c r="BB40" s="152">
        <f t="shared" si="27"/>
        <v>72473.9668</v>
      </c>
      <c r="BC40" s="153">
        <f>'[4]Т10-10'!$M$22</f>
        <v>310.662</v>
      </c>
      <c r="BD40" s="22">
        <f t="shared" si="28"/>
        <v>-10154.905279999995</v>
      </c>
      <c r="BE40" s="24">
        <f t="shared" si="29"/>
        <v>14289.899999999994</v>
      </c>
    </row>
    <row r="41" spans="1:57" ht="12.75">
      <c r="A41" s="25" t="s">
        <v>5</v>
      </c>
      <c r="B41" s="34"/>
      <c r="C41" s="106">
        <f aca="true" t="shared" si="34" ref="C41:AT41">SUM(C29:C40)</f>
        <v>572247.3239999999</v>
      </c>
      <c r="D41" s="106">
        <f t="shared" si="34"/>
        <v>50062.31399999993</v>
      </c>
      <c r="E41" s="106">
        <f t="shared" si="34"/>
        <v>55667.61</v>
      </c>
      <c r="F41" s="106">
        <f t="shared" si="34"/>
        <v>4600.72</v>
      </c>
      <c r="G41" s="106">
        <f t="shared" si="34"/>
        <v>75414.2</v>
      </c>
      <c r="H41" s="106">
        <f t="shared" si="34"/>
        <v>6235.88</v>
      </c>
      <c r="I41" s="106">
        <f t="shared" si="34"/>
        <v>181183.57</v>
      </c>
      <c r="J41" s="106">
        <f t="shared" si="34"/>
        <v>14976.63</v>
      </c>
      <c r="K41" s="106">
        <f t="shared" si="34"/>
        <v>125515.45999999999</v>
      </c>
      <c r="L41" s="106">
        <f t="shared" si="34"/>
        <v>10376.51</v>
      </c>
      <c r="M41" s="106">
        <f t="shared" si="34"/>
        <v>44534.20999999999</v>
      </c>
      <c r="N41" s="106">
        <f t="shared" si="34"/>
        <v>3680.2200000000003</v>
      </c>
      <c r="O41" s="106">
        <f t="shared" si="34"/>
        <v>0</v>
      </c>
      <c r="P41" s="106">
        <f t="shared" si="34"/>
        <v>0</v>
      </c>
      <c r="Q41" s="106">
        <f t="shared" si="34"/>
        <v>0</v>
      </c>
      <c r="R41" s="106">
        <f t="shared" si="34"/>
        <v>0</v>
      </c>
      <c r="S41" s="106">
        <f t="shared" si="34"/>
        <v>482315.05</v>
      </c>
      <c r="T41" s="106">
        <f t="shared" si="34"/>
        <v>39869.96</v>
      </c>
      <c r="U41" s="106">
        <f t="shared" si="34"/>
        <v>52856.08000000001</v>
      </c>
      <c r="V41" s="106">
        <f t="shared" si="34"/>
        <v>71497.06999999999</v>
      </c>
      <c r="W41" s="106">
        <f t="shared" si="34"/>
        <v>172144.61000000002</v>
      </c>
      <c r="X41" s="106">
        <f t="shared" si="34"/>
        <v>119007.51</v>
      </c>
      <c r="Y41" s="106">
        <f t="shared" si="34"/>
        <v>42231.55</v>
      </c>
      <c r="Z41" s="106">
        <f t="shared" si="34"/>
        <v>0</v>
      </c>
      <c r="AA41" s="106">
        <f t="shared" si="34"/>
        <v>0</v>
      </c>
      <c r="AB41" s="106">
        <f t="shared" si="34"/>
        <v>457736.82</v>
      </c>
      <c r="AC41" s="106">
        <f t="shared" si="34"/>
        <v>547669.0939999998</v>
      </c>
      <c r="AD41" s="106">
        <f t="shared" si="34"/>
        <v>0</v>
      </c>
      <c r="AE41" s="106">
        <f t="shared" si="34"/>
        <v>0</v>
      </c>
      <c r="AF41" s="106">
        <f t="shared" si="34"/>
        <v>7830.56824</v>
      </c>
      <c r="AG41" s="106">
        <f t="shared" si="34"/>
        <v>39693.456</v>
      </c>
      <c r="AH41" s="106">
        <f t="shared" si="34"/>
        <v>13231.151999999996</v>
      </c>
      <c r="AI41" s="106">
        <f t="shared" si="34"/>
        <v>66155.75999999998</v>
      </c>
      <c r="AJ41" s="106">
        <f t="shared" si="34"/>
        <v>0</v>
      </c>
      <c r="AK41" s="106">
        <f t="shared" si="34"/>
        <v>64832.64479999999</v>
      </c>
      <c r="AL41" s="106">
        <f t="shared" si="34"/>
        <v>0</v>
      </c>
      <c r="AM41" s="106">
        <f t="shared" si="34"/>
        <v>148850.46</v>
      </c>
      <c r="AN41" s="106">
        <f t="shared" si="34"/>
        <v>0</v>
      </c>
      <c r="AO41" s="106">
        <f t="shared" si="34"/>
        <v>0</v>
      </c>
      <c r="AP41" s="106">
        <f t="shared" si="34"/>
        <v>0</v>
      </c>
      <c r="AQ41" s="106">
        <f t="shared" si="34"/>
        <v>4788</v>
      </c>
      <c r="AR41" s="106">
        <f t="shared" si="34"/>
        <v>0</v>
      </c>
      <c r="AS41" s="106">
        <f t="shared" si="34"/>
        <v>188293</v>
      </c>
      <c r="AT41" s="106">
        <f t="shared" si="34"/>
        <v>951.7299999999999</v>
      </c>
      <c r="AU41" s="106">
        <f>SUM(AU29:AU40)</f>
        <v>171.31139999999996</v>
      </c>
      <c r="AV41" s="121"/>
      <c r="AW41" s="121"/>
      <c r="AX41" s="106">
        <f aca="true" t="shared" si="35" ref="AX41:BC41">SUM(AX29:AX40)</f>
        <v>21560</v>
      </c>
      <c r="AY41" s="106">
        <f t="shared" si="35"/>
        <v>0</v>
      </c>
      <c r="AZ41" s="106">
        <f t="shared" si="35"/>
        <v>0</v>
      </c>
      <c r="BA41" s="106">
        <f t="shared" si="35"/>
        <v>0</v>
      </c>
      <c r="BB41" s="106">
        <f t="shared" si="35"/>
        <v>548527.5142</v>
      </c>
      <c r="BC41" s="106">
        <f t="shared" si="35"/>
        <v>3727.943999999999</v>
      </c>
      <c r="BD41" s="106">
        <f>SUM(BD29:BD40)</f>
        <v>3244.204040000015</v>
      </c>
      <c r="BE41" s="106">
        <f>SUM(BE29:BE40)</f>
        <v>-24578.230000000025</v>
      </c>
    </row>
    <row r="42" spans="1:57" s="31" customFormat="1" ht="13.5" thickBot="1">
      <c r="A42" s="40" t="s">
        <v>55</v>
      </c>
      <c r="B42" s="41"/>
      <c r="C42" s="41">
        <f>C12+C26+C41</f>
        <v>1277980.064</v>
      </c>
      <c r="D42" s="41">
        <f aca="true" t="shared" si="36" ref="D42:BE42">D12+D26+D41</f>
        <v>144193.48676059995</v>
      </c>
      <c r="E42" s="41">
        <f t="shared" si="36"/>
        <v>115440.84999999999</v>
      </c>
      <c r="F42" s="41">
        <f t="shared" si="36"/>
        <v>15188.330000000002</v>
      </c>
      <c r="G42" s="41">
        <f t="shared" si="36"/>
        <v>156265.56</v>
      </c>
      <c r="H42" s="41">
        <f t="shared" si="36"/>
        <v>20562.399999999998</v>
      </c>
      <c r="I42" s="41">
        <f t="shared" si="36"/>
        <v>375603.44</v>
      </c>
      <c r="J42" s="41">
        <f t="shared" si="36"/>
        <v>49419.149999999994</v>
      </c>
      <c r="K42" s="41">
        <f t="shared" si="36"/>
        <v>260163.81999999998</v>
      </c>
      <c r="L42" s="41">
        <f t="shared" si="36"/>
        <v>34232.06999999999</v>
      </c>
      <c r="M42" s="41">
        <f t="shared" si="36"/>
        <v>92352.48999999999</v>
      </c>
      <c r="N42" s="41">
        <f t="shared" si="36"/>
        <v>12149.82</v>
      </c>
      <c r="O42" s="41">
        <f t="shared" si="36"/>
        <v>0</v>
      </c>
      <c r="P42" s="41">
        <f t="shared" si="36"/>
        <v>0</v>
      </c>
      <c r="Q42" s="41">
        <f t="shared" si="36"/>
        <v>0</v>
      </c>
      <c r="R42" s="41">
        <f t="shared" si="36"/>
        <v>0</v>
      </c>
      <c r="S42" s="41">
        <f t="shared" si="36"/>
        <v>999826.1599999999</v>
      </c>
      <c r="T42" s="41">
        <f t="shared" si="36"/>
        <v>131551.77</v>
      </c>
      <c r="U42" s="41">
        <f t="shared" si="36"/>
        <v>102650.64000000001</v>
      </c>
      <c r="V42" s="41">
        <f t="shared" si="36"/>
        <v>138939.57</v>
      </c>
      <c r="W42" s="41">
        <f t="shared" si="36"/>
        <v>334336.72000000003</v>
      </c>
      <c r="X42" s="41">
        <f t="shared" si="36"/>
        <v>231331.41</v>
      </c>
      <c r="Y42" s="41">
        <f t="shared" si="36"/>
        <v>82126.07</v>
      </c>
      <c r="Z42" s="41">
        <f t="shared" si="36"/>
        <v>0</v>
      </c>
      <c r="AA42" s="41">
        <f t="shared" si="36"/>
        <v>0</v>
      </c>
      <c r="AB42" s="41">
        <f t="shared" si="36"/>
        <v>889384.4100000001</v>
      </c>
      <c r="AC42" s="41">
        <f t="shared" si="36"/>
        <v>1165129.6667605997</v>
      </c>
      <c r="AD42" s="41">
        <f t="shared" si="36"/>
        <v>0</v>
      </c>
      <c r="AE42" s="41">
        <f t="shared" si="36"/>
        <v>0</v>
      </c>
      <c r="AF42" s="41">
        <f t="shared" si="36"/>
        <v>9788.2078</v>
      </c>
      <c r="AG42" s="41">
        <f t="shared" si="36"/>
        <v>87338.43599999999</v>
      </c>
      <c r="AH42" s="41">
        <f t="shared" si="36"/>
        <v>29263.943087159998</v>
      </c>
      <c r="AI42" s="41">
        <f t="shared" si="36"/>
        <v>132956.48576938998</v>
      </c>
      <c r="AJ42" s="41">
        <f t="shared" si="36"/>
        <v>12024.1306384902</v>
      </c>
      <c r="AK42" s="41">
        <f t="shared" si="36"/>
        <v>132382.003827434</v>
      </c>
      <c r="AL42" s="41">
        <f t="shared" si="36"/>
        <v>12158.884624938119</v>
      </c>
      <c r="AM42" s="41">
        <f t="shared" si="36"/>
        <v>296904.6214696217</v>
      </c>
      <c r="AN42" s="41">
        <f t="shared" si="36"/>
        <v>26649.739064531906</v>
      </c>
      <c r="AO42" s="41">
        <f t="shared" si="36"/>
        <v>1967</v>
      </c>
      <c r="AP42" s="41">
        <f t="shared" si="36"/>
        <v>354.06</v>
      </c>
      <c r="AQ42" s="41">
        <f t="shared" si="36"/>
        <v>4788</v>
      </c>
      <c r="AR42" s="41">
        <f t="shared" si="36"/>
        <v>0</v>
      </c>
      <c r="AS42" s="41">
        <f t="shared" si="36"/>
        <v>380013.29000000004</v>
      </c>
      <c r="AT42" s="41">
        <f t="shared" si="36"/>
        <v>951.7299999999999</v>
      </c>
      <c r="AU42" s="41">
        <f t="shared" si="36"/>
        <v>34680.9736</v>
      </c>
      <c r="AV42" s="41">
        <f t="shared" si="36"/>
        <v>0</v>
      </c>
      <c r="AW42" s="41">
        <f t="shared" si="36"/>
        <v>0</v>
      </c>
      <c r="AX42" s="41">
        <f t="shared" si="36"/>
        <v>41912.64</v>
      </c>
      <c r="AY42" s="41">
        <f t="shared" si="36"/>
        <v>0</v>
      </c>
      <c r="AZ42" s="41">
        <f t="shared" si="36"/>
        <v>0</v>
      </c>
      <c r="BA42" s="41">
        <f t="shared" si="36"/>
        <v>0</v>
      </c>
      <c r="BB42" s="41">
        <f t="shared" si="36"/>
        <v>1194345.9380815658</v>
      </c>
      <c r="BC42" s="41">
        <f t="shared" si="36"/>
        <v>4660.610883999999</v>
      </c>
      <c r="BD42" s="41">
        <f t="shared" si="36"/>
        <v>-24088.67440496593</v>
      </c>
      <c r="BE42" s="41">
        <f t="shared" si="36"/>
        <v>-110441.75000000001</v>
      </c>
    </row>
  </sheetData>
  <sheetProtection/>
  <mergeCells count="64">
    <mergeCell ref="BC3:BC6"/>
    <mergeCell ref="A1:N1"/>
    <mergeCell ref="A3:A6"/>
    <mergeCell ref="B3:B6"/>
    <mergeCell ref="C3:C6"/>
    <mergeCell ref="D3:D6"/>
    <mergeCell ref="E3:R3"/>
    <mergeCell ref="E4:F4"/>
    <mergeCell ref="G4:H4"/>
    <mergeCell ref="AB5:AB6"/>
    <mergeCell ref="I4:J4"/>
    <mergeCell ref="K4:L4"/>
    <mergeCell ref="S3:T4"/>
    <mergeCell ref="M4:N4"/>
    <mergeCell ref="O4:P4"/>
    <mergeCell ref="Q4:R4"/>
    <mergeCell ref="W5:W6"/>
    <mergeCell ref="X5:X6"/>
    <mergeCell ref="Y5:Y6"/>
    <mergeCell ref="AA5:AA6"/>
    <mergeCell ref="BD3:BD6"/>
    <mergeCell ref="BE3:BE6"/>
    <mergeCell ref="AH5:AH6"/>
    <mergeCell ref="AI5:AI6"/>
    <mergeCell ref="AJ5:AJ6"/>
    <mergeCell ref="AK5:AK6"/>
    <mergeCell ref="AL5:AL6"/>
    <mergeCell ref="AM5:AM6"/>
    <mergeCell ref="BA5:BA6"/>
    <mergeCell ref="BB5:BB6"/>
    <mergeCell ref="E5:E6"/>
    <mergeCell ref="F5:F6"/>
    <mergeCell ref="G5:G6"/>
    <mergeCell ref="H5:H6"/>
    <mergeCell ref="I5:I6"/>
    <mergeCell ref="J5:J6"/>
    <mergeCell ref="K5:K6"/>
    <mergeCell ref="L5:L6"/>
    <mergeCell ref="U5:U6"/>
    <mergeCell ref="V5:V6"/>
    <mergeCell ref="M5:M6"/>
    <mergeCell ref="N5:N6"/>
    <mergeCell ref="O5:O6"/>
    <mergeCell ref="P5:P6"/>
    <mergeCell ref="AP5:AP6"/>
    <mergeCell ref="AS5:AS6"/>
    <mergeCell ref="AU5:AU6"/>
    <mergeCell ref="AX5:AX6"/>
    <mergeCell ref="AY5:AY6"/>
    <mergeCell ref="Q5:Q6"/>
    <mergeCell ref="R5:R6"/>
    <mergeCell ref="S5:S6"/>
    <mergeCell ref="Z5:Z6"/>
    <mergeCell ref="T5:T6"/>
    <mergeCell ref="U3:AE4"/>
    <mergeCell ref="AC5:AC6"/>
    <mergeCell ref="AD5:AD6"/>
    <mergeCell ref="AE5:AE6"/>
    <mergeCell ref="AZ5:AZ6"/>
    <mergeCell ref="AG5:AG6"/>
    <mergeCell ref="AF3:AF6"/>
    <mergeCell ref="AG3:BB4"/>
    <mergeCell ref="AN5:AN6"/>
    <mergeCell ref="AO5:AO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1"/>
  <sheetViews>
    <sheetView tabSelected="1" zoomScalePageLayoutView="0" workbookViewId="0" topLeftCell="A1">
      <selection activeCell="H54" sqref="H54"/>
    </sheetView>
  </sheetViews>
  <sheetFormatPr defaultColWidth="9.00390625" defaultRowHeight="12.75"/>
  <cols>
    <col min="1" max="1" width="10.125" style="2" bestFit="1" customWidth="1"/>
    <col min="2" max="2" width="8.875" style="2" customWidth="1"/>
    <col min="3" max="3" width="12.125" style="2" customWidth="1"/>
    <col min="4" max="4" width="10.25390625" style="2" customWidth="1"/>
    <col min="5" max="5" width="12.25390625" style="2" customWidth="1"/>
    <col min="6" max="6" width="9.875" style="2" customWidth="1"/>
    <col min="7" max="7" width="10.875" style="2" customWidth="1"/>
    <col min="8" max="8" width="12.375" style="2" customWidth="1"/>
    <col min="9" max="9" width="12.00390625" style="2" customWidth="1"/>
    <col min="10" max="10" width="10.25390625" style="2" customWidth="1"/>
    <col min="11" max="12" width="10.375" style="2" customWidth="1"/>
    <col min="13" max="13" width="10.125" style="2" customWidth="1"/>
    <col min="14" max="14" width="8.875" style="2" customWidth="1"/>
    <col min="15" max="16" width="11.875" style="2" customWidth="1"/>
    <col min="17" max="17" width="10.75390625" style="2" customWidth="1"/>
    <col min="18" max="18" width="14.00390625" style="2" customWidth="1"/>
    <col min="19" max="16384" width="9.125" style="2" customWidth="1"/>
  </cols>
  <sheetData>
    <row r="1" ht="18.75">
      <c r="E1" s="42" t="s">
        <v>56</v>
      </c>
    </row>
    <row r="2" ht="18.75">
      <c r="E2" s="42" t="s">
        <v>57</v>
      </c>
    </row>
    <row r="5" spans="1:17" ht="12.75">
      <c r="A5" s="240" t="s">
        <v>83</v>
      </c>
      <c r="B5" s="240"/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</row>
    <row r="6" spans="1:17" ht="12.75">
      <c r="A6" s="240" t="s">
        <v>87</v>
      </c>
      <c r="B6" s="240"/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</row>
    <row r="7" spans="1:5" ht="13.5" thickBot="1">
      <c r="A7" s="43" t="s">
        <v>58</v>
      </c>
      <c r="D7" s="4"/>
      <c r="E7" s="43">
        <v>8.65</v>
      </c>
    </row>
    <row r="8" spans="1:18" ht="12.75" customHeight="1">
      <c r="A8" s="210" t="s">
        <v>59</v>
      </c>
      <c r="B8" s="242" t="s">
        <v>1</v>
      </c>
      <c r="C8" s="245" t="s">
        <v>60</v>
      </c>
      <c r="D8" s="248" t="s">
        <v>3</v>
      </c>
      <c r="E8" s="251" t="s">
        <v>61</v>
      </c>
      <c r="F8" s="252"/>
      <c r="G8" s="237" t="str">
        <f>'[5]Лист1'!AF3</f>
        <v>Доходы по нежил.помещениям</v>
      </c>
      <c r="H8" s="233" t="s">
        <v>77</v>
      </c>
      <c r="I8" s="233"/>
      <c r="J8" s="255" t="s">
        <v>10</v>
      </c>
      <c r="K8" s="189"/>
      <c r="L8" s="189"/>
      <c r="M8" s="189"/>
      <c r="N8" s="189"/>
      <c r="O8" s="256"/>
      <c r="P8" s="206" t="s">
        <v>82</v>
      </c>
      <c r="Q8" s="222" t="s">
        <v>62</v>
      </c>
      <c r="R8" s="222" t="s">
        <v>12</v>
      </c>
    </row>
    <row r="9" spans="1:18" ht="12.75">
      <c r="A9" s="211"/>
      <c r="B9" s="243"/>
      <c r="C9" s="246"/>
      <c r="D9" s="249"/>
      <c r="E9" s="253"/>
      <c r="F9" s="254"/>
      <c r="G9" s="238"/>
      <c r="H9" s="234"/>
      <c r="I9" s="234"/>
      <c r="J9" s="257"/>
      <c r="K9" s="184"/>
      <c r="L9" s="184"/>
      <c r="M9" s="184"/>
      <c r="N9" s="184"/>
      <c r="O9" s="258"/>
      <c r="P9" s="207"/>
      <c r="Q9" s="223"/>
      <c r="R9" s="223"/>
    </row>
    <row r="10" spans="1:18" ht="26.25" customHeight="1">
      <c r="A10" s="211"/>
      <c r="B10" s="243"/>
      <c r="C10" s="246"/>
      <c r="D10" s="249"/>
      <c r="E10" s="225" t="s">
        <v>63</v>
      </c>
      <c r="F10" s="226"/>
      <c r="G10" s="238"/>
      <c r="H10" s="45" t="s">
        <v>64</v>
      </c>
      <c r="I10" s="227" t="s">
        <v>7</v>
      </c>
      <c r="J10" s="229" t="s">
        <v>65</v>
      </c>
      <c r="K10" s="231" t="s">
        <v>32</v>
      </c>
      <c r="L10" s="231" t="s">
        <v>66</v>
      </c>
      <c r="M10" s="231" t="s">
        <v>37</v>
      </c>
      <c r="N10" s="231" t="s">
        <v>67</v>
      </c>
      <c r="O10" s="235" t="s">
        <v>40</v>
      </c>
      <c r="P10" s="207"/>
      <c r="Q10" s="223"/>
      <c r="R10" s="223"/>
    </row>
    <row r="11" spans="1:18" ht="66.75" customHeight="1" thickBot="1">
      <c r="A11" s="241"/>
      <c r="B11" s="244"/>
      <c r="C11" s="247"/>
      <c r="D11" s="250"/>
      <c r="E11" s="46" t="s">
        <v>68</v>
      </c>
      <c r="F11" s="47" t="s">
        <v>21</v>
      </c>
      <c r="G11" s="239"/>
      <c r="H11" s="48" t="s">
        <v>78</v>
      </c>
      <c r="I11" s="228"/>
      <c r="J11" s="230"/>
      <c r="K11" s="232"/>
      <c r="L11" s="232"/>
      <c r="M11" s="232"/>
      <c r="N11" s="232"/>
      <c r="O11" s="236"/>
      <c r="P11" s="208"/>
      <c r="Q11" s="224"/>
      <c r="R11" s="224"/>
    </row>
    <row r="12" spans="1:18" ht="13.5" thickBot="1">
      <c r="A12" s="49">
        <v>1</v>
      </c>
      <c r="B12" s="50">
        <v>2</v>
      </c>
      <c r="C12" s="51">
        <v>3</v>
      </c>
      <c r="D12" s="49">
        <v>4</v>
      </c>
      <c r="E12" s="50">
        <v>5</v>
      </c>
      <c r="F12" s="52">
        <v>6</v>
      </c>
      <c r="G12" s="50">
        <v>7</v>
      </c>
      <c r="H12" s="52">
        <v>8</v>
      </c>
      <c r="I12" s="50">
        <v>9</v>
      </c>
      <c r="J12" s="52">
        <v>10</v>
      </c>
      <c r="K12" s="50">
        <v>11</v>
      </c>
      <c r="L12" s="52">
        <v>12</v>
      </c>
      <c r="M12" s="50">
        <v>13</v>
      </c>
      <c r="N12" s="52">
        <v>14</v>
      </c>
      <c r="O12" s="50">
        <v>15</v>
      </c>
      <c r="P12" s="52">
        <v>16</v>
      </c>
      <c r="Q12" s="50">
        <v>17</v>
      </c>
      <c r="R12" s="52">
        <v>18</v>
      </c>
    </row>
    <row r="13" spans="1:18" ht="12.75" hidden="1">
      <c r="A13" s="8" t="s">
        <v>41</v>
      </c>
      <c r="B13" s="9"/>
      <c r="C13" s="44"/>
      <c r="D13" s="8"/>
      <c r="E13" s="9"/>
      <c r="F13" s="12"/>
      <c r="G13" s="54"/>
      <c r="H13" s="53"/>
      <c r="I13" s="44"/>
      <c r="J13" s="8"/>
      <c r="K13" s="9"/>
      <c r="L13" s="9"/>
      <c r="M13" s="9"/>
      <c r="N13" s="9"/>
      <c r="O13" s="12"/>
      <c r="P13" s="138"/>
      <c r="Q13" s="54"/>
      <c r="R13" s="55"/>
    </row>
    <row r="14" spans="1:18" ht="12.75" hidden="1">
      <c r="A14" s="15" t="s">
        <v>42</v>
      </c>
      <c r="B14" s="16">
        <f>Лист1!B9</f>
        <v>5340.4</v>
      </c>
      <c r="C14" s="56">
        <f>Лист1!C9</f>
        <v>46194.46</v>
      </c>
      <c r="D14" s="57">
        <f>Лист1!D9</f>
        <v>11127.3215248</v>
      </c>
      <c r="E14" s="22">
        <f>Лист1!S9</f>
        <v>33451.4</v>
      </c>
      <c r="F14" s="24">
        <f>Лист1!T9</f>
        <v>5634.9000000000015</v>
      </c>
      <c r="G14" s="170">
        <f>Лист1!AF9</f>
        <v>0</v>
      </c>
      <c r="H14" s="58">
        <f>Лист1!AB9</f>
        <v>387</v>
      </c>
      <c r="I14" s="58">
        <f>Лист1!AC9</f>
        <v>17149.2215248</v>
      </c>
      <c r="J14" s="59">
        <f>Лист1!AG9+Лист1!AH9</f>
        <v>4334.5463408</v>
      </c>
      <c r="K14" s="22">
        <f>Лист1!AI9+Лист1!AJ9</f>
        <v>5367.752409599999</v>
      </c>
      <c r="L14" s="22">
        <f>Лист1!AK9+Лист1!AL9+Лист1!AM9+Лист1!AN9+Лист1!AO9+Лист1!AP9+Лист1!AQ9+Лист1!AY9+Лист1!AZ9+Лист1!BA9</f>
        <v>17718.064570439998</v>
      </c>
      <c r="M14" s="23">
        <f>Лист1!AS9+Лист1!AU9</f>
        <v>0</v>
      </c>
      <c r="N14" s="23">
        <f>Лист1!AX9</f>
        <v>0</v>
      </c>
      <c r="O14" s="24">
        <f>Лист1!BB9</f>
        <v>27420.36332084</v>
      </c>
      <c r="P14" s="166"/>
      <c r="Q14" s="60">
        <f>Лист1!BD9</f>
        <v>-10271.14179604</v>
      </c>
      <c r="R14" s="60">
        <f>Лист1!BE9</f>
        <v>-33064.4</v>
      </c>
    </row>
    <row r="15" spans="1:18" ht="12.75" hidden="1">
      <c r="A15" s="15" t="s">
        <v>43</v>
      </c>
      <c r="B15" s="16">
        <f>Лист1!B10</f>
        <v>5340.4</v>
      </c>
      <c r="C15" s="56">
        <f>Лист1!C10</f>
        <v>46194.46</v>
      </c>
      <c r="D15" s="57">
        <f>Лист1!D10</f>
        <v>11127.3215248</v>
      </c>
      <c r="E15" s="22">
        <f>Лист1!S10</f>
        <v>33451.4</v>
      </c>
      <c r="F15" s="24">
        <f>Лист1!T10</f>
        <v>5634.9000000000015</v>
      </c>
      <c r="G15" s="170">
        <f>Лист1!AF10</f>
        <v>0</v>
      </c>
      <c r="H15" s="58">
        <f>Лист1!AB10</f>
        <v>20418.88</v>
      </c>
      <c r="I15" s="58">
        <f>Лист1!AC10</f>
        <v>37181.101524800004</v>
      </c>
      <c r="J15" s="59">
        <f>Лист1!AG10+Лист1!AH10</f>
        <v>4278.6604</v>
      </c>
      <c r="K15" s="22">
        <f>Лист1!AI10+Лист1!AJ10</f>
        <v>5367.752409599999</v>
      </c>
      <c r="L15" s="22">
        <f>Лист1!AK10+Лист1!AL10+Лист1!AM10+Лист1!AN10+Лист1!AO10+Лист1!AP10+Лист1!AQ10+Лист1!AY10+Лист1!AZ10+Лист1!BA10</f>
        <v>17718.064570439998</v>
      </c>
      <c r="M15" s="23">
        <f>Лист1!AS10+Лист1!AU10</f>
        <v>9888.4</v>
      </c>
      <c r="N15" s="23">
        <f>Лист1!AX10</f>
        <v>0</v>
      </c>
      <c r="O15" s="24">
        <f>Лист1!BB10</f>
        <v>37252.87738004</v>
      </c>
      <c r="P15" s="166"/>
      <c r="Q15" s="60">
        <f>Лист1!BD10</f>
        <v>-71.77585523999733</v>
      </c>
      <c r="R15" s="60">
        <f>Лист1!BE10</f>
        <v>-13032.52</v>
      </c>
    </row>
    <row r="16" spans="1:20" ht="13.5" hidden="1" thickBot="1">
      <c r="A16" s="61" t="s">
        <v>44</v>
      </c>
      <c r="B16" s="87">
        <f>Лист1!B11</f>
        <v>5340.4</v>
      </c>
      <c r="C16" s="62">
        <f>Лист1!C11</f>
        <v>46194.46</v>
      </c>
      <c r="D16" s="88">
        <f>Лист1!D11</f>
        <v>11102.838461</v>
      </c>
      <c r="E16" s="89">
        <f>Лист1!S11</f>
        <v>32044.93</v>
      </c>
      <c r="F16" s="92">
        <f>Лист1!T11</f>
        <v>5762.370000000001</v>
      </c>
      <c r="G16" s="170">
        <f>Лист1!AF11</f>
        <v>0</v>
      </c>
      <c r="H16" s="90">
        <f>Лист1!AB11</f>
        <v>29124.58</v>
      </c>
      <c r="I16" s="90">
        <f>Лист1!AC11</f>
        <v>45989.788461000004</v>
      </c>
      <c r="J16" s="59">
        <f>Лист1!AG11+Лист1!AH11</f>
        <v>4299.2683392</v>
      </c>
      <c r="K16" s="89">
        <f>Лист1!AI11+Лист1!AJ11</f>
        <v>5352.1360630399995</v>
      </c>
      <c r="L16" s="22">
        <f>Лист1!AK11+Лист1!AL11+Лист1!AM11+Лист1!AN11+Лист1!AO11+Лист1!AP11+Лист1!AQ11+Лист1!AY11+Лист1!AZ11+Лист1!BA11</f>
        <v>19987.630457691997</v>
      </c>
      <c r="M16" s="91">
        <f>Лист1!AS11+Лист1!AU11</f>
        <v>25866.78</v>
      </c>
      <c r="N16" s="91">
        <f>Лист1!AX11</f>
        <v>0</v>
      </c>
      <c r="O16" s="92">
        <f>Лист1!BB11</f>
        <v>55505.814859932</v>
      </c>
      <c r="P16" s="167"/>
      <c r="Q16" s="93">
        <f>Лист1!BD11</f>
        <v>-9516.026398931994</v>
      </c>
      <c r="R16" s="93">
        <f>Лист1!BE11</f>
        <v>-2920.3499999999985</v>
      </c>
      <c r="S16" s="1"/>
      <c r="T16" s="1"/>
    </row>
    <row r="17" spans="1:20" s="31" customFormat="1" ht="13.5" hidden="1" thickBot="1">
      <c r="A17" s="63" t="s">
        <v>5</v>
      </c>
      <c r="B17" s="97"/>
      <c r="C17" s="98">
        <f>SUM(C14:C16)</f>
        <v>138583.38</v>
      </c>
      <c r="D17" s="105">
        <f aca="true" t="shared" si="0" ref="D17:R17">SUM(D14:D16)</f>
        <v>33357.4815106</v>
      </c>
      <c r="E17" s="98">
        <f t="shared" si="0"/>
        <v>98947.73000000001</v>
      </c>
      <c r="F17" s="99">
        <f t="shared" si="0"/>
        <v>17032.170000000006</v>
      </c>
      <c r="G17" s="69">
        <f>SUM(G14:G16)</f>
        <v>0</v>
      </c>
      <c r="H17" s="104">
        <f t="shared" si="0"/>
        <v>49930.46000000001</v>
      </c>
      <c r="I17" s="98">
        <f t="shared" si="0"/>
        <v>100320.1115106</v>
      </c>
      <c r="J17" s="98">
        <f t="shared" si="0"/>
        <v>12912.47508</v>
      </c>
      <c r="K17" s="98">
        <f t="shared" si="0"/>
        <v>16087.640882239997</v>
      </c>
      <c r="L17" s="98">
        <f t="shared" si="0"/>
        <v>55423.759598571996</v>
      </c>
      <c r="M17" s="98">
        <f t="shared" si="0"/>
        <v>35755.18</v>
      </c>
      <c r="N17" s="98">
        <f t="shared" si="0"/>
        <v>0</v>
      </c>
      <c r="O17" s="98">
        <f t="shared" si="0"/>
        <v>120179.055560812</v>
      </c>
      <c r="P17" s="98"/>
      <c r="Q17" s="98">
        <f t="shared" si="0"/>
        <v>-19858.94405021199</v>
      </c>
      <c r="R17" s="99">
        <f t="shared" si="0"/>
        <v>-49017.27</v>
      </c>
      <c r="S17" s="70"/>
      <c r="T17" s="71"/>
    </row>
    <row r="18" spans="1:20" ht="12.75" hidden="1">
      <c r="A18" s="8" t="s">
        <v>45</v>
      </c>
      <c r="B18" s="94"/>
      <c r="C18" s="72"/>
      <c r="D18" s="73"/>
      <c r="E18" s="74"/>
      <c r="F18" s="75"/>
      <c r="G18" s="171"/>
      <c r="H18" s="76"/>
      <c r="I18" s="76"/>
      <c r="J18" s="77"/>
      <c r="K18" s="74"/>
      <c r="L18" s="74"/>
      <c r="M18" s="95"/>
      <c r="N18" s="95"/>
      <c r="O18" s="75"/>
      <c r="P18" s="168"/>
      <c r="Q18" s="96"/>
      <c r="R18" s="96"/>
      <c r="S18" s="1"/>
      <c r="T18" s="1"/>
    </row>
    <row r="19" spans="1:20" ht="12.75" hidden="1">
      <c r="A19" s="15" t="s">
        <v>46</v>
      </c>
      <c r="B19" s="16">
        <f>Лист1!B14</f>
        <v>5448.1</v>
      </c>
      <c r="C19" s="56">
        <f>Лист1!C14</f>
        <v>47126.065</v>
      </c>
      <c r="D19" s="57">
        <f>Лист1!D14</f>
        <v>5890.758125</v>
      </c>
      <c r="E19" s="22">
        <f>Лист1!S14</f>
        <v>32659.309999999998</v>
      </c>
      <c r="F19" s="24">
        <f>Лист1!T14</f>
        <v>5606.040000000001</v>
      </c>
      <c r="G19" s="170">
        <f>Лист1!AF14</f>
        <v>0</v>
      </c>
      <c r="H19" s="58">
        <f>Лист1!AB14</f>
        <v>21421.01</v>
      </c>
      <c r="I19" s="58">
        <f>Лист1!AC14</f>
        <v>32917.808124999996</v>
      </c>
      <c r="J19" s="59">
        <f>Лист1!AG14+Лист1!AH14</f>
        <v>3912.82542</v>
      </c>
      <c r="K19" s="22">
        <f>Лист1!AI14+Лист1!AJ14</f>
        <v>4737.6496081000005</v>
      </c>
      <c r="L19" s="22">
        <f>Лист1!AK14+Лист1!AL14+Лист1!AM14+Лист1!AN14+Лист1!AO14+Лист1!AP14+Лист1!AQ14+Лист1!AY14+Лист1!AZ14+Лист1!BA14</f>
        <v>15300.212604712</v>
      </c>
      <c r="M19" s="23">
        <f>Лист1!AS14+Лист1!AU14</f>
        <v>1269.69</v>
      </c>
      <c r="N19" s="23">
        <f>Лист1!AX14</f>
        <v>2349.8048</v>
      </c>
      <c r="O19" s="24">
        <f>Лист1!BB14</f>
        <v>25220.377632811997</v>
      </c>
      <c r="P19" s="166"/>
      <c r="Q19" s="60">
        <f>Лист1!BD14</f>
        <v>7697.430492187999</v>
      </c>
      <c r="R19" s="60">
        <f>Лист1!BE14</f>
        <v>-11238.3</v>
      </c>
      <c r="S19" s="1"/>
      <c r="T19" s="1"/>
    </row>
    <row r="20" spans="1:20" ht="12.75" hidden="1">
      <c r="A20" s="15" t="s">
        <v>47</v>
      </c>
      <c r="B20" s="16">
        <f>Лист1!B15</f>
        <v>5448.1</v>
      </c>
      <c r="C20" s="56">
        <f>Лист1!C15</f>
        <v>47126.065</v>
      </c>
      <c r="D20" s="57">
        <f>Лист1!D15</f>
        <v>5890.758125</v>
      </c>
      <c r="E20" s="22">
        <f>Лист1!S15</f>
        <v>31187.629999999997</v>
      </c>
      <c r="F20" s="24">
        <f>Лист1!T15</f>
        <v>5436.540000000001</v>
      </c>
      <c r="G20" s="170">
        <f>Лист1!AF15</f>
        <v>0</v>
      </c>
      <c r="H20" s="58">
        <f>Лист1!AB15</f>
        <v>26302.530000000002</v>
      </c>
      <c r="I20" s="58">
        <f>Лист1!AC15</f>
        <v>37629.828125</v>
      </c>
      <c r="J20" s="59">
        <f>Лист1!AG15+Лист1!AH15</f>
        <v>3939.303186</v>
      </c>
      <c r="K20" s="22">
        <f>Лист1!AI15+Лист1!AJ15</f>
        <v>4732.2087638</v>
      </c>
      <c r="L20" s="22">
        <f>Лист1!AK15+Лист1!AL15+Лист1!AM15+Лист1!AN15+Лист1!AO15+Лист1!AP15+Лист1!AQ15+Лист1!AY15+Лист1!AZ15+Лист1!BA15</f>
        <v>15296.689645327999</v>
      </c>
      <c r="M20" s="23">
        <f>Лист1!AS15+Лист1!AU15</f>
        <v>6410.94</v>
      </c>
      <c r="N20" s="23">
        <f>Лист1!AX15</f>
        <v>1882.6191999999999</v>
      </c>
      <c r="O20" s="24">
        <f>Лист1!BB15</f>
        <v>30379.141595127996</v>
      </c>
      <c r="P20" s="166"/>
      <c r="Q20" s="60">
        <f>Лист1!BD15</f>
        <v>7250.686529872004</v>
      </c>
      <c r="R20" s="60">
        <f>Лист1!BE15</f>
        <v>-4885.099999999995</v>
      </c>
      <c r="S20" s="1"/>
      <c r="T20" s="1"/>
    </row>
    <row r="21" spans="1:20" ht="12.75" hidden="1">
      <c r="A21" s="15" t="s">
        <v>48</v>
      </c>
      <c r="B21" s="16">
        <f>Лист1!B16</f>
        <v>5448.4</v>
      </c>
      <c r="C21" s="56">
        <f>Лист1!C16</f>
        <v>47128.659999999996</v>
      </c>
      <c r="D21" s="57">
        <f>Лист1!D16</f>
        <v>5891.0824999999995</v>
      </c>
      <c r="E21" s="22">
        <f>Лист1!S16</f>
        <v>32955.7</v>
      </c>
      <c r="F21" s="24">
        <f>Лист1!T16</f>
        <v>5209.56</v>
      </c>
      <c r="G21" s="170">
        <f>Лист1!AF16</f>
        <v>0</v>
      </c>
      <c r="H21" s="58">
        <f>Лист1!AB16</f>
        <v>34915.25</v>
      </c>
      <c r="I21" s="58">
        <f>Лист1!AC16</f>
        <v>46015.892499999994</v>
      </c>
      <c r="J21" s="59">
        <f>Лист1!AG16+Лист1!AH16</f>
        <v>3931.7733759999996</v>
      </c>
      <c r="K21" s="22">
        <f>Лист1!AI16+Лист1!AJ16</f>
        <v>4740.678261</v>
      </c>
      <c r="L21" s="22">
        <f>Лист1!AK16+Лист1!AL16+Лист1!AM16+Лист1!AN16+Лист1!AO16+Лист1!AP16+Лист1!AQ16+Лист1!AY16+Лист1!AZ16+Лист1!BA16</f>
        <v>14763.218805831999</v>
      </c>
      <c r="M21" s="23">
        <f>Лист1!AS16+Лист1!AU16</f>
        <v>24464.94</v>
      </c>
      <c r="N21" s="23">
        <f>Лист1!AX16</f>
        <v>1771.6048</v>
      </c>
      <c r="O21" s="24">
        <f>Лист1!BB16</f>
        <v>47900.610442831996</v>
      </c>
      <c r="P21" s="166"/>
      <c r="Q21" s="60">
        <f>Лист1!BD16</f>
        <v>-1884.7179428320014</v>
      </c>
      <c r="R21" s="60">
        <f>Лист1!BE16</f>
        <v>1959.550000000003</v>
      </c>
      <c r="S21" s="1"/>
      <c r="T21" s="1"/>
    </row>
    <row r="22" spans="1:20" ht="12.75" hidden="1">
      <c r="A22" s="15" t="s">
        <v>49</v>
      </c>
      <c r="B22" s="16">
        <f>Лист1!B17</f>
        <v>5448.4</v>
      </c>
      <c r="C22" s="56">
        <f>Лист1!C17</f>
        <v>47128.659999999996</v>
      </c>
      <c r="D22" s="57">
        <f>Лист1!D17</f>
        <v>5891.0824999999995</v>
      </c>
      <c r="E22" s="22">
        <f>Лист1!S17</f>
        <v>32978.96</v>
      </c>
      <c r="F22" s="24">
        <f>Лист1!T17</f>
        <v>5749.379999999999</v>
      </c>
      <c r="G22" s="170">
        <f>Лист1!AF17</f>
        <v>0</v>
      </c>
      <c r="H22" s="58">
        <f>Лист1!AB17</f>
        <v>23910.06</v>
      </c>
      <c r="I22" s="58">
        <f>Лист1!AC17</f>
        <v>35550.5225</v>
      </c>
      <c r="J22" s="59">
        <f>Лист1!AG17+Лист1!AH17</f>
        <v>3948.3465119999996</v>
      </c>
      <c r="K22" s="22">
        <f>Лист1!AI17+Лист1!AJ17</f>
        <v>4882.203361679999</v>
      </c>
      <c r="L22" s="22">
        <f>Лист1!AK17+Лист1!AL17+Лист1!AM17+Лист1!AN17+Лист1!AO17+Лист1!AP17+Лист1!AQ17+Лист1!AY17+Лист1!AZ17+Лист1!BA17</f>
        <v>14969.878694623998</v>
      </c>
      <c r="M22" s="23">
        <f>Лист1!AS17+Лист1!AU17</f>
        <v>10985.2454</v>
      </c>
      <c r="N22" s="23">
        <f>Лист1!AX17</f>
        <v>1420.0592</v>
      </c>
      <c r="O22" s="24">
        <f>Лист1!BB17</f>
        <v>42209.761968304</v>
      </c>
      <c r="P22" s="166"/>
      <c r="Q22" s="60">
        <f>Лист1!BD17</f>
        <v>-6659.239468304004</v>
      </c>
      <c r="R22" s="60">
        <f>Лист1!BE17</f>
        <v>-9068.899999999998</v>
      </c>
      <c r="S22" s="1"/>
      <c r="T22" s="1"/>
    </row>
    <row r="23" spans="1:20" ht="12.75" hidden="1">
      <c r="A23" s="15" t="s">
        <v>50</v>
      </c>
      <c r="B23" s="16">
        <f>Лист1!B18</f>
        <v>5451.1</v>
      </c>
      <c r="C23" s="56">
        <f>Лист1!C18</f>
        <v>47152.01500000001</v>
      </c>
      <c r="D23" s="57">
        <f>Лист1!D18</f>
        <v>4863.87500000001</v>
      </c>
      <c r="E23" s="22">
        <f>Лист1!S18</f>
        <v>36043.52</v>
      </c>
      <c r="F23" s="24">
        <f>Лист1!T18</f>
        <v>6244.62</v>
      </c>
      <c r="G23" s="170">
        <f>Лист1!AF18</f>
        <v>0</v>
      </c>
      <c r="H23" s="58">
        <f>Лист1!AB18</f>
        <v>30904.800000000003</v>
      </c>
      <c r="I23" s="58">
        <f>Лист1!AC18</f>
        <v>42013.29500000001</v>
      </c>
      <c r="J23" s="59">
        <f>Лист1!AG18+Лист1!AH18</f>
        <v>4371.7822</v>
      </c>
      <c r="K23" s="22">
        <f>Лист1!AI18+Лист1!AJ18</f>
        <v>5467.4533</v>
      </c>
      <c r="L23" s="22">
        <f>Лист1!AK18+Лист1!AL18+Лист1!AM18+Лист1!AN18+Лист1!AO18+Лист1!AP18+Лист1!AQ18+Лист1!AY18+Лист1!AZ18+Лист1!BA18</f>
        <v>17624.48472</v>
      </c>
      <c r="M23" s="23">
        <f>Лист1!AS18+Лист1!AU18</f>
        <v>0</v>
      </c>
      <c r="N23" s="23">
        <f>Лист1!AX18</f>
        <v>1216.5328</v>
      </c>
      <c r="O23" s="24">
        <f>Лист1!BB18</f>
        <v>28680.253020000004</v>
      </c>
      <c r="P23" s="166"/>
      <c r="Q23" s="60">
        <f>Лист1!BD18</f>
        <v>13333.041980000009</v>
      </c>
      <c r="R23" s="60">
        <f>Лист1!BE18</f>
        <v>-5138.719999999994</v>
      </c>
      <c r="S23" s="1"/>
      <c r="T23" s="1"/>
    </row>
    <row r="24" spans="1:20" ht="12.75" hidden="1">
      <c r="A24" s="15" t="s">
        <v>51</v>
      </c>
      <c r="B24" s="16">
        <f>Лист1!B19</f>
        <v>5451.1</v>
      </c>
      <c r="C24" s="56">
        <f>Лист1!C19</f>
        <v>47152.01500000001</v>
      </c>
      <c r="D24" s="57">
        <f>Лист1!D19</f>
        <v>4575.435000000002</v>
      </c>
      <c r="E24" s="22">
        <f>Лист1!S19</f>
        <v>36298.130000000005</v>
      </c>
      <c r="F24" s="24">
        <f>Лист1!T19</f>
        <v>6278.45</v>
      </c>
      <c r="G24" s="170">
        <f>Лист1!AF19</f>
        <v>0</v>
      </c>
      <c r="H24" s="58">
        <f>Лист1!AB19</f>
        <v>27934.050000000003</v>
      </c>
      <c r="I24" s="58">
        <f>Лист1!AC19</f>
        <v>38787.935000000005</v>
      </c>
      <c r="J24" s="59">
        <f>Лист1!AG19+Лист1!AH19</f>
        <v>4372.262799</v>
      </c>
      <c r="K24" s="22">
        <f>Лист1!AI19+Лист1!AJ19</f>
        <v>5467.4533</v>
      </c>
      <c r="L24" s="22">
        <f>Лист1!AK19+Лист1!AL19+Лист1!AM19+Лист1!AN19+Лист1!AO19+Лист1!AP19+Лист1!AQ19+Лист1!AY19+Лист1!AZ19+Лист1!BA19</f>
        <v>17624.50832</v>
      </c>
      <c r="M24" s="23">
        <f>Лист1!AS19+Лист1!AU19</f>
        <v>34285.195</v>
      </c>
      <c r="N24" s="23">
        <f>Лист1!AX19</f>
        <v>1077.7648000000002</v>
      </c>
      <c r="O24" s="24">
        <f>Лист1!BB19</f>
        <v>62827.184219</v>
      </c>
      <c r="P24" s="166"/>
      <c r="Q24" s="60">
        <f>Лист1!BD19</f>
        <v>-24039.249218999998</v>
      </c>
      <c r="R24" s="60">
        <f>Лист1!BE19</f>
        <v>-8364.080000000002</v>
      </c>
      <c r="S24" s="1"/>
      <c r="T24" s="1"/>
    </row>
    <row r="25" spans="1:20" ht="12.75" hidden="1">
      <c r="A25" s="15" t="s">
        <v>52</v>
      </c>
      <c r="B25" s="16">
        <f>Лист1!B20</f>
        <v>5450.8</v>
      </c>
      <c r="C25" s="56">
        <f>Лист1!C20</f>
        <v>47149.420000000006</v>
      </c>
      <c r="D25" s="57">
        <f>Лист1!D20</f>
        <v>4194.420000000011</v>
      </c>
      <c r="E25" s="22">
        <f>Лист1!S20</f>
        <v>36428.579999999994</v>
      </c>
      <c r="F25" s="24">
        <f>Лист1!T20</f>
        <v>6526.42</v>
      </c>
      <c r="G25" s="170">
        <f>Лист1!AF20</f>
        <v>0</v>
      </c>
      <c r="H25" s="58">
        <f>Лист1!AB20</f>
        <v>35949.630000000005</v>
      </c>
      <c r="I25" s="58">
        <f>Лист1!AC20</f>
        <v>46670.470000000016</v>
      </c>
      <c r="J25" s="59">
        <f>Лист1!AG20+Лист1!AH20</f>
        <v>4354.37158</v>
      </c>
      <c r="K25" s="22">
        <f>Лист1!AI20+Лист1!AJ20</f>
        <v>5389.51883592</v>
      </c>
      <c r="L25" s="22">
        <f>Лист1!AK20+Лист1!AL20+Лист1!AM20+Лист1!AN20+Лист1!AO20+Лист1!AP20+Лист1!AQ20+Лист1!AY20+Лист1!AZ20+Лист1!BA20</f>
        <v>17454.874556376</v>
      </c>
      <c r="M25" s="23">
        <f>Лист1!AS20+Лист1!AU20</f>
        <v>2218.3292</v>
      </c>
      <c r="N25" s="23">
        <f>Лист1!AX20</f>
        <v>1147.1488</v>
      </c>
      <c r="O25" s="24">
        <f>Лист1!BB20</f>
        <v>30564.242972295997</v>
      </c>
      <c r="P25" s="166"/>
      <c r="Q25" s="60">
        <f>Лист1!BD20</f>
        <v>16106.227027704019</v>
      </c>
      <c r="R25" s="60">
        <f>Лист1!BE20</f>
        <v>-478.9499999999898</v>
      </c>
      <c r="S25" s="1"/>
      <c r="T25" s="1"/>
    </row>
    <row r="26" spans="1:20" ht="12.75" hidden="1">
      <c r="A26" s="15" t="s">
        <v>53</v>
      </c>
      <c r="B26" s="16">
        <f>Лист1!B21</f>
        <v>5483.98</v>
      </c>
      <c r="C26" s="56">
        <f>Лист1!C21</f>
        <v>47436.426999999996</v>
      </c>
      <c r="D26" s="57">
        <f>Лист1!D21</f>
        <v>5369.1469999999945</v>
      </c>
      <c r="E26" s="22">
        <f>Лист1!S21</f>
        <v>35429.86</v>
      </c>
      <c r="F26" s="24">
        <f>Лист1!T21</f>
        <v>6637.420000000001</v>
      </c>
      <c r="G26" s="170">
        <f>Лист1!AF21</f>
        <v>0</v>
      </c>
      <c r="H26" s="58">
        <f>Лист1!AB21</f>
        <v>34470.68</v>
      </c>
      <c r="I26" s="58">
        <f>Лист1!AC21</f>
        <v>46477.246999999996</v>
      </c>
      <c r="J26" s="59">
        <f>Лист1!AG21+Лист1!AH21</f>
        <v>4385.823972959999</v>
      </c>
      <c r="K26" s="22">
        <f>Лист1!AI21+Лист1!AJ21</f>
        <v>5419.300568885</v>
      </c>
      <c r="L26" s="22">
        <f>Лист1!AK21+Лист1!AL21+Лист1!AM21+Лист1!AN21+Лист1!AO21+Лист1!AP21+Лист1!AQ21+Лист1!AY21+Лист1!AZ21+Лист1!BA21</f>
        <v>17552.260115227597</v>
      </c>
      <c r="M26" s="23">
        <f>Лист1!AS21+Лист1!AU21</f>
        <v>1958.918</v>
      </c>
      <c r="N26" s="23">
        <f>Лист1!AX21</f>
        <v>1355.3008000000002</v>
      </c>
      <c r="O26" s="24">
        <f>Лист1!BB21</f>
        <v>30671.603457072597</v>
      </c>
      <c r="P26" s="166"/>
      <c r="Q26" s="60">
        <f>Лист1!BD21</f>
        <v>15805.643542927399</v>
      </c>
      <c r="R26" s="60">
        <f>Лист1!BE21</f>
        <v>-959.1800000000003</v>
      </c>
      <c r="S26" s="1"/>
      <c r="T26" s="1"/>
    </row>
    <row r="27" spans="1:20" ht="12.75" hidden="1">
      <c r="A27" s="15" t="s">
        <v>54</v>
      </c>
      <c r="B27" s="16">
        <f>Лист1!B22</f>
        <v>5483.98</v>
      </c>
      <c r="C27" s="56">
        <f>Лист1!C22</f>
        <v>47436.426999999996</v>
      </c>
      <c r="D27" s="57">
        <f>Лист1!D22</f>
        <v>4638.756999999993</v>
      </c>
      <c r="E27" s="22">
        <f>Лист1!S22</f>
        <v>36107.44</v>
      </c>
      <c r="F27" s="24">
        <f>Лист1!T22</f>
        <v>6690.2300000000005</v>
      </c>
      <c r="G27" s="170">
        <f>Лист1!AF22</f>
        <v>0</v>
      </c>
      <c r="H27" s="58">
        <f>Лист1!AB22</f>
        <v>34877.71000000001</v>
      </c>
      <c r="I27" s="58">
        <f>Лист1!AC22</f>
        <v>46206.697</v>
      </c>
      <c r="J27" s="59">
        <f>Лист1!AG22+Лист1!AH22</f>
        <v>4386.8549612</v>
      </c>
      <c r="K27" s="22">
        <f>Лист1!AI22+Лист1!AJ22</f>
        <v>5418.3654954552</v>
      </c>
      <c r="L27" s="22">
        <f>Лист1!AK22+Лист1!AL22+Лист1!AM22+Лист1!AN22+Лист1!AO22+Лист1!AP22+Лист1!AQ22+Лист1!AY22+Лист1!AZ22+Лист1!BA22</f>
        <v>17550.127241854156</v>
      </c>
      <c r="M27" s="23">
        <f>Лист1!AS22+Лист1!AU22</f>
        <v>0</v>
      </c>
      <c r="N27" s="23">
        <f>Лист1!AX22</f>
        <v>1614.3344000000002</v>
      </c>
      <c r="O27" s="24">
        <f>Лист1!BB22</f>
        <v>28969.682098509355</v>
      </c>
      <c r="P27" s="166"/>
      <c r="Q27" s="60">
        <f>Лист1!BD22</f>
        <v>17237.014901490646</v>
      </c>
      <c r="R27" s="60">
        <f>Лист1!BE22</f>
        <v>-1229.729999999996</v>
      </c>
      <c r="S27" s="1"/>
      <c r="T27" s="1"/>
    </row>
    <row r="28" spans="1:20" ht="12.75" hidden="1">
      <c r="A28" s="15" t="s">
        <v>42</v>
      </c>
      <c r="B28" s="16">
        <f>Лист1!B23</f>
        <v>5483.98</v>
      </c>
      <c r="C28" s="56">
        <f>Лист1!C23</f>
        <v>47436.426999999996</v>
      </c>
      <c r="D28" s="57">
        <f>Лист1!D23</f>
        <v>4227.206999999993</v>
      </c>
      <c r="E28" s="22">
        <f>Лист1!S23</f>
        <v>36452.98</v>
      </c>
      <c r="F28" s="24">
        <f>Лист1!T23</f>
        <v>6756.24</v>
      </c>
      <c r="G28" s="170">
        <f>Лист1!AF23</f>
        <v>652.54652</v>
      </c>
      <c r="H28" s="58">
        <f>Лист1!AB23</f>
        <v>38171.89</v>
      </c>
      <c r="I28" s="58">
        <f>Лист1!AC23</f>
        <v>49155.33699999999</v>
      </c>
      <c r="J28" s="59">
        <f>Лист1!AG23+Лист1!AH23</f>
        <v>4387.183999999999</v>
      </c>
      <c r="K28" s="22">
        <f>Лист1!AI23+Лист1!AJ23</f>
        <v>5481.0186508</v>
      </c>
      <c r="L28" s="22">
        <f>Лист1!AK23+Лист1!AL23+Лист1!AM23+Лист1!AN23+Лист1!AO23+Лист1!AP23+Лист1!AQ23+Лист1!AY23+Лист1!AZ23+Лист1!BA23</f>
        <v>17709.965011999997</v>
      </c>
      <c r="M28" s="23">
        <f>Лист1!AS23+Лист1!AU23</f>
        <v>886.7346</v>
      </c>
      <c r="N28" s="23">
        <f>Лист1!AX23</f>
        <v>1965.88</v>
      </c>
      <c r="O28" s="24">
        <f>Лист1!BB23</f>
        <v>30430.7822628</v>
      </c>
      <c r="P28" s="166"/>
      <c r="Q28" s="60">
        <f>Лист1!BD23</f>
        <v>19066.494933199992</v>
      </c>
      <c r="R28" s="60">
        <f>Лист1!BE23</f>
        <v>1718.9099999999962</v>
      </c>
      <c r="S28" s="1"/>
      <c r="T28" s="1"/>
    </row>
    <row r="29" spans="1:20" ht="12.75" hidden="1">
      <c r="A29" s="15" t="s">
        <v>43</v>
      </c>
      <c r="B29" s="16">
        <f>Лист1!B24</f>
        <v>5484.18</v>
      </c>
      <c r="C29" s="56">
        <f>Лист1!C24</f>
        <v>47438.15700000001</v>
      </c>
      <c r="D29" s="57">
        <f>Лист1!D24</f>
        <v>4216.967000000001</v>
      </c>
      <c r="E29" s="22">
        <f>Лист1!S24</f>
        <v>36463.82000000001</v>
      </c>
      <c r="F29" s="24">
        <f>Лист1!T24</f>
        <v>6757.369999999999</v>
      </c>
      <c r="G29" s="170">
        <f>Лист1!AF24</f>
        <v>652.54652</v>
      </c>
      <c r="H29" s="58">
        <f>Лист1!AB24</f>
        <v>34320.14</v>
      </c>
      <c r="I29" s="58">
        <f>Лист1!AC24</f>
        <v>45294.477</v>
      </c>
      <c r="J29" s="59">
        <f>Лист1!AG24+Лист1!AH24</f>
        <v>4387.344</v>
      </c>
      <c r="K29" s="22">
        <f>Лист1!AI24+Лист1!AJ24</f>
        <v>5500.63254</v>
      </c>
      <c r="L29" s="22">
        <f>Лист1!AK24+Лист1!AL24+Лист1!AM24+Лист1!AN24+Лист1!AO24+Лист1!AP24+Лист1!AQ24+Лист1!AY24+Лист1!AZ24+Лист1!BA24</f>
        <v>17731.450775999998</v>
      </c>
      <c r="M29" s="23">
        <f>Лист1!AS24+Лист1!AU24</f>
        <v>101383.24</v>
      </c>
      <c r="N29" s="23">
        <f>Лист1!AX24</f>
        <v>2174.032</v>
      </c>
      <c r="O29" s="24">
        <f>Лист1!BB24</f>
        <v>131176.699316</v>
      </c>
      <c r="P29" s="166"/>
      <c r="Q29" s="60">
        <f>Лист1!BD24</f>
        <v>-85540.70607600002</v>
      </c>
      <c r="R29" s="60">
        <f>Лист1!BE24</f>
        <v>-2143.6800000000076</v>
      </c>
      <c r="S29" s="1"/>
      <c r="T29" s="1"/>
    </row>
    <row r="30" spans="1:20" ht="13.5" hidden="1" thickBot="1">
      <c r="A30" s="61" t="s">
        <v>44</v>
      </c>
      <c r="B30" s="16">
        <f>Лист1!B25</f>
        <v>5484.28</v>
      </c>
      <c r="C30" s="56">
        <f>Лист1!C25</f>
        <v>47439.022</v>
      </c>
      <c r="D30" s="57">
        <f>Лист1!D25</f>
        <v>5124.202000000001</v>
      </c>
      <c r="E30" s="22">
        <f>Лист1!S25</f>
        <v>35557.45</v>
      </c>
      <c r="F30" s="24">
        <f>Лист1!T25</f>
        <v>6757.369999999999</v>
      </c>
      <c r="G30" s="170">
        <f>Лист1!AF25</f>
        <v>652.54652</v>
      </c>
      <c r="H30" s="58">
        <f>Лист1!AB25</f>
        <v>38539.38</v>
      </c>
      <c r="I30" s="58">
        <f>Лист1!AC25</f>
        <v>50420.952000000005</v>
      </c>
      <c r="J30" s="59">
        <f>Лист1!AG25+Лист1!AH25</f>
        <v>4387.424</v>
      </c>
      <c r="K30" s="22">
        <f>Лист1!AI25+Лист1!AJ25</f>
        <v>5500.73284</v>
      </c>
      <c r="L30" s="22">
        <f>Лист1!AK25+Лист1!AL25+Лист1!AM25+Лист1!AN25+Лист1!AO25+Лист1!AP25+Лист1!AQ25+Лист1!AY25+Лист1!AZ25+Лист1!BA25</f>
        <v>17731.774095999997</v>
      </c>
      <c r="M30" s="23">
        <f>Лист1!AS25+Лист1!AU25</f>
        <v>6611.54</v>
      </c>
      <c r="N30" s="23">
        <f>Лист1!AX25</f>
        <v>2377.5584</v>
      </c>
      <c r="O30" s="24">
        <f>Лист1!BB25</f>
        <v>36609.029336</v>
      </c>
      <c r="P30" s="166"/>
      <c r="Q30" s="60">
        <f>Лист1!BD25</f>
        <v>14153.438904000004</v>
      </c>
      <c r="R30" s="60">
        <f>Лист1!BE25</f>
        <v>2981.9300000000003</v>
      </c>
      <c r="S30" s="1"/>
      <c r="T30" s="1"/>
    </row>
    <row r="31" spans="1:20" s="31" customFormat="1" ht="13.5" hidden="1" thickBot="1">
      <c r="A31" s="63" t="s">
        <v>5</v>
      </c>
      <c r="B31" s="64"/>
      <c r="C31" s="65">
        <f>SUM(C19:C30)</f>
        <v>567149.3600000001</v>
      </c>
      <c r="D31" s="66">
        <f aca="true" t="shared" si="1" ref="D31:R31">SUM(D19:D30)</f>
        <v>60773.69125000002</v>
      </c>
      <c r="E31" s="65">
        <f t="shared" si="1"/>
        <v>418563.37999999995</v>
      </c>
      <c r="F31" s="67">
        <f t="shared" si="1"/>
        <v>74649.64</v>
      </c>
      <c r="G31" s="69">
        <f>SUM(G19:G30)</f>
        <v>1957.63956</v>
      </c>
      <c r="H31" s="68">
        <f t="shared" si="1"/>
        <v>381717.13000000006</v>
      </c>
      <c r="I31" s="65">
        <f t="shared" si="1"/>
        <v>517140.46125</v>
      </c>
      <c r="J31" s="66">
        <f t="shared" si="1"/>
        <v>50765.296007159995</v>
      </c>
      <c r="K31" s="65">
        <f t="shared" si="1"/>
        <v>62737.215525640204</v>
      </c>
      <c r="L31" s="65">
        <f t="shared" si="1"/>
        <v>201309.44458795374</v>
      </c>
      <c r="M31" s="65">
        <f t="shared" si="1"/>
        <v>190474.77220000004</v>
      </c>
      <c r="N31" s="65">
        <f t="shared" si="1"/>
        <v>20352.64</v>
      </c>
      <c r="O31" s="67">
        <f t="shared" si="1"/>
        <v>525639.3683207539</v>
      </c>
      <c r="P31" s="169"/>
      <c r="Q31" s="69">
        <f t="shared" si="1"/>
        <v>-7473.934394753951</v>
      </c>
      <c r="R31" s="69">
        <f t="shared" si="1"/>
        <v>-36846.249999999985</v>
      </c>
      <c r="S31" s="71"/>
      <c r="T31" s="71"/>
    </row>
    <row r="32" spans="1:20" ht="13.5" thickBot="1">
      <c r="A32" s="217" t="s">
        <v>88</v>
      </c>
      <c r="B32" s="218"/>
      <c r="C32" s="218"/>
      <c r="D32" s="218"/>
      <c r="E32" s="218"/>
      <c r="F32" s="218"/>
      <c r="G32" s="218"/>
      <c r="H32" s="218"/>
      <c r="I32" s="218"/>
      <c r="J32" s="218"/>
      <c r="K32" s="218"/>
      <c r="L32" s="218"/>
      <c r="M32" s="218"/>
      <c r="N32" s="218"/>
      <c r="O32" s="218"/>
      <c r="P32" s="218"/>
      <c r="Q32" s="218"/>
      <c r="R32" s="78"/>
      <c r="S32" s="1"/>
      <c r="T32" s="1"/>
    </row>
    <row r="33" spans="1:20" s="31" customFormat="1" ht="13.5" thickBot="1">
      <c r="A33" s="79" t="s">
        <v>55</v>
      </c>
      <c r="B33" s="80"/>
      <c r="C33" s="81">
        <f>C17+C31</f>
        <v>705732.7400000001</v>
      </c>
      <c r="D33" s="82">
        <f aca="true" t="shared" si="2" ref="D33:R33">D17+D31</f>
        <v>94131.17276060002</v>
      </c>
      <c r="E33" s="80">
        <f t="shared" si="2"/>
        <v>517511.11</v>
      </c>
      <c r="F33" s="81">
        <f t="shared" si="2"/>
        <v>91681.81</v>
      </c>
      <c r="G33" s="84">
        <f>G17+G31</f>
        <v>1957.63956</v>
      </c>
      <c r="H33" s="82">
        <f t="shared" si="2"/>
        <v>431647.5900000001</v>
      </c>
      <c r="I33" s="81">
        <f t="shared" si="2"/>
        <v>617460.5727606</v>
      </c>
      <c r="J33" s="82">
        <f t="shared" si="2"/>
        <v>63677.77108716</v>
      </c>
      <c r="K33" s="80">
        <f t="shared" si="2"/>
        <v>78824.8564078802</v>
      </c>
      <c r="L33" s="80">
        <f t="shared" si="2"/>
        <v>256733.20418652572</v>
      </c>
      <c r="M33" s="80">
        <f t="shared" si="2"/>
        <v>226229.95220000003</v>
      </c>
      <c r="N33" s="80">
        <f t="shared" si="2"/>
        <v>20352.64</v>
      </c>
      <c r="O33" s="83">
        <f t="shared" si="2"/>
        <v>645818.4238815659</v>
      </c>
      <c r="P33" s="165">
        <f>Лист1!BC26</f>
        <v>932.666884</v>
      </c>
      <c r="Q33" s="84">
        <f t="shared" si="2"/>
        <v>-27332.878444965943</v>
      </c>
      <c r="R33" s="84">
        <f t="shared" si="2"/>
        <v>-85863.51999999999</v>
      </c>
      <c r="S33" s="85"/>
      <c r="T33" s="71"/>
    </row>
    <row r="34" spans="1:20" ht="12.75">
      <c r="A34" s="8" t="s">
        <v>86</v>
      </c>
      <c r="B34" s="94"/>
      <c r="C34" s="72"/>
      <c r="D34" s="73"/>
      <c r="E34" s="74"/>
      <c r="F34" s="75"/>
      <c r="G34" s="171"/>
      <c r="H34" s="76"/>
      <c r="I34" s="76"/>
      <c r="J34" s="77"/>
      <c r="K34" s="74"/>
      <c r="L34" s="74"/>
      <c r="M34" s="95"/>
      <c r="N34" s="95"/>
      <c r="O34" s="75"/>
      <c r="P34" s="168"/>
      <c r="Q34" s="96"/>
      <c r="R34" s="96"/>
      <c r="S34" s="1"/>
      <c r="T34" s="1"/>
    </row>
    <row r="35" spans="1:20" ht="12.75">
      <c r="A35" s="15" t="s">
        <v>46</v>
      </c>
      <c r="B35" s="16">
        <f>Лист1!B29</f>
        <v>5512.98</v>
      </c>
      <c r="C35" s="56">
        <f>Лист1!C29</f>
        <v>47687.276999999995</v>
      </c>
      <c r="D35" s="57">
        <f>Лист1!D29</f>
        <v>4219.336999999993</v>
      </c>
      <c r="E35" s="22">
        <f>Лист1!S29</f>
        <v>36784.39</v>
      </c>
      <c r="F35" s="24">
        <f>Лист1!T29</f>
        <v>6683.55</v>
      </c>
      <c r="G35" s="170">
        <f>Лист1!AF29</f>
        <v>652.54652</v>
      </c>
      <c r="H35" s="58">
        <f>Лист1!AB29</f>
        <v>28049.579999999998</v>
      </c>
      <c r="I35" s="58">
        <f>Лист1!AC29</f>
        <v>38952.46699999999</v>
      </c>
      <c r="J35" s="59">
        <f>Лист1!AG29+Лист1!AH29</f>
        <v>4410.384</v>
      </c>
      <c r="K35" s="22">
        <f>Лист1!AI29+Лист1!AJ29</f>
        <v>5512.98</v>
      </c>
      <c r="L35" s="22">
        <f>Лист1!AK29+Лист1!AL29+Лист1!AM29+Лист1!AN29+Лист1!AO29+Лист1!AP29+Лист1!AQ29+Лист1!AR29+Лист1!AZ29+Лист1!BA29</f>
        <v>17806.925399999996</v>
      </c>
      <c r="M35" s="23">
        <f>Лист1!AS29+Лист1!AT29+Лист1!AU29</f>
        <v>2234</v>
      </c>
      <c r="N35" s="23">
        <f>Лист1!AX29</f>
        <v>2489.2</v>
      </c>
      <c r="O35" s="24">
        <f>Лист1!BB29</f>
        <v>32453.4894</v>
      </c>
      <c r="P35" s="166">
        <f>Лист1!BC29</f>
        <v>310.662</v>
      </c>
      <c r="Q35" s="60">
        <f>Лист1!BD29</f>
        <v>6840.862119999994</v>
      </c>
      <c r="R35" s="60">
        <f>Лист1!BE29</f>
        <v>-8734.810000000001</v>
      </c>
      <c r="S35" s="1"/>
      <c r="T35" s="1"/>
    </row>
    <row r="36" spans="1:20" ht="12.75">
      <c r="A36" s="15" t="s">
        <v>47</v>
      </c>
      <c r="B36" s="16">
        <f>Лист1!B30</f>
        <v>5512.98</v>
      </c>
      <c r="C36" s="56">
        <f>Лист1!C30</f>
        <v>47687.276999999995</v>
      </c>
      <c r="D36" s="57">
        <f>Лист1!D30</f>
        <v>4222.916999999994</v>
      </c>
      <c r="E36" s="22">
        <f>Лист1!S30</f>
        <v>36633.17</v>
      </c>
      <c r="F36" s="24">
        <f>Лист1!T30</f>
        <v>6831.19</v>
      </c>
      <c r="G36" s="170">
        <f>Лист1!AF30</f>
        <v>652.54652</v>
      </c>
      <c r="H36" s="58">
        <f>Лист1!AB30</f>
        <v>41303.58</v>
      </c>
      <c r="I36" s="58">
        <f>Лист1!AC30</f>
        <v>52357.68699999999</v>
      </c>
      <c r="J36" s="59">
        <f>Лист1!AG30+Лист1!AH30</f>
        <v>4410.384</v>
      </c>
      <c r="K36" s="22">
        <f>Лист1!AI30+Лист1!AJ30</f>
        <v>5512.98</v>
      </c>
      <c r="L36" s="22">
        <f>Лист1!AK30+Лист1!AL30+Лист1!AM30+Лист1!AN30+Лист1!AO30+Лист1!AP30+Лист1!AQ30+Лист1!AR30+Лист1!AZ30+Лист1!BA30</f>
        <v>18506.925399999996</v>
      </c>
      <c r="M36" s="23">
        <f>Лист1!AS30+Лист1!AT30+Лист1!AU30</f>
        <v>4884</v>
      </c>
      <c r="N36" s="23">
        <f>Лист1!AX30</f>
        <v>1994.3</v>
      </c>
      <c r="O36" s="24">
        <f>Лист1!BB30</f>
        <v>35308.5894</v>
      </c>
      <c r="P36" s="166">
        <f>Лист1!BC30</f>
        <v>310.662</v>
      </c>
      <c r="Q36" s="60">
        <f>Лист1!BD30</f>
        <v>17390.982119999997</v>
      </c>
      <c r="R36" s="60">
        <f>Лист1!BE30</f>
        <v>4670.4100000000035</v>
      </c>
      <c r="S36" s="1"/>
      <c r="T36" s="1"/>
    </row>
    <row r="37" spans="1:20" ht="12.75">
      <c r="A37" s="15" t="s">
        <v>48</v>
      </c>
      <c r="B37" s="16">
        <f>Лист1!B31</f>
        <v>5512.98</v>
      </c>
      <c r="C37" s="56">
        <f>Лист1!C31</f>
        <v>47687.276999999995</v>
      </c>
      <c r="D37" s="57">
        <f>Лист1!D31</f>
        <v>4133.8469999999925</v>
      </c>
      <c r="E37" s="22">
        <f>Лист1!S31</f>
        <v>37194.65</v>
      </c>
      <c r="F37" s="24">
        <f>Лист1!T31</f>
        <v>6358.780000000001</v>
      </c>
      <c r="G37" s="170">
        <f>Лист1!AF31</f>
        <v>652.54652</v>
      </c>
      <c r="H37" s="58">
        <f>Лист1!AB31</f>
        <v>36418.56</v>
      </c>
      <c r="I37" s="58">
        <f>Лист1!AC31</f>
        <v>46911.18699999999</v>
      </c>
      <c r="J37" s="59">
        <f>Лист1!AG31+Лист1!AH31</f>
        <v>4410.384</v>
      </c>
      <c r="K37" s="22">
        <f>Лист1!AI31+Лист1!AJ31</f>
        <v>5512.98</v>
      </c>
      <c r="L37" s="22">
        <f>Лист1!AK31+Лист1!AL31+Лист1!AM31+Лист1!AN31+Лист1!AO31+Лист1!AP31+Лист1!AQ31+Лист1!AR31+Лист1!AZ31+Лист1!BA31</f>
        <v>17806.925399999996</v>
      </c>
      <c r="M37" s="23">
        <f>Лист1!AS31+Лист1!AT31+Лист1!AU31</f>
        <v>61306</v>
      </c>
      <c r="N37" s="23">
        <f>Лист1!AX31</f>
        <v>1876.6999999999998</v>
      </c>
      <c r="O37" s="24">
        <f>Лист1!BB31</f>
        <v>90912.98939999999</v>
      </c>
      <c r="P37" s="166">
        <f>Лист1!BC31</f>
        <v>310.662</v>
      </c>
      <c r="Q37" s="60">
        <f>Лист1!BD31</f>
        <v>-43659.91787999999</v>
      </c>
      <c r="R37" s="60">
        <f>Лист1!BE31</f>
        <v>-776.0900000000038</v>
      </c>
      <c r="S37" s="1"/>
      <c r="T37" s="1"/>
    </row>
    <row r="38" spans="1:20" ht="12.75">
      <c r="A38" s="15" t="s">
        <v>49</v>
      </c>
      <c r="B38" s="16">
        <f>Лист1!B32</f>
        <v>5512.98</v>
      </c>
      <c r="C38" s="56">
        <f>Лист1!C32</f>
        <v>47687.276999999995</v>
      </c>
      <c r="D38" s="57">
        <f>Лист1!D32</f>
        <v>4177.367</v>
      </c>
      <c r="E38" s="22">
        <f>Лист1!S32</f>
        <v>36752.090000000004</v>
      </c>
      <c r="F38" s="24">
        <f>Лист1!T32</f>
        <v>6757.819999999999</v>
      </c>
      <c r="G38" s="170">
        <f>Лист1!AF32</f>
        <v>652.54652</v>
      </c>
      <c r="H38" s="58">
        <f>Лист1!AB32</f>
        <v>23910.06</v>
      </c>
      <c r="I38" s="58">
        <f>Лист1!AC32</f>
        <v>34845.247</v>
      </c>
      <c r="J38" s="59">
        <f>Лист1!AG32+Лист1!AH32</f>
        <v>4410.384</v>
      </c>
      <c r="K38" s="22">
        <f>Лист1!AI32+Лист1!AJ32</f>
        <v>5512.98</v>
      </c>
      <c r="L38" s="22">
        <f>Лист1!AK32+Лист1!AL32+Лист1!AM32+Лист1!AN32+Лист1!AO32+Лист1!AP32+Лист1!AQ32+Лист1!AR32+Лист1!AZ32+Лист1!BA32</f>
        <v>21894.925399999996</v>
      </c>
      <c r="M38" s="23">
        <f>Лист1!AS32+Лист1!AT32+Лист1!AU32</f>
        <v>5476</v>
      </c>
      <c r="N38" s="23">
        <f>Лист1!AX32</f>
        <v>1504.3</v>
      </c>
      <c r="O38" s="24">
        <f>Лист1!BB32</f>
        <v>38798.5894</v>
      </c>
      <c r="P38" s="166">
        <f>Лист1!BC32</f>
        <v>310.662</v>
      </c>
      <c r="Q38" s="60">
        <f>Лист1!BD32</f>
        <v>-3611.4578799999904</v>
      </c>
      <c r="R38" s="60">
        <f>Лист1!BE32</f>
        <v>-12842.030000000002</v>
      </c>
      <c r="S38" s="1"/>
      <c r="T38" s="1"/>
    </row>
    <row r="39" spans="1:20" ht="12.75">
      <c r="A39" s="15" t="s">
        <v>50</v>
      </c>
      <c r="B39" s="16">
        <f>Лист1!B33</f>
        <v>5512.98</v>
      </c>
      <c r="C39" s="56">
        <f>Лист1!C33</f>
        <v>47687.276999999995</v>
      </c>
      <c r="D39" s="57">
        <f>Лист1!D33</f>
        <v>4186.226999999996</v>
      </c>
      <c r="E39" s="22">
        <f>Лист1!S33</f>
        <v>36875.82000000001</v>
      </c>
      <c r="F39" s="24">
        <f>Лист1!T33</f>
        <v>6625.23</v>
      </c>
      <c r="G39" s="170">
        <f>Лист1!AF33</f>
        <v>652.54652</v>
      </c>
      <c r="H39" s="58">
        <f>Лист1!AB33</f>
        <v>35796.69</v>
      </c>
      <c r="I39" s="58">
        <f>Лист1!AC33</f>
        <v>46608.147</v>
      </c>
      <c r="J39" s="59">
        <f>Лист1!AG33+Лист1!AH33</f>
        <v>4410.384</v>
      </c>
      <c r="K39" s="22">
        <f>Лист1!AI33+Лист1!AJ33</f>
        <v>5512.98</v>
      </c>
      <c r="L39" s="22">
        <f>Лист1!AK33+Лист1!AL33+Лист1!AM33+Лист1!AN33+Лист1!AO33+Лист1!AP33+Лист1!AQ33+Лист1!AR33+Лист1!AZ33+Лист1!BA33</f>
        <v>17806.925399999996</v>
      </c>
      <c r="M39" s="23">
        <f>Лист1!AS33+Лист1!AT33+Лист1!AU33</f>
        <v>46251</v>
      </c>
      <c r="N39" s="23">
        <f>Лист1!AX33</f>
        <v>1288.6999999999998</v>
      </c>
      <c r="O39" s="24">
        <f>Лист1!BB33</f>
        <v>75269.98939999999</v>
      </c>
      <c r="P39" s="166">
        <f>Лист1!BC33</f>
        <v>310.662</v>
      </c>
      <c r="Q39" s="60">
        <f>Лист1!BD33</f>
        <v>-28319.95787999999</v>
      </c>
      <c r="R39" s="60">
        <f>Лист1!BE33</f>
        <v>-1079.1300000000047</v>
      </c>
      <c r="S39" s="1"/>
      <c r="T39" s="1"/>
    </row>
    <row r="40" spans="1:20" ht="12.75">
      <c r="A40" s="15" t="s">
        <v>51</v>
      </c>
      <c r="B40" s="16">
        <f>Лист1!B34</f>
        <v>5512.98</v>
      </c>
      <c r="C40" s="56">
        <f>Лист1!C34</f>
        <v>47687.276999999995</v>
      </c>
      <c r="D40" s="57">
        <f>Лист1!D34</f>
        <v>4160.8969999999945</v>
      </c>
      <c r="E40" s="22">
        <f>Лист1!S34</f>
        <v>36912.990000000005</v>
      </c>
      <c r="F40" s="24">
        <f>Лист1!T34</f>
        <v>6613.39</v>
      </c>
      <c r="G40" s="170">
        <f>Лист1!AF34</f>
        <v>0</v>
      </c>
      <c r="H40" s="58">
        <f>Лист1!AB34</f>
        <v>35703.57</v>
      </c>
      <c r="I40" s="58">
        <f>Лист1!AC34</f>
        <v>46477.856999999996</v>
      </c>
      <c r="J40" s="59">
        <f>Лист1!AG34+Лист1!AH34</f>
        <v>4410.384</v>
      </c>
      <c r="K40" s="22">
        <f>Лист1!AI34+Лист1!AJ34</f>
        <v>5512.98</v>
      </c>
      <c r="L40" s="22">
        <f>Лист1!AK34+Лист1!AL34+Лист1!AM34+Лист1!AN34+Лист1!AO34+Лист1!AP34+Лист1!AQ34+Лист1!AR34+Лист1!AZ34+Лист1!BA34</f>
        <v>17806.925399999996</v>
      </c>
      <c r="M40" s="23">
        <f>Лист1!AS34+Лист1!AT34+Лист1!AU34</f>
        <v>5556</v>
      </c>
      <c r="N40" s="23">
        <f>Лист1!AX34</f>
        <v>1141.6999999999998</v>
      </c>
      <c r="O40" s="24">
        <f>Лист1!BB34</f>
        <v>34427.98939999999</v>
      </c>
      <c r="P40" s="166">
        <f>Лист1!BC34</f>
        <v>310.662</v>
      </c>
      <c r="Q40" s="60">
        <f>Лист1!BD34</f>
        <v>11739.205600000005</v>
      </c>
      <c r="R40" s="60">
        <f>Лист1!BE34</f>
        <v>-1209.4200000000055</v>
      </c>
      <c r="S40" s="1"/>
      <c r="T40" s="1"/>
    </row>
    <row r="41" spans="1:20" ht="12.75">
      <c r="A41" s="15" t="s">
        <v>52</v>
      </c>
      <c r="B41" s="16">
        <f>Лист1!B35</f>
        <v>5512.98</v>
      </c>
      <c r="C41" s="56">
        <f>Лист1!C35</f>
        <v>47687.276999999995</v>
      </c>
      <c r="D41" s="57">
        <f>Лист1!D35</f>
        <v>4162.31699999999</v>
      </c>
      <c r="E41" s="22">
        <f>Лист1!S35</f>
        <v>43524.96</v>
      </c>
      <c r="F41" s="24">
        <f>Лист1!T35</f>
        <v>0</v>
      </c>
      <c r="G41" s="170">
        <f>Лист1!AF35</f>
        <v>0</v>
      </c>
      <c r="H41" s="58">
        <f>Лист1!AB35</f>
        <v>34172.93</v>
      </c>
      <c r="I41" s="58">
        <f>Лист1!AC35</f>
        <v>38335.24699999999</v>
      </c>
      <c r="J41" s="59">
        <f>Лист1!AG35+Лист1!AH35</f>
        <v>4410.384</v>
      </c>
      <c r="K41" s="22">
        <f>Лист1!AI35+Лист1!AJ35</f>
        <v>5512.98</v>
      </c>
      <c r="L41" s="22">
        <f>Лист1!AK35+Лист1!AL35+Лист1!AM35+Лист1!AN35+Лист1!AO35+Лист1!AP35+Лист1!AQ35+Лист1!AR35+Лист1!AZ35+Лист1!BA35</f>
        <v>17806.925399999996</v>
      </c>
      <c r="M41" s="23">
        <f>Лист1!AS35+Лист1!AT35+Лист1!AU35</f>
        <v>0</v>
      </c>
      <c r="N41" s="23">
        <f>Лист1!AX35</f>
        <v>1215.1999999999998</v>
      </c>
      <c r="O41" s="24">
        <f>Лист1!BB35</f>
        <v>28945.4894</v>
      </c>
      <c r="P41" s="166">
        <f>Лист1!BC35</f>
        <v>310.662</v>
      </c>
      <c r="Q41" s="60">
        <f>Лист1!BD35</f>
        <v>9079.09559999999</v>
      </c>
      <c r="R41" s="60">
        <f>Лист1!BE35</f>
        <v>-9352.029999999999</v>
      </c>
      <c r="S41" s="1"/>
      <c r="T41" s="1"/>
    </row>
    <row r="42" spans="1:20" ht="12.75">
      <c r="A42" s="15" t="s">
        <v>53</v>
      </c>
      <c r="B42" s="16">
        <f>Лист1!B36</f>
        <v>5512.98</v>
      </c>
      <c r="C42" s="56">
        <f>Лист1!C36</f>
        <v>47687.276999999995</v>
      </c>
      <c r="D42" s="57">
        <f>Лист1!D36</f>
        <v>4157.036999999997</v>
      </c>
      <c r="E42" s="22">
        <f>Лист1!S36</f>
        <v>43530.24</v>
      </c>
      <c r="F42" s="24">
        <f>Лист1!T36</f>
        <v>0</v>
      </c>
      <c r="G42" s="170">
        <f>Лист1!AF36</f>
        <v>0</v>
      </c>
      <c r="H42" s="58">
        <f>Лист1!AB36</f>
        <v>46961.99</v>
      </c>
      <c r="I42" s="58">
        <f>Лист1!AC36</f>
        <v>51119.026999999995</v>
      </c>
      <c r="J42" s="59">
        <f>Лист1!AG36+Лист1!AH36</f>
        <v>4410.384</v>
      </c>
      <c r="K42" s="22">
        <f>Лист1!AI36+Лист1!AJ36</f>
        <v>5512.98</v>
      </c>
      <c r="L42" s="22">
        <f>Лист1!AK36+Лист1!AL36+Лист1!AM36+Лист1!AN36+Лист1!AO36+Лист1!AP36+Лист1!AQ36+Лист1!AR36+Лист1!AZ36+Лист1!BA36</f>
        <v>17806.925399999996</v>
      </c>
      <c r="M42" s="23">
        <f>Лист1!AS36+Лист1!AT36+Лист1!AU36</f>
        <v>2093.9640000000004</v>
      </c>
      <c r="N42" s="23">
        <f>Лист1!AX36</f>
        <v>1435.6999999999998</v>
      </c>
      <c r="O42" s="24">
        <f>Лист1!BB36</f>
        <v>31259.9534</v>
      </c>
      <c r="P42" s="166">
        <f>Лист1!BC36</f>
        <v>310.662</v>
      </c>
      <c r="Q42" s="60">
        <f>Лист1!BD36</f>
        <v>19548.411599999996</v>
      </c>
      <c r="R42" s="60">
        <f>Лист1!BE36</f>
        <v>3431.75</v>
      </c>
      <c r="S42" s="1"/>
      <c r="T42" s="1"/>
    </row>
    <row r="43" spans="1:20" ht="12.75">
      <c r="A43" s="15" t="s">
        <v>54</v>
      </c>
      <c r="B43" s="16">
        <f>Лист1!B37</f>
        <v>5512.98</v>
      </c>
      <c r="C43" s="56">
        <f>Лист1!C37</f>
        <v>47687.276999999995</v>
      </c>
      <c r="D43" s="57">
        <f>Лист1!D37</f>
        <v>4157.036999999997</v>
      </c>
      <c r="E43" s="22">
        <f>Лист1!S37</f>
        <v>43530.24</v>
      </c>
      <c r="F43" s="24">
        <f>Лист1!T37</f>
        <v>0</v>
      </c>
      <c r="G43" s="170">
        <f>Лист1!AF37</f>
        <v>2610.19608</v>
      </c>
      <c r="H43" s="58">
        <f>Лист1!AB37</f>
        <v>40800.95</v>
      </c>
      <c r="I43" s="58">
        <f>Лист1!AC37</f>
        <v>44957.986999999994</v>
      </c>
      <c r="J43" s="59">
        <f>Лист1!AG37+Лист1!AH37</f>
        <v>4410.384</v>
      </c>
      <c r="K43" s="22">
        <f>Лист1!AI37+Лист1!AJ37</f>
        <v>5512.98</v>
      </c>
      <c r="L43" s="22">
        <f>Лист1!AK37+Лист1!AL37+Лист1!AM37+Лист1!AN37+Лист1!AO37+Лист1!AP37+Лист1!AQ37+Лист1!AR37+Лист1!AZ37+Лист1!BA37</f>
        <v>17806.925399999996</v>
      </c>
      <c r="M43" s="23">
        <f>Лист1!AS37+Лист1!AT37+Лист1!AU37</f>
        <v>16726</v>
      </c>
      <c r="N43" s="23">
        <f>Лист1!AX37</f>
        <v>1710.1</v>
      </c>
      <c r="O43" s="24">
        <f>Лист1!BB37</f>
        <v>46166.38939999999</v>
      </c>
      <c r="P43" s="166">
        <f>Лист1!BC37</f>
        <v>310.662</v>
      </c>
      <c r="Q43" s="60">
        <f>Лист1!BD37</f>
        <v>1091.1316800000025</v>
      </c>
      <c r="R43" s="60">
        <f>Лист1!BE37</f>
        <v>-2729.290000000001</v>
      </c>
      <c r="S43" s="1"/>
      <c r="T43" s="1"/>
    </row>
    <row r="44" spans="1:20" ht="12.75">
      <c r="A44" s="15" t="s">
        <v>42</v>
      </c>
      <c r="B44" s="16">
        <f>Лист1!B38</f>
        <v>5512.98</v>
      </c>
      <c r="C44" s="56">
        <f>Лист1!C38</f>
        <v>47687.276999999995</v>
      </c>
      <c r="D44" s="57">
        <f>Лист1!D38</f>
        <v>4169.616999999991</v>
      </c>
      <c r="E44" s="22">
        <f>Лист1!S38</f>
        <v>43517.66</v>
      </c>
      <c r="F44" s="24">
        <f>Лист1!T38</f>
        <v>0</v>
      </c>
      <c r="G44" s="170">
        <f>Лист1!AF38</f>
        <v>652.54652</v>
      </c>
      <c r="H44" s="58">
        <f>Лист1!AB38</f>
        <v>37255.700000000004</v>
      </c>
      <c r="I44" s="58">
        <f>Лист1!AC38</f>
        <v>41425.316999999995</v>
      </c>
      <c r="J44" s="59">
        <f>Лист1!AG38+Лист1!AH38</f>
        <v>4410.384</v>
      </c>
      <c r="K44" s="22">
        <f>Лист1!AI38+Лист1!AJ38</f>
        <v>5512.98</v>
      </c>
      <c r="L44" s="22">
        <f>Лист1!AK38+Лист1!AL38+Лист1!AM38+Лист1!AN38+Лист1!AO38+Лист1!AP38+Лист1!AQ38+Лист1!AR38+Лист1!AZ38+Лист1!BA38</f>
        <v>17806.925399999996</v>
      </c>
      <c r="M44" s="23">
        <f>Лист1!AS38+Лист1!AT38+Лист1!AU38</f>
        <v>2664</v>
      </c>
      <c r="N44" s="23">
        <f>Лист1!AX38</f>
        <v>2082.5</v>
      </c>
      <c r="O44" s="24">
        <f>Лист1!BB38</f>
        <v>32476.789399999994</v>
      </c>
      <c r="P44" s="166">
        <f>Лист1!BC38</f>
        <v>310.662</v>
      </c>
      <c r="Q44" s="60">
        <f>Лист1!BD38</f>
        <v>9290.412120000005</v>
      </c>
      <c r="R44" s="60">
        <f>Лист1!BE38</f>
        <v>-6261.959999999999</v>
      </c>
      <c r="S44" s="1"/>
      <c r="T44" s="1"/>
    </row>
    <row r="45" spans="1:20" ht="12.75">
      <c r="A45" s="15" t="s">
        <v>43</v>
      </c>
      <c r="B45" s="16">
        <f>Лист1!B39</f>
        <v>5512.98</v>
      </c>
      <c r="C45" s="56">
        <f>Лист1!C39</f>
        <v>47687.276999999995</v>
      </c>
      <c r="D45" s="57">
        <f>Лист1!D39</f>
        <v>4171.016999999994</v>
      </c>
      <c r="E45" s="22">
        <f>Лист1!S39</f>
        <v>43516.26</v>
      </c>
      <c r="F45" s="24">
        <f>Лист1!T39</f>
        <v>0</v>
      </c>
      <c r="G45" s="170">
        <f>Лист1!AF39</f>
        <v>652.54652</v>
      </c>
      <c r="H45" s="58">
        <f>Лист1!AB39</f>
        <v>39530.729999999996</v>
      </c>
      <c r="I45" s="58">
        <f>Лист1!AC39</f>
        <v>43701.74699999999</v>
      </c>
      <c r="J45" s="59">
        <f>Лист1!AG39+Лист1!AH39</f>
        <v>4410.384</v>
      </c>
      <c r="K45" s="22">
        <f>Лист1!AI39+Лист1!AJ39</f>
        <v>5512.98</v>
      </c>
      <c r="L45" s="22">
        <f>Лист1!AK39+Лист1!AL39+Лист1!AM39+Лист1!AN39+Лист1!AO39+Лист1!AP39+Лист1!AQ39+Лист1!AR39+Лист1!AZ39+Лист1!BA39</f>
        <v>17806.925399999996</v>
      </c>
      <c r="M45" s="23">
        <f>Лист1!AS39+Лист1!AT39+Лист1!AU39</f>
        <v>0</v>
      </c>
      <c r="N45" s="23">
        <f>Лист1!AX39</f>
        <v>2303</v>
      </c>
      <c r="O45" s="24">
        <f>Лист1!BB39</f>
        <v>30033.289399999998</v>
      </c>
      <c r="P45" s="166">
        <f>Лист1!BC39</f>
        <v>310.662</v>
      </c>
      <c r="Q45" s="60">
        <f>Лист1!BD39</f>
        <v>14010.342119999994</v>
      </c>
      <c r="R45" s="60">
        <f>Лист1!BE39</f>
        <v>-3985.530000000006</v>
      </c>
      <c r="S45" s="1"/>
      <c r="T45" s="1"/>
    </row>
    <row r="46" spans="1:20" ht="13.5" thickBot="1">
      <c r="A46" s="61" t="s">
        <v>44</v>
      </c>
      <c r="B46" s="16">
        <f>Лист1!B40</f>
        <v>5512.98</v>
      </c>
      <c r="C46" s="56">
        <f>Лист1!C40</f>
        <v>47687.276999999995</v>
      </c>
      <c r="D46" s="57">
        <f>Лист1!D40</f>
        <v>4144.696999999997</v>
      </c>
      <c r="E46" s="22">
        <f>Лист1!S40</f>
        <v>43542.58</v>
      </c>
      <c r="F46" s="24">
        <f>Лист1!T40</f>
        <v>0</v>
      </c>
      <c r="G46" s="170">
        <f>Лист1!AF40</f>
        <v>652.54652</v>
      </c>
      <c r="H46" s="58">
        <f>Лист1!AB40</f>
        <v>57832.479999999996</v>
      </c>
      <c r="I46" s="58">
        <f>Лист1!AC40</f>
        <v>61977.176999999996</v>
      </c>
      <c r="J46" s="59">
        <f>Лист1!AG40+Лист1!AH40</f>
        <v>4410.384</v>
      </c>
      <c r="K46" s="22">
        <f>Лист1!AI40+Лист1!AJ40</f>
        <v>5512.98</v>
      </c>
      <c r="L46" s="22">
        <f>Лист1!AK40+Лист1!AL40+Лист1!AM40+Лист1!AN40+Лист1!AO40+Лист1!AP40+Лист1!AQ40+Лист1!AR40+Лист1!AZ40+Лист1!BA40</f>
        <v>17806.925399999996</v>
      </c>
      <c r="M46" s="23">
        <f>Лист1!AS40+Лист1!AT40+Лист1!AU40</f>
        <v>42225.0774</v>
      </c>
      <c r="N46" s="23">
        <f>Лист1!AX40</f>
        <v>2518.6</v>
      </c>
      <c r="O46" s="24">
        <f>Лист1!BB40</f>
        <v>72473.9668</v>
      </c>
      <c r="P46" s="166">
        <f>Лист1!BC40</f>
        <v>310.662</v>
      </c>
      <c r="Q46" s="60">
        <f>Лист1!BD40</f>
        <v>-10154.905279999995</v>
      </c>
      <c r="R46" s="60">
        <f>Лист1!BE40</f>
        <v>14289.899999999994</v>
      </c>
      <c r="S46" s="1"/>
      <c r="T46" s="1"/>
    </row>
    <row r="47" spans="1:20" s="31" customFormat="1" ht="13.5" thickBot="1">
      <c r="A47" s="63" t="s">
        <v>5</v>
      </c>
      <c r="B47" s="64"/>
      <c r="C47" s="65">
        <f aca="true" t="shared" si="3" ref="C47:R47">SUM(C35:C46)</f>
        <v>572247.3239999999</v>
      </c>
      <c r="D47" s="66">
        <f t="shared" si="3"/>
        <v>50062.31399999993</v>
      </c>
      <c r="E47" s="65">
        <f t="shared" si="3"/>
        <v>482315.05</v>
      </c>
      <c r="F47" s="67">
        <f t="shared" si="3"/>
        <v>39869.96</v>
      </c>
      <c r="G47" s="69">
        <f t="shared" si="3"/>
        <v>7830.56824</v>
      </c>
      <c r="H47" s="68">
        <f t="shared" si="3"/>
        <v>457736.82</v>
      </c>
      <c r="I47" s="65">
        <f t="shared" si="3"/>
        <v>547669.0939999998</v>
      </c>
      <c r="J47" s="66">
        <f t="shared" si="3"/>
        <v>52924.607999999986</v>
      </c>
      <c r="K47" s="65">
        <f t="shared" si="3"/>
        <v>66155.75999999998</v>
      </c>
      <c r="L47" s="65">
        <f t="shared" si="3"/>
        <v>218471.1048</v>
      </c>
      <c r="M47" s="65">
        <f t="shared" si="3"/>
        <v>189416.04140000002</v>
      </c>
      <c r="N47" s="65">
        <f t="shared" si="3"/>
        <v>21560</v>
      </c>
      <c r="O47" s="67">
        <f t="shared" si="3"/>
        <v>548527.5142</v>
      </c>
      <c r="P47" s="67">
        <f t="shared" si="3"/>
        <v>3727.943999999999</v>
      </c>
      <c r="Q47" s="69">
        <f t="shared" si="3"/>
        <v>3244.204040000015</v>
      </c>
      <c r="R47" s="69">
        <f t="shared" si="3"/>
        <v>-24578.230000000025</v>
      </c>
      <c r="S47" s="71"/>
      <c r="T47" s="71"/>
    </row>
    <row r="48" spans="1:20" ht="13.5" thickBot="1">
      <c r="A48" s="217" t="s">
        <v>69</v>
      </c>
      <c r="B48" s="218"/>
      <c r="C48" s="218"/>
      <c r="D48" s="218"/>
      <c r="E48" s="218"/>
      <c r="F48" s="218"/>
      <c r="G48" s="218"/>
      <c r="H48" s="218"/>
      <c r="I48" s="218"/>
      <c r="J48" s="218"/>
      <c r="K48" s="218"/>
      <c r="L48" s="218"/>
      <c r="M48" s="218"/>
      <c r="N48" s="218"/>
      <c r="O48" s="218"/>
      <c r="P48" s="218"/>
      <c r="Q48" s="218"/>
      <c r="R48" s="78"/>
      <c r="S48" s="1"/>
      <c r="T48" s="1"/>
    </row>
    <row r="49" spans="1:20" s="31" customFormat="1" ht="13.5" thickBot="1">
      <c r="A49" s="79" t="s">
        <v>55</v>
      </c>
      <c r="B49" s="80"/>
      <c r="C49" s="81">
        <f>C33+C47</f>
        <v>1277980.064</v>
      </c>
      <c r="D49" s="81">
        <f aca="true" t="shared" si="4" ref="D49:R49">D33+D47</f>
        <v>144193.48676059995</v>
      </c>
      <c r="E49" s="81">
        <f t="shared" si="4"/>
        <v>999826.1599999999</v>
      </c>
      <c r="F49" s="81">
        <f t="shared" si="4"/>
        <v>131551.77</v>
      </c>
      <c r="G49" s="81">
        <f t="shared" si="4"/>
        <v>9788.2078</v>
      </c>
      <c r="H49" s="81">
        <f t="shared" si="4"/>
        <v>889384.4100000001</v>
      </c>
      <c r="I49" s="81">
        <f t="shared" si="4"/>
        <v>1165129.6667605997</v>
      </c>
      <c r="J49" s="81">
        <f t="shared" si="4"/>
        <v>116602.37908715999</v>
      </c>
      <c r="K49" s="81">
        <f t="shared" si="4"/>
        <v>144980.61640788018</v>
      </c>
      <c r="L49" s="81">
        <f t="shared" si="4"/>
        <v>475204.30898652575</v>
      </c>
      <c r="M49" s="81">
        <f t="shared" si="4"/>
        <v>415645.99360000005</v>
      </c>
      <c r="N49" s="81">
        <f t="shared" si="4"/>
        <v>41912.64</v>
      </c>
      <c r="O49" s="81">
        <f t="shared" si="4"/>
        <v>1194345.9380815658</v>
      </c>
      <c r="P49" s="81">
        <f t="shared" si="4"/>
        <v>4660.610883999999</v>
      </c>
      <c r="Q49" s="81">
        <f>Q33+Q47</f>
        <v>-24088.67440496593</v>
      </c>
      <c r="R49" s="81">
        <f t="shared" si="4"/>
        <v>-110441.75000000001</v>
      </c>
      <c r="S49" s="85"/>
      <c r="T49" s="71"/>
    </row>
    <row r="50" spans="18:19" ht="12.75">
      <c r="R50" s="1"/>
      <c r="S50" s="1"/>
    </row>
    <row r="51" spans="1:19" ht="12.75">
      <c r="A51" s="86"/>
      <c r="R51" s="1"/>
      <c r="S51" s="1"/>
    </row>
    <row r="52" spans="1:19" ht="12.75">
      <c r="A52" s="31" t="s">
        <v>70</v>
      </c>
      <c r="D52" s="2" t="s">
        <v>85</v>
      </c>
      <c r="R52" s="1"/>
      <c r="S52" s="1"/>
    </row>
    <row r="53" spans="1:19" ht="12.75">
      <c r="A53" s="39" t="s">
        <v>71</v>
      </c>
      <c r="B53" s="39" t="s">
        <v>72</v>
      </c>
      <c r="C53" s="219" t="s">
        <v>73</v>
      </c>
      <c r="D53" s="219"/>
      <c r="R53" s="1"/>
      <c r="S53" s="1"/>
    </row>
    <row r="54" spans="1:19" ht="12.75">
      <c r="A54" s="101">
        <v>263507.31</v>
      </c>
      <c r="B54" s="103">
        <v>82146.92</v>
      </c>
      <c r="C54" s="220">
        <f>A54-B54</f>
        <v>181360.39</v>
      </c>
      <c r="D54" s="221"/>
      <c r="R54" s="1"/>
      <c r="S54" s="1"/>
    </row>
    <row r="55" spans="1:19" ht="12.75">
      <c r="A55" s="86"/>
      <c r="R55" s="1"/>
      <c r="S55" s="1"/>
    </row>
    <row r="56" spans="1:19" ht="12.75">
      <c r="A56" s="86"/>
      <c r="R56" s="1"/>
      <c r="S56" s="1"/>
    </row>
    <row r="57" spans="1:19" ht="12.75">
      <c r="A57" s="2" t="s">
        <v>74</v>
      </c>
      <c r="G57" s="2" t="s">
        <v>75</v>
      </c>
      <c r="R57" s="1"/>
      <c r="S57" s="1"/>
    </row>
    <row r="58" ht="12.75">
      <c r="A58" s="1"/>
    </row>
    <row r="59" ht="12.75">
      <c r="A59" s="1"/>
    </row>
    <row r="60" ht="12.75">
      <c r="A60" s="1" t="s">
        <v>89</v>
      </c>
    </row>
    <row r="61" ht="12.75">
      <c r="A61" s="2" t="s">
        <v>76</v>
      </c>
    </row>
  </sheetData>
  <sheetProtection/>
  <mergeCells count="25">
    <mergeCell ref="A5:Q5"/>
    <mergeCell ref="A6:Q6"/>
    <mergeCell ref="A8:A11"/>
    <mergeCell ref="B8:B11"/>
    <mergeCell ref="C8:C11"/>
    <mergeCell ref="D8:D11"/>
    <mergeCell ref="E8:F9"/>
    <mergeCell ref="J8:O9"/>
    <mergeCell ref="Q8:Q11"/>
    <mergeCell ref="M10:M11"/>
    <mergeCell ref="H8:I9"/>
    <mergeCell ref="A32:Q32"/>
    <mergeCell ref="N10:N11"/>
    <mergeCell ref="O10:O11"/>
    <mergeCell ref="G8:G11"/>
    <mergeCell ref="A48:Q48"/>
    <mergeCell ref="P8:P11"/>
    <mergeCell ref="C53:D53"/>
    <mergeCell ref="C54:D54"/>
    <mergeCell ref="R8:R11"/>
    <mergeCell ref="E10:F10"/>
    <mergeCell ref="I10:I11"/>
    <mergeCell ref="J10:J11"/>
    <mergeCell ref="K10:K11"/>
    <mergeCell ref="L10:L1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</dc:creator>
  <cp:keywords/>
  <dc:description/>
  <cp:lastModifiedBy>User</cp:lastModifiedBy>
  <cp:lastPrinted>2010-04-03T06:34:50Z</cp:lastPrinted>
  <dcterms:created xsi:type="dcterms:W3CDTF">2010-04-03T04:08:20Z</dcterms:created>
  <dcterms:modified xsi:type="dcterms:W3CDTF">2011-04-18T07:50:42Z</dcterms:modified>
  <cp:category/>
  <cp:version/>
  <cp:contentType/>
  <cp:contentStatus/>
</cp:coreProperties>
</file>