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<sst xmlns="http://schemas.openxmlformats.org/spreadsheetml/2006/main" count="178" uniqueCount="94">
  <si>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</si>
  <si>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</si>
  <si>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</si>
  <si>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</si>
  <si>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</si>
  <si>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</si>
  <si>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</si>
  <si>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</si>
  <si>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</si>
  <si>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</si>
  <si>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</si>
  <si>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</si>
  <si>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</si>
  <si>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</si>
  <si>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</si>
  <si>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</si>
  <si>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</si>
  <si>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</si>
  <si>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</si>
  <si>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</si>
  <si>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</si>
  <si>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</si>
  <si>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</si>
  <si>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</si>
  <si>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</si>
  <si>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</si>
  <si>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</si>
  <si>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</si>
  <si>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</si>
  <si>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</si>
  <si>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</si>
  <si>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</si>
  <si>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</si>
  <si>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</si>
  <si>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</si>
  <si>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</si>
  <si>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</si>
  <si>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</si>
  <si>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</si>
  <si>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</si>
  <si>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</si>
  <si>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</si>
  <si>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</si>
  <si>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</si>
  <si>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</si>
  <si>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</si>
  <si>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</si>
  <si>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</si>
  <si>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</si>
  <si>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</si>
  <si>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</si>
  <si>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</si>
  <si>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</si>
  <si>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</si>
  <si>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</si>
  <si>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</si>
  <si>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</si>
  <si>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</si>
  <si>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</si>
  <si>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</si>
  <si>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</si>
  <si>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</si>
  <si>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</si>
  <si>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</si>
  <si>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</si>
  <si>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</si>
  <si>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</si>
  <si>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</si>
  <si>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</si>
  <si>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</si>
  <si>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</si>
  <si>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</si>
  <si>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</si>
  <si>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</si>
  <si>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</si>
  <si>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</si>
  <si>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</si>
  <si>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</si>
  <si>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</si>
  <si>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</si>
  <si>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</si>
  <si>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</si>
  <si>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</si>
  <si>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</si>
  <si>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</si>
  <si>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</si>
  <si>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</si>
  <si>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</si>
  <si>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</si>
  <si>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Поспелова, д. 9</t>
  </si>
  <si>
    <t>Выписка по лицевому счету по адресу г. Таштагол ул. Поспелова, д. 9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</si>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</sst>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0" fillId="0" borderId="38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45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2" fontId="1" fillId="34" borderId="52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9" xfId="0" applyNumberFormat="1" applyFont="1" applyFill="1" applyBorder="1" applyAlignment="1">
      <alignment horizontal="center" vertical="center" wrapText="1"/>
    </xf>
    <xf numFmtId="2" fontId="7" fillId="34" borderId="50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8" xfId="0" applyNumberFormat="1" applyFont="1" applyFill="1" applyBorder="1" applyAlignment="1">
      <alignment horizontal="center" vertical="center" wrapText="1"/>
    </xf>
    <xf numFmtId="2" fontId="1" fillId="36" borderId="49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 textRotation="90" wrapText="1"/>
    </xf>
    <xf numFmtId="0" fontId="1" fillId="0" borderId="52" xfId="0" applyFont="1" applyFill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center" textRotation="90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" sqref="D14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43" t="s">
        <v>0</v>
      </c>
      <c r="B3" s="146" t="s">
        <v>1</v>
      </c>
      <c r="C3" s="146" t="s">
        <v>2</v>
      </c>
      <c r="D3" s="146" t="s">
        <v>3</v>
      </c>
      <c r="E3" s="149" t="s">
        <v>4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66" t="s">
        <v>5</v>
      </c>
      <c r="T3" s="166"/>
      <c r="U3" s="167" t="s">
        <v>6</v>
      </c>
      <c r="V3" s="167"/>
      <c r="W3" s="167"/>
      <c r="X3" s="167"/>
      <c r="Y3" s="167"/>
      <c r="Z3" s="167"/>
      <c r="AA3" s="167"/>
      <c r="AB3" s="167"/>
      <c r="AC3" s="169" t="s">
        <v>87</v>
      </c>
      <c r="AD3" s="169" t="s">
        <v>8</v>
      </c>
      <c r="AE3" s="172" t="s">
        <v>9</v>
      </c>
      <c r="AF3" s="179" t="s">
        <v>75</v>
      </c>
      <c r="AG3" s="182" t="s">
        <v>10</v>
      </c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58" t="s">
        <v>76</v>
      </c>
      <c r="BD3" s="163" t="s">
        <v>11</v>
      </c>
      <c r="BE3" s="151" t="s">
        <v>12</v>
      </c>
    </row>
    <row r="4" spans="1:57" ht="36" customHeight="1" thickBot="1">
      <c r="A4" s="144"/>
      <c r="B4" s="147"/>
      <c r="C4" s="147"/>
      <c r="D4" s="147"/>
      <c r="E4" s="150" t="s">
        <v>13</v>
      </c>
      <c r="F4" s="150"/>
      <c r="G4" s="150" t="s">
        <v>14</v>
      </c>
      <c r="H4" s="150"/>
      <c r="I4" s="150" t="s">
        <v>15</v>
      </c>
      <c r="J4" s="150"/>
      <c r="K4" s="150" t="s">
        <v>16</v>
      </c>
      <c r="L4" s="150"/>
      <c r="M4" s="150" t="s">
        <v>17</v>
      </c>
      <c r="N4" s="150"/>
      <c r="O4" s="150" t="s">
        <v>18</v>
      </c>
      <c r="P4" s="150"/>
      <c r="Q4" s="150" t="s">
        <v>19</v>
      </c>
      <c r="R4" s="150"/>
      <c r="S4" s="150"/>
      <c r="T4" s="150"/>
      <c r="U4" s="168"/>
      <c r="V4" s="168"/>
      <c r="W4" s="168"/>
      <c r="X4" s="168"/>
      <c r="Y4" s="168"/>
      <c r="Z4" s="168"/>
      <c r="AA4" s="168"/>
      <c r="AB4" s="168"/>
      <c r="AC4" s="170"/>
      <c r="AD4" s="170"/>
      <c r="AE4" s="173"/>
      <c r="AF4" s="180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9"/>
      <c r="BD4" s="164"/>
      <c r="BE4" s="152"/>
    </row>
    <row r="5" spans="1:57" ht="29.25" customHeight="1" thickBot="1">
      <c r="A5" s="144"/>
      <c r="B5" s="147"/>
      <c r="C5" s="147"/>
      <c r="D5" s="147"/>
      <c r="E5" s="161" t="s">
        <v>20</v>
      </c>
      <c r="F5" s="161" t="s">
        <v>21</v>
      </c>
      <c r="G5" s="161" t="s">
        <v>20</v>
      </c>
      <c r="H5" s="161" t="s">
        <v>21</v>
      </c>
      <c r="I5" s="161" t="s">
        <v>20</v>
      </c>
      <c r="J5" s="161" t="s">
        <v>21</v>
      </c>
      <c r="K5" s="161" t="s">
        <v>20</v>
      </c>
      <c r="L5" s="161" t="s">
        <v>21</v>
      </c>
      <c r="M5" s="161" t="s">
        <v>20</v>
      </c>
      <c r="N5" s="161" t="s">
        <v>21</v>
      </c>
      <c r="O5" s="161" t="s">
        <v>20</v>
      </c>
      <c r="P5" s="161" t="s">
        <v>21</v>
      </c>
      <c r="Q5" s="161" t="s">
        <v>20</v>
      </c>
      <c r="R5" s="161" t="s">
        <v>21</v>
      </c>
      <c r="S5" s="161" t="s">
        <v>20</v>
      </c>
      <c r="T5" s="161" t="s">
        <v>21</v>
      </c>
      <c r="U5" s="175" t="s">
        <v>22</v>
      </c>
      <c r="V5" s="175" t="s">
        <v>23</v>
      </c>
      <c r="W5" s="175" t="s">
        <v>24</v>
      </c>
      <c r="X5" s="175" t="s">
        <v>25</v>
      </c>
      <c r="Y5" s="175" t="s">
        <v>26</v>
      </c>
      <c r="Z5" s="175" t="s">
        <v>27</v>
      </c>
      <c r="AA5" s="175" t="s">
        <v>28</v>
      </c>
      <c r="AB5" s="175" t="s">
        <v>29</v>
      </c>
      <c r="AC5" s="170"/>
      <c r="AD5" s="170"/>
      <c r="AE5" s="173"/>
      <c r="AF5" s="180"/>
      <c r="AG5" s="154" t="s">
        <v>30</v>
      </c>
      <c r="AH5" s="154" t="s">
        <v>31</v>
      </c>
      <c r="AI5" s="154" t="s">
        <v>32</v>
      </c>
      <c r="AJ5" s="154" t="s">
        <v>33</v>
      </c>
      <c r="AK5" s="154" t="s">
        <v>34</v>
      </c>
      <c r="AL5" s="154" t="s">
        <v>33</v>
      </c>
      <c r="AM5" s="154" t="s">
        <v>35</v>
      </c>
      <c r="AN5" s="154" t="s">
        <v>33</v>
      </c>
      <c r="AO5" s="154" t="s">
        <v>36</v>
      </c>
      <c r="AP5" s="154" t="s">
        <v>33</v>
      </c>
      <c r="AQ5" s="186" t="s">
        <v>80</v>
      </c>
      <c r="AR5" s="188" t="s">
        <v>33</v>
      </c>
      <c r="AS5" s="156" t="s">
        <v>81</v>
      </c>
      <c r="AT5" s="177" t="s">
        <v>82</v>
      </c>
      <c r="AU5" s="177" t="s">
        <v>33</v>
      </c>
      <c r="AV5" s="183" t="s">
        <v>83</v>
      </c>
      <c r="AW5" s="184"/>
      <c r="AX5" s="185"/>
      <c r="AY5" s="154" t="s">
        <v>19</v>
      </c>
      <c r="AZ5" s="154" t="s">
        <v>38</v>
      </c>
      <c r="BA5" s="154" t="s">
        <v>33</v>
      </c>
      <c r="BB5" s="154" t="s">
        <v>39</v>
      </c>
      <c r="BC5" s="159"/>
      <c r="BD5" s="164"/>
      <c r="BE5" s="152"/>
    </row>
    <row r="6" spans="1:57" ht="54" customHeight="1" thickBot="1">
      <c r="A6" s="145"/>
      <c r="B6" s="148"/>
      <c r="C6" s="148"/>
      <c r="D6" s="148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76"/>
      <c r="V6" s="176"/>
      <c r="W6" s="176"/>
      <c r="X6" s="176"/>
      <c r="Y6" s="176"/>
      <c r="Z6" s="176"/>
      <c r="AA6" s="176"/>
      <c r="AB6" s="176"/>
      <c r="AC6" s="171"/>
      <c r="AD6" s="171"/>
      <c r="AE6" s="174"/>
      <c r="AF6" s="181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87"/>
      <c r="AR6" s="189"/>
      <c r="AS6" s="157"/>
      <c r="AT6" s="178"/>
      <c r="AU6" s="178"/>
      <c r="AV6" s="120" t="s">
        <v>84</v>
      </c>
      <c r="AW6" s="120" t="s">
        <v>85</v>
      </c>
      <c r="AX6" s="120" t="s">
        <v>86</v>
      </c>
      <c r="AY6" s="155"/>
      <c r="AZ6" s="155"/>
      <c r="BA6" s="155"/>
      <c r="BB6" s="155"/>
      <c r="BC6" s="160"/>
      <c r="BD6" s="165"/>
      <c r="BE6" s="153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4">
        <v>2598</v>
      </c>
      <c r="C9" s="105">
        <f>B9*8.65</f>
        <v>22472.7</v>
      </c>
      <c r="D9" s="106">
        <f>C9*0.24088</f>
        <v>5413.223976</v>
      </c>
      <c r="E9" s="107">
        <v>1863.38</v>
      </c>
      <c r="F9" s="107">
        <v>313.12</v>
      </c>
      <c r="G9" s="107">
        <v>2515.59</v>
      </c>
      <c r="H9" s="107">
        <v>422.71</v>
      </c>
      <c r="I9" s="107">
        <v>6056.04</v>
      </c>
      <c r="J9" s="107">
        <v>1017.64</v>
      </c>
      <c r="K9" s="107">
        <v>4192.66</v>
      </c>
      <c r="L9" s="107">
        <v>704.52</v>
      </c>
      <c r="M9" s="107">
        <v>1490.67</v>
      </c>
      <c r="N9" s="107">
        <v>250.51</v>
      </c>
      <c r="O9" s="107">
        <v>0</v>
      </c>
      <c r="P9" s="107">
        <v>0</v>
      </c>
      <c r="Q9" s="107">
        <v>0</v>
      </c>
      <c r="R9" s="107">
        <v>0</v>
      </c>
      <c r="S9" s="91">
        <f>E9+G9+I9+K9+M9+O9+Q9</f>
        <v>16118.34</v>
      </c>
      <c r="T9" s="108">
        <f>P9+N9+L9+J9+H9+F9+R9</f>
        <v>2708.5</v>
      </c>
      <c r="U9" s="91">
        <v>40.56</v>
      </c>
      <c r="V9" s="91">
        <v>54.75</v>
      </c>
      <c r="W9" s="91">
        <v>131.81</v>
      </c>
      <c r="X9" s="91">
        <v>91.25</v>
      </c>
      <c r="Y9" s="91">
        <v>32.45</v>
      </c>
      <c r="Z9" s="109">
        <v>0</v>
      </c>
      <c r="AA9" s="109">
        <v>0</v>
      </c>
      <c r="AB9" s="109">
        <f>SUM(U9:AA9)</f>
        <v>350.82</v>
      </c>
      <c r="AC9" s="110">
        <f>D9+T9+AB9</f>
        <v>8472.543976</v>
      </c>
      <c r="AD9" s="111">
        <f>P9+Z9</f>
        <v>0</v>
      </c>
      <c r="AE9" s="102">
        <f>R9+AA9</f>
        <v>0</v>
      </c>
      <c r="AF9" s="102"/>
      <c r="AG9" s="16">
        <f>0.6*B9</f>
        <v>1558.8</v>
      </c>
      <c r="AH9" s="16">
        <f>B9*0.2*1.05826</f>
        <v>549.871896</v>
      </c>
      <c r="AI9" s="16">
        <f>0.8518*B9</f>
        <v>2212.9764</v>
      </c>
      <c r="AJ9" s="16">
        <f>AI9*0.18</f>
        <v>398.335752</v>
      </c>
      <c r="AK9" s="16">
        <f>1.04*B9*0.9531</f>
        <v>2575.199952</v>
      </c>
      <c r="AL9" s="16">
        <f>AK9*0.18</f>
        <v>463.53599135999997</v>
      </c>
      <c r="AM9" s="16">
        <f>(1.91)*B9*0.9531</f>
        <v>4729.453757999999</v>
      </c>
      <c r="AN9" s="16">
        <f>AM9*0.18</f>
        <v>851.3016764399997</v>
      </c>
      <c r="AO9" s="16"/>
      <c r="AP9" s="16">
        <f>AO9*0.18</f>
        <v>0</v>
      </c>
      <c r="AQ9" s="16"/>
      <c r="AR9" s="16"/>
      <c r="AS9" s="97">
        <v>63344.2</v>
      </c>
      <c r="AT9" s="97"/>
      <c r="AU9" s="48">
        <f>AS9*0.18</f>
        <v>11401.955999999998</v>
      </c>
      <c r="AV9" s="48"/>
      <c r="AW9" s="48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88085.6314258</v>
      </c>
      <c r="BC9" s="14">
        <v>0</v>
      </c>
      <c r="BD9" s="14">
        <f>AC9-BB9</f>
        <v>-79613.0874498</v>
      </c>
      <c r="BE9" s="30">
        <f>AB9-S9</f>
        <v>-15767.52</v>
      </c>
    </row>
    <row r="10" spans="1:57" ht="12.75">
      <c r="A10" s="11" t="s">
        <v>42</v>
      </c>
      <c r="B10" s="104">
        <v>2598</v>
      </c>
      <c r="C10" s="105">
        <f>B10*8.65</f>
        <v>22472.7</v>
      </c>
      <c r="D10" s="106">
        <f>C10*0.24088</f>
        <v>5413.223976</v>
      </c>
      <c r="E10" s="107">
        <v>1779.55</v>
      </c>
      <c r="F10" s="107">
        <v>301.28</v>
      </c>
      <c r="G10" s="107">
        <v>2402.26</v>
      </c>
      <c r="H10" s="107">
        <v>406.79</v>
      </c>
      <c r="I10" s="107">
        <v>5783.3</v>
      </c>
      <c r="J10" s="107">
        <v>979.2</v>
      </c>
      <c r="K10" s="107">
        <v>4003.91</v>
      </c>
      <c r="L10" s="107">
        <v>677.9</v>
      </c>
      <c r="M10" s="107">
        <v>1423.54</v>
      </c>
      <c r="N10" s="107">
        <v>241.07</v>
      </c>
      <c r="O10" s="107">
        <v>0</v>
      </c>
      <c r="P10" s="107">
        <v>0</v>
      </c>
      <c r="Q10" s="107">
        <v>0</v>
      </c>
      <c r="R10" s="107">
        <v>0</v>
      </c>
      <c r="S10" s="91">
        <f>E10+G10+I10+K10+M10+O10+Q10</f>
        <v>15392.560000000001</v>
      </c>
      <c r="T10" s="108">
        <f>P10+N10+L10+J10+H10+F10+R10</f>
        <v>2606.24</v>
      </c>
      <c r="U10" s="91">
        <v>1362.69</v>
      </c>
      <c r="V10" s="91">
        <v>1839.56</v>
      </c>
      <c r="W10" s="91">
        <v>4442.81</v>
      </c>
      <c r="X10" s="91">
        <v>3065.99</v>
      </c>
      <c r="Y10" s="91">
        <v>1090.1</v>
      </c>
      <c r="Z10" s="109">
        <v>0</v>
      </c>
      <c r="AA10" s="109">
        <v>0</v>
      </c>
      <c r="AB10" s="112">
        <f>SUM(U10:AA10)</f>
        <v>11801.15</v>
      </c>
      <c r="AC10" s="113">
        <f>D10+T10+AB10</f>
        <v>19820.613976</v>
      </c>
      <c r="AD10" s="102">
        <f>P10+Z10</f>
        <v>0</v>
      </c>
      <c r="AE10" s="102">
        <f>R10+AA10</f>
        <v>0</v>
      </c>
      <c r="AF10" s="102"/>
      <c r="AG10" s="16">
        <f>0.6*B10</f>
        <v>1558.8</v>
      </c>
      <c r="AH10" s="16">
        <f>B10*0.201</f>
        <v>522.198</v>
      </c>
      <c r="AI10" s="16">
        <f>0.8518*B10</f>
        <v>2212.9764</v>
      </c>
      <c r="AJ10" s="16">
        <f>AI10*0.18</f>
        <v>398.335752</v>
      </c>
      <c r="AK10" s="16">
        <f>1.04*B10*0.9531</f>
        <v>2575.199952</v>
      </c>
      <c r="AL10" s="16">
        <f>AK10*0.18</f>
        <v>463.53599135999997</v>
      </c>
      <c r="AM10" s="16">
        <f>(1.91)*B10*0.9531</f>
        <v>4729.453757999999</v>
      </c>
      <c r="AN10" s="16">
        <f>AM10*0.18</f>
        <v>851.3016764399997</v>
      </c>
      <c r="AO10" s="16"/>
      <c r="AP10" s="16">
        <f>AO10*0.18</f>
        <v>0</v>
      </c>
      <c r="AQ10" s="16"/>
      <c r="AR10" s="16"/>
      <c r="AS10" s="97">
        <v>2480</v>
      </c>
      <c r="AT10" s="97"/>
      <c r="AU10" s="48">
        <f>AS10*0.18</f>
        <v>446.4</v>
      </c>
      <c r="AV10" s="48"/>
      <c r="AW10" s="48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16238.201529799997</v>
      </c>
      <c r="BC10" s="14">
        <v>0</v>
      </c>
      <c r="BD10" s="14">
        <f>AC10-BB10</f>
        <v>3582.4124462000036</v>
      </c>
      <c r="BE10" s="30">
        <f>AB10-S10</f>
        <v>-3591.4100000000017</v>
      </c>
    </row>
    <row r="11" spans="1:57" ht="12.75">
      <c r="A11" s="11" t="s">
        <v>43</v>
      </c>
      <c r="B11" s="104">
        <v>2598</v>
      </c>
      <c r="C11" s="105">
        <f>B11*8.65</f>
        <v>22472.7</v>
      </c>
      <c r="D11" s="106">
        <f>C11*0.24035</f>
        <v>5401.313445000001</v>
      </c>
      <c r="E11" s="107">
        <v>1813.72</v>
      </c>
      <c r="F11" s="107">
        <v>307.2</v>
      </c>
      <c r="G11" s="107">
        <v>2448.46</v>
      </c>
      <c r="H11" s="107">
        <v>414.75</v>
      </c>
      <c r="I11" s="107">
        <v>5894.47</v>
      </c>
      <c r="J11" s="107">
        <v>998.42</v>
      </c>
      <c r="K11" s="107">
        <v>4080.82</v>
      </c>
      <c r="L11" s="107">
        <v>691.21</v>
      </c>
      <c r="M11" s="107">
        <v>1450.91</v>
      </c>
      <c r="N11" s="107">
        <v>245.79</v>
      </c>
      <c r="O11" s="107">
        <v>0</v>
      </c>
      <c r="P11" s="114">
        <v>0</v>
      </c>
      <c r="Q11" s="107">
        <v>0</v>
      </c>
      <c r="R11" s="114">
        <v>0</v>
      </c>
      <c r="S11" s="91">
        <f>E11+G11+I11+K11+M11+O11+Q11</f>
        <v>15688.380000000001</v>
      </c>
      <c r="T11" s="108">
        <f>P11+N11+L11+J11+H11+F11+R11</f>
        <v>2657.37</v>
      </c>
      <c r="U11" s="91">
        <v>2312.02</v>
      </c>
      <c r="V11" s="91">
        <v>3121.19</v>
      </c>
      <c r="W11" s="91">
        <v>7499.8</v>
      </c>
      <c r="X11" s="91">
        <v>5202.02</v>
      </c>
      <c r="Y11" s="91">
        <v>1849.56</v>
      </c>
      <c r="Z11" s="109">
        <v>0</v>
      </c>
      <c r="AA11" s="109">
        <v>0</v>
      </c>
      <c r="AB11" s="112">
        <f>SUM(U11:AA11)</f>
        <v>19984.59</v>
      </c>
      <c r="AC11" s="113">
        <f>D11+T11+AB11</f>
        <v>28043.273445</v>
      </c>
      <c r="AD11" s="102">
        <f>P11+Z11</f>
        <v>0</v>
      </c>
      <c r="AE11" s="102">
        <f>R11+AA11</f>
        <v>0</v>
      </c>
      <c r="AF11" s="102"/>
      <c r="AG11" s="16">
        <f>0.6*B11</f>
        <v>1558.8</v>
      </c>
      <c r="AH11" s="16">
        <f>B11*0.2*1.02524</f>
        <v>532.714704</v>
      </c>
      <c r="AI11" s="16">
        <f>0.84932*B11</f>
        <v>2206.53336</v>
      </c>
      <c r="AJ11" s="16">
        <f>AI11*0.18</f>
        <v>397.1760048</v>
      </c>
      <c r="AK11" s="16">
        <f>1.04*B11*0.95033</f>
        <v>2567.7156336000003</v>
      </c>
      <c r="AL11" s="16">
        <f>AK11*0.18</f>
        <v>462.18881404800004</v>
      </c>
      <c r="AM11" s="16">
        <f>(1.91)*B11*0.95033</f>
        <v>4715.708519399999</v>
      </c>
      <c r="AN11" s="16">
        <f>AM11*0.18</f>
        <v>848.8275334919998</v>
      </c>
      <c r="AO11" s="16"/>
      <c r="AP11" s="16">
        <f>AO11*0.18</f>
        <v>0</v>
      </c>
      <c r="AQ11" s="16"/>
      <c r="AR11" s="16"/>
      <c r="AS11" s="97">
        <v>10186</v>
      </c>
      <c r="AT11" s="97"/>
      <c r="AU11" s="48">
        <f>AS11*0.18</f>
        <v>1833.48</v>
      </c>
      <c r="AV11" s="48"/>
      <c r="AW11" s="48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25309.14456934</v>
      </c>
      <c r="BC11" s="14">
        <v>0</v>
      </c>
      <c r="BD11" s="14">
        <f>AC11-BB11</f>
        <v>2734.1288756600006</v>
      </c>
      <c r="BE11" s="30">
        <f>AB11-S11</f>
        <v>4296.209999999999</v>
      </c>
    </row>
    <row r="12" spans="1:57" s="20" customFormat="1" ht="15" customHeight="1">
      <c r="A12" s="17" t="s">
        <v>5</v>
      </c>
      <c r="B12" s="60"/>
      <c r="C12" s="60">
        <f aca="true" t="shared" si="1" ref="C12:BE12">SUM(C9:C11)</f>
        <v>67418.1</v>
      </c>
      <c r="D12" s="60">
        <f t="shared" si="1"/>
        <v>16227.761397000002</v>
      </c>
      <c r="E12" s="57">
        <f>SUM(E9:E11)</f>
        <v>5456.650000000001</v>
      </c>
      <c r="F12" s="57">
        <f t="shared" si="1"/>
        <v>921.5999999999999</v>
      </c>
      <c r="G12" s="57">
        <f t="shared" si="1"/>
        <v>7366.31</v>
      </c>
      <c r="H12" s="57">
        <f t="shared" si="1"/>
        <v>1244.25</v>
      </c>
      <c r="I12" s="57">
        <f t="shared" si="1"/>
        <v>17733.81</v>
      </c>
      <c r="J12" s="57">
        <f t="shared" si="1"/>
        <v>2995.26</v>
      </c>
      <c r="K12" s="57">
        <f t="shared" si="1"/>
        <v>12277.39</v>
      </c>
      <c r="L12" s="57">
        <f t="shared" si="1"/>
        <v>2073.63</v>
      </c>
      <c r="M12" s="57">
        <f t="shared" si="1"/>
        <v>4365.12</v>
      </c>
      <c r="N12" s="57">
        <f t="shared" si="1"/>
        <v>737.37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47199.28</v>
      </c>
      <c r="T12" s="57">
        <f t="shared" si="1"/>
        <v>7972.11</v>
      </c>
      <c r="U12" s="61">
        <f t="shared" si="1"/>
        <v>3715.27</v>
      </c>
      <c r="V12" s="61">
        <f t="shared" si="1"/>
        <v>5015.5</v>
      </c>
      <c r="W12" s="61">
        <f t="shared" si="1"/>
        <v>12074.420000000002</v>
      </c>
      <c r="X12" s="61">
        <f t="shared" si="1"/>
        <v>8359.26</v>
      </c>
      <c r="Y12" s="61">
        <f t="shared" si="1"/>
        <v>2972.1099999999997</v>
      </c>
      <c r="Z12" s="61">
        <f t="shared" si="1"/>
        <v>0</v>
      </c>
      <c r="AA12" s="61">
        <f t="shared" si="1"/>
        <v>0</v>
      </c>
      <c r="AB12" s="61">
        <f t="shared" si="1"/>
        <v>32136.559999999998</v>
      </c>
      <c r="AC12" s="61">
        <f t="shared" si="1"/>
        <v>56336.431397</v>
      </c>
      <c r="AD12" s="61">
        <f>SUM(AD9:AD11)</f>
        <v>0</v>
      </c>
      <c r="AE12" s="100">
        <f t="shared" si="1"/>
        <v>0</v>
      </c>
      <c r="AF12" s="100">
        <f t="shared" si="1"/>
        <v>0</v>
      </c>
      <c r="AG12" s="18">
        <f t="shared" si="1"/>
        <v>4676.4</v>
      </c>
      <c r="AH12" s="18">
        <f t="shared" si="1"/>
        <v>1604.7846</v>
      </c>
      <c r="AI12" s="18">
        <f t="shared" si="1"/>
        <v>6632.48616</v>
      </c>
      <c r="AJ12" s="18">
        <f t="shared" si="1"/>
        <v>1193.8475088</v>
      </c>
      <c r="AK12" s="18">
        <f t="shared" si="1"/>
        <v>7718.115537600001</v>
      </c>
      <c r="AL12" s="18">
        <f t="shared" si="1"/>
        <v>1389.260796768</v>
      </c>
      <c r="AM12" s="18">
        <f>SUM(AM9:AM11)</f>
        <v>14174.616035399997</v>
      </c>
      <c r="AN12" s="18">
        <f>SUM(AN9:AN11)</f>
        <v>2551.4308863719993</v>
      </c>
      <c r="AO12" s="18">
        <f t="shared" si="1"/>
        <v>0</v>
      </c>
      <c r="AP12" s="18">
        <f t="shared" si="1"/>
        <v>0</v>
      </c>
      <c r="AQ12" s="18">
        <f>SUM(AQ9:AQ11)</f>
        <v>0</v>
      </c>
      <c r="AR12" s="18">
        <f>SUM(AR9:AR11)</f>
        <v>0</v>
      </c>
      <c r="AS12" s="18">
        <f>SUM(AS9:AS11)</f>
        <v>76010.2</v>
      </c>
      <c r="AT12" s="18">
        <f>SUM(AT9:AT11)</f>
        <v>0</v>
      </c>
      <c r="AU12" s="18">
        <f>SUM(AU9:AU11)</f>
        <v>13681.835999999998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129632.97752494</v>
      </c>
      <c r="BC12" s="18">
        <f t="shared" si="1"/>
        <v>0</v>
      </c>
      <c r="BD12" s="18">
        <f t="shared" si="1"/>
        <v>-73296.54612794</v>
      </c>
      <c r="BE12" s="19">
        <f t="shared" si="1"/>
        <v>-15062.720000000001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8"/>
      <c r="AD13" s="98"/>
      <c r="AE13" s="99"/>
      <c r="AF13" s="99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5"/>
      <c r="AT13" s="95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5">
        <v>2598</v>
      </c>
      <c r="C14" s="105">
        <f>B14*8.65</f>
        <v>22472.7</v>
      </c>
      <c r="D14" s="106">
        <f>C14*0.125</f>
        <v>2809.0875</v>
      </c>
      <c r="E14" s="107">
        <v>1826.9</v>
      </c>
      <c r="F14" s="107">
        <v>307.2</v>
      </c>
      <c r="G14" s="107">
        <v>2466.28</v>
      </c>
      <c r="H14" s="107">
        <v>414.75</v>
      </c>
      <c r="I14" s="107">
        <v>5937.36</v>
      </c>
      <c r="J14" s="107">
        <v>998.42</v>
      </c>
      <c r="K14" s="107">
        <v>4110.52</v>
      </c>
      <c r="L14" s="107">
        <v>691.21</v>
      </c>
      <c r="M14" s="107">
        <v>1461.47</v>
      </c>
      <c r="N14" s="107">
        <v>245.79</v>
      </c>
      <c r="O14" s="107">
        <v>0</v>
      </c>
      <c r="P14" s="114">
        <v>0</v>
      </c>
      <c r="Q14" s="107">
        <v>0</v>
      </c>
      <c r="R14" s="114">
        <v>0</v>
      </c>
      <c r="S14" s="91">
        <f>E14+G14+I14+K14+M14+O14+Q14</f>
        <v>15802.53</v>
      </c>
      <c r="T14" s="108">
        <f>P14+N14+L14+J14+H14+F14+R14</f>
        <v>2657.37</v>
      </c>
      <c r="U14" s="91">
        <v>1216.75</v>
      </c>
      <c r="V14" s="91">
        <v>1642.6</v>
      </c>
      <c r="W14" s="91">
        <v>3954.37</v>
      </c>
      <c r="X14" s="91">
        <v>2737.7</v>
      </c>
      <c r="Y14" s="91">
        <v>973.36</v>
      </c>
      <c r="Z14" s="109">
        <v>0</v>
      </c>
      <c r="AA14" s="109">
        <v>0</v>
      </c>
      <c r="AB14" s="116">
        <f>SUM(U14:AA14)</f>
        <v>10524.779999999999</v>
      </c>
      <c r="AC14" s="113">
        <f>D14+T14+AB14</f>
        <v>15991.2375</v>
      </c>
      <c r="AD14" s="102">
        <f>P14+Z14</f>
        <v>0</v>
      </c>
      <c r="AE14" s="102">
        <f>R14+AA14</f>
        <v>0</v>
      </c>
      <c r="AF14" s="102"/>
      <c r="AG14" s="16">
        <f>0.6*B14*0.9</f>
        <v>1402.92</v>
      </c>
      <c r="AH14" s="16">
        <f>B14*0.2*0.891</f>
        <v>462.96360000000004</v>
      </c>
      <c r="AI14" s="16">
        <f>0.85*B14*0.867-0.02</f>
        <v>1914.5760999999998</v>
      </c>
      <c r="AJ14" s="16">
        <f>AI14*0.18</f>
        <v>344.62369799999993</v>
      </c>
      <c r="AK14" s="16">
        <f>0.83*B14*0.8686</f>
        <v>1872.9969239999998</v>
      </c>
      <c r="AL14" s="16">
        <f>AK14*0.18</f>
        <v>337.13944631999993</v>
      </c>
      <c r="AM14" s="16">
        <f>1.91*B14*0.8686</f>
        <v>4310.149547999999</v>
      </c>
      <c r="AN14" s="16">
        <f>AM14*0.18</f>
        <v>775.8269186399999</v>
      </c>
      <c r="AO14" s="16"/>
      <c r="AP14" s="16">
        <f>AO14*0.18</f>
        <v>0</v>
      </c>
      <c r="AQ14" s="117"/>
      <c r="AR14" s="117">
        <f>AQ14*0.18</f>
        <v>0</v>
      </c>
      <c r="AS14" s="97">
        <v>409</v>
      </c>
      <c r="AT14" s="97"/>
      <c r="AU14" s="97">
        <f>(AS14+AT14)*0.18+0.01</f>
        <v>73.63</v>
      </c>
      <c r="AV14" s="118"/>
      <c r="AW14" s="134">
        <v>764</v>
      </c>
      <c r="AX14" s="16">
        <f aca="true" t="shared" si="2" ref="AX14:AX25">AW14*1.12*1.18</f>
        <v>1009.7024</v>
      </c>
      <c r="AY14" s="121"/>
      <c r="AZ14" s="122"/>
      <c r="BA14" s="122">
        <f>AZ14*0.18</f>
        <v>0</v>
      </c>
      <c r="BB14" s="122">
        <f>SUM(AG14:AU14)</f>
        <v>11903.826234959997</v>
      </c>
      <c r="BC14" s="132"/>
      <c r="BD14" s="14">
        <f>AC14+AF14-BB14-BC14</f>
        <v>4087.411265040002</v>
      </c>
      <c r="BE14" s="30">
        <f>AB14-S14</f>
        <v>-5277.750000000002</v>
      </c>
    </row>
    <row r="15" spans="1:57" ht="12.75">
      <c r="A15" s="11" t="s">
        <v>46</v>
      </c>
      <c r="B15" s="115">
        <v>2597</v>
      </c>
      <c r="C15" s="105">
        <f aca="true" t="shared" si="3" ref="C15:C25">B15*8.65</f>
        <v>22464.05</v>
      </c>
      <c r="D15" s="106">
        <f>C15*0.125</f>
        <v>2808.00625</v>
      </c>
      <c r="E15" s="107">
        <v>1805.52</v>
      </c>
      <c r="F15" s="107">
        <v>307.16</v>
      </c>
      <c r="G15" s="107">
        <v>2437.39</v>
      </c>
      <c r="H15" s="107">
        <v>414.7</v>
      </c>
      <c r="I15" s="107">
        <v>5867.84</v>
      </c>
      <c r="J15" s="107">
        <v>998.29</v>
      </c>
      <c r="K15" s="107">
        <v>4062.4</v>
      </c>
      <c r="L15" s="107">
        <v>691.12</v>
      </c>
      <c r="M15" s="107">
        <v>1444.37</v>
      </c>
      <c r="N15" s="107">
        <v>245.75</v>
      </c>
      <c r="O15" s="107">
        <v>0</v>
      </c>
      <c r="P15" s="114">
        <v>0</v>
      </c>
      <c r="Q15" s="107">
        <v>0</v>
      </c>
      <c r="R15" s="114">
        <v>0</v>
      </c>
      <c r="S15" s="91">
        <f>E15+G15+I15+K15+M15+O15+Q15</f>
        <v>15617.52</v>
      </c>
      <c r="T15" s="108">
        <f>P15+N15+L15+J15+H15+F15+R15</f>
        <v>2657.0199999999995</v>
      </c>
      <c r="U15" s="91">
        <v>1984.35</v>
      </c>
      <c r="V15" s="91">
        <v>2679.26</v>
      </c>
      <c r="W15" s="91">
        <v>6449.79</v>
      </c>
      <c r="X15" s="91">
        <v>4390.94</v>
      </c>
      <c r="Y15" s="91">
        <v>1586.99</v>
      </c>
      <c r="Z15" s="109">
        <v>0</v>
      </c>
      <c r="AA15" s="109">
        <v>0</v>
      </c>
      <c r="AB15" s="112">
        <f>SUM(U15:AA15)</f>
        <v>17091.33</v>
      </c>
      <c r="AC15" s="113">
        <f>D15+T15+AB15</f>
        <v>22556.35625</v>
      </c>
      <c r="AD15" s="102">
        <f>P15+Z15</f>
        <v>0</v>
      </c>
      <c r="AE15" s="102">
        <f>R15+AA15</f>
        <v>0</v>
      </c>
      <c r="AF15" s="135"/>
      <c r="AG15" s="16">
        <f>0.6*B15*0.9</f>
        <v>1402.38</v>
      </c>
      <c r="AH15" s="16">
        <f>B15*0.2*0.9153</f>
        <v>475.40682</v>
      </c>
      <c r="AI15" s="16">
        <f>0.85*B15*0.866</f>
        <v>1911.6517</v>
      </c>
      <c r="AJ15" s="16">
        <f>AI15*0.18</f>
        <v>344.09730599999995</v>
      </c>
      <c r="AK15" s="16">
        <f>0.83*B15*0.8684</f>
        <v>1871.8448839999996</v>
      </c>
      <c r="AL15" s="16">
        <f>AK15*0.18</f>
        <v>336.9320791199999</v>
      </c>
      <c r="AM15" s="16">
        <f>(1.91)*B15*0.8684</f>
        <v>4307.498468</v>
      </c>
      <c r="AN15" s="16">
        <f>AM15*0.18</f>
        <v>775.3497242399999</v>
      </c>
      <c r="AO15" s="16"/>
      <c r="AP15" s="16">
        <f>AO15*0.18</f>
        <v>0</v>
      </c>
      <c r="AQ15" s="117"/>
      <c r="AR15" s="117">
        <f>AQ15*0.18</f>
        <v>0</v>
      </c>
      <c r="AS15" s="97">
        <f>756*4</f>
        <v>3024</v>
      </c>
      <c r="AT15" s="97"/>
      <c r="AU15" s="97">
        <f aca="true" t="shared" si="4" ref="AU15:AU25">(AS15+AT15)*0.18</f>
        <v>544.3199999999999</v>
      </c>
      <c r="AV15" s="118"/>
      <c r="AW15" s="134">
        <v>580</v>
      </c>
      <c r="AX15" s="16">
        <f t="shared" si="2"/>
        <v>766.528</v>
      </c>
      <c r="AY15" s="121"/>
      <c r="AZ15" s="122"/>
      <c r="BA15" s="122">
        <f>AZ15*0.18</f>
        <v>0</v>
      </c>
      <c r="BB15" s="122">
        <f>SUM(AG15:AU15)+AY15</f>
        <v>14993.48098136</v>
      </c>
      <c r="BC15" s="128"/>
      <c r="BD15" s="14">
        <f aca="true" t="shared" si="5" ref="BD15:BD24">AC15+AF15-BB15-BC15</f>
        <v>7562.87526864</v>
      </c>
      <c r="BE15" s="30">
        <f aca="true" t="shared" si="6" ref="BE15:BE24">AB15-S15</f>
        <v>1473.8100000000013</v>
      </c>
    </row>
    <row r="16" spans="1:57" ht="12.75">
      <c r="A16" s="11" t="s">
        <v>47</v>
      </c>
      <c r="B16" s="129">
        <v>2598</v>
      </c>
      <c r="C16" s="105">
        <f t="shared" si="3"/>
        <v>22472.7</v>
      </c>
      <c r="D16" s="106">
        <f>C16*0.125</f>
        <v>2809.0875</v>
      </c>
      <c r="E16" s="126">
        <v>1747.72</v>
      </c>
      <c r="F16" s="126">
        <v>307.16</v>
      </c>
      <c r="G16" s="126">
        <v>2359.4</v>
      </c>
      <c r="H16" s="126">
        <v>414.7</v>
      </c>
      <c r="I16" s="126">
        <v>5680.01</v>
      </c>
      <c r="J16" s="126">
        <v>998.29</v>
      </c>
      <c r="K16" s="126">
        <v>3923.37</v>
      </c>
      <c r="L16" s="126">
        <v>691.12</v>
      </c>
      <c r="M16" s="126">
        <v>1398.13</v>
      </c>
      <c r="N16" s="126">
        <v>245.75</v>
      </c>
      <c r="O16" s="126">
        <v>0</v>
      </c>
      <c r="P16" s="127">
        <v>0</v>
      </c>
      <c r="Q16" s="126">
        <v>0</v>
      </c>
      <c r="R16" s="127">
        <v>0</v>
      </c>
      <c r="S16" s="91">
        <f>E16+G16+I16+K16+M16+O16+Q16</f>
        <v>15108.630000000001</v>
      </c>
      <c r="T16" s="108">
        <f>P16+N16+L16+J16+H16+F16+R16</f>
        <v>2657.0199999999995</v>
      </c>
      <c r="U16" s="92">
        <v>1388.87</v>
      </c>
      <c r="V16" s="92">
        <v>1874.88</v>
      </c>
      <c r="W16" s="92">
        <v>4513.68</v>
      </c>
      <c r="X16" s="92">
        <v>3124.93</v>
      </c>
      <c r="Y16" s="92">
        <v>1111.07</v>
      </c>
      <c r="Z16" s="123">
        <v>0</v>
      </c>
      <c r="AA16" s="123">
        <v>0</v>
      </c>
      <c r="AB16" s="116">
        <f aca="true" t="shared" si="7" ref="AB16:AB22">SUM(U16:AA16)</f>
        <v>12013.43</v>
      </c>
      <c r="AC16" s="113">
        <f>D16+T16+AB16</f>
        <v>17479.5375</v>
      </c>
      <c r="AD16" s="102">
        <f>P16+Z16</f>
        <v>0</v>
      </c>
      <c r="AE16" s="102">
        <f>R16+AA16</f>
        <v>0</v>
      </c>
      <c r="AF16" s="102"/>
      <c r="AG16" s="16">
        <f>0.6*B16*0.9</f>
        <v>1402.92</v>
      </c>
      <c r="AH16" s="124">
        <f>B16*0.2*0.9082-0.01</f>
        <v>471.89072000000004</v>
      </c>
      <c r="AI16" s="16">
        <f>0.85*B16*0.8675+0.01</f>
        <v>1915.7102499999999</v>
      </c>
      <c r="AJ16" s="16">
        <f>AI16*0.18</f>
        <v>344.82784499999997</v>
      </c>
      <c r="AK16" s="124">
        <f>0.83*B16*0.838</f>
        <v>1807.0129199999997</v>
      </c>
      <c r="AL16" s="16">
        <f>AK16*0.18</f>
        <v>325.26232559999994</v>
      </c>
      <c r="AM16" s="16">
        <f>1.91*B16*0.8381-0.01</f>
        <v>4158.793057999999</v>
      </c>
      <c r="AN16" s="16">
        <f>AM16*0.18</f>
        <v>748.5827504399998</v>
      </c>
      <c r="AO16" s="16"/>
      <c r="AP16" s="16">
        <f aca="true" t="shared" si="8" ref="AP16:AR25">AO16*0.18</f>
        <v>0</v>
      </c>
      <c r="AQ16" s="117">
        <v>7893.29</v>
      </c>
      <c r="AR16" s="117">
        <f>AQ16*0.18</f>
        <v>1420.7921999999999</v>
      </c>
      <c r="AS16" s="97">
        <v>276</v>
      </c>
      <c r="AT16" s="97"/>
      <c r="AU16" s="97">
        <f t="shared" si="4"/>
        <v>49.68</v>
      </c>
      <c r="AV16" s="118"/>
      <c r="AW16" s="136">
        <v>505</v>
      </c>
      <c r="AX16" s="16">
        <f t="shared" si="2"/>
        <v>667.408</v>
      </c>
      <c r="AY16" s="121"/>
      <c r="AZ16" s="122"/>
      <c r="BA16" s="122">
        <f>AZ16*0.18</f>
        <v>0</v>
      </c>
      <c r="BB16" s="122">
        <f>SUM(AG16:AU16)</f>
        <v>20814.76206904</v>
      </c>
      <c r="BC16" s="128"/>
      <c r="BD16" s="14">
        <f t="shared" si="5"/>
        <v>-3335.2245690400014</v>
      </c>
      <c r="BE16" s="30">
        <f t="shared" si="6"/>
        <v>-3095.2000000000007</v>
      </c>
    </row>
    <row r="17" spans="1:57" ht="12.75">
      <c r="A17" s="11" t="s">
        <v>48</v>
      </c>
      <c r="B17" s="125">
        <v>2597.9</v>
      </c>
      <c r="C17" s="105">
        <f t="shared" si="3"/>
        <v>22471.835000000003</v>
      </c>
      <c r="D17" s="106">
        <f>C17*0.125</f>
        <v>2808.9793750000003</v>
      </c>
      <c r="E17" s="126">
        <v>1823.4</v>
      </c>
      <c r="F17" s="126">
        <v>307.16</v>
      </c>
      <c r="G17" s="126">
        <v>2461.56</v>
      </c>
      <c r="H17" s="126">
        <v>414.7</v>
      </c>
      <c r="I17" s="126">
        <v>5925.97</v>
      </c>
      <c r="J17" s="126">
        <v>998.29</v>
      </c>
      <c r="K17" s="126">
        <v>4102.65</v>
      </c>
      <c r="L17" s="126">
        <v>691.12</v>
      </c>
      <c r="M17" s="126">
        <v>1458.67</v>
      </c>
      <c r="N17" s="126">
        <v>245.75</v>
      </c>
      <c r="O17" s="126">
        <v>0</v>
      </c>
      <c r="P17" s="127">
        <v>0</v>
      </c>
      <c r="Q17" s="126">
        <v>0</v>
      </c>
      <c r="R17" s="127">
        <v>0</v>
      </c>
      <c r="S17" s="91">
        <f aca="true" t="shared" si="9" ref="S17:S25">E17+G17+I17+K17+M17+O17+Q17</f>
        <v>15772.25</v>
      </c>
      <c r="T17" s="108">
        <f aca="true" t="shared" si="10" ref="T17:T25">P17+N17+L17+J17+H17+F17+R17</f>
        <v>2657.0199999999995</v>
      </c>
      <c r="U17" s="92">
        <v>1960.93</v>
      </c>
      <c r="V17" s="92">
        <v>2645.73</v>
      </c>
      <c r="W17" s="92">
        <v>6370.52</v>
      </c>
      <c r="X17" s="92">
        <v>4485.1</v>
      </c>
      <c r="Y17" s="92">
        <v>1568.66</v>
      </c>
      <c r="Z17" s="91">
        <v>0</v>
      </c>
      <c r="AA17" s="91">
        <v>0</v>
      </c>
      <c r="AB17" s="116">
        <f t="shared" si="7"/>
        <v>17030.940000000002</v>
      </c>
      <c r="AC17" s="113">
        <f aca="true" t="shared" si="11" ref="AC17:AC22">D17+T17+AB17</f>
        <v>22496.939375</v>
      </c>
      <c r="AD17" s="102">
        <f aca="true" t="shared" si="12" ref="AD17:AD25">P17+Z17</f>
        <v>0</v>
      </c>
      <c r="AE17" s="102">
        <f aca="true" t="shared" si="13" ref="AE17:AE25">R17+AA17</f>
        <v>0</v>
      </c>
      <c r="AF17" s="102"/>
      <c r="AG17" s="16">
        <f>0.6*B17*0.9</f>
        <v>1402.866</v>
      </c>
      <c r="AH17" s="124">
        <f>B17*0.2*0.9234</f>
        <v>479.78017200000005</v>
      </c>
      <c r="AI17" s="16">
        <f>0.85*B17*0.8934</f>
        <v>1972.819281</v>
      </c>
      <c r="AJ17" s="16">
        <f aca="true" t="shared" si="14" ref="AJ17:AJ25">AI17*0.18</f>
        <v>355.10747058</v>
      </c>
      <c r="AK17" s="16">
        <f>0.83*B17*0.8498</f>
        <v>1832.3871986000001</v>
      </c>
      <c r="AL17" s="16">
        <f aca="true" t="shared" si="15" ref="AL17:AL25">AK17*0.18</f>
        <v>329.829695748</v>
      </c>
      <c r="AM17" s="16">
        <f>(1.91)*B17*0.8498-0.01</f>
        <v>4216.6882522</v>
      </c>
      <c r="AN17" s="16">
        <f aca="true" t="shared" si="16" ref="AN17:AN25">AM17*0.18</f>
        <v>759.0038853959999</v>
      </c>
      <c r="AO17" s="16"/>
      <c r="AP17" s="16">
        <f t="shared" si="8"/>
        <v>0</v>
      </c>
      <c r="AQ17" s="117">
        <f>1588.983</f>
        <v>1588.983</v>
      </c>
      <c r="AR17" s="117">
        <f t="shared" si="8"/>
        <v>286.01694</v>
      </c>
      <c r="AS17" s="97">
        <v>11984.98</v>
      </c>
      <c r="AT17" s="97"/>
      <c r="AU17" s="97">
        <f t="shared" si="4"/>
        <v>2157.2963999999997</v>
      </c>
      <c r="AV17" s="118"/>
      <c r="AW17" s="119">
        <v>449</v>
      </c>
      <c r="AX17" s="16">
        <f t="shared" si="2"/>
        <v>593.3984</v>
      </c>
      <c r="AY17" s="31">
        <v>0</v>
      </c>
      <c r="AZ17" s="31">
        <v>0</v>
      </c>
      <c r="BA17" s="14">
        <f t="shared" si="0"/>
        <v>0</v>
      </c>
      <c r="BB17" s="14">
        <f>SUM(AG17:BA17)-AV17-AW17+AX14+AX15+AX16</f>
        <v>30402.795095523994</v>
      </c>
      <c r="BC17" s="128"/>
      <c r="BD17" s="14">
        <f t="shared" si="5"/>
        <v>-7905.855720523992</v>
      </c>
      <c r="BE17" s="30">
        <f t="shared" si="6"/>
        <v>1258.6900000000023</v>
      </c>
    </row>
    <row r="18" spans="1:57" ht="12.75">
      <c r="A18" s="11" t="s">
        <v>49</v>
      </c>
      <c r="B18" s="129">
        <v>2597.8</v>
      </c>
      <c r="C18" s="105">
        <f t="shared" si="3"/>
        <v>22470.97</v>
      </c>
      <c r="D18" s="130">
        <f aca="true" t="shared" si="17" ref="D18:D25">C18-E18-F18-G18-H18-I18-J18-K18-L18-M18-N18</f>
        <v>2492.510000000002</v>
      </c>
      <c r="E18" s="126">
        <v>1959.49</v>
      </c>
      <c r="F18" s="126">
        <v>346.6</v>
      </c>
      <c r="G18" s="126">
        <v>2653.68</v>
      </c>
      <c r="H18" s="126">
        <v>469.87</v>
      </c>
      <c r="I18" s="126">
        <v>6376.58</v>
      </c>
      <c r="J18" s="126">
        <v>1128.42</v>
      </c>
      <c r="K18" s="126">
        <v>4417.11</v>
      </c>
      <c r="L18" s="126">
        <v>781.85</v>
      </c>
      <c r="M18" s="126">
        <v>1567.58</v>
      </c>
      <c r="N18" s="126">
        <v>277.28</v>
      </c>
      <c r="O18" s="126">
        <v>0</v>
      </c>
      <c r="P18" s="127">
        <v>0</v>
      </c>
      <c r="Q18" s="126">
        <v>0</v>
      </c>
      <c r="R18" s="127">
        <v>0</v>
      </c>
      <c r="S18" s="91">
        <f t="shared" si="9"/>
        <v>16974.440000000002</v>
      </c>
      <c r="T18" s="108">
        <f t="shared" si="10"/>
        <v>3004.02</v>
      </c>
      <c r="U18" s="92">
        <v>1653.06</v>
      </c>
      <c r="V18" s="92">
        <v>2218.29</v>
      </c>
      <c r="W18" s="92">
        <v>5374.11</v>
      </c>
      <c r="X18" s="92">
        <v>3720.22</v>
      </c>
      <c r="Y18" s="92">
        <v>1322.81</v>
      </c>
      <c r="Z18" s="123">
        <v>0</v>
      </c>
      <c r="AA18" s="123">
        <v>0</v>
      </c>
      <c r="AB18" s="116">
        <f t="shared" si="7"/>
        <v>14288.489999999998</v>
      </c>
      <c r="AC18" s="113">
        <f t="shared" si="11"/>
        <v>19785.02</v>
      </c>
      <c r="AD18" s="102">
        <f t="shared" si="12"/>
        <v>0</v>
      </c>
      <c r="AE18" s="102">
        <f t="shared" si="13"/>
        <v>0</v>
      </c>
      <c r="AF18" s="102"/>
      <c r="AG18" s="16">
        <f aca="true" t="shared" si="18" ref="AG18:AG25">0.6*B18</f>
        <v>1558.68</v>
      </c>
      <c r="AH18" s="16">
        <f>B18*0.2*1.01</f>
        <v>524.7556000000001</v>
      </c>
      <c r="AI18" s="16">
        <f>0.85*B18</f>
        <v>2208.13</v>
      </c>
      <c r="AJ18" s="16">
        <f t="shared" si="14"/>
        <v>397.4634</v>
      </c>
      <c r="AK18" s="16">
        <f>0.83*B18</f>
        <v>2156.174</v>
      </c>
      <c r="AL18" s="16">
        <f t="shared" si="15"/>
        <v>388.11132</v>
      </c>
      <c r="AM18" s="16">
        <f>(1.91)*B18</f>
        <v>4961.798</v>
      </c>
      <c r="AN18" s="16">
        <f t="shared" si="16"/>
        <v>893.1236399999999</v>
      </c>
      <c r="AO18" s="16"/>
      <c r="AP18" s="16">
        <f t="shared" si="8"/>
        <v>0</v>
      </c>
      <c r="AQ18" s="117"/>
      <c r="AR18" s="117">
        <f t="shared" si="8"/>
        <v>0</v>
      </c>
      <c r="AS18" s="97">
        <v>0</v>
      </c>
      <c r="AT18" s="97">
        <v>400</v>
      </c>
      <c r="AU18" s="97">
        <f t="shared" si="4"/>
        <v>72</v>
      </c>
      <c r="AV18" s="118"/>
      <c r="AW18" s="137">
        <v>317</v>
      </c>
      <c r="AX18" s="16">
        <f t="shared" si="2"/>
        <v>418.9472</v>
      </c>
      <c r="AY18" s="121"/>
      <c r="AZ18" s="122"/>
      <c r="BA18" s="122">
        <f t="shared" si="0"/>
        <v>0</v>
      </c>
      <c r="BB18" s="122">
        <f>SUM(AG18:BA18)-AV18-AW18</f>
        <v>13979.18316</v>
      </c>
      <c r="BC18" s="128"/>
      <c r="BD18" s="14">
        <f>AC18+AF18-BB18-BC18</f>
        <v>5805.83684</v>
      </c>
      <c r="BE18" s="30">
        <f>AB18-S18</f>
        <v>-2685.9500000000044</v>
      </c>
    </row>
    <row r="19" spans="1:57" ht="12.75">
      <c r="A19" s="11" t="s">
        <v>50</v>
      </c>
      <c r="B19" s="129">
        <v>2597.8</v>
      </c>
      <c r="C19" s="105">
        <f t="shared" si="3"/>
        <v>22470.97</v>
      </c>
      <c r="D19" s="130">
        <f t="shared" si="17"/>
        <v>2190.840000000004</v>
      </c>
      <c r="E19" s="126">
        <v>2005.81</v>
      </c>
      <c r="F19" s="126">
        <v>335.17</v>
      </c>
      <c r="G19" s="126">
        <v>2716.25</v>
      </c>
      <c r="H19" s="126">
        <v>454.37</v>
      </c>
      <c r="I19" s="126">
        <v>6527.14</v>
      </c>
      <c r="J19" s="126">
        <v>1091.22</v>
      </c>
      <c r="K19" s="126">
        <v>4521.34</v>
      </c>
      <c r="L19" s="126">
        <v>756.07</v>
      </c>
      <c r="M19" s="126">
        <v>1604.64</v>
      </c>
      <c r="N19" s="126">
        <v>268.12</v>
      </c>
      <c r="O19" s="126">
        <v>0</v>
      </c>
      <c r="P19" s="127">
        <v>0</v>
      </c>
      <c r="Q19" s="126">
        <v>0</v>
      </c>
      <c r="R19" s="127">
        <v>0</v>
      </c>
      <c r="S19" s="91">
        <f t="shared" si="9"/>
        <v>17375.18</v>
      </c>
      <c r="T19" s="108">
        <f t="shared" si="10"/>
        <v>2904.95</v>
      </c>
      <c r="U19" s="92">
        <v>1975.98</v>
      </c>
      <c r="V19" s="92">
        <v>2675.31</v>
      </c>
      <c r="W19" s="92">
        <v>6429.51</v>
      </c>
      <c r="X19" s="92">
        <v>4453.37</v>
      </c>
      <c r="Y19" s="92">
        <v>1580.84</v>
      </c>
      <c r="Z19" s="123">
        <v>0</v>
      </c>
      <c r="AA19" s="123">
        <v>0</v>
      </c>
      <c r="AB19" s="116">
        <f t="shared" si="7"/>
        <v>17115.01</v>
      </c>
      <c r="AC19" s="113">
        <f t="shared" si="11"/>
        <v>22210.800000000003</v>
      </c>
      <c r="AD19" s="102">
        <f t="shared" si="12"/>
        <v>0</v>
      </c>
      <c r="AE19" s="102">
        <f t="shared" si="13"/>
        <v>0</v>
      </c>
      <c r="AF19" s="102"/>
      <c r="AG19" s="16">
        <f t="shared" si="18"/>
        <v>1558.68</v>
      </c>
      <c r="AH19" s="16">
        <f>B19*0.2*1.01045-0.01</f>
        <v>524.979402</v>
      </c>
      <c r="AI19" s="16">
        <f>0.85*B19+0.01</f>
        <v>2208.1400000000003</v>
      </c>
      <c r="AJ19" s="16">
        <f t="shared" si="14"/>
        <v>397.46520000000004</v>
      </c>
      <c r="AK19" s="16">
        <f>0.83*B19</f>
        <v>2156.174</v>
      </c>
      <c r="AL19" s="16">
        <f t="shared" si="15"/>
        <v>388.11132</v>
      </c>
      <c r="AM19" s="16">
        <f>(1.91)*B19+0.01</f>
        <v>4961.808</v>
      </c>
      <c r="AN19" s="16">
        <f t="shared" si="16"/>
        <v>893.1254399999999</v>
      </c>
      <c r="AO19" s="16"/>
      <c r="AP19" s="16">
        <f t="shared" si="8"/>
        <v>0</v>
      </c>
      <c r="AQ19" s="117"/>
      <c r="AR19" s="117">
        <f t="shared" si="8"/>
        <v>0</v>
      </c>
      <c r="AS19" s="97">
        <v>3349.88</v>
      </c>
      <c r="AT19" s="97"/>
      <c r="AU19" s="97">
        <f t="shared" si="4"/>
        <v>602.9784</v>
      </c>
      <c r="AV19" s="118"/>
      <c r="AW19" s="137">
        <v>404</v>
      </c>
      <c r="AX19" s="16">
        <f t="shared" si="2"/>
        <v>533.9264</v>
      </c>
      <c r="AY19" s="121"/>
      <c r="AZ19" s="122"/>
      <c r="BA19" s="122">
        <f t="shared" si="0"/>
        <v>0</v>
      </c>
      <c r="BB19" s="122">
        <f>SUM(AG19:BA19)-AV19-AW19</f>
        <v>17575.268162</v>
      </c>
      <c r="BC19" s="128"/>
      <c r="BD19" s="14">
        <f t="shared" si="5"/>
        <v>4635.531838000003</v>
      </c>
      <c r="BE19" s="30">
        <f t="shared" si="6"/>
        <v>-260.1700000000019</v>
      </c>
    </row>
    <row r="20" spans="1:57" ht="12.75">
      <c r="A20" s="11" t="s">
        <v>51</v>
      </c>
      <c r="B20" s="115">
        <v>2597.8</v>
      </c>
      <c r="C20" s="105">
        <f t="shared" si="3"/>
        <v>22470.97</v>
      </c>
      <c r="D20" s="130">
        <f t="shared" si="17"/>
        <v>2190.6100000000024</v>
      </c>
      <c r="E20" s="126">
        <v>1985.93</v>
      </c>
      <c r="F20" s="126">
        <v>372.55</v>
      </c>
      <c r="G20" s="126">
        <v>2689.41</v>
      </c>
      <c r="H20" s="126">
        <v>478.21</v>
      </c>
      <c r="I20" s="126">
        <v>6462.54</v>
      </c>
      <c r="J20" s="126">
        <v>1148.46</v>
      </c>
      <c r="K20" s="126">
        <v>4476.6</v>
      </c>
      <c r="L20" s="126">
        <v>795.74</v>
      </c>
      <c r="M20" s="126">
        <v>1588.72</v>
      </c>
      <c r="N20" s="126">
        <v>282.2</v>
      </c>
      <c r="O20" s="126">
        <v>0</v>
      </c>
      <c r="P20" s="127">
        <v>0</v>
      </c>
      <c r="Q20" s="126">
        <v>0</v>
      </c>
      <c r="R20" s="127">
        <v>0</v>
      </c>
      <c r="S20" s="91">
        <f t="shared" si="9"/>
        <v>17203.2</v>
      </c>
      <c r="T20" s="108">
        <f t="shared" si="10"/>
        <v>3077.1600000000003</v>
      </c>
      <c r="U20" s="92">
        <v>1854.51</v>
      </c>
      <c r="V20" s="92">
        <v>2510.93</v>
      </c>
      <c r="W20" s="92">
        <v>6034.34</v>
      </c>
      <c r="X20" s="92">
        <v>4179.79</v>
      </c>
      <c r="Y20" s="92">
        <v>1483.56</v>
      </c>
      <c r="Z20" s="123">
        <v>0</v>
      </c>
      <c r="AA20" s="123">
        <v>0</v>
      </c>
      <c r="AB20" s="116">
        <f t="shared" si="7"/>
        <v>16063.13</v>
      </c>
      <c r="AC20" s="113">
        <f t="shared" si="11"/>
        <v>21330.9</v>
      </c>
      <c r="AD20" s="102">
        <f t="shared" si="12"/>
        <v>0</v>
      </c>
      <c r="AE20" s="102">
        <f t="shared" si="13"/>
        <v>0</v>
      </c>
      <c r="AF20" s="102"/>
      <c r="AG20" s="16">
        <f t="shared" si="18"/>
        <v>1558.68</v>
      </c>
      <c r="AH20" s="16">
        <f>B20*0.2*0.99425</f>
        <v>516.57253</v>
      </c>
      <c r="AI20" s="16">
        <f>0.85*B20*0.9857-0.01</f>
        <v>2176.543741</v>
      </c>
      <c r="AJ20" s="16">
        <f t="shared" si="14"/>
        <v>391.77787337999996</v>
      </c>
      <c r="AK20" s="16">
        <f>0.83*B20*0.9905</f>
        <v>2135.690347</v>
      </c>
      <c r="AL20" s="16">
        <f t="shared" si="15"/>
        <v>384.42426246</v>
      </c>
      <c r="AM20" s="16">
        <f>(1.91)*B20*0.9904</f>
        <v>4914.1647391999995</v>
      </c>
      <c r="AN20" s="16">
        <f t="shared" si="16"/>
        <v>884.5496530559999</v>
      </c>
      <c r="AO20" s="16"/>
      <c r="AP20" s="16">
        <f t="shared" si="8"/>
        <v>0</v>
      </c>
      <c r="AQ20" s="117"/>
      <c r="AR20" s="117">
        <f t="shared" si="8"/>
        <v>0</v>
      </c>
      <c r="AS20" s="97">
        <v>507.78</v>
      </c>
      <c r="AT20" s="97"/>
      <c r="AU20" s="97">
        <f t="shared" si="4"/>
        <v>91.40039999999999</v>
      </c>
      <c r="AV20" s="118"/>
      <c r="AW20" s="137">
        <v>354</v>
      </c>
      <c r="AX20" s="16">
        <f t="shared" si="2"/>
        <v>467.8464</v>
      </c>
      <c r="AY20" s="121"/>
      <c r="AZ20" s="122"/>
      <c r="BA20" s="122">
        <f t="shared" si="0"/>
        <v>0</v>
      </c>
      <c r="BB20" s="122">
        <f>SUM(AG20:BA20)-AV20-AW20</f>
        <v>14029.429946096</v>
      </c>
      <c r="BC20" s="128"/>
      <c r="BD20" s="14">
        <f t="shared" si="5"/>
        <v>7301.470053904002</v>
      </c>
      <c r="BE20" s="30">
        <f t="shared" si="6"/>
        <v>-1140.0700000000015</v>
      </c>
    </row>
    <row r="21" spans="1:57" ht="12.75">
      <c r="A21" s="11" t="s">
        <v>52</v>
      </c>
      <c r="B21" s="104">
        <v>2597.8</v>
      </c>
      <c r="C21" s="105">
        <f t="shared" si="3"/>
        <v>22470.97</v>
      </c>
      <c r="D21" s="130">
        <f t="shared" si="17"/>
        <v>2210.0300000000007</v>
      </c>
      <c r="E21" s="126">
        <v>1985.97</v>
      </c>
      <c r="F21" s="126">
        <v>352.75</v>
      </c>
      <c r="G21" s="126">
        <v>2689.47</v>
      </c>
      <c r="H21" s="126">
        <v>478.21</v>
      </c>
      <c r="I21" s="126">
        <v>6462.68</v>
      </c>
      <c r="J21" s="126">
        <v>1148.46</v>
      </c>
      <c r="K21" s="126">
        <v>4476.7</v>
      </c>
      <c r="L21" s="126">
        <v>795.74</v>
      </c>
      <c r="M21" s="126">
        <v>1588.76</v>
      </c>
      <c r="N21" s="126">
        <v>282.2</v>
      </c>
      <c r="O21" s="126">
        <v>0</v>
      </c>
      <c r="P21" s="127">
        <v>0</v>
      </c>
      <c r="Q21" s="92">
        <v>0</v>
      </c>
      <c r="R21" s="92">
        <v>0</v>
      </c>
      <c r="S21" s="91">
        <f t="shared" si="9"/>
        <v>17203.579999999998</v>
      </c>
      <c r="T21" s="108">
        <f t="shared" si="10"/>
        <v>3057.36</v>
      </c>
      <c r="U21" s="92">
        <v>2263.93</v>
      </c>
      <c r="V21" s="92">
        <v>3079.53</v>
      </c>
      <c r="W21" s="92">
        <v>7367.16</v>
      </c>
      <c r="X21" s="92">
        <v>5103.25</v>
      </c>
      <c r="Y21" s="92">
        <v>1811.12</v>
      </c>
      <c r="Z21" s="123">
        <v>0</v>
      </c>
      <c r="AA21" s="123">
        <v>0</v>
      </c>
      <c r="AB21" s="116">
        <f t="shared" si="7"/>
        <v>19624.989999999998</v>
      </c>
      <c r="AC21" s="113">
        <f t="shared" si="11"/>
        <v>24892.379999999997</v>
      </c>
      <c r="AD21" s="102">
        <f t="shared" si="12"/>
        <v>0</v>
      </c>
      <c r="AE21" s="102">
        <f t="shared" si="13"/>
        <v>0</v>
      </c>
      <c r="AF21" s="102"/>
      <c r="AG21" s="16">
        <f t="shared" si="18"/>
        <v>1558.68</v>
      </c>
      <c r="AH21" s="16">
        <f>B21*0.2*0.99876</f>
        <v>518.9157456</v>
      </c>
      <c r="AI21" s="16">
        <f>0.85*B21*0.98525</f>
        <v>2175.5600825</v>
      </c>
      <c r="AJ21" s="16">
        <f t="shared" si="14"/>
        <v>391.60081485</v>
      </c>
      <c r="AK21" s="16">
        <f>0.83*B21*0.99</f>
        <v>2134.61226</v>
      </c>
      <c r="AL21" s="16">
        <f t="shared" si="15"/>
        <v>384.23020679999996</v>
      </c>
      <c r="AM21" s="16">
        <f>(1.91)*B21*0.9899</f>
        <v>4911.683840199999</v>
      </c>
      <c r="AN21" s="16">
        <f t="shared" si="16"/>
        <v>884.1030912359998</v>
      </c>
      <c r="AO21" s="16"/>
      <c r="AP21" s="16">
        <f t="shared" si="8"/>
        <v>0</v>
      </c>
      <c r="AQ21" s="117">
        <f>889.21+8487</f>
        <v>9376.21</v>
      </c>
      <c r="AR21" s="117">
        <f t="shared" si="8"/>
        <v>1687.7177999999997</v>
      </c>
      <c r="AS21" s="97">
        <v>16409</v>
      </c>
      <c r="AT21" s="97"/>
      <c r="AU21" s="97">
        <f t="shared" si="4"/>
        <v>2953.62</v>
      </c>
      <c r="AV21" s="118"/>
      <c r="AW21" s="137">
        <v>280</v>
      </c>
      <c r="AX21" s="16">
        <f t="shared" si="2"/>
        <v>370.048</v>
      </c>
      <c r="AY21" s="121"/>
      <c r="AZ21" s="122"/>
      <c r="BA21" s="122">
        <f t="shared" si="0"/>
        <v>0</v>
      </c>
      <c r="BB21" s="122">
        <f>SUM(AG21:BA21)-AV21-AW21</f>
        <v>43755.981841186</v>
      </c>
      <c r="BC21" s="128"/>
      <c r="BD21" s="14">
        <f t="shared" si="5"/>
        <v>-18863.601841186006</v>
      </c>
      <c r="BE21" s="30">
        <f t="shared" si="6"/>
        <v>2421.41</v>
      </c>
    </row>
    <row r="22" spans="1:57" ht="12.75">
      <c r="A22" s="11" t="s">
        <v>53</v>
      </c>
      <c r="B22" s="104">
        <v>2597.8</v>
      </c>
      <c r="C22" s="105">
        <f t="shared" si="3"/>
        <v>22470.97</v>
      </c>
      <c r="D22" s="130">
        <f t="shared" si="17"/>
        <v>2210.4100000000017</v>
      </c>
      <c r="E22" s="107">
        <v>1985.93</v>
      </c>
      <c r="F22" s="107">
        <v>352.75</v>
      </c>
      <c r="G22" s="107">
        <v>2689.41</v>
      </c>
      <c r="H22" s="107">
        <v>478.21</v>
      </c>
      <c r="I22" s="107">
        <v>6462.54</v>
      </c>
      <c r="J22" s="107">
        <v>1148.46</v>
      </c>
      <c r="K22" s="107">
        <v>4476.6</v>
      </c>
      <c r="L22" s="107">
        <v>795.74</v>
      </c>
      <c r="M22" s="107">
        <v>1588.72</v>
      </c>
      <c r="N22" s="107">
        <v>282.2</v>
      </c>
      <c r="O22" s="107">
        <v>0</v>
      </c>
      <c r="P22" s="114">
        <v>0</v>
      </c>
      <c r="Q22" s="107">
        <v>0</v>
      </c>
      <c r="R22" s="114">
        <v>0</v>
      </c>
      <c r="S22" s="91">
        <f t="shared" si="9"/>
        <v>17203.2</v>
      </c>
      <c r="T22" s="108">
        <f t="shared" si="10"/>
        <v>3057.36</v>
      </c>
      <c r="U22" s="91">
        <v>1599.9</v>
      </c>
      <c r="V22" s="91">
        <v>2166.78</v>
      </c>
      <c r="W22" s="91">
        <v>5206.27</v>
      </c>
      <c r="X22" s="91">
        <v>3606.42</v>
      </c>
      <c r="Y22" s="91">
        <v>1279.85</v>
      </c>
      <c r="Z22" s="109">
        <v>0</v>
      </c>
      <c r="AA22" s="109">
        <v>0</v>
      </c>
      <c r="AB22" s="116">
        <f t="shared" si="7"/>
        <v>13859.220000000001</v>
      </c>
      <c r="AC22" s="113">
        <f t="shared" si="11"/>
        <v>19126.990000000005</v>
      </c>
      <c r="AD22" s="102">
        <f t="shared" si="12"/>
        <v>0</v>
      </c>
      <c r="AE22" s="102">
        <f t="shared" si="13"/>
        <v>0</v>
      </c>
      <c r="AF22" s="102"/>
      <c r="AG22" s="16">
        <f t="shared" si="18"/>
        <v>1558.68</v>
      </c>
      <c r="AH22" s="16">
        <f>B22*0.2*0.9997</f>
        <v>519.4041320000001</v>
      </c>
      <c r="AI22" s="16">
        <f>0.85*B22*0.98508</f>
        <v>2175.1847004</v>
      </c>
      <c r="AJ22" s="16">
        <f t="shared" si="14"/>
        <v>391.533246072</v>
      </c>
      <c r="AK22" s="16">
        <f>0.83*B22*0.98981</f>
        <v>2134.20258694</v>
      </c>
      <c r="AL22" s="16">
        <f t="shared" si="15"/>
        <v>384.15646564919996</v>
      </c>
      <c r="AM22" s="16">
        <f>(1.91)*B22*0.98981</f>
        <v>4911.237278379999</v>
      </c>
      <c r="AN22" s="16">
        <f t="shared" si="16"/>
        <v>884.0227101083998</v>
      </c>
      <c r="AO22" s="16"/>
      <c r="AP22" s="16">
        <f t="shared" si="8"/>
        <v>0</v>
      </c>
      <c r="AQ22" s="117"/>
      <c r="AR22" s="117">
        <f t="shared" si="8"/>
        <v>0</v>
      </c>
      <c r="AS22" s="97"/>
      <c r="AT22" s="97"/>
      <c r="AU22" s="97">
        <f t="shared" si="4"/>
        <v>0</v>
      </c>
      <c r="AV22" s="118"/>
      <c r="AW22" s="137">
        <v>589</v>
      </c>
      <c r="AX22" s="16">
        <f t="shared" si="2"/>
        <v>778.4224</v>
      </c>
      <c r="AY22" s="121"/>
      <c r="AZ22" s="122"/>
      <c r="BA22" s="122">
        <f t="shared" si="0"/>
        <v>0</v>
      </c>
      <c r="BB22" s="122">
        <f>SUM(AG22:BA22)-AV22-AW22</f>
        <v>13736.843519549599</v>
      </c>
      <c r="BC22" s="128"/>
      <c r="BD22" s="14">
        <f t="shared" si="5"/>
        <v>5390.146480450407</v>
      </c>
      <c r="BE22" s="30">
        <f>AB22-S22</f>
        <v>-3343.9799999999996</v>
      </c>
    </row>
    <row r="23" spans="1:57" ht="12.75">
      <c r="A23" s="11" t="s">
        <v>41</v>
      </c>
      <c r="B23" s="104">
        <v>2597.8</v>
      </c>
      <c r="C23" s="105">
        <f t="shared" si="3"/>
        <v>22470.97</v>
      </c>
      <c r="D23" s="130">
        <f t="shared" si="17"/>
        <v>2210.4100000000017</v>
      </c>
      <c r="E23" s="93">
        <v>1985.93</v>
      </c>
      <c r="F23" s="91">
        <v>352.75</v>
      </c>
      <c r="G23" s="91">
        <v>2689.41</v>
      </c>
      <c r="H23" s="91">
        <v>478.21</v>
      </c>
      <c r="I23" s="91">
        <v>6462.54</v>
      </c>
      <c r="J23" s="91">
        <v>1148.46</v>
      </c>
      <c r="K23" s="91">
        <v>4476.6</v>
      </c>
      <c r="L23" s="91">
        <v>795.74</v>
      </c>
      <c r="M23" s="91">
        <v>1588.72</v>
      </c>
      <c r="N23" s="91">
        <v>282.2</v>
      </c>
      <c r="O23" s="91">
        <v>0</v>
      </c>
      <c r="P23" s="109">
        <v>0</v>
      </c>
      <c r="Q23" s="91">
        <v>0</v>
      </c>
      <c r="R23" s="91">
        <v>0</v>
      </c>
      <c r="S23" s="91">
        <f t="shared" si="9"/>
        <v>17203.2</v>
      </c>
      <c r="T23" s="108">
        <f t="shared" si="10"/>
        <v>3057.36</v>
      </c>
      <c r="U23" s="94">
        <f>2159.74+158.28</f>
        <v>2318.02</v>
      </c>
      <c r="V23" s="91">
        <f>2923.93+214.34</f>
        <v>3138.27</v>
      </c>
      <c r="W23" s="91">
        <f>7027.49+515.05</f>
        <v>7542.54</v>
      </c>
      <c r="X23" s="91">
        <f>4867.69+356.75</f>
        <v>5224.44</v>
      </c>
      <c r="Y23" s="91">
        <f>1727.78+126.64</f>
        <v>1854.42</v>
      </c>
      <c r="Z23" s="109">
        <v>0</v>
      </c>
      <c r="AA23" s="109">
        <v>0</v>
      </c>
      <c r="AB23" s="109">
        <f>SUM(U23:AA23)</f>
        <v>20077.690000000002</v>
      </c>
      <c r="AC23" s="113">
        <f>AB23+T23+D23</f>
        <v>25345.460000000006</v>
      </c>
      <c r="AD23" s="102">
        <f t="shared" si="12"/>
        <v>0</v>
      </c>
      <c r="AE23" s="102">
        <f t="shared" si="13"/>
        <v>0</v>
      </c>
      <c r="AF23" s="102"/>
      <c r="AG23" s="16">
        <f t="shared" si="18"/>
        <v>1558.68</v>
      </c>
      <c r="AH23" s="16">
        <f>B23*0.2</f>
        <v>519.5600000000001</v>
      </c>
      <c r="AI23" s="16">
        <f>0.847*B23</f>
        <v>2200.3366</v>
      </c>
      <c r="AJ23" s="16">
        <f t="shared" si="14"/>
        <v>396.060588</v>
      </c>
      <c r="AK23" s="16">
        <f>0.83*B23</f>
        <v>2156.174</v>
      </c>
      <c r="AL23" s="16">
        <f t="shared" si="15"/>
        <v>388.11132</v>
      </c>
      <c r="AM23" s="16">
        <f>(2.25/1.18)*B23</f>
        <v>4953.432203389831</v>
      </c>
      <c r="AN23" s="16">
        <f t="shared" si="16"/>
        <v>891.6177966101695</v>
      </c>
      <c r="AO23" s="16"/>
      <c r="AP23" s="16">
        <f t="shared" si="8"/>
        <v>0</v>
      </c>
      <c r="AQ23" s="117"/>
      <c r="AR23" s="117">
        <f t="shared" si="8"/>
        <v>0</v>
      </c>
      <c r="AS23" s="97">
        <v>32291.9</v>
      </c>
      <c r="AT23" s="97"/>
      <c r="AU23" s="97">
        <f t="shared" si="4"/>
        <v>5812.542</v>
      </c>
      <c r="AV23" s="118"/>
      <c r="AW23" s="134">
        <v>553</v>
      </c>
      <c r="AX23" s="16">
        <f t="shared" si="2"/>
        <v>730.8448</v>
      </c>
      <c r="AY23" s="121"/>
      <c r="AZ23" s="122"/>
      <c r="BA23" s="122">
        <f t="shared" si="0"/>
        <v>0</v>
      </c>
      <c r="BB23" s="122">
        <f>SUM(AG23:AU23)+AX23+AY23+AZ23+BA23</f>
        <v>51899.259308</v>
      </c>
      <c r="BC23" s="128"/>
      <c r="BD23" s="14">
        <f t="shared" si="5"/>
        <v>-26553.799307999994</v>
      </c>
      <c r="BE23" s="30">
        <f>AB23-S23</f>
        <v>2874.4900000000016</v>
      </c>
    </row>
    <row r="24" spans="1:57" ht="12.75">
      <c r="A24" s="11" t="s">
        <v>42</v>
      </c>
      <c r="B24" s="115">
        <v>2597.8</v>
      </c>
      <c r="C24" s="105">
        <f t="shared" si="3"/>
        <v>22470.97</v>
      </c>
      <c r="D24" s="130">
        <f t="shared" si="17"/>
        <v>2227.8299999999963</v>
      </c>
      <c r="E24" s="107">
        <v>1952.25</v>
      </c>
      <c r="F24" s="107">
        <v>384.38</v>
      </c>
      <c r="G24" s="107">
        <v>2643.88</v>
      </c>
      <c r="H24" s="107">
        <v>521.08</v>
      </c>
      <c r="I24" s="107">
        <v>6353.01</v>
      </c>
      <c r="J24" s="107">
        <v>1251.43</v>
      </c>
      <c r="K24" s="107">
        <v>4400.76</v>
      </c>
      <c r="L24" s="107">
        <v>867.08</v>
      </c>
      <c r="M24" s="107">
        <v>1561.76</v>
      </c>
      <c r="N24" s="107">
        <v>307.51</v>
      </c>
      <c r="O24" s="107">
        <v>0</v>
      </c>
      <c r="P24" s="114">
        <v>0</v>
      </c>
      <c r="Q24" s="114">
        <v>0</v>
      </c>
      <c r="R24" s="114">
        <v>0</v>
      </c>
      <c r="S24" s="91">
        <f t="shared" si="9"/>
        <v>16911.66</v>
      </c>
      <c r="T24" s="108">
        <f t="shared" si="10"/>
        <v>3331.4800000000005</v>
      </c>
      <c r="U24" s="91">
        <v>2270.95</v>
      </c>
      <c r="V24" s="91">
        <v>3075.16</v>
      </c>
      <c r="W24" s="91">
        <v>7389.84</v>
      </c>
      <c r="X24" s="91">
        <v>5118.9</v>
      </c>
      <c r="Y24" s="91">
        <v>1816.74</v>
      </c>
      <c r="Z24" s="109">
        <v>0</v>
      </c>
      <c r="AA24" s="109">
        <v>0</v>
      </c>
      <c r="AB24" s="109">
        <f>SUM(U24:AA24)</f>
        <v>19671.59</v>
      </c>
      <c r="AC24" s="113">
        <f>D24+T24+AB24</f>
        <v>25230.899999999998</v>
      </c>
      <c r="AD24" s="102">
        <f t="shared" si="12"/>
        <v>0</v>
      </c>
      <c r="AE24" s="102">
        <f t="shared" si="13"/>
        <v>0</v>
      </c>
      <c r="AF24" s="102"/>
      <c r="AG24" s="16">
        <f t="shared" si="18"/>
        <v>1558.68</v>
      </c>
      <c r="AH24" s="16">
        <f>B24*0.2</f>
        <v>519.5600000000001</v>
      </c>
      <c r="AI24" s="16">
        <f>0.85*B24</f>
        <v>2208.13</v>
      </c>
      <c r="AJ24" s="16">
        <f t="shared" si="14"/>
        <v>397.4634</v>
      </c>
      <c r="AK24" s="16">
        <f>0.83*B24</f>
        <v>2156.174</v>
      </c>
      <c r="AL24" s="16">
        <f t="shared" si="15"/>
        <v>388.11132</v>
      </c>
      <c r="AM24" s="16">
        <f>(1.91)*B24</f>
        <v>4961.798</v>
      </c>
      <c r="AN24" s="16">
        <f t="shared" si="16"/>
        <v>893.1236399999999</v>
      </c>
      <c r="AO24" s="16"/>
      <c r="AP24" s="16">
        <f t="shared" si="8"/>
        <v>0</v>
      </c>
      <c r="AQ24" s="117"/>
      <c r="AR24" s="117">
        <f t="shared" si="8"/>
        <v>0</v>
      </c>
      <c r="AS24" s="97">
        <v>1328</v>
      </c>
      <c r="AT24" s="97">
        <f>3*375</f>
        <v>1125</v>
      </c>
      <c r="AU24" s="97">
        <f t="shared" si="4"/>
        <v>441.53999999999996</v>
      </c>
      <c r="AV24" s="118"/>
      <c r="AW24" s="134">
        <v>635</v>
      </c>
      <c r="AX24" s="16">
        <f t="shared" si="2"/>
        <v>839.216</v>
      </c>
      <c r="AY24" s="121"/>
      <c r="AZ24" s="122"/>
      <c r="BA24" s="122">
        <f t="shared" si="0"/>
        <v>0</v>
      </c>
      <c r="BB24" s="122">
        <f>SUM(AG24:AU24)+AX24+AY24+AZ24+BA24</f>
        <v>16816.79636</v>
      </c>
      <c r="BC24" s="132"/>
      <c r="BD24" s="14">
        <f t="shared" si="5"/>
        <v>8414.103639999998</v>
      </c>
      <c r="BE24" s="30">
        <f t="shared" si="6"/>
        <v>2759.9300000000003</v>
      </c>
    </row>
    <row r="25" spans="1:57" ht="12.75">
      <c r="A25" s="11" t="s">
        <v>43</v>
      </c>
      <c r="B25" s="104">
        <v>2597.8</v>
      </c>
      <c r="C25" s="105">
        <f t="shared" si="3"/>
        <v>22470.97</v>
      </c>
      <c r="D25" s="130">
        <f t="shared" si="17"/>
        <v>2228.540000000002</v>
      </c>
      <c r="E25" s="107">
        <v>1951.8</v>
      </c>
      <c r="F25" s="107">
        <v>384.75</v>
      </c>
      <c r="G25" s="107">
        <v>2643.27</v>
      </c>
      <c r="H25" s="107">
        <v>521.58</v>
      </c>
      <c r="I25" s="107">
        <v>6351.53</v>
      </c>
      <c r="J25" s="107">
        <v>1252.64</v>
      </c>
      <c r="K25" s="107">
        <v>4399.74</v>
      </c>
      <c r="L25" s="107">
        <v>867.91</v>
      </c>
      <c r="M25" s="107">
        <v>1561.41</v>
      </c>
      <c r="N25" s="107">
        <v>307.8</v>
      </c>
      <c r="O25" s="107">
        <v>0</v>
      </c>
      <c r="P25" s="114">
        <v>0</v>
      </c>
      <c r="Q25" s="114"/>
      <c r="R25" s="114"/>
      <c r="S25" s="91">
        <f t="shared" si="9"/>
        <v>16907.75</v>
      </c>
      <c r="T25" s="108">
        <f t="shared" si="10"/>
        <v>3334.6800000000003</v>
      </c>
      <c r="U25" s="91">
        <v>2559.27</v>
      </c>
      <c r="V25" s="91">
        <v>3466.61</v>
      </c>
      <c r="W25" s="91">
        <v>8328.4</v>
      </c>
      <c r="X25" s="91">
        <v>5769.14</v>
      </c>
      <c r="Y25" s="91">
        <v>2047.36</v>
      </c>
      <c r="Z25" s="109">
        <v>0</v>
      </c>
      <c r="AA25" s="109">
        <v>0</v>
      </c>
      <c r="AB25" s="109">
        <f>SUM(U25:AA25)</f>
        <v>22170.78</v>
      </c>
      <c r="AC25" s="113">
        <f>D25+T25+AB25</f>
        <v>27734</v>
      </c>
      <c r="AD25" s="102">
        <f t="shared" si="12"/>
        <v>0</v>
      </c>
      <c r="AE25" s="102">
        <f t="shared" si="13"/>
        <v>0</v>
      </c>
      <c r="AF25" s="102"/>
      <c r="AG25" s="16">
        <f t="shared" si="18"/>
        <v>1558.68</v>
      </c>
      <c r="AH25" s="16">
        <f>B25*0.2</f>
        <v>519.5600000000001</v>
      </c>
      <c r="AI25" s="16">
        <f>0.85*B25</f>
        <v>2208.13</v>
      </c>
      <c r="AJ25" s="16">
        <f t="shared" si="14"/>
        <v>397.4634</v>
      </c>
      <c r="AK25" s="16">
        <f>0.83*B25</f>
        <v>2156.174</v>
      </c>
      <c r="AL25" s="16">
        <f t="shared" si="15"/>
        <v>388.11132</v>
      </c>
      <c r="AM25" s="16">
        <f>(1.91)*B25</f>
        <v>4961.798</v>
      </c>
      <c r="AN25" s="16">
        <f t="shared" si="16"/>
        <v>893.1236399999999</v>
      </c>
      <c r="AO25" s="16"/>
      <c r="AP25" s="16">
        <f t="shared" si="8"/>
        <v>0</v>
      </c>
      <c r="AQ25" s="117"/>
      <c r="AR25" s="117">
        <f t="shared" si="8"/>
        <v>0</v>
      </c>
      <c r="AS25" s="97">
        <v>3117</v>
      </c>
      <c r="AT25" s="97"/>
      <c r="AU25" s="97">
        <f t="shared" si="4"/>
        <v>561.06</v>
      </c>
      <c r="AV25" s="118"/>
      <c r="AW25" s="134">
        <v>741</v>
      </c>
      <c r="AX25" s="16">
        <f t="shared" si="2"/>
        <v>979.3056</v>
      </c>
      <c r="AY25" s="121"/>
      <c r="AZ25" s="122"/>
      <c r="BA25" s="122">
        <f t="shared" si="0"/>
        <v>0</v>
      </c>
      <c r="BB25" s="122">
        <f>SUM(AG25:BA25)-AV25-AW25</f>
        <v>17740.40596</v>
      </c>
      <c r="BC25" s="132"/>
      <c r="BD25" s="14">
        <f>AC25+AF25-BB25-BC25</f>
        <v>9993.59404</v>
      </c>
      <c r="BE25" s="30">
        <f>AB25-S25</f>
        <v>5263.029999999999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269649.04500000004</v>
      </c>
      <c r="D26" s="60">
        <f t="shared" si="19"/>
        <v>29196.34062500001</v>
      </c>
      <c r="E26" s="57">
        <f t="shared" si="19"/>
        <v>23016.649999999998</v>
      </c>
      <c r="F26" s="57">
        <f t="shared" si="19"/>
        <v>4110.380000000001</v>
      </c>
      <c r="G26" s="57">
        <f t="shared" si="19"/>
        <v>31139.410000000003</v>
      </c>
      <c r="H26" s="57">
        <f t="shared" si="19"/>
        <v>5538.59</v>
      </c>
      <c r="I26" s="57">
        <f t="shared" si="19"/>
        <v>74869.74</v>
      </c>
      <c r="J26" s="57">
        <f t="shared" si="19"/>
        <v>13310.84</v>
      </c>
      <c r="K26" s="57">
        <f t="shared" si="19"/>
        <v>51844.38999999999</v>
      </c>
      <c r="L26" s="57">
        <f t="shared" si="19"/>
        <v>9220.439999999999</v>
      </c>
      <c r="M26" s="57">
        <f t="shared" si="19"/>
        <v>18412.949999999997</v>
      </c>
      <c r="N26" s="57">
        <f t="shared" si="19"/>
        <v>3272.55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199283.14000000004</v>
      </c>
      <c r="T26" s="57">
        <f t="shared" si="19"/>
        <v>35452.8</v>
      </c>
      <c r="U26" s="61">
        <f t="shared" si="19"/>
        <v>23046.52</v>
      </c>
      <c r="V26" s="61">
        <f t="shared" si="19"/>
        <v>31173.350000000002</v>
      </c>
      <c r="W26" s="61">
        <f t="shared" si="19"/>
        <v>74960.53000000001</v>
      </c>
      <c r="X26" s="61">
        <f t="shared" si="19"/>
        <v>51914.200000000004</v>
      </c>
      <c r="Y26" s="61">
        <f t="shared" si="19"/>
        <v>18436.780000000002</v>
      </c>
      <c r="Z26" s="61">
        <f t="shared" si="19"/>
        <v>0</v>
      </c>
      <c r="AA26" s="61">
        <f t="shared" si="19"/>
        <v>0</v>
      </c>
      <c r="AB26" s="61">
        <f t="shared" si="19"/>
        <v>199531.38</v>
      </c>
      <c r="AC26" s="61">
        <f t="shared" si="19"/>
        <v>264180.520625</v>
      </c>
      <c r="AD26" s="61">
        <f t="shared" si="19"/>
        <v>0</v>
      </c>
      <c r="AE26" s="100">
        <f t="shared" si="19"/>
        <v>0</v>
      </c>
      <c r="AF26" s="100">
        <f t="shared" si="19"/>
        <v>0</v>
      </c>
      <c r="AG26" s="18">
        <f t="shared" si="19"/>
        <v>18080.526</v>
      </c>
      <c r="AH26" s="18">
        <f t="shared" si="19"/>
        <v>6053.348721600002</v>
      </c>
      <c r="AI26" s="18">
        <f t="shared" si="19"/>
        <v>25274.9124549</v>
      </c>
      <c r="AJ26" s="18">
        <f t="shared" si="19"/>
        <v>4549.484241881999</v>
      </c>
      <c r="AK26" s="18">
        <f t="shared" si="19"/>
        <v>24569.617120539995</v>
      </c>
      <c r="AL26" s="18">
        <f t="shared" si="19"/>
        <v>4422.5310816972</v>
      </c>
      <c r="AM26" s="18">
        <f t="shared" si="19"/>
        <v>56530.84938736983</v>
      </c>
      <c r="AN26" s="18">
        <f t="shared" si="19"/>
        <v>10175.552889726569</v>
      </c>
      <c r="AO26" s="18">
        <f t="shared" si="19"/>
        <v>0</v>
      </c>
      <c r="AP26" s="18">
        <f t="shared" si="19"/>
        <v>0</v>
      </c>
      <c r="AQ26" s="18">
        <f>SUM(AQ14:AQ25)</f>
        <v>18858.483</v>
      </c>
      <c r="AR26" s="18">
        <f>SUM(AR14:AR25)</f>
        <v>3394.5269399999997</v>
      </c>
      <c r="AS26" s="18">
        <f>SUM(AS14:AS25)</f>
        <v>72697.54000000001</v>
      </c>
      <c r="AT26" s="18">
        <f>SUM(AT14:AT25)</f>
        <v>1525</v>
      </c>
      <c r="AU26" s="18">
        <f>SUM(AU14:AU25)</f>
        <v>13360.0672</v>
      </c>
      <c r="AV26" s="18"/>
      <c r="AW26" s="18"/>
      <c r="AX26" s="18">
        <f t="shared" si="19"/>
        <v>8155.5936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267648.03263771563</v>
      </c>
      <c r="BC26" s="18">
        <f t="shared" si="19"/>
        <v>0</v>
      </c>
      <c r="BD26" s="18">
        <f>SUM(BD14:BD25)</f>
        <v>-3467.5120127155824</v>
      </c>
      <c r="BE26" s="19">
        <f>SUM(BE14:BE25)</f>
        <v>248.23999999999432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101"/>
      <c r="AD27" s="101"/>
      <c r="AE27" s="102"/>
      <c r="AF27" s="102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6"/>
      <c r="AT27" s="96"/>
      <c r="AU27" s="97"/>
      <c r="AV27" s="97"/>
      <c r="AW27" s="97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337067.145</v>
      </c>
      <c r="D28" s="23">
        <f>D12+D26</f>
        <v>45424.102022000014</v>
      </c>
      <c r="E28" s="50">
        <f aca="true" t="shared" si="20" ref="E28:BC28">E12+E26</f>
        <v>28473.3</v>
      </c>
      <c r="F28" s="50">
        <f t="shared" si="20"/>
        <v>5031.980000000001</v>
      </c>
      <c r="G28" s="50">
        <f t="shared" si="20"/>
        <v>38505.72</v>
      </c>
      <c r="H28" s="50">
        <f t="shared" si="20"/>
        <v>6782.84</v>
      </c>
      <c r="I28" s="50">
        <f t="shared" si="20"/>
        <v>92603.55</v>
      </c>
      <c r="J28" s="50">
        <f t="shared" si="20"/>
        <v>16306.1</v>
      </c>
      <c r="K28" s="50">
        <f t="shared" si="20"/>
        <v>64121.77999999999</v>
      </c>
      <c r="L28" s="50">
        <f t="shared" si="20"/>
        <v>11294.07</v>
      </c>
      <c r="M28" s="50">
        <f t="shared" si="20"/>
        <v>22778.069999999996</v>
      </c>
      <c r="N28" s="50">
        <f>N12+N26</f>
        <v>4009.92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246482.42000000004</v>
      </c>
      <c r="T28" s="50">
        <f t="shared" si="20"/>
        <v>43424.91</v>
      </c>
      <c r="U28" s="53">
        <f t="shared" si="20"/>
        <v>26761.79</v>
      </c>
      <c r="V28" s="53">
        <f t="shared" si="20"/>
        <v>36188.850000000006</v>
      </c>
      <c r="W28" s="53">
        <f t="shared" si="20"/>
        <v>87034.95000000001</v>
      </c>
      <c r="X28" s="53">
        <f t="shared" si="20"/>
        <v>60273.46000000001</v>
      </c>
      <c r="Y28" s="53">
        <f t="shared" si="20"/>
        <v>21408.890000000003</v>
      </c>
      <c r="Z28" s="53">
        <f t="shared" si="20"/>
        <v>0</v>
      </c>
      <c r="AA28" s="53">
        <f t="shared" si="20"/>
        <v>0</v>
      </c>
      <c r="AB28" s="53">
        <f t="shared" si="20"/>
        <v>231667.94</v>
      </c>
      <c r="AC28" s="53">
        <f t="shared" si="20"/>
        <v>320516.952022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22756.926</v>
      </c>
      <c r="AH28" s="23">
        <f t="shared" si="20"/>
        <v>7658.133321600002</v>
      </c>
      <c r="AI28" s="23">
        <f t="shared" si="20"/>
        <v>31907.3986149</v>
      </c>
      <c r="AJ28" s="23">
        <f t="shared" si="20"/>
        <v>5743.3317506819985</v>
      </c>
      <c r="AK28" s="23">
        <f t="shared" si="20"/>
        <v>32287.732658139998</v>
      </c>
      <c r="AL28" s="23">
        <f t="shared" si="20"/>
        <v>5811.791878465199</v>
      </c>
      <c r="AM28" s="23">
        <f t="shared" si="20"/>
        <v>70705.46542276983</v>
      </c>
      <c r="AN28" s="23">
        <f t="shared" si="20"/>
        <v>12726.983776098568</v>
      </c>
      <c r="AO28" s="23">
        <f t="shared" si="20"/>
        <v>0</v>
      </c>
      <c r="AP28" s="23">
        <f t="shared" si="20"/>
        <v>0</v>
      </c>
      <c r="AQ28" s="23">
        <f t="shared" si="20"/>
        <v>18858.483</v>
      </c>
      <c r="AR28" s="23">
        <f t="shared" si="20"/>
        <v>3394.5269399999997</v>
      </c>
      <c r="AS28" s="23">
        <f t="shared" si="20"/>
        <v>148707.74</v>
      </c>
      <c r="AT28" s="23">
        <f t="shared" si="20"/>
        <v>1525</v>
      </c>
      <c r="AU28" s="23">
        <f t="shared" si="20"/>
        <v>27041.903199999997</v>
      </c>
      <c r="AV28" s="23"/>
      <c r="AW28" s="23"/>
      <c r="AX28" s="23">
        <f t="shared" si="20"/>
        <v>8155.5936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397281.0101626556</v>
      </c>
      <c r="BC28" s="23">
        <f t="shared" si="20"/>
        <v>0</v>
      </c>
      <c r="BD28" s="23">
        <f>BD12+BD26</f>
        <v>-76764.05814065559</v>
      </c>
      <c r="BE28" s="24">
        <f>BE12+BE26</f>
        <v>-14814.480000000007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8"/>
      <c r="AD29" s="98"/>
      <c r="AE29" s="99"/>
      <c r="AF29" s="99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5"/>
      <c r="AT29" s="95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4">
        <v>2597.8</v>
      </c>
      <c r="C30" s="131">
        <f aca="true" t="shared" si="21" ref="C30:C41">B30*8.65</f>
        <v>22470.97</v>
      </c>
      <c r="D30" s="130">
        <f aca="true" t="shared" si="22" ref="D30:D41">C30-E30-F30-G30-H30-I30-J30-K30-L30-M30-N30</f>
        <v>2228.540000000002</v>
      </c>
      <c r="E30" s="107">
        <v>1951.8</v>
      </c>
      <c r="F30" s="107">
        <v>384.75</v>
      </c>
      <c r="G30" s="107">
        <v>2643.27</v>
      </c>
      <c r="H30" s="107">
        <v>521.58</v>
      </c>
      <c r="I30" s="107">
        <v>6351.53</v>
      </c>
      <c r="J30" s="107">
        <v>1252.64</v>
      </c>
      <c r="K30" s="107">
        <v>4399.74</v>
      </c>
      <c r="L30" s="107">
        <v>867.91</v>
      </c>
      <c r="M30" s="107">
        <v>1561.41</v>
      </c>
      <c r="N30" s="107">
        <v>307.8</v>
      </c>
      <c r="O30" s="107">
        <v>0</v>
      </c>
      <c r="P30" s="114">
        <v>0</v>
      </c>
      <c r="Q30" s="114"/>
      <c r="R30" s="114"/>
      <c r="S30" s="91">
        <f aca="true" t="shared" si="23" ref="S30:S41">E30+G30+I30+K30+M30+O30+Q30</f>
        <v>16907.75</v>
      </c>
      <c r="T30" s="108">
        <f aca="true" t="shared" si="24" ref="T30:T41">P30+N30+L30+J30+H30+F30+R30</f>
        <v>3334.6800000000003</v>
      </c>
      <c r="U30" s="91">
        <v>1470.99</v>
      </c>
      <c r="V30" s="91">
        <v>1991.54</v>
      </c>
      <c r="W30" s="91">
        <v>4786.31</v>
      </c>
      <c r="X30" s="91">
        <v>3315.32</v>
      </c>
      <c r="Y30" s="91">
        <v>1176.75</v>
      </c>
      <c r="Z30" s="109">
        <v>0</v>
      </c>
      <c r="AA30" s="109">
        <v>0</v>
      </c>
      <c r="AB30" s="109">
        <f>SUM(U30:AA30)</f>
        <v>12740.91</v>
      </c>
      <c r="AC30" s="113">
        <f aca="true" t="shared" si="25" ref="AC30:AC41">D30+T30+AB30</f>
        <v>18304.13</v>
      </c>
      <c r="AD30" s="102">
        <f aca="true" t="shared" si="26" ref="AD30:AD41">P30+Z30</f>
        <v>0</v>
      </c>
      <c r="AE30" s="102">
        <f aca="true" t="shared" si="27" ref="AE30:AE41">R30+AA30</f>
        <v>0</v>
      </c>
      <c r="AF30" s="102"/>
      <c r="AG30" s="16">
        <f aca="true" t="shared" si="28" ref="AG30:AG41">0.6*B30</f>
        <v>1558.68</v>
      </c>
      <c r="AH30" s="16">
        <f aca="true" t="shared" si="29" ref="AH30:AH41">B30*0.2</f>
        <v>519.5600000000001</v>
      </c>
      <c r="AI30" s="16">
        <f aca="true" t="shared" si="30" ref="AI30:AI41">1*B30</f>
        <v>2597.8</v>
      </c>
      <c r="AJ30" s="16">
        <v>0</v>
      </c>
      <c r="AK30" s="16">
        <f aca="true" t="shared" si="31" ref="AK30:AK41">0.98*B30</f>
        <v>2545.844</v>
      </c>
      <c r="AL30" s="16">
        <v>0</v>
      </c>
      <c r="AM30" s="16">
        <f aca="true" t="shared" si="32" ref="AM30:AM41">2.25*B30</f>
        <v>5845.05</v>
      </c>
      <c r="AN30" s="16">
        <v>0</v>
      </c>
      <c r="AO30" s="16"/>
      <c r="AP30" s="16">
        <v>0</v>
      </c>
      <c r="AQ30" s="117"/>
      <c r="AR30" s="117"/>
      <c r="AS30" s="97">
        <v>0</v>
      </c>
      <c r="AT30" s="97"/>
      <c r="AU30" s="97">
        <f aca="true" t="shared" si="33" ref="AU30:AU40">AT30*0.18</f>
        <v>0</v>
      </c>
      <c r="AV30" s="118"/>
      <c r="AW30" s="134">
        <v>674</v>
      </c>
      <c r="AX30" s="16">
        <f aca="true" t="shared" si="34" ref="AX30:AX40">AW30*1.4</f>
        <v>943.5999999999999</v>
      </c>
      <c r="AY30" s="121"/>
      <c r="AZ30" s="122"/>
      <c r="BA30" s="122">
        <f aca="true" t="shared" si="35" ref="BA30:BA41">AZ30*0.18</f>
        <v>0</v>
      </c>
      <c r="BB30" s="122">
        <f>SUM(AG30:BA30)-AV30-AW30</f>
        <v>14010.534000000001</v>
      </c>
      <c r="BC30" s="132"/>
      <c r="BD30" s="14">
        <f>AC30+AF30-BB30-BC30</f>
        <v>4293.596</v>
      </c>
      <c r="BE30" s="30">
        <f>AB30-S30</f>
        <v>-4166.84</v>
      </c>
    </row>
    <row r="31" spans="1:57" ht="12.75">
      <c r="A31" s="11" t="s">
        <v>46</v>
      </c>
      <c r="B31" s="115">
        <v>2597.8</v>
      </c>
      <c r="C31" s="131">
        <f t="shared" si="21"/>
        <v>22470.97</v>
      </c>
      <c r="D31" s="130">
        <f t="shared" si="22"/>
        <v>2228.5799999999963</v>
      </c>
      <c r="E31" s="138">
        <v>1932.9</v>
      </c>
      <c r="F31" s="107">
        <v>403.65</v>
      </c>
      <c r="G31" s="107">
        <v>2617.65</v>
      </c>
      <c r="H31" s="107">
        <v>547.2</v>
      </c>
      <c r="I31" s="107">
        <v>6289.98</v>
      </c>
      <c r="J31" s="107">
        <v>1314.17</v>
      </c>
      <c r="K31" s="107">
        <v>4357.09</v>
      </c>
      <c r="L31" s="107">
        <v>910.54</v>
      </c>
      <c r="M31" s="107">
        <v>1546.29</v>
      </c>
      <c r="N31" s="107">
        <v>322.92</v>
      </c>
      <c r="O31" s="107">
        <v>0</v>
      </c>
      <c r="P31" s="114">
        <v>0</v>
      </c>
      <c r="Q31" s="91">
        <v>0</v>
      </c>
      <c r="R31" s="109">
        <v>0</v>
      </c>
      <c r="S31" s="91">
        <f t="shared" si="23"/>
        <v>16743.91</v>
      </c>
      <c r="T31" s="108">
        <f t="shared" si="24"/>
        <v>3498.48</v>
      </c>
      <c r="U31" s="91">
        <v>2101.82</v>
      </c>
      <c r="V31" s="91">
        <v>2846.47</v>
      </c>
      <c r="W31" s="91">
        <v>6839.73</v>
      </c>
      <c r="X31" s="91">
        <v>4737.86</v>
      </c>
      <c r="Y31" s="91">
        <v>1681.45</v>
      </c>
      <c r="Z31" s="109">
        <v>0</v>
      </c>
      <c r="AA31" s="109">
        <v>0</v>
      </c>
      <c r="AB31" s="109">
        <f>SUM(U31:AA31)</f>
        <v>18207.33</v>
      </c>
      <c r="AC31" s="113">
        <f t="shared" si="25"/>
        <v>23934.39</v>
      </c>
      <c r="AD31" s="102">
        <f t="shared" si="26"/>
        <v>0</v>
      </c>
      <c r="AE31" s="102">
        <f t="shared" si="27"/>
        <v>0</v>
      </c>
      <c r="AF31" s="102"/>
      <c r="AG31" s="16">
        <f t="shared" si="28"/>
        <v>1558.68</v>
      </c>
      <c r="AH31" s="16">
        <f t="shared" si="29"/>
        <v>519.5600000000001</v>
      </c>
      <c r="AI31" s="16">
        <f t="shared" si="30"/>
        <v>2597.8</v>
      </c>
      <c r="AJ31" s="16">
        <v>0</v>
      </c>
      <c r="AK31" s="16">
        <f t="shared" si="31"/>
        <v>2545.844</v>
      </c>
      <c r="AL31" s="16">
        <v>0</v>
      </c>
      <c r="AM31" s="16">
        <f t="shared" si="32"/>
        <v>5845.05</v>
      </c>
      <c r="AN31" s="16">
        <v>0</v>
      </c>
      <c r="AO31" s="16"/>
      <c r="AP31" s="16"/>
      <c r="AQ31" s="117"/>
      <c r="AR31" s="117"/>
      <c r="AS31" s="97">
        <v>1230</v>
      </c>
      <c r="AT31" s="97"/>
      <c r="AU31" s="97">
        <f t="shared" si="33"/>
        <v>0</v>
      </c>
      <c r="AV31" s="118"/>
      <c r="AW31" s="134">
        <v>623</v>
      </c>
      <c r="AX31" s="16">
        <f t="shared" si="34"/>
        <v>872.1999999999999</v>
      </c>
      <c r="AY31" s="121"/>
      <c r="AZ31" s="122"/>
      <c r="BA31" s="122">
        <f t="shared" si="35"/>
        <v>0</v>
      </c>
      <c r="BB31" s="122">
        <f>SUM(AG31:BA31)-AV31-AW31</f>
        <v>15169.134000000002</v>
      </c>
      <c r="BC31" s="132"/>
      <c r="BD31" s="14">
        <f aca="true" t="shared" si="36" ref="BD31:BD41">AC31+AF31-BB31-BC31</f>
        <v>8765.255999999998</v>
      </c>
      <c r="BE31" s="30">
        <f aca="true" t="shared" si="37" ref="BE31:BE41">AB31-S31</f>
        <v>1463.420000000002</v>
      </c>
    </row>
    <row r="32" spans="1:57" ht="12.75">
      <c r="A32" s="11" t="s">
        <v>47</v>
      </c>
      <c r="B32" s="104">
        <v>2597.8</v>
      </c>
      <c r="C32" s="131">
        <f t="shared" si="21"/>
        <v>22470.97</v>
      </c>
      <c r="D32" s="130">
        <f t="shared" si="22"/>
        <v>2252.069999999998</v>
      </c>
      <c r="E32" s="107">
        <v>1924.33</v>
      </c>
      <c r="F32" s="107">
        <v>409.45</v>
      </c>
      <c r="G32" s="107">
        <v>2606.17</v>
      </c>
      <c r="H32" s="107">
        <v>555.07</v>
      </c>
      <c r="I32" s="107">
        <v>6262.27</v>
      </c>
      <c r="J32" s="107">
        <v>1333.05</v>
      </c>
      <c r="K32" s="107">
        <v>4337.94</v>
      </c>
      <c r="L32" s="107">
        <v>923.62</v>
      </c>
      <c r="M32" s="107">
        <v>1539.44</v>
      </c>
      <c r="N32" s="107">
        <v>327.56</v>
      </c>
      <c r="O32" s="107">
        <v>0</v>
      </c>
      <c r="P32" s="114">
        <v>0</v>
      </c>
      <c r="Q32" s="114">
        <v>0</v>
      </c>
      <c r="R32" s="114">
        <v>0</v>
      </c>
      <c r="S32" s="91">
        <f t="shared" si="23"/>
        <v>16670.149999999998</v>
      </c>
      <c r="T32" s="108">
        <f t="shared" si="24"/>
        <v>3548.75</v>
      </c>
      <c r="U32" s="91">
        <v>1708.02</v>
      </c>
      <c r="V32" s="91">
        <v>2313.41</v>
      </c>
      <c r="W32" s="91">
        <v>5558.54</v>
      </c>
      <c r="X32" s="91">
        <v>3850.56</v>
      </c>
      <c r="Y32" s="91">
        <v>1366.4</v>
      </c>
      <c r="Z32" s="109">
        <v>0</v>
      </c>
      <c r="AA32" s="109">
        <v>0</v>
      </c>
      <c r="AB32" s="109">
        <f>SUM(U32:AA32)</f>
        <v>14796.929999999998</v>
      </c>
      <c r="AC32" s="113">
        <f t="shared" si="25"/>
        <v>20597.749999999996</v>
      </c>
      <c r="AD32" s="102">
        <f t="shared" si="26"/>
        <v>0</v>
      </c>
      <c r="AE32" s="102">
        <f t="shared" si="27"/>
        <v>0</v>
      </c>
      <c r="AF32" s="102"/>
      <c r="AG32" s="16">
        <f t="shared" si="28"/>
        <v>1558.68</v>
      </c>
      <c r="AH32" s="16">
        <f t="shared" si="29"/>
        <v>519.5600000000001</v>
      </c>
      <c r="AI32" s="16">
        <f t="shared" si="30"/>
        <v>2597.8</v>
      </c>
      <c r="AJ32" s="16">
        <v>0</v>
      </c>
      <c r="AK32" s="16">
        <f t="shared" si="31"/>
        <v>2545.844</v>
      </c>
      <c r="AL32" s="16">
        <v>0</v>
      </c>
      <c r="AM32" s="16">
        <f t="shared" si="32"/>
        <v>5845.05</v>
      </c>
      <c r="AN32" s="16">
        <v>0</v>
      </c>
      <c r="AO32" s="16"/>
      <c r="AP32" s="16"/>
      <c r="AQ32" s="117"/>
      <c r="AR32" s="117"/>
      <c r="AS32" s="97">
        <v>3903</v>
      </c>
      <c r="AT32" s="97"/>
      <c r="AU32" s="97">
        <f t="shared" si="33"/>
        <v>0</v>
      </c>
      <c r="AV32" s="118"/>
      <c r="AW32" s="134">
        <v>538</v>
      </c>
      <c r="AX32" s="16">
        <f t="shared" si="34"/>
        <v>753.1999999999999</v>
      </c>
      <c r="AY32" s="121"/>
      <c r="AZ32" s="122"/>
      <c r="BA32" s="122">
        <f t="shared" si="35"/>
        <v>0</v>
      </c>
      <c r="BB32" s="122">
        <f>SUM(AG32:BA32)-AV32-AW32</f>
        <v>17723.134000000002</v>
      </c>
      <c r="BC32" s="132"/>
      <c r="BD32" s="14">
        <f t="shared" si="36"/>
        <v>2874.6159999999945</v>
      </c>
      <c r="BE32" s="30">
        <f t="shared" si="37"/>
        <v>-1873.2199999999993</v>
      </c>
    </row>
    <row r="33" spans="1:57" ht="12.75">
      <c r="A33" s="11" t="s">
        <v>48</v>
      </c>
      <c r="B33" s="104">
        <v>2597.8</v>
      </c>
      <c r="C33" s="131">
        <f t="shared" si="21"/>
        <v>22470.97</v>
      </c>
      <c r="D33" s="130">
        <f t="shared" si="22"/>
        <v>2264.0700000000006</v>
      </c>
      <c r="E33" s="107">
        <v>1922.06</v>
      </c>
      <c r="F33" s="107">
        <v>410.31</v>
      </c>
      <c r="G33" s="107">
        <v>2603.19</v>
      </c>
      <c r="H33" s="107">
        <v>556.23</v>
      </c>
      <c r="I33" s="107">
        <v>6254.94</v>
      </c>
      <c r="J33" s="107">
        <v>1335.85</v>
      </c>
      <c r="K33" s="107">
        <v>4332.89</v>
      </c>
      <c r="L33" s="107">
        <v>925.56</v>
      </c>
      <c r="M33" s="107">
        <v>1537.62</v>
      </c>
      <c r="N33" s="107">
        <v>328.25</v>
      </c>
      <c r="O33" s="107">
        <v>0</v>
      </c>
      <c r="P33" s="114">
        <v>0</v>
      </c>
      <c r="Q33" s="114"/>
      <c r="R33" s="114"/>
      <c r="S33" s="91">
        <f t="shared" si="23"/>
        <v>16650.699999999997</v>
      </c>
      <c r="T33" s="108">
        <f t="shared" si="24"/>
        <v>3556.2</v>
      </c>
      <c r="U33" s="91">
        <v>1960.93</v>
      </c>
      <c r="V33" s="91">
        <v>2645.73</v>
      </c>
      <c r="W33" s="91">
        <v>6370.52</v>
      </c>
      <c r="X33" s="91">
        <v>4485.1</v>
      </c>
      <c r="Y33" s="91">
        <v>1568.66</v>
      </c>
      <c r="Z33" s="109">
        <v>0</v>
      </c>
      <c r="AA33" s="109">
        <v>0</v>
      </c>
      <c r="AB33" s="109">
        <f>SUM(U33:AA33)</f>
        <v>17030.940000000002</v>
      </c>
      <c r="AC33" s="113">
        <f t="shared" si="25"/>
        <v>22851.210000000003</v>
      </c>
      <c r="AD33" s="102">
        <f t="shared" si="26"/>
        <v>0</v>
      </c>
      <c r="AE33" s="102">
        <f t="shared" si="27"/>
        <v>0</v>
      </c>
      <c r="AF33" s="102"/>
      <c r="AG33" s="16">
        <f t="shared" si="28"/>
        <v>1558.68</v>
      </c>
      <c r="AH33" s="16">
        <f t="shared" si="29"/>
        <v>519.5600000000001</v>
      </c>
      <c r="AI33" s="16">
        <f t="shared" si="30"/>
        <v>2597.8</v>
      </c>
      <c r="AJ33" s="16">
        <v>0</v>
      </c>
      <c r="AK33" s="16">
        <f t="shared" si="31"/>
        <v>2545.844</v>
      </c>
      <c r="AL33" s="16">
        <v>0</v>
      </c>
      <c r="AM33" s="16">
        <f t="shared" si="32"/>
        <v>5845.05</v>
      </c>
      <c r="AN33" s="16">
        <v>0</v>
      </c>
      <c r="AO33" s="16"/>
      <c r="AP33" s="16"/>
      <c r="AQ33" s="117"/>
      <c r="AR33" s="117"/>
      <c r="AS33" s="97">
        <v>1481</v>
      </c>
      <c r="AT33" s="97">
        <f>500</f>
        <v>500</v>
      </c>
      <c r="AU33" s="97">
        <f t="shared" si="33"/>
        <v>90</v>
      </c>
      <c r="AV33" s="118"/>
      <c r="AW33" s="134">
        <v>474</v>
      </c>
      <c r="AX33" s="16">
        <f t="shared" si="34"/>
        <v>663.5999999999999</v>
      </c>
      <c r="AY33" s="121"/>
      <c r="AZ33" s="122"/>
      <c r="BA33" s="122">
        <f t="shared" si="35"/>
        <v>0</v>
      </c>
      <c r="BB33" s="122">
        <f aca="true" t="shared" si="38" ref="BB33:BB39">SUM(AG33:BA33)-AV33-AW33</f>
        <v>15801.534000000001</v>
      </c>
      <c r="BC33" s="132"/>
      <c r="BD33" s="14">
        <f t="shared" si="36"/>
        <v>7049.676000000001</v>
      </c>
      <c r="BE33" s="30">
        <f t="shared" si="37"/>
        <v>380.24000000000524</v>
      </c>
    </row>
    <row r="34" spans="1:57" ht="12.75">
      <c r="A34" s="11" t="s">
        <v>49</v>
      </c>
      <c r="B34" s="104">
        <v>2598.4</v>
      </c>
      <c r="C34" s="131">
        <f t="shared" si="21"/>
        <v>22476.160000000003</v>
      </c>
      <c r="D34" s="130">
        <f t="shared" si="22"/>
        <v>2264.2300000000027</v>
      </c>
      <c r="E34" s="107">
        <v>1906.87</v>
      </c>
      <c r="F34" s="107">
        <v>426.03</v>
      </c>
      <c r="G34" s="107">
        <v>2582.63</v>
      </c>
      <c r="H34" s="107">
        <v>577.54</v>
      </c>
      <c r="I34" s="107">
        <v>6205.7</v>
      </c>
      <c r="J34" s="107">
        <v>1387.02</v>
      </c>
      <c r="K34" s="107">
        <v>4298.78</v>
      </c>
      <c r="L34" s="107">
        <v>961.01</v>
      </c>
      <c r="M34" s="107">
        <v>1525.53</v>
      </c>
      <c r="N34" s="107">
        <v>340.82</v>
      </c>
      <c r="O34" s="107">
        <v>0</v>
      </c>
      <c r="P34" s="114">
        <v>0</v>
      </c>
      <c r="Q34" s="114"/>
      <c r="R34" s="114"/>
      <c r="S34" s="91">
        <f t="shared" si="23"/>
        <v>16519.51</v>
      </c>
      <c r="T34" s="108">
        <f t="shared" si="24"/>
        <v>3692.42</v>
      </c>
      <c r="U34" s="139">
        <v>1698.53</v>
      </c>
      <c r="V34" s="139">
        <v>2300.19</v>
      </c>
      <c r="W34" s="139">
        <v>5527.17</v>
      </c>
      <c r="X34" s="139">
        <v>3828.57</v>
      </c>
      <c r="Y34" s="139">
        <v>1358.72</v>
      </c>
      <c r="Z34" s="140">
        <v>0</v>
      </c>
      <c r="AA34" s="140">
        <v>0</v>
      </c>
      <c r="AB34" s="109">
        <f aca="true" t="shared" si="39" ref="AB34:AB41">SUM(U34:AA34)</f>
        <v>14713.179999999998</v>
      </c>
      <c r="AC34" s="113">
        <f t="shared" si="25"/>
        <v>20669.83</v>
      </c>
      <c r="AD34" s="102">
        <f t="shared" si="26"/>
        <v>0</v>
      </c>
      <c r="AE34" s="102">
        <f t="shared" si="27"/>
        <v>0</v>
      </c>
      <c r="AF34" s="102"/>
      <c r="AG34" s="16">
        <f t="shared" si="28"/>
        <v>1559.04</v>
      </c>
      <c r="AH34" s="16">
        <f t="shared" si="29"/>
        <v>519.6800000000001</v>
      </c>
      <c r="AI34" s="16">
        <f t="shared" si="30"/>
        <v>2598.4</v>
      </c>
      <c r="AJ34" s="16">
        <v>0</v>
      </c>
      <c r="AK34" s="16">
        <f t="shared" si="31"/>
        <v>2546.4320000000002</v>
      </c>
      <c r="AL34" s="16">
        <v>0</v>
      </c>
      <c r="AM34" s="16">
        <f t="shared" si="32"/>
        <v>5846.400000000001</v>
      </c>
      <c r="AN34" s="16">
        <v>0</v>
      </c>
      <c r="AO34" s="16">
        <v>4127.22</v>
      </c>
      <c r="AP34" s="16"/>
      <c r="AQ34" s="117"/>
      <c r="AR34" s="117"/>
      <c r="AS34" s="97"/>
      <c r="AT34" s="97"/>
      <c r="AU34" s="97">
        <f t="shared" si="33"/>
        <v>0</v>
      </c>
      <c r="AV34" s="118"/>
      <c r="AW34" s="134">
        <v>396</v>
      </c>
      <c r="AX34" s="16">
        <f t="shared" si="34"/>
        <v>554.4</v>
      </c>
      <c r="AY34" s="121"/>
      <c r="AZ34" s="122"/>
      <c r="BA34" s="122">
        <f t="shared" si="35"/>
        <v>0</v>
      </c>
      <c r="BB34" s="122">
        <f t="shared" si="38"/>
        <v>17751.572000000004</v>
      </c>
      <c r="BC34" s="132"/>
      <c r="BD34" s="14">
        <f t="shared" si="36"/>
        <v>2918.257999999998</v>
      </c>
      <c r="BE34" s="30">
        <f t="shared" si="37"/>
        <v>-1806.33</v>
      </c>
    </row>
    <row r="35" spans="1:57" ht="12.75">
      <c r="A35" s="11" t="s">
        <v>50</v>
      </c>
      <c r="B35" s="104">
        <v>2598.4</v>
      </c>
      <c r="C35" s="131">
        <f t="shared" si="21"/>
        <v>22476.160000000003</v>
      </c>
      <c r="D35" s="130">
        <f t="shared" si="22"/>
        <v>2260.060000000005</v>
      </c>
      <c r="E35" s="107">
        <v>1918.65</v>
      </c>
      <c r="F35" s="107">
        <v>414.73</v>
      </c>
      <c r="G35" s="107">
        <v>2598.58</v>
      </c>
      <c r="H35" s="107">
        <v>562.22</v>
      </c>
      <c r="I35" s="107">
        <v>6244.05</v>
      </c>
      <c r="J35" s="107">
        <v>1350.23</v>
      </c>
      <c r="K35" s="107">
        <v>4325.37</v>
      </c>
      <c r="L35" s="107">
        <v>935.52</v>
      </c>
      <c r="M35" s="107">
        <v>1534.98</v>
      </c>
      <c r="N35" s="107">
        <v>331.77</v>
      </c>
      <c r="O35" s="107">
        <v>0</v>
      </c>
      <c r="P35" s="114">
        <v>0</v>
      </c>
      <c r="Q35" s="107">
        <v>0</v>
      </c>
      <c r="R35" s="114">
        <v>0</v>
      </c>
      <c r="S35" s="91">
        <f t="shared" si="23"/>
        <v>16621.629999999997</v>
      </c>
      <c r="T35" s="108">
        <f t="shared" si="24"/>
        <v>3594.47</v>
      </c>
      <c r="U35" s="91">
        <v>1905.01</v>
      </c>
      <c r="V35" s="91">
        <v>2580.52</v>
      </c>
      <c r="W35" s="91">
        <v>6200.07</v>
      </c>
      <c r="X35" s="91">
        <v>4295.02</v>
      </c>
      <c r="Y35" s="91">
        <v>1524.08</v>
      </c>
      <c r="Z35" s="109">
        <v>0</v>
      </c>
      <c r="AA35" s="109">
        <v>0</v>
      </c>
      <c r="AB35" s="109">
        <f t="shared" si="39"/>
        <v>16504.699999999997</v>
      </c>
      <c r="AC35" s="113">
        <f t="shared" si="25"/>
        <v>22359.230000000003</v>
      </c>
      <c r="AD35" s="102">
        <f t="shared" si="26"/>
        <v>0</v>
      </c>
      <c r="AE35" s="102">
        <f t="shared" si="27"/>
        <v>0</v>
      </c>
      <c r="AF35" s="102"/>
      <c r="AG35" s="16">
        <f t="shared" si="28"/>
        <v>1559.04</v>
      </c>
      <c r="AH35" s="16">
        <f t="shared" si="29"/>
        <v>519.6800000000001</v>
      </c>
      <c r="AI35" s="16">
        <f t="shared" si="30"/>
        <v>2598.4</v>
      </c>
      <c r="AJ35" s="16">
        <v>0</v>
      </c>
      <c r="AK35" s="16">
        <f t="shared" si="31"/>
        <v>2546.4320000000002</v>
      </c>
      <c r="AL35" s="16">
        <v>0</v>
      </c>
      <c r="AM35" s="16">
        <f t="shared" si="32"/>
        <v>5846.400000000001</v>
      </c>
      <c r="AN35" s="16">
        <v>0</v>
      </c>
      <c r="AO35" s="16"/>
      <c r="AP35" s="16"/>
      <c r="AQ35" s="117"/>
      <c r="AR35" s="117"/>
      <c r="AS35" s="97"/>
      <c r="AT35" s="97">
        <v>766.27</v>
      </c>
      <c r="AU35" s="97">
        <f t="shared" si="33"/>
        <v>137.9286</v>
      </c>
      <c r="AV35" s="118"/>
      <c r="AW35" s="134">
        <v>296</v>
      </c>
      <c r="AX35" s="16">
        <f t="shared" si="34"/>
        <v>414.4</v>
      </c>
      <c r="AY35" s="121"/>
      <c r="AZ35" s="122"/>
      <c r="BA35" s="122">
        <f t="shared" si="35"/>
        <v>0</v>
      </c>
      <c r="BB35" s="122">
        <f t="shared" si="38"/>
        <v>14388.5506</v>
      </c>
      <c r="BC35" s="132"/>
      <c r="BD35" s="14">
        <f t="shared" si="36"/>
        <v>7970.679400000003</v>
      </c>
      <c r="BE35" s="30">
        <f t="shared" si="37"/>
        <v>-116.93000000000029</v>
      </c>
    </row>
    <row r="36" spans="1:57" ht="12.75">
      <c r="A36" s="11" t="s">
        <v>51</v>
      </c>
      <c r="B36" s="104">
        <v>2598.4</v>
      </c>
      <c r="C36" s="131">
        <f t="shared" si="21"/>
        <v>22476.160000000003</v>
      </c>
      <c r="D36" s="130">
        <f t="shared" si="22"/>
        <v>2242.860000000007</v>
      </c>
      <c r="E36" s="138">
        <v>2335.42</v>
      </c>
      <c r="F36" s="107">
        <v>0</v>
      </c>
      <c r="G36" s="107">
        <v>3163.44</v>
      </c>
      <c r="H36" s="107">
        <v>0</v>
      </c>
      <c r="I36" s="107">
        <v>7600.75</v>
      </c>
      <c r="J36" s="107">
        <v>0</v>
      </c>
      <c r="K36" s="107">
        <v>5265.33</v>
      </c>
      <c r="L36" s="107">
        <v>0</v>
      </c>
      <c r="M36" s="107">
        <v>1868.36</v>
      </c>
      <c r="N36" s="107">
        <v>0</v>
      </c>
      <c r="O36" s="107">
        <v>0</v>
      </c>
      <c r="P36" s="114">
        <v>0</v>
      </c>
      <c r="Q36" s="114"/>
      <c r="R36" s="114"/>
      <c r="S36" s="91">
        <f t="shared" si="23"/>
        <v>20233.300000000003</v>
      </c>
      <c r="T36" s="108">
        <f t="shared" si="24"/>
        <v>0</v>
      </c>
      <c r="U36" s="93">
        <v>1747.6</v>
      </c>
      <c r="V36" s="91">
        <v>2366.98</v>
      </c>
      <c r="W36" s="91">
        <v>5687.47</v>
      </c>
      <c r="X36" s="91">
        <v>3939.86</v>
      </c>
      <c r="Y36" s="91">
        <v>1398.14</v>
      </c>
      <c r="Z36" s="109">
        <v>0</v>
      </c>
      <c r="AA36" s="109">
        <v>0</v>
      </c>
      <c r="AB36" s="109">
        <f t="shared" si="39"/>
        <v>15140.05</v>
      </c>
      <c r="AC36" s="113">
        <f t="shared" si="25"/>
        <v>17382.910000000007</v>
      </c>
      <c r="AD36" s="102">
        <f t="shared" si="26"/>
        <v>0</v>
      </c>
      <c r="AE36" s="102">
        <f t="shared" si="27"/>
        <v>0</v>
      </c>
      <c r="AF36" s="102"/>
      <c r="AG36" s="16">
        <f t="shared" si="28"/>
        <v>1559.04</v>
      </c>
      <c r="AH36" s="16">
        <f t="shared" si="29"/>
        <v>519.6800000000001</v>
      </c>
      <c r="AI36" s="16">
        <f t="shared" si="30"/>
        <v>2598.4</v>
      </c>
      <c r="AJ36" s="16">
        <v>0</v>
      </c>
      <c r="AK36" s="16">
        <f t="shared" si="31"/>
        <v>2546.4320000000002</v>
      </c>
      <c r="AL36" s="16">
        <v>0</v>
      </c>
      <c r="AM36" s="16">
        <f t="shared" si="32"/>
        <v>5846.400000000001</v>
      </c>
      <c r="AN36" s="16">
        <v>0</v>
      </c>
      <c r="AO36" s="16"/>
      <c r="AP36" s="16"/>
      <c r="AQ36" s="117"/>
      <c r="AR36" s="117"/>
      <c r="AS36" s="97"/>
      <c r="AT36" s="97"/>
      <c r="AU36" s="97">
        <f t="shared" si="33"/>
        <v>0</v>
      </c>
      <c r="AV36" s="118"/>
      <c r="AW36" s="134">
        <v>419</v>
      </c>
      <c r="AX36" s="16">
        <f t="shared" si="34"/>
        <v>586.5999999999999</v>
      </c>
      <c r="AY36" s="121"/>
      <c r="AZ36" s="122"/>
      <c r="BA36" s="122">
        <f t="shared" si="35"/>
        <v>0</v>
      </c>
      <c r="BB36" s="122">
        <f t="shared" si="38"/>
        <v>13656.552000000001</v>
      </c>
      <c r="BC36" s="132"/>
      <c r="BD36" s="14">
        <f t="shared" si="36"/>
        <v>3726.3580000000056</v>
      </c>
      <c r="BE36" s="30">
        <f t="shared" si="37"/>
        <v>-5093.250000000004</v>
      </c>
    </row>
    <row r="37" spans="1:57" ht="12.75">
      <c r="A37" s="11" t="s">
        <v>52</v>
      </c>
      <c r="B37" s="104">
        <v>2598.4</v>
      </c>
      <c r="C37" s="131">
        <f t="shared" si="21"/>
        <v>22476.160000000003</v>
      </c>
      <c r="D37" s="130">
        <f t="shared" si="22"/>
        <v>2230.7000000000035</v>
      </c>
      <c r="E37" s="138">
        <v>2336.86</v>
      </c>
      <c r="F37" s="107">
        <v>0</v>
      </c>
      <c r="G37" s="107">
        <v>3165.3</v>
      </c>
      <c r="H37" s="107">
        <v>0</v>
      </c>
      <c r="I37" s="107">
        <v>7605.34</v>
      </c>
      <c r="J37" s="107">
        <v>0</v>
      </c>
      <c r="K37" s="107">
        <v>5268.47</v>
      </c>
      <c r="L37" s="107">
        <v>0</v>
      </c>
      <c r="M37" s="107">
        <v>1869.49</v>
      </c>
      <c r="N37" s="107">
        <v>0</v>
      </c>
      <c r="O37" s="107">
        <v>0</v>
      </c>
      <c r="P37" s="114">
        <v>0</v>
      </c>
      <c r="Q37" s="114"/>
      <c r="R37" s="114"/>
      <c r="S37" s="91">
        <f t="shared" si="23"/>
        <v>20245.460000000003</v>
      </c>
      <c r="T37" s="108">
        <f t="shared" si="24"/>
        <v>0</v>
      </c>
      <c r="U37" s="139">
        <v>2233.6</v>
      </c>
      <c r="V37" s="139">
        <v>3026.08</v>
      </c>
      <c r="W37" s="139">
        <v>7269.96</v>
      </c>
      <c r="X37" s="139">
        <v>5036.32</v>
      </c>
      <c r="Y37" s="139">
        <v>1786.89</v>
      </c>
      <c r="Z37" s="140">
        <v>0</v>
      </c>
      <c r="AA37" s="140">
        <v>0</v>
      </c>
      <c r="AB37" s="109">
        <f t="shared" si="39"/>
        <v>19352.85</v>
      </c>
      <c r="AC37" s="113">
        <f t="shared" si="25"/>
        <v>21583.550000000003</v>
      </c>
      <c r="AD37" s="102">
        <f t="shared" si="26"/>
        <v>0</v>
      </c>
      <c r="AE37" s="102">
        <f t="shared" si="27"/>
        <v>0</v>
      </c>
      <c r="AF37" s="102"/>
      <c r="AG37" s="16">
        <f t="shared" si="28"/>
        <v>1559.04</v>
      </c>
      <c r="AH37" s="16">
        <f t="shared" si="29"/>
        <v>519.6800000000001</v>
      </c>
      <c r="AI37" s="16">
        <f t="shared" si="30"/>
        <v>2598.4</v>
      </c>
      <c r="AJ37" s="16">
        <v>0</v>
      </c>
      <c r="AK37" s="16">
        <f t="shared" si="31"/>
        <v>2546.4320000000002</v>
      </c>
      <c r="AL37" s="16">
        <v>0</v>
      </c>
      <c r="AM37" s="16">
        <f t="shared" si="32"/>
        <v>5846.400000000001</v>
      </c>
      <c r="AN37" s="16">
        <v>0</v>
      </c>
      <c r="AO37" s="16"/>
      <c r="AP37" s="16"/>
      <c r="AQ37" s="117"/>
      <c r="AR37" s="117"/>
      <c r="AS37" s="97">
        <v>5502</v>
      </c>
      <c r="AT37" s="97">
        <f>47.8+168</f>
        <v>215.8</v>
      </c>
      <c r="AU37" s="97">
        <f t="shared" si="33"/>
        <v>38.844</v>
      </c>
      <c r="AV37" s="118"/>
      <c r="AW37" s="134">
        <v>404</v>
      </c>
      <c r="AX37" s="16">
        <f t="shared" si="34"/>
        <v>565.5999999999999</v>
      </c>
      <c r="AY37" s="121"/>
      <c r="AZ37" s="122"/>
      <c r="BA37" s="122">
        <f t="shared" si="35"/>
        <v>0</v>
      </c>
      <c r="BB37" s="122">
        <f t="shared" si="38"/>
        <v>19392.196</v>
      </c>
      <c r="BC37" s="132"/>
      <c r="BD37" s="14">
        <f t="shared" si="36"/>
        <v>2191.354000000003</v>
      </c>
      <c r="BE37" s="30">
        <f t="shared" si="37"/>
        <v>-892.6100000000042</v>
      </c>
    </row>
    <row r="38" spans="1:57" ht="12.75">
      <c r="A38" s="11" t="s">
        <v>53</v>
      </c>
      <c r="B38" s="104">
        <v>2598.4</v>
      </c>
      <c r="C38" s="131">
        <f t="shared" si="21"/>
        <v>22476.160000000003</v>
      </c>
      <c r="D38" s="130">
        <f t="shared" si="22"/>
        <v>2228.100000000005</v>
      </c>
      <c r="E38" s="107">
        <v>2337.16</v>
      </c>
      <c r="F38" s="107">
        <v>0</v>
      </c>
      <c r="G38" s="107">
        <v>3165.69</v>
      </c>
      <c r="H38" s="107">
        <v>0</v>
      </c>
      <c r="I38" s="107">
        <v>7606.32</v>
      </c>
      <c r="J38" s="107">
        <v>0</v>
      </c>
      <c r="K38" s="107">
        <v>5269.14</v>
      </c>
      <c r="L38" s="107">
        <v>0</v>
      </c>
      <c r="M38" s="107">
        <v>1869.75</v>
      </c>
      <c r="N38" s="107">
        <v>0</v>
      </c>
      <c r="O38" s="107">
        <v>0</v>
      </c>
      <c r="P38" s="114">
        <v>0</v>
      </c>
      <c r="Q38" s="114"/>
      <c r="R38" s="114"/>
      <c r="S38" s="91">
        <f t="shared" si="23"/>
        <v>20248.06</v>
      </c>
      <c r="T38" s="108">
        <f t="shared" si="24"/>
        <v>0</v>
      </c>
      <c r="U38" s="91">
        <v>1946.56</v>
      </c>
      <c r="V38" s="91">
        <v>2636.1</v>
      </c>
      <c r="W38" s="91">
        <v>6334.58</v>
      </c>
      <c r="X38" s="91">
        <v>4388.02</v>
      </c>
      <c r="Y38" s="91">
        <v>1557.25</v>
      </c>
      <c r="Z38" s="109">
        <v>0</v>
      </c>
      <c r="AA38" s="109">
        <v>0</v>
      </c>
      <c r="AB38" s="109">
        <f t="shared" si="39"/>
        <v>16862.510000000002</v>
      </c>
      <c r="AC38" s="113">
        <f t="shared" si="25"/>
        <v>19090.610000000008</v>
      </c>
      <c r="AD38" s="102">
        <f t="shared" si="26"/>
        <v>0</v>
      </c>
      <c r="AE38" s="102">
        <f t="shared" si="27"/>
        <v>0</v>
      </c>
      <c r="AF38" s="102"/>
      <c r="AG38" s="16">
        <f t="shared" si="28"/>
        <v>1559.04</v>
      </c>
      <c r="AH38" s="16">
        <f t="shared" si="29"/>
        <v>519.6800000000001</v>
      </c>
      <c r="AI38" s="16">
        <f t="shared" si="30"/>
        <v>2598.4</v>
      </c>
      <c r="AJ38" s="16">
        <v>0</v>
      </c>
      <c r="AK38" s="16">
        <f t="shared" si="31"/>
        <v>2546.4320000000002</v>
      </c>
      <c r="AL38" s="16">
        <v>0</v>
      </c>
      <c r="AM38" s="16">
        <f t="shared" si="32"/>
        <v>5846.400000000001</v>
      </c>
      <c r="AN38" s="16">
        <v>0</v>
      </c>
      <c r="AO38" s="16"/>
      <c r="AP38" s="16"/>
      <c r="AQ38" s="117"/>
      <c r="AR38" s="117"/>
      <c r="AS38" s="97">
        <v>3752</v>
      </c>
      <c r="AT38" s="97"/>
      <c r="AU38" s="141">
        <f t="shared" si="33"/>
        <v>0</v>
      </c>
      <c r="AV38" s="118"/>
      <c r="AW38" s="134">
        <v>511</v>
      </c>
      <c r="AX38" s="16">
        <f t="shared" si="34"/>
        <v>715.4</v>
      </c>
      <c r="AY38" s="121"/>
      <c r="AZ38" s="122"/>
      <c r="BA38" s="122">
        <f t="shared" si="35"/>
        <v>0</v>
      </c>
      <c r="BB38" s="122">
        <f t="shared" si="38"/>
        <v>17537.352000000003</v>
      </c>
      <c r="BC38" s="132"/>
      <c r="BD38" s="14">
        <f t="shared" si="36"/>
        <v>1553.2580000000053</v>
      </c>
      <c r="BE38" s="30">
        <f t="shared" si="37"/>
        <v>-3385.5499999999993</v>
      </c>
    </row>
    <row r="39" spans="1:57" ht="12.75">
      <c r="A39" s="11" t="s">
        <v>41</v>
      </c>
      <c r="B39" s="104">
        <v>2598.4</v>
      </c>
      <c r="C39" s="131">
        <f t="shared" si="21"/>
        <v>22476.160000000003</v>
      </c>
      <c r="D39" s="130">
        <f t="shared" si="22"/>
        <v>2242.5700000000006</v>
      </c>
      <c r="E39" s="126">
        <v>2335.45</v>
      </c>
      <c r="F39" s="126">
        <v>0</v>
      </c>
      <c r="G39" s="126">
        <v>3163.47</v>
      </c>
      <c r="H39" s="126">
        <v>0</v>
      </c>
      <c r="I39" s="126">
        <v>7600.88</v>
      </c>
      <c r="J39" s="126">
        <v>0</v>
      </c>
      <c r="K39" s="126">
        <v>5265.4</v>
      </c>
      <c r="L39" s="126">
        <v>0</v>
      </c>
      <c r="M39" s="126">
        <v>1868.39</v>
      </c>
      <c r="N39" s="126">
        <v>0</v>
      </c>
      <c r="O39" s="126">
        <v>0</v>
      </c>
      <c r="P39" s="127">
        <v>0</v>
      </c>
      <c r="Q39" s="127"/>
      <c r="R39" s="127"/>
      <c r="S39" s="91">
        <f t="shared" si="23"/>
        <v>20233.589999999997</v>
      </c>
      <c r="T39" s="108">
        <f t="shared" si="24"/>
        <v>0</v>
      </c>
      <c r="U39" s="91">
        <v>2433.38</v>
      </c>
      <c r="V39" s="91">
        <v>3295.09</v>
      </c>
      <c r="W39" s="91">
        <v>7918.2</v>
      </c>
      <c r="X39" s="91">
        <v>5486.03</v>
      </c>
      <c r="Y39" s="91">
        <v>1945.79</v>
      </c>
      <c r="Z39" s="109">
        <v>0</v>
      </c>
      <c r="AA39" s="109">
        <v>0</v>
      </c>
      <c r="AB39" s="109">
        <f t="shared" si="39"/>
        <v>21078.49</v>
      </c>
      <c r="AC39" s="113">
        <f t="shared" si="25"/>
        <v>23321.06</v>
      </c>
      <c r="AD39" s="102">
        <f t="shared" si="26"/>
        <v>0</v>
      </c>
      <c r="AE39" s="102">
        <f t="shared" si="27"/>
        <v>0</v>
      </c>
      <c r="AF39" s="102">
        <v>150</v>
      </c>
      <c r="AG39" s="16">
        <f t="shared" si="28"/>
        <v>1559.04</v>
      </c>
      <c r="AH39" s="16">
        <f t="shared" si="29"/>
        <v>519.6800000000001</v>
      </c>
      <c r="AI39" s="16">
        <f t="shared" si="30"/>
        <v>2598.4</v>
      </c>
      <c r="AJ39" s="16">
        <v>0</v>
      </c>
      <c r="AK39" s="16">
        <f t="shared" si="31"/>
        <v>2546.4320000000002</v>
      </c>
      <c r="AL39" s="16">
        <v>0</v>
      </c>
      <c r="AM39" s="16">
        <f t="shared" si="32"/>
        <v>5846.400000000001</v>
      </c>
      <c r="AN39" s="16">
        <v>0</v>
      </c>
      <c r="AO39" s="16"/>
      <c r="AP39" s="16"/>
      <c r="AQ39" s="117"/>
      <c r="AR39" s="117"/>
      <c r="AS39" s="97"/>
      <c r="AT39" s="97">
        <v>84</v>
      </c>
      <c r="AU39" s="97">
        <f t="shared" si="33"/>
        <v>15.12</v>
      </c>
      <c r="AV39" s="118"/>
      <c r="AW39" s="134">
        <v>566</v>
      </c>
      <c r="AX39" s="16">
        <f t="shared" si="34"/>
        <v>792.4</v>
      </c>
      <c r="AY39" s="121"/>
      <c r="AZ39" s="122"/>
      <c r="BA39" s="122">
        <f t="shared" si="35"/>
        <v>0</v>
      </c>
      <c r="BB39" s="122">
        <f t="shared" si="38"/>
        <v>13961.472000000002</v>
      </c>
      <c r="BC39" s="132">
        <v>37.5</v>
      </c>
      <c r="BD39" s="14">
        <f t="shared" si="36"/>
        <v>9472.088</v>
      </c>
      <c r="BE39" s="30">
        <f t="shared" si="37"/>
        <v>844.9000000000051</v>
      </c>
    </row>
    <row r="40" spans="1:57" ht="12.75">
      <c r="A40" s="11" t="s">
        <v>42</v>
      </c>
      <c r="B40" s="104">
        <v>2598.4</v>
      </c>
      <c r="C40" s="131">
        <f t="shared" si="21"/>
        <v>22476.160000000003</v>
      </c>
      <c r="D40" s="130">
        <f t="shared" si="22"/>
        <v>2242.5800000000063</v>
      </c>
      <c r="E40" s="107">
        <v>2335.44</v>
      </c>
      <c r="F40" s="107">
        <v>0</v>
      </c>
      <c r="G40" s="107">
        <v>3163.48</v>
      </c>
      <c r="H40" s="107">
        <v>0</v>
      </c>
      <c r="I40" s="107">
        <v>7600.87</v>
      </c>
      <c r="J40" s="107">
        <v>0</v>
      </c>
      <c r="K40" s="107">
        <v>5265.4</v>
      </c>
      <c r="L40" s="107">
        <v>0</v>
      </c>
      <c r="M40" s="107">
        <v>1868.39</v>
      </c>
      <c r="N40" s="107">
        <v>0</v>
      </c>
      <c r="O40" s="107">
        <v>0</v>
      </c>
      <c r="P40" s="114">
        <v>0</v>
      </c>
      <c r="Q40" s="114"/>
      <c r="R40" s="114"/>
      <c r="S40" s="91">
        <f t="shared" si="23"/>
        <v>20233.58</v>
      </c>
      <c r="T40" s="108">
        <f t="shared" si="24"/>
        <v>0</v>
      </c>
      <c r="U40" s="93">
        <v>1977.36</v>
      </c>
      <c r="V40" s="91">
        <v>2678.88</v>
      </c>
      <c r="W40" s="91">
        <v>8517.86</v>
      </c>
      <c r="X40" s="91">
        <v>4458.52</v>
      </c>
      <c r="Y40" s="91">
        <v>1581.89</v>
      </c>
      <c r="Z40" s="109">
        <v>0</v>
      </c>
      <c r="AA40" s="109">
        <v>0</v>
      </c>
      <c r="AB40" s="109">
        <f t="shared" si="39"/>
        <v>19214.510000000002</v>
      </c>
      <c r="AC40" s="113">
        <f t="shared" si="25"/>
        <v>21457.090000000007</v>
      </c>
      <c r="AD40" s="102">
        <f t="shared" si="26"/>
        <v>0</v>
      </c>
      <c r="AE40" s="102">
        <f t="shared" si="27"/>
        <v>0</v>
      </c>
      <c r="AF40" s="102">
        <f>150</f>
        <v>150</v>
      </c>
      <c r="AG40" s="16">
        <f t="shared" si="28"/>
        <v>1559.04</v>
      </c>
      <c r="AH40" s="16">
        <f t="shared" si="29"/>
        <v>519.6800000000001</v>
      </c>
      <c r="AI40" s="16">
        <f t="shared" si="30"/>
        <v>2598.4</v>
      </c>
      <c r="AJ40" s="16">
        <v>0</v>
      </c>
      <c r="AK40" s="16">
        <f t="shared" si="31"/>
        <v>2546.4320000000002</v>
      </c>
      <c r="AL40" s="16">
        <v>0</v>
      </c>
      <c r="AM40" s="16">
        <f t="shared" si="32"/>
        <v>5846.400000000001</v>
      </c>
      <c r="AN40" s="16">
        <v>0</v>
      </c>
      <c r="AO40" s="16"/>
      <c r="AP40" s="16"/>
      <c r="AQ40" s="117"/>
      <c r="AR40" s="117"/>
      <c r="AS40" s="97">
        <v>4123</v>
      </c>
      <c r="AT40" s="97"/>
      <c r="AU40" s="97">
        <f t="shared" si="33"/>
        <v>0</v>
      </c>
      <c r="AV40" s="118"/>
      <c r="AW40" s="134">
        <v>636</v>
      </c>
      <c r="AX40" s="16">
        <f t="shared" si="34"/>
        <v>890.4</v>
      </c>
      <c r="AY40" s="121"/>
      <c r="AZ40" s="122"/>
      <c r="BA40" s="122">
        <f t="shared" si="35"/>
        <v>0</v>
      </c>
      <c r="BB40" s="122">
        <f>SUM(AG40:BA40)-AV40-AW40</f>
        <v>18083.352000000003</v>
      </c>
      <c r="BC40" s="132">
        <f>37.5</f>
        <v>37.5</v>
      </c>
      <c r="BD40" s="14">
        <f t="shared" si="36"/>
        <v>3486.238000000005</v>
      </c>
      <c r="BE40" s="30">
        <f t="shared" si="37"/>
        <v>-1019.0699999999997</v>
      </c>
    </row>
    <row r="41" spans="1:57" ht="12.75">
      <c r="A41" s="11" t="s">
        <v>43</v>
      </c>
      <c r="B41" s="104">
        <v>2598.4</v>
      </c>
      <c r="C41" s="131">
        <f t="shared" si="21"/>
        <v>22476.160000000003</v>
      </c>
      <c r="D41" s="130">
        <f t="shared" si="22"/>
        <v>2242.5800000000063</v>
      </c>
      <c r="E41" s="107">
        <v>2335.44</v>
      </c>
      <c r="F41" s="107">
        <v>0</v>
      </c>
      <c r="G41" s="107">
        <v>3163.48</v>
      </c>
      <c r="H41" s="107">
        <v>0</v>
      </c>
      <c r="I41" s="107">
        <v>7600.87</v>
      </c>
      <c r="J41" s="107">
        <v>0</v>
      </c>
      <c r="K41" s="107">
        <v>5265.4</v>
      </c>
      <c r="L41" s="107">
        <v>0</v>
      </c>
      <c r="M41" s="107">
        <v>1868.39</v>
      </c>
      <c r="N41" s="107">
        <v>0</v>
      </c>
      <c r="O41" s="107">
        <v>0</v>
      </c>
      <c r="P41" s="114">
        <v>0</v>
      </c>
      <c r="Q41" s="114"/>
      <c r="R41" s="114"/>
      <c r="S41" s="91">
        <f t="shared" si="23"/>
        <v>20233.58</v>
      </c>
      <c r="T41" s="108">
        <f t="shared" si="24"/>
        <v>0</v>
      </c>
      <c r="U41" s="91">
        <v>2590.02</v>
      </c>
      <c r="V41" s="91">
        <v>3508.8</v>
      </c>
      <c r="W41" s="91">
        <v>9070.84</v>
      </c>
      <c r="X41" s="91">
        <v>5839.92</v>
      </c>
      <c r="Y41" s="91">
        <v>2072.04</v>
      </c>
      <c r="Z41" s="109">
        <v>0</v>
      </c>
      <c r="AA41" s="109">
        <v>0</v>
      </c>
      <c r="AB41" s="109">
        <f t="shared" si="39"/>
        <v>23081.620000000003</v>
      </c>
      <c r="AC41" s="113">
        <f t="shared" si="25"/>
        <v>25324.200000000008</v>
      </c>
      <c r="AD41" s="102">
        <f t="shared" si="26"/>
        <v>0</v>
      </c>
      <c r="AE41" s="102">
        <f t="shared" si="27"/>
        <v>0</v>
      </c>
      <c r="AF41" s="102">
        <f>150</f>
        <v>150</v>
      </c>
      <c r="AG41" s="16">
        <f t="shared" si="28"/>
        <v>1559.04</v>
      </c>
      <c r="AH41" s="16">
        <f t="shared" si="29"/>
        <v>519.6800000000001</v>
      </c>
      <c r="AI41" s="16">
        <f t="shared" si="30"/>
        <v>2598.4</v>
      </c>
      <c r="AJ41" s="16">
        <v>0</v>
      </c>
      <c r="AK41" s="16">
        <f t="shared" si="31"/>
        <v>2546.4320000000002</v>
      </c>
      <c r="AL41" s="16">
        <v>0</v>
      </c>
      <c r="AM41" s="16">
        <f t="shared" si="32"/>
        <v>5846.400000000001</v>
      </c>
      <c r="AN41" s="16">
        <v>0</v>
      </c>
      <c r="AO41" s="16"/>
      <c r="AP41" s="16"/>
      <c r="AQ41" s="117"/>
      <c r="AR41" s="117"/>
      <c r="AS41" s="97">
        <v>3081</v>
      </c>
      <c r="AT41" s="97"/>
      <c r="AU41" s="97">
        <f>AT41*0.18</f>
        <v>0</v>
      </c>
      <c r="AV41" s="118"/>
      <c r="AW41" s="134">
        <v>967</v>
      </c>
      <c r="AX41" s="16">
        <f>AW41*1.4</f>
        <v>1353.8</v>
      </c>
      <c r="AY41" s="121"/>
      <c r="AZ41" s="122"/>
      <c r="BA41" s="122">
        <f t="shared" si="35"/>
        <v>0</v>
      </c>
      <c r="BB41" s="122">
        <f>SUM(AG41:BA41)-AV41-AW41</f>
        <v>17504.752</v>
      </c>
      <c r="BC41" s="132">
        <f>37.5</f>
        <v>37.5</v>
      </c>
      <c r="BD41" s="14">
        <f t="shared" si="36"/>
        <v>7931.948000000008</v>
      </c>
      <c r="BE41" s="30">
        <f t="shared" si="37"/>
        <v>2848.040000000001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269693.16000000003</v>
      </c>
      <c r="D42" s="60">
        <f t="shared" si="40"/>
        <v>26926.94000000003</v>
      </c>
      <c r="E42" s="57">
        <f t="shared" si="40"/>
        <v>25572.379999999997</v>
      </c>
      <c r="F42" s="57">
        <f t="shared" si="40"/>
        <v>2448.92</v>
      </c>
      <c r="G42" s="57">
        <f t="shared" si="40"/>
        <v>34636.35</v>
      </c>
      <c r="H42" s="57">
        <f t="shared" si="40"/>
        <v>3319.84</v>
      </c>
      <c r="I42" s="57">
        <f t="shared" si="40"/>
        <v>83223.49999999999</v>
      </c>
      <c r="J42" s="57">
        <f t="shared" si="40"/>
        <v>7972.960000000001</v>
      </c>
      <c r="K42" s="57">
        <f t="shared" si="40"/>
        <v>57650.950000000004</v>
      </c>
      <c r="L42" s="57">
        <f t="shared" si="40"/>
        <v>5524.16</v>
      </c>
      <c r="M42" s="57">
        <f t="shared" si="40"/>
        <v>20458.039999999997</v>
      </c>
      <c r="N42" s="57">
        <f t="shared" si="40"/>
        <v>1959.12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221541.22000000003</v>
      </c>
      <c r="T42" s="57">
        <f t="shared" si="40"/>
        <v>21225</v>
      </c>
      <c r="U42" s="61">
        <f t="shared" si="40"/>
        <v>23773.820000000003</v>
      </c>
      <c r="V42" s="61">
        <f t="shared" si="40"/>
        <v>32189.789999999997</v>
      </c>
      <c r="W42" s="61">
        <f t="shared" si="40"/>
        <v>80081.25</v>
      </c>
      <c r="X42" s="61">
        <f t="shared" si="40"/>
        <v>53661.100000000006</v>
      </c>
      <c r="Y42" s="61">
        <f t="shared" si="40"/>
        <v>19018.06</v>
      </c>
      <c r="Z42" s="61">
        <f t="shared" si="40"/>
        <v>0</v>
      </c>
      <c r="AA42" s="61">
        <f t="shared" si="40"/>
        <v>0</v>
      </c>
      <c r="AB42" s="61">
        <f t="shared" si="40"/>
        <v>208724.02</v>
      </c>
      <c r="AC42" s="61">
        <f t="shared" si="40"/>
        <v>256875.96000000002</v>
      </c>
      <c r="AD42" s="61">
        <f t="shared" si="40"/>
        <v>0</v>
      </c>
      <c r="AE42" s="100">
        <f t="shared" si="40"/>
        <v>0</v>
      </c>
      <c r="AF42" s="100">
        <f t="shared" si="40"/>
        <v>450</v>
      </c>
      <c r="AG42" s="18">
        <f t="shared" si="40"/>
        <v>18707.040000000005</v>
      </c>
      <c r="AH42" s="18">
        <f t="shared" si="40"/>
        <v>6235.680000000002</v>
      </c>
      <c r="AI42" s="18">
        <f t="shared" si="40"/>
        <v>31178.40000000001</v>
      </c>
      <c r="AJ42" s="18">
        <f t="shared" si="40"/>
        <v>0</v>
      </c>
      <c r="AK42" s="18">
        <f t="shared" si="40"/>
        <v>30554.832000000006</v>
      </c>
      <c r="AL42" s="18">
        <f t="shared" si="40"/>
        <v>0</v>
      </c>
      <c r="AM42" s="18">
        <f t="shared" si="40"/>
        <v>70151.40000000001</v>
      </c>
      <c r="AN42" s="18">
        <f t="shared" si="40"/>
        <v>0</v>
      </c>
      <c r="AO42" s="18">
        <f t="shared" si="40"/>
        <v>4127.22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23072</v>
      </c>
      <c r="AT42" s="18">
        <f t="shared" si="40"/>
        <v>1566.07</v>
      </c>
      <c r="AU42" s="18">
        <f t="shared" si="40"/>
        <v>281.8926</v>
      </c>
      <c r="AV42" s="18"/>
      <c r="AW42" s="18"/>
      <c r="AX42" s="18">
        <f aca="true" t="shared" si="41" ref="AX42:BE42">SUM(AX30:AX41)</f>
        <v>9105.599999999999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194980.13460000005</v>
      </c>
      <c r="BC42" s="18">
        <f t="shared" si="41"/>
        <v>112.5</v>
      </c>
      <c r="BD42" s="18">
        <f t="shared" si="41"/>
        <v>62233.32540000003</v>
      </c>
      <c r="BE42" s="19">
        <f t="shared" si="41"/>
        <v>-12817.199999999993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101"/>
      <c r="AD43" s="101"/>
      <c r="AE43" s="102"/>
      <c r="AF43" s="102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6"/>
      <c r="AT43" s="96"/>
      <c r="AU43" s="97"/>
      <c r="AV43" s="97"/>
      <c r="AW43" s="97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606760.305</v>
      </c>
      <c r="D44" s="23">
        <f t="shared" si="42"/>
        <v>72351.04202200004</v>
      </c>
      <c r="E44" s="50">
        <f t="shared" si="42"/>
        <v>54045.67999999999</v>
      </c>
      <c r="F44" s="50">
        <f t="shared" si="42"/>
        <v>7480.9000000000015</v>
      </c>
      <c r="G44" s="50">
        <f t="shared" si="42"/>
        <v>73142.07</v>
      </c>
      <c r="H44" s="50">
        <f t="shared" si="42"/>
        <v>10102.68</v>
      </c>
      <c r="I44" s="50">
        <f t="shared" si="42"/>
        <v>175827.05</v>
      </c>
      <c r="J44" s="50">
        <f t="shared" si="42"/>
        <v>24279.06</v>
      </c>
      <c r="K44" s="50">
        <f t="shared" si="42"/>
        <v>121772.73</v>
      </c>
      <c r="L44" s="50">
        <f t="shared" si="42"/>
        <v>16818.23</v>
      </c>
      <c r="M44" s="50">
        <f t="shared" si="42"/>
        <v>43236.10999999999</v>
      </c>
      <c r="N44" s="50">
        <f t="shared" si="42"/>
        <v>5969.04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468023.6400000001</v>
      </c>
      <c r="T44" s="50">
        <f t="shared" si="42"/>
        <v>64649.91</v>
      </c>
      <c r="U44" s="53">
        <f t="shared" si="42"/>
        <v>50535.61</v>
      </c>
      <c r="V44" s="53">
        <f t="shared" si="42"/>
        <v>68378.64</v>
      </c>
      <c r="W44" s="53">
        <f t="shared" si="42"/>
        <v>167116.2</v>
      </c>
      <c r="X44" s="53">
        <f t="shared" si="42"/>
        <v>113934.56000000001</v>
      </c>
      <c r="Y44" s="53">
        <f t="shared" si="42"/>
        <v>40426.950000000004</v>
      </c>
      <c r="Z44" s="53">
        <f t="shared" si="42"/>
        <v>0</v>
      </c>
      <c r="AA44" s="53">
        <f t="shared" si="42"/>
        <v>0</v>
      </c>
      <c r="AB44" s="53">
        <f t="shared" si="42"/>
        <v>440391.95999999996</v>
      </c>
      <c r="AC44" s="53">
        <f t="shared" si="42"/>
        <v>577392.912022</v>
      </c>
      <c r="AD44" s="53">
        <f t="shared" si="42"/>
        <v>0</v>
      </c>
      <c r="AE44" s="53">
        <f t="shared" si="42"/>
        <v>0</v>
      </c>
      <c r="AF44" s="53">
        <f t="shared" si="42"/>
        <v>450</v>
      </c>
      <c r="AG44" s="23">
        <f t="shared" si="42"/>
        <v>41463.966</v>
      </c>
      <c r="AH44" s="23">
        <f t="shared" si="42"/>
        <v>13893.813321600004</v>
      </c>
      <c r="AI44" s="23">
        <f t="shared" si="42"/>
        <v>63085.798614900006</v>
      </c>
      <c r="AJ44" s="23">
        <f t="shared" si="42"/>
        <v>5743.3317506819985</v>
      </c>
      <c r="AK44" s="23">
        <f t="shared" si="42"/>
        <v>62842.56465814001</v>
      </c>
      <c r="AL44" s="23">
        <f t="shared" si="42"/>
        <v>5811.791878465199</v>
      </c>
      <c r="AM44" s="23">
        <f t="shared" si="42"/>
        <v>140856.86542276986</v>
      </c>
      <c r="AN44" s="23">
        <f t="shared" si="42"/>
        <v>12726.983776098568</v>
      </c>
      <c r="AO44" s="23">
        <f t="shared" si="42"/>
        <v>4127.22</v>
      </c>
      <c r="AP44" s="23">
        <f t="shared" si="42"/>
        <v>0</v>
      </c>
      <c r="AQ44" s="23">
        <f t="shared" si="42"/>
        <v>18858.483</v>
      </c>
      <c r="AR44" s="23">
        <f t="shared" si="42"/>
        <v>3394.5269399999997</v>
      </c>
      <c r="AS44" s="23">
        <f t="shared" si="42"/>
        <v>171779.74</v>
      </c>
      <c r="AT44" s="23">
        <f t="shared" si="42"/>
        <v>3091.0699999999997</v>
      </c>
      <c r="AU44" s="23">
        <f t="shared" si="42"/>
        <v>27323.795799999996</v>
      </c>
      <c r="AV44" s="23"/>
      <c r="AW44" s="23"/>
      <c r="AX44" s="23">
        <f aca="true" t="shared" si="43" ref="AX44:BE44">AX28+AX42</f>
        <v>17261.1936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592261.1447626557</v>
      </c>
      <c r="BC44" s="23">
        <f t="shared" si="43"/>
        <v>112.5</v>
      </c>
      <c r="BD44" s="23">
        <f t="shared" si="43"/>
        <v>-14530.732740655556</v>
      </c>
      <c r="BE44" s="24">
        <f t="shared" si="43"/>
        <v>-27631.68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B5:AB6"/>
    <mergeCell ref="AV5:AX5"/>
    <mergeCell ref="AD3:AD6"/>
    <mergeCell ref="BA5:BA6"/>
    <mergeCell ref="AQ5:AQ6"/>
    <mergeCell ref="AR5:AR6"/>
    <mergeCell ref="AT5:AT6"/>
    <mergeCell ref="AZ5:AZ6"/>
    <mergeCell ref="BB5:BB6"/>
    <mergeCell ref="AU5:AU6"/>
    <mergeCell ref="AG5:AG6"/>
    <mergeCell ref="AF3:AF6"/>
    <mergeCell ref="AG3:BB4"/>
    <mergeCell ref="AN5:AN6"/>
    <mergeCell ref="AO5:AO6"/>
    <mergeCell ref="AY5:AY6"/>
    <mergeCell ref="M4:N4"/>
    <mergeCell ref="O4:P4"/>
    <mergeCell ref="Q4:R4"/>
    <mergeCell ref="R5:R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Q5:Q6"/>
    <mergeCell ref="I5:I6"/>
    <mergeCell ref="J5:J6"/>
    <mergeCell ref="K5:K6"/>
    <mergeCell ref="BD3:BD6"/>
    <mergeCell ref="S3:T4"/>
    <mergeCell ref="U3:AB4"/>
    <mergeCell ref="AC3:AC6"/>
    <mergeCell ref="AE3:AE6"/>
    <mergeCell ref="T5:T6"/>
    <mergeCell ref="U5:U6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C54" sqref="C54:D5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875" style="2" customWidth="1"/>
    <col min="10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0.375" style="2" customWidth="1"/>
    <col min="16" max="16" width="9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198" t="s">
        <v>55</v>
      </c>
      <c r="C1" s="198"/>
      <c r="D1" s="198"/>
      <c r="E1" s="198"/>
      <c r="F1" s="198"/>
      <c r="G1" s="198"/>
      <c r="H1" s="198"/>
    </row>
    <row r="2" spans="2:8" ht="21" customHeight="1">
      <c r="B2" s="198" t="s">
        <v>56</v>
      </c>
      <c r="C2" s="198"/>
      <c r="D2" s="198"/>
      <c r="E2" s="198"/>
      <c r="F2" s="198"/>
      <c r="G2" s="198"/>
      <c r="H2" s="198"/>
    </row>
    <row r="5" spans="1:17" ht="12.75">
      <c r="A5" s="200" t="s">
        <v>90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ht="12.75">
      <c r="A6" s="201" t="s">
        <v>93</v>
      </c>
      <c r="B6" s="201"/>
      <c r="C6" s="201"/>
      <c r="D6" s="201"/>
      <c r="E6" s="201"/>
      <c r="F6" s="201"/>
      <c r="G6" s="201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199" t="s">
        <v>57</v>
      </c>
      <c r="B8" s="199"/>
      <c r="C8" s="199"/>
      <c r="D8" s="199"/>
      <c r="E8" s="199">
        <v>8.65</v>
      </c>
      <c r="F8" s="199"/>
    </row>
    <row r="9" spans="1:18" ht="12.75" customHeight="1">
      <c r="A9" s="143" t="s">
        <v>58</v>
      </c>
      <c r="B9" s="232" t="s">
        <v>1</v>
      </c>
      <c r="C9" s="192" t="s">
        <v>59</v>
      </c>
      <c r="D9" s="195" t="s">
        <v>3</v>
      </c>
      <c r="E9" s="213" t="s">
        <v>60</v>
      </c>
      <c r="F9" s="214"/>
      <c r="G9" s="217" t="s">
        <v>61</v>
      </c>
      <c r="H9" s="218"/>
      <c r="I9" s="224" t="str">
        <f>Лист1!AF3</f>
        <v>Доходы по нежил.помещениям</v>
      </c>
      <c r="J9" s="227" t="s">
        <v>10</v>
      </c>
      <c r="K9" s="182"/>
      <c r="L9" s="182"/>
      <c r="M9" s="182"/>
      <c r="N9" s="182"/>
      <c r="O9" s="228"/>
      <c r="P9" s="158" t="s">
        <v>76</v>
      </c>
      <c r="Q9" s="202" t="s">
        <v>62</v>
      </c>
      <c r="R9" s="202" t="s">
        <v>12</v>
      </c>
    </row>
    <row r="10" spans="1:18" ht="12.75">
      <c r="A10" s="144"/>
      <c r="B10" s="233"/>
      <c r="C10" s="193"/>
      <c r="D10" s="196"/>
      <c r="E10" s="215"/>
      <c r="F10" s="216"/>
      <c r="G10" s="219"/>
      <c r="H10" s="220"/>
      <c r="I10" s="225"/>
      <c r="J10" s="229"/>
      <c r="K10" s="154"/>
      <c r="L10" s="154"/>
      <c r="M10" s="154"/>
      <c r="N10" s="154"/>
      <c r="O10" s="230"/>
      <c r="P10" s="159"/>
      <c r="Q10" s="203"/>
      <c r="R10" s="203"/>
    </row>
    <row r="11" spans="1:18" ht="26.25" customHeight="1">
      <c r="A11" s="144"/>
      <c r="B11" s="233"/>
      <c r="C11" s="193"/>
      <c r="D11" s="196"/>
      <c r="E11" s="205" t="s">
        <v>63</v>
      </c>
      <c r="F11" s="206"/>
      <c r="G11" s="89" t="s">
        <v>64</v>
      </c>
      <c r="H11" s="207" t="s">
        <v>7</v>
      </c>
      <c r="I11" s="225"/>
      <c r="J11" s="209" t="s">
        <v>65</v>
      </c>
      <c r="K11" s="211" t="s">
        <v>32</v>
      </c>
      <c r="L11" s="211" t="s">
        <v>66</v>
      </c>
      <c r="M11" s="211" t="s">
        <v>37</v>
      </c>
      <c r="N11" s="211" t="s">
        <v>67</v>
      </c>
      <c r="O11" s="207" t="s">
        <v>39</v>
      </c>
      <c r="P11" s="159"/>
      <c r="Q11" s="203"/>
      <c r="R11" s="203"/>
    </row>
    <row r="12" spans="1:18" ht="66.75" customHeight="1" thickBot="1">
      <c r="A12" s="231"/>
      <c r="B12" s="234"/>
      <c r="C12" s="194"/>
      <c r="D12" s="197"/>
      <c r="E12" s="63" t="s">
        <v>68</v>
      </c>
      <c r="F12" s="67" t="s">
        <v>21</v>
      </c>
      <c r="G12" s="82" t="s">
        <v>69</v>
      </c>
      <c r="H12" s="208"/>
      <c r="I12" s="226"/>
      <c r="J12" s="210"/>
      <c r="K12" s="212"/>
      <c r="L12" s="212"/>
      <c r="M12" s="212"/>
      <c r="N12" s="212"/>
      <c r="O12" s="208"/>
      <c r="P12" s="160"/>
      <c r="Q12" s="204"/>
      <c r="R12" s="204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2598</v>
      </c>
      <c r="C15" s="27">
        <f>B15*8.65</f>
        <v>22472.7</v>
      </c>
      <c r="D15" s="28">
        <f>Лист1!D9</f>
        <v>5413.223976</v>
      </c>
      <c r="E15" s="14">
        <f>Лист1!S9</f>
        <v>16118.34</v>
      </c>
      <c r="F15" s="30">
        <f>Лист1!T9</f>
        <v>2708.5</v>
      </c>
      <c r="G15" s="29">
        <f>Лист1!AB9</f>
        <v>350.82</v>
      </c>
      <c r="H15" s="30">
        <f>Лист1!AC9</f>
        <v>8472.543976</v>
      </c>
      <c r="I15" s="87">
        <f>Лист1!AD9</f>
        <v>0</v>
      </c>
      <c r="J15" s="29">
        <f>Лист1!AG9</f>
        <v>1558.8</v>
      </c>
      <c r="K15" s="14">
        <f>Лист1!AI9+Лист1!AJ9</f>
        <v>2611.312152</v>
      </c>
      <c r="L15" s="14">
        <f>Лист1!AH9+Лист1!AK9+Лист1!AL9+Лист1!AM9+Лист1!AN9+Лист1!AO9+Лист1!AP9</f>
        <v>9169.3632738</v>
      </c>
      <c r="M15" s="31">
        <f>Лист1!AS9+Лист1!AU9</f>
        <v>74746.15599999999</v>
      </c>
      <c r="N15" s="31">
        <f>Лист1!AX9</f>
        <v>0</v>
      </c>
      <c r="O15" s="30">
        <f>Лист1!BB9</f>
        <v>88085.6314258</v>
      </c>
      <c r="P15" s="90">
        <f>Лист1!BC9</f>
        <v>0</v>
      </c>
      <c r="Q15" s="75">
        <f>Лист1!BD9</f>
        <v>-79613.0874498</v>
      </c>
      <c r="R15" s="75">
        <f>Лист1!BE9</f>
        <v>-15767.52</v>
      </c>
    </row>
    <row r="16" spans="1:18" ht="12.75">
      <c r="A16" s="11" t="s">
        <v>42</v>
      </c>
      <c r="B16" s="84">
        <f>Лист1!B10</f>
        <v>2598</v>
      </c>
      <c r="C16" s="27">
        <f aca="true" t="shared" si="0" ref="C16:C31">B16*8.65</f>
        <v>22472.7</v>
      </c>
      <c r="D16" s="28">
        <f>Лист1!D10</f>
        <v>5413.223976</v>
      </c>
      <c r="E16" s="14">
        <f>Лист1!S10</f>
        <v>15392.560000000001</v>
      </c>
      <c r="F16" s="30">
        <f>Лист1!T10</f>
        <v>2606.24</v>
      </c>
      <c r="G16" s="29">
        <f>Лист1!AB10</f>
        <v>11801.15</v>
      </c>
      <c r="H16" s="30">
        <f>Лист1!AC10</f>
        <v>19820.613976</v>
      </c>
      <c r="I16" s="87">
        <f>Лист1!AD10</f>
        <v>0</v>
      </c>
      <c r="J16" s="29">
        <f>Лист1!AG10</f>
        <v>1558.8</v>
      </c>
      <c r="K16" s="14">
        <f>Лист1!AI10+Лист1!AJ10</f>
        <v>2611.312152</v>
      </c>
      <c r="L16" s="14">
        <f>Лист1!AH10+Лист1!AK10+Лист1!AL10+Лист1!AM10+Лист1!AN10+Лист1!AO10+Лист1!AP10</f>
        <v>9141.6893778</v>
      </c>
      <c r="M16" s="31">
        <f>Лист1!AS10+Лист1!AU10</f>
        <v>2926.4</v>
      </c>
      <c r="N16" s="31">
        <f>Лист1!AX10</f>
        <v>0</v>
      </c>
      <c r="O16" s="30">
        <f>Лист1!BB10</f>
        <v>16238.201529799997</v>
      </c>
      <c r="P16" s="90">
        <f>Лист1!BC10</f>
        <v>0</v>
      </c>
      <c r="Q16" s="75">
        <f>Лист1!BD10</f>
        <v>3582.4124462000036</v>
      </c>
      <c r="R16" s="75">
        <f>Лист1!BE10</f>
        <v>-3591.4100000000017</v>
      </c>
    </row>
    <row r="17" spans="1:20" ht="13.5" thickBot="1">
      <c r="A17" s="32" t="s">
        <v>43</v>
      </c>
      <c r="B17" s="84">
        <f>Лист1!B11</f>
        <v>2598</v>
      </c>
      <c r="C17" s="33">
        <f t="shared" si="0"/>
        <v>22472.7</v>
      </c>
      <c r="D17" s="28">
        <f>Лист1!D11</f>
        <v>5401.313445000001</v>
      </c>
      <c r="E17" s="14">
        <f>Лист1!S11</f>
        <v>15688.380000000001</v>
      </c>
      <c r="F17" s="30">
        <f>Лист1!T11</f>
        <v>2657.37</v>
      </c>
      <c r="G17" s="29">
        <f>Лист1!AB11</f>
        <v>19984.59</v>
      </c>
      <c r="H17" s="30">
        <f>Лист1!AC11</f>
        <v>28043.273445</v>
      </c>
      <c r="I17" s="87">
        <f>Лист1!AD11</f>
        <v>0</v>
      </c>
      <c r="J17" s="29">
        <f>Лист1!AG11</f>
        <v>1558.8</v>
      </c>
      <c r="K17" s="14">
        <f>Лист1!AI11+Лист1!AJ11</f>
        <v>2603.7093648</v>
      </c>
      <c r="L17" s="14">
        <f>Лист1!AH11+Лист1!AK11+Лист1!AL11+Лист1!AM11+Лист1!AN11+Лист1!AO11+Лист1!AP11</f>
        <v>9127.155204539999</v>
      </c>
      <c r="M17" s="31">
        <f>Лист1!AS11+Лист1!AU11</f>
        <v>12019.48</v>
      </c>
      <c r="N17" s="31">
        <f>Лист1!AX11</f>
        <v>0</v>
      </c>
      <c r="O17" s="30">
        <f>Лист1!BB11</f>
        <v>25309.14456934</v>
      </c>
      <c r="P17" s="90">
        <f>Лист1!BC11</f>
        <v>0</v>
      </c>
      <c r="Q17" s="75">
        <f>Лист1!BD11</f>
        <v>2734.1288756600006</v>
      </c>
      <c r="R17" s="75">
        <f>Лист1!BE11</f>
        <v>4296.209999999999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67418.1</v>
      </c>
      <c r="D18" s="68">
        <f aca="true" t="shared" si="1" ref="D18:J18">SUM(D15:D17)</f>
        <v>16227.761397000002</v>
      </c>
      <c r="E18" s="36">
        <f t="shared" si="1"/>
        <v>47199.28</v>
      </c>
      <c r="F18" s="69">
        <f t="shared" si="1"/>
        <v>7972.11</v>
      </c>
      <c r="G18" s="68">
        <f t="shared" si="1"/>
        <v>32136.559999999998</v>
      </c>
      <c r="H18" s="69">
        <f t="shared" si="1"/>
        <v>56336.431397</v>
      </c>
      <c r="I18" s="69">
        <f t="shared" si="1"/>
        <v>0</v>
      </c>
      <c r="J18" s="68">
        <f t="shared" si="1"/>
        <v>4676.4</v>
      </c>
      <c r="K18" s="36">
        <f aca="true" t="shared" si="2" ref="K18:R18">SUM(K15:K17)</f>
        <v>7826.3336688</v>
      </c>
      <c r="L18" s="36">
        <f t="shared" si="2"/>
        <v>27438.207856139998</v>
      </c>
      <c r="M18" s="36">
        <f t="shared" si="2"/>
        <v>89692.03599999998</v>
      </c>
      <c r="N18" s="36">
        <f t="shared" si="2"/>
        <v>0</v>
      </c>
      <c r="O18" s="69">
        <f t="shared" si="2"/>
        <v>129632.97752494</v>
      </c>
      <c r="P18" s="69">
        <f t="shared" si="2"/>
        <v>0</v>
      </c>
      <c r="Q18" s="76">
        <f t="shared" si="2"/>
        <v>-73296.54612794</v>
      </c>
      <c r="R18" s="76">
        <f t="shared" si="2"/>
        <v>-15062.720000000001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2598</v>
      </c>
      <c r="C20" s="27">
        <f t="shared" si="0"/>
        <v>22472.7</v>
      </c>
      <c r="D20" s="28">
        <f>Лист1!D14</f>
        <v>2809.0875</v>
      </c>
      <c r="E20" s="14">
        <f>Лист1!S14</f>
        <v>15802.53</v>
      </c>
      <c r="F20" s="30">
        <f>Лист1!T14</f>
        <v>2657.37</v>
      </c>
      <c r="G20" s="29">
        <f>Лист1!AB14</f>
        <v>10524.779999999999</v>
      </c>
      <c r="H20" s="30">
        <f>Лист1!AC14</f>
        <v>15991.2375</v>
      </c>
      <c r="I20" s="87">
        <f>Лист1!AF14</f>
        <v>0</v>
      </c>
      <c r="J20" s="29">
        <f>Лист1!AG14</f>
        <v>1402.92</v>
      </c>
      <c r="K20" s="14">
        <f>Лист1!AI14+Лист1!AJ14</f>
        <v>2259.1997979999996</v>
      </c>
      <c r="L20" s="14">
        <f>Лист1!AH14+Лист1!AK14+Лист1!AL14+Лист1!AM14+Лист1!AN14+Лист1!AO14+Лист1!AP14+Лист1!AQ14+Лист1!AR14</f>
        <v>7759.076436959999</v>
      </c>
      <c r="M20" s="31">
        <f>Лист1!AS14+Лист1!AT14+Лист1!AU14+Лист1!AZ14+Лист1!BA14</f>
        <v>482.63</v>
      </c>
      <c r="N20" s="31">
        <f>Лист1!AX14</f>
        <v>1009.7024</v>
      </c>
      <c r="O20" s="30">
        <f>Лист1!BB14</f>
        <v>11903.826234959997</v>
      </c>
      <c r="P20" s="90">
        <f>Лист1!BC14</f>
        <v>0</v>
      </c>
      <c r="Q20" s="75">
        <f>Лист1!BD14</f>
        <v>4087.411265040002</v>
      </c>
      <c r="R20" s="75">
        <f>Лист1!BE14</f>
        <v>-5277.750000000002</v>
      </c>
      <c r="S20" s="1"/>
      <c r="T20" s="1"/>
    </row>
    <row r="21" spans="1:20" ht="12.75">
      <c r="A21" s="11" t="s">
        <v>46</v>
      </c>
      <c r="B21" s="84">
        <f>Лист1!B15</f>
        <v>2597</v>
      </c>
      <c r="C21" s="27">
        <f t="shared" si="0"/>
        <v>22464.05</v>
      </c>
      <c r="D21" s="28">
        <f>Лист1!D15</f>
        <v>2808.00625</v>
      </c>
      <c r="E21" s="14">
        <f>Лист1!S15</f>
        <v>15617.52</v>
      </c>
      <c r="F21" s="30">
        <f>Лист1!T15</f>
        <v>2657.0199999999995</v>
      </c>
      <c r="G21" s="29">
        <f>Лист1!AB15</f>
        <v>17091.33</v>
      </c>
      <c r="H21" s="30">
        <f>Лист1!AC15</f>
        <v>22556.35625</v>
      </c>
      <c r="I21" s="87">
        <f>Лист1!AF15</f>
        <v>0</v>
      </c>
      <c r="J21" s="29">
        <f>Лист1!AG15</f>
        <v>1402.38</v>
      </c>
      <c r="K21" s="14">
        <f>Лист1!AI15+Лист1!AJ15</f>
        <v>2255.749006</v>
      </c>
      <c r="L21" s="14">
        <f>Лист1!AH15+Лист1!AK15+Лист1!AL15+Лист1!AM15+Лист1!AN15+Лист1!AO15+Лист1!AP15+Лист1!AQ15+Лист1!AR15</f>
        <v>7767.031975359999</v>
      </c>
      <c r="M21" s="31">
        <f>Лист1!AS15+Лист1!AT15+Лист1!AU15+Лист1!AZ15+Лист1!BA15</f>
        <v>3568.3199999999997</v>
      </c>
      <c r="N21" s="31">
        <f>Лист1!AX15</f>
        <v>766.528</v>
      </c>
      <c r="O21" s="30">
        <f>Лист1!BB15</f>
        <v>14993.48098136</v>
      </c>
      <c r="P21" s="90">
        <f>Лист1!BC15</f>
        <v>0</v>
      </c>
      <c r="Q21" s="75">
        <f>Лист1!BD15</f>
        <v>7562.87526864</v>
      </c>
      <c r="R21" s="75">
        <f>Лист1!BE15</f>
        <v>1473.8100000000013</v>
      </c>
      <c r="S21" s="1"/>
      <c r="T21" s="1"/>
    </row>
    <row r="22" spans="1:20" ht="12.75">
      <c r="A22" s="11" t="s">
        <v>47</v>
      </c>
      <c r="B22" s="84">
        <f>Лист1!B16</f>
        <v>2598</v>
      </c>
      <c r="C22" s="27">
        <f t="shared" si="0"/>
        <v>22472.7</v>
      </c>
      <c r="D22" s="28">
        <f>Лист1!D16</f>
        <v>2809.0875</v>
      </c>
      <c r="E22" s="14">
        <f>Лист1!S16</f>
        <v>15108.630000000001</v>
      </c>
      <c r="F22" s="30">
        <f>Лист1!T16</f>
        <v>2657.0199999999995</v>
      </c>
      <c r="G22" s="29">
        <f>Лист1!AB16</f>
        <v>12013.43</v>
      </c>
      <c r="H22" s="30">
        <f>Лист1!AC16</f>
        <v>17479.5375</v>
      </c>
      <c r="I22" s="87">
        <f>Лист1!AF16</f>
        <v>0</v>
      </c>
      <c r="J22" s="29">
        <f>Лист1!AG16</f>
        <v>1402.92</v>
      </c>
      <c r="K22" s="14">
        <f>Лист1!AI16+Лист1!AJ16</f>
        <v>2260.538095</v>
      </c>
      <c r="L22" s="14">
        <f>Лист1!AH16+Лист1!AK16+Лист1!AL16+Лист1!AM16+Лист1!AN16+Лист1!AO16+Лист1!AP16+Лист1!AQ16+Лист1!AR16</f>
        <v>16825.623974039998</v>
      </c>
      <c r="M22" s="31">
        <f>Лист1!AS16+Лист1!AT16+Лист1!AU16+Лист1!AZ16+Лист1!BA16</f>
        <v>325.68</v>
      </c>
      <c r="N22" s="31">
        <f>Лист1!AX16</f>
        <v>667.408</v>
      </c>
      <c r="O22" s="30">
        <f>Лист1!BB16</f>
        <v>20814.76206904</v>
      </c>
      <c r="P22" s="90">
        <f>Лист1!BC16</f>
        <v>0</v>
      </c>
      <c r="Q22" s="75">
        <f>Лист1!BD16</f>
        <v>-3335.2245690400014</v>
      </c>
      <c r="R22" s="75">
        <f>Лист1!BE16</f>
        <v>-3095.2000000000007</v>
      </c>
      <c r="S22" s="1"/>
      <c r="T22" s="1"/>
    </row>
    <row r="23" spans="1:20" ht="12.75">
      <c r="A23" s="11" t="s">
        <v>48</v>
      </c>
      <c r="B23" s="84">
        <f>Лист1!B17</f>
        <v>2597.9</v>
      </c>
      <c r="C23" s="27">
        <f t="shared" si="0"/>
        <v>22471.835000000003</v>
      </c>
      <c r="D23" s="28">
        <f>Лист1!D17</f>
        <v>2808.9793750000003</v>
      </c>
      <c r="E23" s="14">
        <f>Лист1!S17</f>
        <v>15772.25</v>
      </c>
      <c r="F23" s="30">
        <f>Лист1!T17</f>
        <v>2657.0199999999995</v>
      </c>
      <c r="G23" s="29">
        <f>Лист1!AB17</f>
        <v>17030.940000000002</v>
      </c>
      <c r="H23" s="30">
        <f>Лист1!AC17</f>
        <v>22496.939375</v>
      </c>
      <c r="I23" s="87">
        <f>Лист1!AF17</f>
        <v>0</v>
      </c>
      <c r="J23" s="29">
        <f>Лист1!AG17</f>
        <v>1402.866</v>
      </c>
      <c r="K23" s="14">
        <f>Лист1!AI17+Лист1!AJ17</f>
        <v>2327.92675158</v>
      </c>
      <c r="L23" s="14">
        <f>Лист1!AH17+Лист1!AK17+Лист1!AL17+Лист1!AM17+Лист1!AN17+Лист1!AO17+Лист1!AP17+Лист1!AQ17+Лист1!AR17</f>
        <v>9492.689143943999</v>
      </c>
      <c r="M23" s="31">
        <f>Лист1!AS17+Лист1!AT17+Лист1!AU17+Лист1!AZ17+Лист1!BA17</f>
        <v>14142.276399999999</v>
      </c>
      <c r="N23" s="31">
        <f>Лист1!AX17</f>
        <v>593.3984</v>
      </c>
      <c r="O23" s="30">
        <f>Лист1!BB17</f>
        <v>30402.795095523994</v>
      </c>
      <c r="P23" s="90">
        <f>Лист1!BC17</f>
        <v>0</v>
      </c>
      <c r="Q23" s="75">
        <f>Лист1!BD17</f>
        <v>-7905.855720523992</v>
      </c>
      <c r="R23" s="75">
        <f>Лист1!BE17</f>
        <v>1258.6900000000023</v>
      </c>
      <c r="S23" s="1"/>
      <c r="T23" s="1"/>
    </row>
    <row r="24" spans="1:20" ht="12.75">
      <c r="A24" s="11" t="s">
        <v>49</v>
      </c>
      <c r="B24" s="84">
        <f>Лист1!B18</f>
        <v>2597.8</v>
      </c>
      <c r="C24" s="27">
        <f t="shared" si="0"/>
        <v>22470.97</v>
      </c>
      <c r="D24" s="28">
        <f>Лист1!D18</f>
        <v>2492.510000000002</v>
      </c>
      <c r="E24" s="14">
        <f>Лист1!S18</f>
        <v>16974.440000000002</v>
      </c>
      <c r="F24" s="30">
        <f>Лист1!T18</f>
        <v>3004.02</v>
      </c>
      <c r="G24" s="29">
        <f>Лист1!AB18</f>
        <v>14288.489999999998</v>
      </c>
      <c r="H24" s="30">
        <f>Лист1!AC18</f>
        <v>19785.02</v>
      </c>
      <c r="I24" s="87">
        <f>Лист1!AF18</f>
        <v>0</v>
      </c>
      <c r="J24" s="29">
        <f>Лист1!AG18</f>
        <v>1558.68</v>
      </c>
      <c r="K24" s="14">
        <f>Лист1!AI18+Лист1!AJ18</f>
        <v>2605.5934</v>
      </c>
      <c r="L24" s="14">
        <f>Лист1!AH18+Лист1!AK18+Лист1!AL18+Лист1!AM18+Лист1!AN18+Лист1!AO18+Лист1!AP18+Лист1!AQ18+Лист1!AR18</f>
        <v>8923.96256</v>
      </c>
      <c r="M24" s="31">
        <f>Лист1!AS18+Лист1!AT18+Лист1!AU18+Лист1!AZ18+Лист1!BA18</f>
        <v>472</v>
      </c>
      <c r="N24" s="31">
        <f>Лист1!AX18</f>
        <v>418.9472</v>
      </c>
      <c r="O24" s="30">
        <f>Лист1!BB18</f>
        <v>13979.18316</v>
      </c>
      <c r="P24" s="90">
        <f>Лист1!BC18</f>
        <v>0</v>
      </c>
      <c r="Q24" s="75">
        <f>Лист1!BD18</f>
        <v>5805.83684</v>
      </c>
      <c r="R24" s="75">
        <f>Лист1!BE18</f>
        <v>-2685.9500000000044</v>
      </c>
      <c r="S24" s="1"/>
      <c r="T24" s="1"/>
    </row>
    <row r="25" spans="1:20" ht="12.75">
      <c r="A25" s="11" t="s">
        <v>50</v>
      </c>
      <c r="B25" s="84">
        <f>Лист1!B19</f>
        <v>2597.8</v>
      </c>
      <c r="C25" s="27">
        <f t="shared" si="0"/>
        <v>22470.97</v>
      </c>
      <c r="D25" s="28">
        <f>Лист1!D19</f>
        <v>2190.840000000004</v>
      </c>
      <c r="E25" s="14">
        <f>Лист1!S19</f>
        <v>17375.18</v>
      </c>
      <c r="F25" s="30">
        <f>Лист1!T19</f>
        <v>2904.95</v>
      </c>
      <c r="G25" s="29">
        <f>Лист1!AB19</f>
        <v>17115.01</v>
      </c>
      <c r="H25" s="30">
        <f>Лист1!AC19</f>
        <v>22210.800000000003</v>
      </c>
      <c r="I25" s="87">
        <f>Лист1!AF19</f>
        <v>0</v>
      </c>
      <c r="J25" s="29">
        <f>Лист1!AG19</f>
        <v>1558.68</v>
      </c>
      <c r="K25" s="14">
        <f>Лист1!AI19+Лист1!AJ19</f>
        <v>2605.6052000000004</v>
      </c>
      <c r="L25" s="14">
        <f>Лист1!AH19+Лист1!AK19+Лист1!AL19+Лист1!AM19+Лист1!AN19+Лист1!AO19+Лист1!AP19+Лист1!AQ19+Лист1!AR19</f>
        <v>8924.198162</v>
      </c>
      <c r="M25" s="31">
        <f>Лист1!AS19+Лист1!AT19+Лист1!AU19+Лист1!AZ19+Лист1!BA19</f>
        <v>3952.8584</v>
      </c>
      <c r="N25" s="31">
        <f>Лист1!AX19</f>
        <v>533.9264</v>
      </c>
      <c r="O25" s="30">
        <f>Лист1!BB19</f>
        <v>17575.268162</v>
      </c>
      <c r="P25" s="90">
        <f>Лист1!BC19</f>
        <v>0</v>
      </c>
      <c r="Q25" s="75">
        <f>Лист1!BD19</f>
        <v>4635.531838000003</v>
      </c>
      <c r="R25" s="75">
        <f>Лист1!BE19</f>
        <v>-260.1700000000019</v>
      </c>
      <c r="S25" s="1"/>
      <c r="T25" s="1"/>
    </row>
    <row r="26" spans="1:20" ht="12.75">
      <c r="A26" s="11" t="s">
        <v>51</v>
      </c>
      <c r="B26" s="84">
        <f>Лист1!B20</f>
        <v>2597.8</v>
      </c>
      <c r="C26" s="27">
        <f t="shared" si="0"/>
        <v>22470.97</v>
      </c>
      <c r="D26" s="28">
        <f>Лист1!D20</f>
        <v>2190.6100000000024</v>
      </c>
      <c r="E26" s="14">
        <f>Лист1!S20</f>
        <v>17203.2</v>
      </c>
      <c r="F26" s="30">
        <f>Лист1!T20</f>
        <v>3077.1600000000003</v>
      </c>
      <c r="G26" s="29">
        <f>Лист1!AB20</f>
        <v>16063.13</v>
      </c>
      <c r="H26" s="30">
        <f>Лист1!AC20</f>
        <v>21330.9</v>
      </c>
      <c r="I26" s="87">
        <f>Лист1!AF20</f>
        <v>0</v>
      </c>
      <c r="J26" s="29">
        <f>Лист1!AG20</f>
        <v>1558.68</v>
      </c>
      <c r="K26" s="14">
        <f>Лист1!AI20+Лист1!AJ20</f>
        <v>2568.32161438</v>
      </c>
      <c r="L26" s="14">
        <f>Лист1!AH20+Лист1!AK20+Лист1!AL20+Лист1!AM20+Лист1!AN20+Лист1!AO20+Лист1!AP20+Лист1!AQ20+Лист1!AR20</f>
        <v>8835.401531716</v>
      </c>
      <c r="M26" s="31">
        <f>Лист1!AS20+Лист1!AT20+Лист1!AU20+Лист1!AZ20+Лист1!BA20</f>
        <v>599.1804</v>
      </c>
      <c r="N26" s="31">
        <f>Лист1!AX20</f>
        <v>467.8464</v>
      </c>
      <c r="O26" s="30">
        <f>Лист1!BB20</f>
        <v>14029.429946096</v>
      </c>
      <c r="P26" s="90">
        <f>Лист1!BC20</f>
        <v>0</v>
      </c>
      <c r="Q26" s="75">
        <f>Лист1!BD20</f>
        <v>7301.470053904002</v>
      </c>
      <c r="R26" s="75">
        <f>Лист1!BE20</f>
        <v>-1140.0700000000015</v>
      </c>
      <c r="S26" s="1"/>
      <c r="T26" s="1"/>
    </row>
    <row r="27" spans="1:20" ht="12.75">
      <c r="A27" s="11" t="s">
        <v>52</v>
      </c>
      <c r="B27" s="84">
        <f>Лист1!B21</f>
        <v>2597.8</v>
      </c>
      <c r="C27" s="27">
        <f t="shared" si="0"/>
        <v>22470.97</v>
      </c>
      <c r="D27" s="28">
        <f>Лист1!D21</f>
        <v>2210.0300000000007</v>
      </c>
      <c r="E27" s="14">
        <f>Лист1!S21</f>
        <v>17203.579999999998</v>
      </c>
      <c r="F27" s="30">
        <f>Лист1!T21</f>
        <v>3057.36</v>
      </c>
      <c r="G27" s="29">
        <f>Лист1!AB21</f>
        <v>19624.989999999998</v>
      </c>
      <c r="H27" s="30">
        <f>Лист1!AC21</f>
        <v>24892.379999999997</v>
      </c>
      <c r="I27" s="87">
        <f>Лист1!AF21</f>
        <v>0</v>
      </c>
      <c r="J27" s="29">
        <f>Лист1!AG21</f>
        <v>1558.68</v>
      </c>
      <c r="K27" s="14">
        <f>Лист1!AI21+Лист1!AJ21</f>
        <v>2567.16089735</v>
      </c>
      <c r="L27" s="14">
        <f>Лист1!AH21+Лист1!AK21+Лист1!AL21+Лист1!AM21+Лист1!AN21+Лист1!AO21+Лист1!AP21+Лист1!AQ21+Лист1!AR21</f>
        <v>19897.472943835997</v>
      </c>
      <c r="M27" s="31">
        <f>Лист1!AS21+Лист1!AT21+Лист1!AU21+Лист1!AZ21+Лист1!BA21</f>
        <v>19362.62</v>
      </c>
      <c r="N27" s="31">
        <f>Лист1!AX21</f>
        <v>370.048</v>
      </c>
      <c r="O27" s="30">
        <f>Лист1!BB21</f>
        <v>43755.981841186</v>
      </c>
      <c r="P27" s="90">
        <f>Лист1!BC21</f>
        <v>0</v>
      </c>
      <c r="Q27" s="75">
        <f>Лист1!BD21</f>
        <v>-18863.601841186006</v>
      </c>
      <c r="R27" s="75">
        <f>Лист1!BE21</f>
        <v>2421.41</v>
      </c>
      <c r="S27" s="1"/>
      <c r="T27" s="1"/>
    </row>
    <row r="28" spans="1:20" ht="12.75">
      <c r="A28" s="11" t="s">
        <v>53</v>
      </c>
      <c r="B28" s="84">
        <f>Лист1!B22</f>
        <v>2597.8</v>
      </c>
      <c r="C28" s="27">
        <f t="shared" si="0"/>
        <v>22470.97</v>
      </c>
      <c r="D28" s="28">
        <f>Лист1!D22</f>
        <v>2210.4100000000017</v>
      </c>
      <c r="E28" s="14">
        <f>Лист1!S22</f>
        <v>17203.2</v>
      </c>
      <c r="F28" s="30">
        <f>Лист1!T22</f>
        <v>3057.36</v>
      </c>
      <c r="G28" s="29">
        <f>Лист1!AB22</f>
        <v>13859.220000000001</v>
      </c>
      <c r="H28" s="30">
        <f>Лист1!AC22</f>
        <v>19126.990000000005</v>
      </c>
      <c r="I28" s="87">
        <f>Лист1!AF22</f>
        <v>0</v>
      </c>
      <c r="J28" s="29">
        <f>Лист1!AG22</f>
        <v>1558.68</v>
      </c>
      <c r="K28" s="14">
        <f>Лист1!AI22+Лист1!AJ22</f>
        <v>2566.717946472</v>
      </c>
      <c r="L28" s="14">
        <f>Лист1!AH22+Лист1!AK22+Лист1!AL22+Лист1!AM22+Лист1!AN22+Лист1!AO22+Лист1!AP22+Лист1!AQ22+Лист1!AR22</f>
        <v>8833.0231730776</v>
      </c>
      <c r="M28" s="31">
        <f>Лист1!AS22+Лист1!AT22+Лист1!AU22+Лист1!AZ22+Лист1!BA22</f>
        <v>0</v>
      </c>
      <c r="N28" s="31">
        <f>Лист1!AX22</f>
        <v>778.4224</v>
      </c>
      <c r="O28" s="30">
        <f>Лист1!BB22</f>
        <v>13736.843519549599</v>
      </c>
      <c r="P28" s="90">
        <f>Лист1!BC22</f>
        <v>0</v>
      </c>
      <c r="Q28" s="75">
        <f>Лист1!BD22</f>
        <v>5390.146480450407</v>
      </c>
      <c r="R28" s="75">
        <f>Лист1!BE22</f>
        <v>-3343.9799999999996</v>
      </c>
      <c r="S28" s="1"/>
      <c r="T28" s="1"/>
    </row>
    <row r="29" spans="1:20" ht="12.75">
      <c r="A29" s="11" t="s">
        <v>41</v>
      </c>
      <c r="B29" s="84">
        <f>Лист1!B23</f>
        <v>2597.8</v>
      </c>
      <c r="C29" s="27">
        <f>B29*8.65</f>
        <v>22470.97</v>
      </c>
      <c r="D29" s="28">
        <f>Лист1!D23</f>
        <v>2210.4100000000017</v>
      </c>
      <c r="E29" s="14">
        <f>Лист1!S23</f>
        <v>17203.2</v>
      </c>
      <c r="F29" s="30">
        <f>Лист1!T23</f>
        <v>3057.36</v>
      </c>
      <c r="G29" s="29">
        <f>Лист1!AB23</f>
        <v>20077.690000000002</v>
      </c>
      <c r="H29" s="30">
        <f>Лист1!AC23</f>
        <v>25345.460000000006</v>
      </c>
      <c r="I29" s="87">
        <f>Лист1!AF23</f>
        <v>0</v>
      </c>
      <c r="J29" s="29">
        <f>Лист1!AG23</f>
        <v>1558.68</v>
      </c>
      <c r="K29" s="14">
        <f>Лист1!AI23+Лист1!AJ23</f>
        <v>2596.397188</v>
      </c>
      <c r="L29" s="14">
        <f>Лист1!AH23+Лист1!AK23+Лист1!AL23+Лист1!AM23+Лист1!AN23+Лист1!AO23+Лист1!AP23+Лист1!AQ23+Лист1!AR23</f>
        <v>8908.89532</v>
      </c>
      <c r="M29" s="31">
        <f>Лист1!AS23+Лист1!AT23+Лист1!AU23+Лист1!AZ23+Лист1!BA23</f>
        <v>38104.442</v>
      </c>
      <c r="N29" s="31">
        <f>Лист1!AX23</f>
        <v>730.8448</v>
      </c>
      <c r="O29" s="30">
        <f>Лист1!BB23</f>
        <v>51899.259308</v>
      </c>
      <c r="P29" s="90">
        <f>Лист1!BC23</f>
        <v>0</v>
      </c>
      <c r="Q29" s="75">
        <f>Лист1!BD23</f>
        <v>-26553.799307999994</v>
      </c>
      <c r="R29" s="75">
        <f>Лист1!BE23</f>
        <v>2874.4900000000016</v>
      </c>
      <c r="S29" s="1"/>
      <c r="T29" s="1"/>
    </row>
    <row r="30" spans="1:20" ht="12.75">
      <c r="A30" s="11" t="s">
        <v>42</v>
      </c>
      <c r="B30" s="84">
        <f>Лист1!B24</f>
        <v>2597.8</v>
      </c>
      <c r="C30" s="27">
        <f t="shared" si="0"/>
        <v>22470.97</v>
      </c>
      <c r="D30" s="28">
        <f>Лист1!D24</f>
        <v>2227.8299999999963</v>
      </c>
      <c r="E30" s="14">
        <f>Лист1!S24</f>
        <v>16911.66</v>
      </c>
      <c r="F30" s="30">
        <f>Лист1!T24</f>
        <v>3331.4800000000005</v>
      </c>
      <c r="G30" s="29">
        <f>Лист1!AB24</f>
        <v>19671.59</v>
      </c>
      <c r="H30" s="30">
        <f>Лист1!AC24</f>
        <v>25230.899999999998</v>
      </c>
      <c r="I30" s="87">
        <f>Лист1!AF24</f>
        <v>0</v>
      </c>
      <c r="J30" s="29">
        <f>Лист1!AG24</f>
        <v>1558.68</v>
      </c>
      <c r="K30" s="14">
        <f>Лист1!AI24+Лист1!AJ24</f>
        <v>2605.5934</v>
      </c>
      <c r="L30" s="14">
        <f>Лист1!AH24+Лист1!AK24+Лист1!AL24+Лист1!AM24+Лист1!AN24+Лист1!AO24+Лист1!AP24+Лист1!AQ24+Лист1!AR24</f>
        <v>8918.766959999999</v>
      </c>
      <c r="M30" s="31">
        <f>Лист1!AS24+Лист1!AT24+Лист1!AU24+Лист1!AZ24+Лист1!BA24</f>
        <v>2894.54</v>
      </c>
      <c r="N30" s="31">
        <f>Лист1!AX24</f>
        <v>839.216</v>
      </c>
      <c r="O30" s="30">
        <f>Лист1!BB24</f>
        <v>16816.79636</v>
      </c>
      <c r="P30" s="90">
        <f>Лист1!BC24</f>
        <v>0</v>
      </c>
      <c r="Q30" s="75">
        <f>Лист1!BD24</f>
        <v>8414.103639999998</v>
      </c>
      <c r="R30" s="75">
        <f>Лист1!BE24</f>
        <v>2759.9300000000003</v>
      </c>
      <c r="S30" s="1"/>
      <c r="T30" s="1"/>
    </row>
    <row r="31" spans="1:20" ht="13.5" thickBot="1">
      <c r="A31" s="32" t="s">
        <v>43</v>
      </c>
      <c r="B31" s="84">
        <f>Лист1!B25</f>
        <v>2597.8</v>
      </c>
      <c r="C31" s="33">
        <f t="shared" si="0"/>
        <v>22470.97</v>
      </c>
      <c r="D31" s="28">
        <f>Лист1!D25</f>
        <v>2228.540000000002</v>
      </c>
      <c r="E31" s="14">
        <f>Лист1!S25</f>
        <v>16907.75</v>
      </c>
      <c r="F31" s="30">
        <f>Лист1!T25</f>
        <v>3334.6800000000003</v>
      </c>
      <c r="G31" s="29">
        <f>Лист1!AB25</f>
        <v>22170.78</v>
      </c>
      <c r="H31" s="30">
        <f>Лист1!AC25</f>
        <v>27734</v>
      </c>
      <c r="I31" s="87">
        <f>Лист1!AF25</f>
        <v>0</v>
      </c>
      <c r="J31" s="29">
        <f>Лист1!AG25</f>
        <v>1558.68</v>
      </c>
      <c r="K31" s="14">
        <f>Лист1!AI25+Лист1!AJ25</f>
        <v>2605.5934</v>
      </c>
      <c r="L31" s="14">
        <f>Лист1!AH25+Лист1!AK25+Лист1!AL25+Лист1!AM25+Лист1!AN25+Лист1!AO25+Лист1!AP25+Лист1!AQ25+Лист1!AR25</f>
        <v>8918.766959999999</v>
      </c>
      <c r="M31" s="31">
        <f>Лист1!AS25+Лист1!AT25+Лист1!AU25+Лист1!AZ25+Лист1!BA25</f>
        <v>3678.06</v>
      </c>
      <c r="N31" s="31">
        <f>Лист1!AX25</f>
        <v>979.3056</v>
      </c>
      <c r="O31" s="30">
        <f>Лист1!BB25</f>
        <v>17740.40596</v>
      </c>
      <c r="P31" s="90">
        <f>Лист1!BC25</f>
        <v>0</v>
      </c>
      <c r="Q31" s="75">
        <f>Лист1!BD25</f>
        <v>9993.59404</v>
      </c>
      <c r="R31" s="75">
        <f>Лист1!BE25</f>
        <v>5263.029999999999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269649.04500000004</v>
      </c>
      <c r="D32" s="68">
        <f t="shared" si="3"/>
        <v>29196.34062500001</v>
      </c>
      <c r="E32" s="36">
        <f t="shared" si="3"/>
        <v>199283.14000000004</v>
      </c>
      <c r="F32" s="69">
        <f t="shared" si="3"/>
        <v>35452.8</v>
      </c>
      <c r="G32" s="68">
        <f t="shared" si="3"/>
        <v>199531.38</v>
      </c>
      <c r="H32" s="69">
        <f t="shared" si="3"/>
        <v>264180.520625</v>
      </c>
      <c r="I32" s="69">
        <f t="shared" si="3"/>
        <v>0</v>
      </c>
      <c r="J32" s="68">
        <f t="shared" si="3"/>
        <v>18080.526</v>
      </c>
      <c r="K32" s="36">
        <f t="shared" si="3"/>
        <v>29824.396696782</v>
      </c>
      <c r="L32" s="36">
        <f t="shared" si="3"/>
        <v>124004.90914093357</v>
      </c>
      <c r="M32" s="36">
        <f>SUM(M20:M31)</f>
        <v>87582.60719999998</v>
      </c>
      <c r="N32" s="36">
        <f t="shared" si="3"/>
        <v>8155.5936</v>
      </c>
      <c r="O32" s="69">
        <f t="shared" si="3"/>
        <v>267648.03263771563</v>
      </c>
      <c r="P32" s="69">
        <f t="shared" si="3"/>
        <v>0</v>
      </c>
      <c r="Q32" s="76">
        <f>SUM(Q20:Q31)</f>
        <v>-3467.5120127155824</v>
      </c>
      <c r="R32" s="76">
        <f t="shared" si="3"/>
        <v>248.23999999999432</v>
      </c>
      <c r="S32" s="72"/>
      <c r="T32" s="72"/>
    </row>
    <row r="33" spans="1:20" ht="13.5" thickBot="1">
      <c r="A33" s="190" t="s">
        <v>70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337067.145</v>
      </c>
      <c r="D34" s="37">
        <f aca="true" t="shared" si="4" ref="D34:R34">D18+D32</f>
        <v>45424.102022000014</v>
      </c>
      <c r="E34" s="38">
        <f t="shared" si="4"/>
        <v>246482.42000000004</v>
      </c>
      <c r="F34" s="39">
        <f t="shared" si="4"/>
        <v>43424.91</v>
      </c>
      <c r="G34" s="37">
        <f t="shared" si="4"/>
        <v>231667.94</v>
      </c>
      <c r="H34" s="39">
        <f t="shared" si="4"/>
        <v>320516.952022</v>
      </c>
      <c r="I34" s="39">
        <f t="shared" si="4"/>
        <v>0</v>
      </c>
      <c r="J34" s="37">
        <f t="shared" si="4"/>
        <v>22756.926</v>
      </c>
      <c r="K34" s="38">
        <f t="shared" si="4"/>
        <v>37650.730365582</v>
      </c>
      <c r="L34" s="38">
        <f t="shared" si="4"/>
        <v>151443.11699707358</v>
      </c>
      <c r="M34" s="38">
        <f t="shared" si="4"/>
        <v>177274.64319999996</v>
      </c>
      <c r="N34" s="38">
        <f t="shared" si="4"/>
        <v>8155.5936</v>
      </c>
      <c r="O34" s="79">
        <f t="shared" si="4"/>
        <v>397281.0101626556</v>
      </c>
      <c r="P34" s="79">
        <f>P18+P32</f>
        <v>0</v>
      </c>
      <c r="Q34" s="78">
        <f>Q18+Q32</f>
        <v>-76764.05814065559</v>
      </c>
      <c r="R34" s="78">
        <f t="shared" si="4"/>
        <v>-14814.480000000007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2597.8</v>
      </c>
      <c r="C36" s="27">
        <f aca="true" t="shared" si="5" ref="C36:C47">B36*8.65</f>
        <v>22470.97</v>
      </c>
      <c r="D36" s="28">
        <f>Лист1!D30</f>
        <v>2228.540000000002</v>
      </c>
      <c r="E36" s="14">
        <f>Лист1!S30</f>
        <v>16907.75</v>
      </c>
      <c r="F36" s="30">
        <f>Лист1!T30</f>
        <v>3334.6800000000003</v>
      </c>
      <c r="G36" s="29">
        <f>Лист1!AB30</f>
        <v>12740.91</v>
      </c>
      <c r="H36" s="30">
        <f>Лист1!AC30</f>
        <v>18304.13</v>
      </c>
      <c r="I36" s="87">
        <f>Лист1!AF30</f>
        <v>0</v>
      </c>
      <c r="J36" s="29">
        <f>Лист1!AG30</f>
        <v>1558.68</v>
      </c>
      <c r="K36" s="14">
        <f>Лист1!AI30+Лист1!AJ30</f>
        <v>2597.8</v>
      </c>
      <c r="L36" s="14">
        <f>Лист1!AH30+Лист1!AK30+Лист1!AL30+Лист1!AM30+Лист1!AN30+Лист1!AO30+Лист1!AP30+Лист1!AQ30+Лист1!AR30</f>
        <v>8910.454</v>
      </c>
      <c r="M36" s="31">
        <f>Лист1!AS30+Лист1!AT30+Лист1!AU30+Лист1!AZ30+Лист1!BA30</f>
        <v>0</v>
      </c>
      <c r="N36" s="31">
        <f>Лист1!AX30</f>
        <v>943.5999999999999</v>
      </c>
      <c r="O36" s="30">
        <f>Лист1!BB30</f>
        <v>14010.534000000001</v>
      </c>
      <c r="P36" s="90">
        <f>Лист1!BC30</f>
        <v>0</v>
      </c>
      <c r="Q36" s="75">
        <f>Лист1!BD30</f>
        <v>4293.596</v>
      </c>
      <c r="R36" s="75">
        <f>Лист1!BE30</f>
        <v>-4166.84</v>
      </c>
      <c r="S36" s="1"/>
      <c r="T36" s="1"/>
    </row>
    <row r="37" spans="1:20" ht="12.75">
      <c r="A37" s="11" t="s">
        <v>46</v>
      </c>
      <c r="B37" s="84">
        <f>Лист1!B31</f>
        <v>2597.8</v>
      </c>
      <c r="C37" s="27">
        <f t="shared" si="5"/>
        <v>22470.97</v>
      </c>
      <c r="D37" s="28">
        <f>Лист1!D31</f>
        <v>2228.5799999999963</v>
      </c>
      <c r="E37" s="14">
        <f>Лист1!S31</f>
        <v>16743.91</v>
      </c>
      <c r="F37" s="30">
        <f>Лист1!T31</f>
        <v>3498.48</v>
      </c>
      <c r="G37" s="29">
        <f>Лист1!AB31</f>
        <v>18207.33</v>
      </c>
      <c r="H37" s="30">
        <f>Лист1!AC31</f>
        <v>23934.39</v>
      </c>
      <c r="I37" s="87">
        <f>Лист1!AF31</f>
        <v>0</v>
      </c>
      <c r="J37" s="29">
        <f>Лист1!AG31</f>
        <v>1558.68</v>
      </c>
      <c r="K37" s="14">
        <f>Лист1!AI31+Лист1!AJ31</f>
        <v>2597.8</v>
      </c>
      <c r="L37" s="14">
        <f>Лист1!AH31+Лист1!AK31+Лист1!AL31+Лист1!AM31+Лист1!AN31+Лист1!AO31+Лист1!AP31+Лист1!AQ31+Лист1!AR31</f>
        <v>8910.454</v>
      </c>
      <c r="M37" s="31">
        <f>Лист1!AS31+Лист1!AT31+Лист1!AU31+Лист1!AZ31+Лист1!BA31</f>
        <v>1230</v>
      </c>
      <c r="N37" s="31">
        <f>Лист1!AX31</f>
        <v>872.1999999999999</v>
      </c>
      <c r="O37" s="30">
        <f>Лист1!BB31</f>
        <v>15169.134000000002</v>
      </c>
      <c r="P37" s="90">
        <f>Лист1!BC31</f>
        <v>0</v>
      </c>
      <c r="Q37" s="75">
        <f>Лист1!BD31</f>
        <v>8765.255999999998</v>
      </c>
      <c r="R37" s="75">
        <f>Лист1!BE31</f>
        <v>1463.420000000002</v>
      </c>
      <c r="S37" s="1"/>
      <c r="T37" s="1"/>
    </row>
    <row r="38" spans="1:20" ht="12.75">
      <c r="A38" s="11" t="s">
        <v>47</v>
      </c>
      <c r="B38" s="84">
        <f>Лист1!B32</f>
        <v>2597.8</v>
      </c>
      <c r="C38" s="27">
        <f t="shared" si="5"/>
        <v>22470.97</v>
      </c>
      <c r="D38" s="28">
        <f>Лист1!D32</f>
        <v>2252.069999999998</v>
      </c>
      <c r="E38" s="14">
        <f>Лист1!S32</f>
        <v>16670.149999999998</v>
      </c>
      <c r="F38" s="30">
        <f>Лист1!T32</f>
        <v>3548.75</v>
      </c>
      <c r="G38" s="29">
        <f>Лист1!AB32</f>
        <v>14796.929999999998</v>
      </c>
      <c r="H38" s="30">
        <f>Лист1!AC32</f>
        <v>20597.749999999996</v>
      </c>
      <c r="I38" s="87">
        <f>Лист1!AF32</f>
        <v>0</v>
      </c>
      <c r="J38" s="29">
        <f>Лист1!AG32</f>
        <v>1558.68</v>
      </c>
      <c r="K38" s="14">
        <f>Лист1!AI32+Лист1!AJ32</f>
        <v>2597.8</v>
      </c>
      <c r="L38" s="14">
        <f>Лист1!AH32+Лист1!AK32+Лист1!AL32+Лист1!AM32+Лист1!AN32+Лист1!AO32+Лист1!AP32+Лист1!AQ32+Лист1!AR32</f>
        <v>8910.454</v>
      </c>
      <c r="M38" s="31">
        <f>Лист1!AS32+Лист1!AT32+Лист1!AU32+Лист1!AZ32+Лист1!BA32</f>
        <v>3903</v>
      </c>
      <c r="N38" s="31">
        <f>Лист1!AX32</f>
        <v>753.1999999999999</v>
      </c>
      <c r="O38" s="30">
        <f>Лист1!BB32</f>
        <v>17723.134000000002</v>
      </c>
      <c r="P38" s="90">
        <f>Лист1!BC32</f>
        <v>0</v>
      </c>
      <c r="Q38" s="75">
        <f>Лист1!BD32</f>
        <v>2874.6159999999945</v>
      </c>
      <c r="R38" s="75">
        <f>Лист1!BE32</f>
        <v>-1873.2199999999993</v>
      </c>
      <c r="S38" s="1"/>
      <c r="T38" s="1"/>
    </row>
    <row r="39" spans="1:20" ht="12.75">
      <c r="A39" s="11" t="s">
        <v>48</v>
      </c>
      <c r="B39" s="84">
        <f>Лист1!B33</f>
        <v>2597.8</v>
      </c>
      <c r="C39" s="27">
        <f t="shared" si="5"/>
        <v>22470.97</v>
      </c>
      <c r="D39" s="28">
        <f>Лист1!D33</f>
        <v>2264.0700000000006</v>
      </c>
      <c r="E39" s="14">
        <f>Лист1!S33</f>
        <v>16650.699999999997</v>
      </c>
      <c r="F39" s="30">
        <f>Лист1!T33</f>
        <v>3556.2</v>
      </c>
      <c r="G39" s="29">
        <f>Лист1!AB33</f>
        <v>17030.940000000002</v>
      </c>
      <c r="H39" s="30">
        <f>Лист1!AC33</f>
        <v>22851.210000000003</v>
      </c>
      <c r="I39" s="87">
        <f>Лист1!AF33</f>
        <v>0</v>
      </c>
      <c r="J39" s="29">
        <f>Лист1!AG33</f>
        <v>1558.68</v>
      </c>
      <c r="K39" s="14">
        <f>Лист1!AI33+Лист1!AJ33</f>
        <v>2597.8</v>
      </c>
      <c r="L39" s="14">
        <f>Лист1!AH33+Лист1!AK33+Лист1!AL33+Лист1!AM33+Лист1!AN33+Лист1!AO33+Лист1!AP33+Лист1!AQ33+Лист1!AR33</f>
        <v>8910.454</v>
      </c>
      <c r="M39" s="31">
        <f>Лист1!AS33+Лист1!AT33+Лист1!AU33+Лист1!AZ33+Лист1!BA33</f>
        <v>2071</v>
      </c>
      <c r="N39" s="31">
        <f>Лист1!AX33</f>
        <v>663.5999999999999</v>
      </c>
      <c r="O39" s="30">
        <f>Лист1!BB33</f>
        <v>15801.534000000001</v>
      </c>
      <c r="P39" s="90">
        <f>Лист1!BC33</f>
        <v>0</v>
      </c>
      <c r="Q39" s="75">
        <f>Лист1!BD33</f>
        <v>7049.676000000001</v>
      </c>
      <c r="R39" s="75">
        <f>Лист1!BE33</f>
        <v>380.24000000000524</v>
      </c>
      <c r="S39" s="1"/>
      <c r="T39" s="1"/>
    </row>
    <row r="40" spans="1:20" ht="12.75">
      <c r="A40" s="11" t="s">
        <v>49</v>
      </c>
      <c r="B40" s="84">
        <f>Лист1!B34</f>
        <v>2598.4</v>
      </c>
      <c r="C40" s="27">
        <f t="shared" si="5"/>
        <v>22476.160000000003</v>
      </c>
      <c r="D40" s="28">
        <f>Лист1!D34</f>
        <v>2264.2300000000027</v>
      </c>
      <c r="E40" s="14">
        <f>Лист1!S34</f>
        <v>16519.51</v>
      </c>
      <c r="F40" s="30">
        <f>Лист1!T34</f>
        <v>3692.42</v>
      </c>
      <c r="G40" s="29">
        <f>Лист1!AB34</f>
        <v>14713.179999999998</v>
      </c>
      <c r="H40" s="30">
        <f>Лист1!AC34</f>
        <v>20669.83</v>
      </c>
      <c r="I40" s="87">
        <f>Лист1!AF34</f>
        <v>0</v>
      </c>
      <c r="J40" s="29">
        <f>Лист1!AG34</f>
        <v>1559.04</v>
      </c>
      <c r="K40" s="14">
        <f>Лист1!AI34+Лист1!AJ34</f>
        <v>2598.4</v>
      </c>
      <c r="L40" s="14">
        <f>Лист1!AH34+Лист1!AK34+Лист1!AL34+Лист1!AM34+Лист1!AN34+Лист1!AO34+Лист1!AP34+Лист1!AQ34+Лист1!AR34</f>
        <v>13039.732</v>
      </c>
      <c r="M40" s="31">
        <f>Лист1!AS34+Лист1!AT34+Лист1!AU34+Лист1!AZ34+Лист1!BA34</f>
        <v>0</v>
      </c>
      <c r="N40" s="31">
        <f>Лист1!AX34</f>
        <v>554.4</v>
      </c>
      <c r="O40" s="30">
        <f>Лист1!BB34</f>
        <v>17751.572000000004</v>
      </c>
      <c r="P40" s="90">
        <f>Лист1!BC34</f>
        <v>0</v>
      </c>
      <c r="Q40" s="75">
        <f>Лист1!BD34</f>
        <v>2918.257999999998</v>
      </c>
      <c r="R40" s="75">
        <f>Лист1!BE34</f>
        <v>-1806.33</v>
      </c>
      <c r="S40" s="1"/>
      <c r="T40" s="1"/>
    </row>
    <row r="41" spans="1:20" ht="12.75">
      <c r="A41" s="11" t="s">
        <v>50</v>
      </c>
      <c r="B41" s="84">
        <f>Лист1!B35</f>
        <v>2598.4</v>
      </c>
      <c r="C41" s="27">
        <f t="shared" si="5"/>
        <v>22476.160000000003</v>
      </c>
      <c r="D41" s="28">
        <f>Лист1!D35</f>
        <v>2260.060000000005</v>
      </c>
      <c r="E41" s="14">
        <f>Лист1!S35</f>
        <v>16621.629999999997</v>
      </c>
      <c r="F41" s="30">
        <f>Лист1!T35</f>
        <v>3594.47</v>
      </c>
      <c r="G41" s="29">
        <f>Лист1!AB35</f>
        <v>16504.699999999997</v>
      </c>
      <c r="H41" s="30">
        <f>Лист1!AC35</f>
        <v>22359.230000000003</v>
      </c>
      <c r="I41" s="87">
        <f>Лист1!AF35</f>
        <v>0</v>
      </c>
      <c r="J41" s="29">
        <f>Лист1!AG35</f>
        <v>1559.04</v>
      </c>
      <c r="K41" s="14">
        <f>Лист1!AI35+Лист1!AJ35</f>
        <v>2598.4</v>
      </c>
      <c r="L41" s="14">
        <f>Лист1!AH35+Лист1!AK35+Лист1!AL35+Лист1!AM35+Лист1!AN35+Лист1!AO35+Лист1!AP35+Лист1!AQ35+Лист1!AR35</f>
        <v>8912.512</v>
      </c>
      <c r="M41" s="31">
        <f>Лист1!AS35+Лист1!AT35+Лист1!AU35+Лист1!AZ35+Лист1!BA35</f>
        <v>904.1985999999999</v>
      </c>
      <c r="N41" s="31">
        <f>Лист1!AX35</f>
        <v>414.4</v>
      </c>
      <c r="O41" s="30">
        <f>Лист1!BB35</f>
        <v>14388.5506</v>
      </c>
      <c r="P41" s="90">
        <f>Лист1!BC35</f>
        <v>0</v>
      </c>
      <c r="Q41" s="75">
        <f>Лист1!BD35</f>
        <v>7970.679400000003</v>
      </c>
      <c r="R41" s="75">
        <f>Лист1!BE35</f>
        <v>-116.93000000000029</v>
      </c>
      <c r="S41" s="1"/>
      <c r="T41" s="1"/>
    </row>
    <row r="42" spans="1:20" ht="12.75">
      <c r="A42" s="11" t="s">
        <v>51</v>
      </c>
      <c r="B42" s="84">
        <f>Лист1!B36</f>
        <v>2598.4</v>
      </c>
      <c r="C42" s="27">
        <f t="shared" si="5"/>
        <v>22476.160000000003</v>
      </c>
      <c r="D42" s="28">
        <f>Лист1!D36</f>
        <v>2242.860000000007</v>
      </c>
      <c r="E42" s="14">
        <f>Лист1!S36</f>
        <v>20233.300000000003</v>
      </c>
      <c r="F42" s="30">
        <f>Лист1!T36</f>
        <v>0</v>
      </c>
      <c r="G42" s="29">
        <f>Лист1!AB36</f>
        <v>15140.05</v>
      </c>
      <c r="H42" s="30">
        <f>Лист1!AC36</f>
        <v>17382.910000000007</v>
      </c>
      <c r="I42" s="87">
        <f>Лист1!AF36</f>
        <v>0</v>
      </c>
      <c r="J42" s="29">
        <f>Лист1!AG36</f>
        <v>1559.04</v>
      </c>
      <c r="K42" s="14">
        <f>Лист1!AI36+Лист1!AJ36</f>
        <v>2598.4</v>
      </c>
      <c r="L42" s="14">
        <f>Лист1!AH36+Лист1!AK36+Лист1!AL36+Лист1!AM36+Лист1!AN36+Лист1!AO36+Лист1!AP36+Лист1!AQ36+Лист1!AR36</f>
        <v>8912.512</v>
      </c>
      <c r="M42" s="31">
        <f>Лист1!AS36+Лист1!AT36+Лист1!AU36+Лист1!AZ36+Лист1!BA36</f>
        <v>0</v>
      </c>
      <c r="N42" s="31">
        <f>Лист1!AX36</f>
        <v>586.5999999999999</v>
      </c>
      <c r="O42" s="30">
        <f>Лист1!BB36</f>
        <v>13656.552000000001</v>
      </c>
      <c r="P42" s="90">
        <f>Лист1!BC36</f>
        <v>0</v>
      </c>
      <c r="Q42" s="75">
        <f>Лист1!BD36</f>
        <v>3726.3580000000056</v>
      </c>
      <c r="R42" s="75">
        <f>Лист1!BE36</f>
        <v>-5093.250000000004</v>
      </c>
      <c r="S42" s="1"/>
      <c r="T42" s="1"/>
    </row>
    <row r="43" spans="1:20" ht="12.75">
      <c r="A43" s="11" t="s">
        <v>52</v>
      </c>
      <c r="B43" s="84">
        <f>Лист1!B37</f>
        <v>2598.4</v>
      </c>
      <c r="C43" s="27">
        <f t="shared" si="5"/>
        <v>22476.160000000003</v>
      </c>
      <c r="D43" s="28">
        <f>Лист1!D37</f>
        <v>2230.7000000000035</v>
      </c>
      <c r="E43" s="14">
        <f>Лист1!S37</f>
        <v>20245.460000000003</v>
      </c>
      <c r="F43" s="30">
        <f>Лист1!T37</f>
        <v>0</v>
      </c>
      <c r="G43" s="29">
        <f>Лист1!AB37</f>
        <v>19352.85</v>
      </c>
      <c r="H43" s="30">
        <f>Лист1!AC37</f>
        <v>21583.550000000003</v>
      </c>
      <c r="I43" s="87">
        <f>Лист1!AF37</f>
        <v>0</v>
      </c>
      <c r="J43" s="29">
        <f>Лист1!AG37</f>
        <v>1559.04</v>
      </c>
      <c r="K43" s="14">
        <f>Лист1!AI37+Лист1!AJ37</f>
        <v>2598.4</v>
      </c>
      <c r="L43" s="14">
        <f>Лист1!AH37+Лист1!AK37+Лист1!AL37+Лист1!AM37+Лист1!AN37+Лист1!AO37+Лист1!AP37+Лист1!AQ37+Лист1!AR37</f>
        <v>8912.512</v>
      </c>
      <c r="M43" s="31">
        <f>Лист1!AS37+Лист1!AT37+Лист1!AU37+Лист1!AZ37+Лист1!BA37</f>
        <v>5756.644</v>
      </c>
      <c r="N43" s="31">
        <f>Лист1!AX37</f>
        <v>565.5999999999999</v>
      </c>
      <c r="O43" s="30">
        <f>Лист1!BB37</f>
        <v>19392.196</v>
      </c>
      <c r="P43" s="90">
        <f>Лист1!BC37</f>
        <v>0</v>
      </c>
      <c r="Q43" s="75">
        <f>Лист1!BD37</f>
        <v>2191.354000000003</v>
      </c>
      <c r="R43" s="75">
        <f>Лист1!BE37</f>
        <v>-892.6100000000042</v>
      </c>
      <c r="S43" s="1"/>
      <c r="T43" s="1"/>
    </row>
    <row r="44" spans="1:20" ht="12.75">
      <c r="A44" s="11" t="s">
        <v>53</v>
      </c>
      <c r="B44" s="84">
        <f>Лист1!B38</f>
        <v>2598.4</v>
      </c>
      <c r="C44" s="27">
        <f t="shared" si="5"/>
        <v>22476.160000000003</v>
      </c>
      <c r="D44" s="28">
        <f>Лист1!D38</f>
        <v>2228.100000000005</v>
      </c>
      <c r="E44" s="14">
        <f>Лист1!S38</f>
        <v>20248.06</v>
      </c>
      <c r="F44" s="30">
        <f>Лист1!T38</f>
        <v>0</v>
      </c>
      <c r="G44" s="29">
        <f>Лист1!AB38</f>
        <v>16862.510000000002</v>
      </c>
      <c r="H44" s="30">
        <f>Лист1!AC38</f>
        <v>19090.610000000008</v>
      </c>
      <c r="I44" s="87">
        <f>Лист1!AF38</f>
        <v>0</v>
      </c>
      <c r="J44" s="29">
        <f>Лист1!AG38</f>
        <v>1559.04</v>
      </c>
      <c r="K44" s="14">
        <f>Лист1!AI38+Лист1!AJ38</f>
        <v>2598.4</v>
      </c>
      <c r="L44" s="14">
        <f>Лист1!AH38+Лист1!AK38+Лист1!AL38+Лист1!AM38+Лист1!AN38+Лист1!AO38+Лист1!AP38+Лист1!AQ38+Лист1!AR38</f>
        <v>8912.512</v>
      </c>
      <c r="M44" s="31">
        <f>Лист1!AS38+Лист1!AT38+Лист1!AU38+Лист1!AZ38+Лист1!BA38</f>
        <v>3752</v>
      </c>
      <c r="N44" s="31">
        <f>Лист1!AX38</f>
        <v>715.4</v>
      </c>
      <c r="O44" s="30">
        <f>Лист1!BB38</f>
        <v>17537.352000000003</v>
      </c>
      <c r="P44" s="90">
        <f>Лист1!BC38</f>
        <v>0</v>
      </c>
      <c r="Q44" s="75">
        <f>Лист1!BD38</f>
        <v>1553.2580000000053</v>
      </c>
      <c r="R44" s="75">
        <f>Лист1!BE38</f>
        <v>-3385.5499999999993</v>
      </c>
      <c r="S44" s="1"/>
      <c r="T44" s="1"/>
    </row>
    <row r="45" spans="1:20" ht="12.75">
      <c r="A45" s="11" t="s">
        <v>41</v>
      </c>
      <c r="B45" s="84">
        <f>Лист1!B39</f>
        <v>2598.4</v>
      </c>
      <c r="C45" s="27">
        <f>B45*8.65</f>
        <v>22476.160000000003</v>
      </c>
      <c r="D45" s="28">
        <f>Лист1!D39</f>
        <v>2242.5700000000006</v>
      </c>
      <c r="E45" s="14">
        <f>Лист1!S39</f>
        <v>20233.589999999997</v>
      </c>
      <c r="F45" s="30">
        <f>Лист1!T39</f>
        <v>0</v>
      </c>
      <c r="G45" s="29">
        <f>Лист1!AB39</f>
        <v>21078.49</v>
      </c>
      <c r="H45" s="30">
        <f>Лист1!AC39</f>
        <v>23321.06</v>
      </c>
      <c r="I45" s="87">
        <f>Лист1!AF39</f>
        <v>150</v>
      </c>
      <c r="J45" s="29">
        <f>Лист1!AG39</f>
        <v>1559.04</v>
      </c>
      <c r="K45" s="14">
        <f>Лист1!AI39+Лист1!AJ39</f>
        <v>2598.4</v>
      </c>
      <c r="L45" s="14">
        <f>Лист1!AH39+Лист1!AK39+Лист1!AL39+Лист1!AM39+Лист1!AN39+Лист1!AO39+Лист1!AP39+Лист1!AQ39+Лист1!AR39</f>
        <v>8912.512</v>
      </c>
      <c r="M45" s="31">
        <f>Лист1!AS39+Лист1!AT39+Лист1!AU39+Лист1!AZ39+Лист1!BA39</f>
        <v>99.12</v>
      </c>
      <c r="N45" s="31">
        <f>Лист1!AX39</f>
        <v>792.4</v>
      </c>
      <c r="O45" s="30">
        <f>Лист1!BB39</f>
        <v>13961.472000000002</v>
      </c>
      <c r="P45" s="90">
        <f>Лист1!BC39</f>
        <v>37.5</v>
      </c>
      <c r="Q45" s="75">
        <f>Лист1!BD39</f>
        <v>9472.088</v>
      </c>
      <c r="R45" s="75">
        <f>Лист1!BE39</f>
        <v>844.9000000000051</v>
      </c>
      <c r="S45" s="1"/>
      <c r="T45" s="1"/>
    </row>
    <row r="46" spans="1:20" ht="12.75">
      <c r="A46" s="11" t="s">
        <v>42</v>
      </c>
      <c r="B46" s="84">
        <f>Лист1!B40</f>
        <v>2598.4</v>
      </c>
      <c r="C46" s="27">
        <f t="shared" si="5"/>
        <v>22476.160000000003</v>
      </c>
      <c r="D46" s="28">
        <f>Лист1!D40</f>
        <v>2242.5800000000063</v>
      </c>
      <c r="E46" s="14">
        <f>Лист1!S40</f>
        <v>20233.58</v>
      </c>
      <c r="F46" s="30">
        <f>Лист1!T40</f>
        <v>0</v>
      </c>
      <c r="G46" s="29">
        <f>Лист1!AB40</f>
        <v>19214.510000000002</v>
      </c>
      <c r="H46" s="30">
        <f>Лист1!AC40</f>
        <v>21457.090000000007</v>
      </c>
      <c r="I46" s="87">
        <f>Лист1!AF40</f>
        <v>150</v>
      </c>
      <c r="J46" s="29">
        <f>Лист1!AG40</f>
        <v>1559.04</v>
      </c>
      <c r="K46" s="14">
        <f>Лист1!AI40+Лист1!AJ40</f>
        <v>2598.4</v>
      </c>
      <c r="L46" s="14">
        <f>Лист1!AH40+Лист1!AK40+Лист1!AL40+Лист1!AM40+Лист1!AN40+Лист1!AO40+Лист1!AP40+Лист1!AQ40+Лист1!AR40</f>
        <v>8912.512</v>
      </c>
      <c r="M46" s="31">
        <f>Лист1!AS40+Лист1!AT40+Лист1!AU40+Лист1!AZ40+Лист1!BA40</f>
        <v>4123</v>
      </c>
      <c r="N46" s="31">
        <f>Лист1!AX40</f>
        <v>890.4</v>
      </c>
      <c r="O46" s="30">
        <f>Лист1!BB40</f>
        <v>18083.352000000003</v>
      </c>
      <c r="P46" s="90">
        <f>Лист1!BC40</f>
        <v>37.5</v>
      </c>
      <c r="Q46" s="75">
        <f>Лист1!BD40</f>
        <v>3486.238000000005</v>
      </c>
      <c r="R46" s="75">
        <f>Лист1!BE40</f>
        <v>-1019.0699999999997</v>
      </c>
      <c r="S46" s="1"/>
      <c r="T46" s="1"/>
    </row>
    <row r="47" spans="1:20" ht="13.5" thickBot="1">
      <c r="A47" s="32" t="s">
        <v>43</v>
      </c>
      <c r="B47" s="84">
        <f>Лист1!B41</f>
        <v>2598.4</v>
      </c>
      <c r="C47" s="33">
        <f t="shared" si="5"/>
        <v>22476.160000000003</v>
      </c>
      <c r="D47" s="28">
        <f>Лист1!D41</f>
        <v>2242.5800000000063</v>
      </c>
      <c r="E47" s="14">
        <f>Лист1!S41</f>
        <v>20233.58</v>
      </c>
      <c r="F47" s="30">
        <f>Лист1!T41</f>
        <v>0</v>
      </c>
      <c r="G47" s="29">
        <f>Лист1!AB41</f>
        <v>23081.620000000003</v>
      </c>
      <c r="H47" s="30">
        <f>Лист1!AC41</f>
        <v>25324.200000000008</v>
      </c>
      <c r="I47" s="87">
        <f>Лист1!AF41</f>
        <v>150</v>
      </c>
      <c r="J47" s="29">
        <f>Лист1!AG41</f>
        <v>1559.04</v>
      </c>
      <c r="K47" s="14">
        <f>Лист1!AI41+Лист1!AJ41</f>
        <v>2598.4</v>
      </c>
      <c r="L47" s="14">
        <f>Лист1!AH41+Лист1!AK41+Лист1!AL41+Лист1!AM41+Лист1!AN41+Лист1!AO41+Лист1!AP41+Лист1!AQ41+Лист1!AR41</f>
        <v>8912.512</v>
      </c>
      <c r="M47" s="31">
        <f>Лист1!AS41+Лист1!AT41+Лист1!AU41+Лист1!AZ41+Лист1!BA41</f>
        <v>3081</v>
      </c>
      <c r="N47" s="31">
        <f>Лист1!AX41</f>
        <v>1353.8</v>
      </c>
      <c r="O47" s="30">
        <f>Лист1!BB41</f>
        <v>17504.752</v>
      </c>
      <c r="P47" s="90">
        <f>Лист1!BC41</f>
        <v>37.5</v>
      </c>
      <c r="Q47" s="75">
        <f>Лист1!BD41</f>
        <v>7931.948000000008</v>
      </c>
      <c r="R47" s="75">
        <f>Лист1!BE41</f>
        <v>2848.040000000001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269693.16000000003</v>
      </c>
      <c r="D48" s="68">
        <f t="shared" si="6"/>
        <v>26926.94000000003</v>
      </c>
      <c r="E48" s="36">
        <f t="shared" si="6"/>
        <v>221541.22000000003</v>
      </c>
      <c r="F48" s="69">
        <f t="shared" si="6"/>
        <v>21225</v>
      </c>
      <c r="G48" s="68">
        <f t="shared" si="6"/>
        <v>208724.02</v>
      </c>
      <c r="H48" s="69">
        <f t="shared" si="6"/>
        <v>256875.96000000002</v>
      </c>
      <c r="I48" s="69">
        <f t="shared" si="6"/>
        <v>450</v>
      </c>
      <c r="J48" s="68">
        <f t="shared" si="6"/>
        <v>18707.040000000005</v>
      </c>
      <c r="K48" s="36">
        <f t="shared" si="6"/>
        <v>31178.40000000001</v>
      </c>
      <c r="L48" s="36">
        <f t="shared" si="6"/>
        <v>111069.13200000001</v>
      </c>
      <c r="M48" s="36">
        <f t="shared" si="6"/>
        <v>24919.9626</v>
      </c>
      <c r="N48" s="36">
        <f t="shared" si="6"/>
        <v>9105.599999999999</v>
      </c>
      <c r="O48" s="69">
        <f t="shared" si="6"/>
        <v>194980.13460000005</v>
      </c>
      <c r="P48" s="69">
        <f t="shared" si="6"/>
        <v>112.5</v>
      </c>
      <c r="Q48" s="76">
        <f t="shared" si="6"/>
        <v>62233.32540000003</v>
      </c>
      <c r="R48" s="76">
        <f t="shared" si="6"/>
        <v>-12817.199999999993</v>
      </c>
      <c r="S48" s="72"/>
      <c r="T48" s="72"/>
    </row>
    <row r="49" spans="1:20" ht="13.5" thickBot="1">
      <c r="A49" s="190" t="s">
        <v>70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606760.305</v>
      </c>
      <c r="D50" s="37">
        <f aca="true" t="shared" si="7" ref="D50:O50">D34+D48</f>
        <v>72351.04202200004</v>
      </c>
      <c r="E50" s="38">
        <f t="shared" si="7"/>
        <v>468023.6400000001</v>
      </c>
      <c r="F50" s="39">
        <f t="shared" si="7"/>
        <v>64649.91</v>
      </c>
      <c r="G50" s="37">
        <f t="shared" si="7"/>
        <v>440391.95999999996</v>
      </c>
      <c r="H50" s="39">
        <f t="shared" si="7"/>
        <v>577392.912022</v>
      </c>
      <c r="I50" s="39">
        <f t="shared" si="7"/>
        <v>450</v>
      </c>
      <c r="J50" s="37">
        <f t="shared" si="7"/>
        <v>41463.966</v>
      </c>
      <c r="K50" s="38">
        <f t="shared" si="7"/>
        <v>68829.13036558201</v>
      </c>
      <c r="L50" s="38">
        <f t="shared" si="7"/>
        <v>262512.2489970736</v>
      </c>
      <c r="M50" s="38">
        <f t="shared" si="7"/>
        <v>202194.60579999996</v>
      </c>
      <c r="N50" s="38">
        <f t="shared" si="7"/>
        <v>17261.1936</v>
      </c>
      <c r="O50" s="79">
        <f t="shared" si="7"/>
        <v>592261.1447626557</v>
      </c>
      <c r="P50" s="79">
        <f>P34+P48</f>
        <v>112.5</v>
      </c>
      <c r="Q50" s="78">
        <f>Q34+Q48</f>
        <v>-14530.732740655556</v>
      </c>
      <c r="R50" s="78">
        <f>R34+R48</f>
        <v>-27631.68</v>
      </c>
      <c r="S50" s="73"/>
      <c r="T50" s="72"/>
    </row>
    <row r="52" spans="1:20" ht="12.75">
      <c r="A52" s="20" t="s">
        <v>71</v>
      </c>
      <c r="D52" s="85" t="s">
        <v>92</v>
      </c>
      <c r="S52" s="1"/>
      <c r="T52" s="1"/>
    </row>
    <row r="53" spans="1:20" ht="12.75">
      <c r="A53" s="21" t="s">
        <v>72</v>
      </c>
      <c r="B53" s="21" t="s">
        <v>73</v>
      </c>
      <c r="C53" s="223" t="s">
        <v>74</v>
      </c>
      <c r="D53" s="223"/>
      <c r="S53" s="1"/>
      <c r="T53" s="1"/>
    </row>
    <row r="54" spans="1:20" ht="12.75">
      <c r="A54" s="133">
        <v>178721.6</v>
      </c>
      <c r="B54" s="133">
        <v>42208</v>
      </c>
      <c r="C54" s="221">
        <f>A54-B54</f>
        <v>136513.6</v>
      </c>
      <c r="D54" s="222"/>
      <c r="S54" s="1"/>
      <c r="T54" s="1"/>
    </row>
    <row r="55" spans="1:20" ht="12.75">
      <c r="A55" s="46"/>
      <c r="S55" s="1"/>
      <c r="T55" s="1"/>
    </row>
    <row r="56" spans="1:20" ht="12.75">
      <c r="A56" s="2" t="s">
        <v>77</v>
      </c>
      <c r="G56" s="2" t="s">
        <v>78</v>
      </c>
      <c r="S56" s="1"/>
      <c r="T56" s="1"/>
    </row>
    <row r="57" ht="12.75">
      <c r="A57" s="1"/>
    </row>
    <row r="58" ht="12.75">
      <c r="A58" s="1"/>
    </row>
    <row r="59" ht="12.75">
      <c r="A59" s="2" t="s">
        <v>88</v>
      </c>
    </row>
    <row r="60" ht="12.75">
      <c r="A60" s="2" t="s">
        <v>79</v>
      </c>
    </row>
  </sheetData>
  <sheetProtection/>
  <mergeCells count="29">
    <mergeCell ref="C54:D54"/>
    <mergeCell ref="O11:O12"/>
    <mergeCell ref="A33:Q33"/>
    <mergeCell ref="C53:D53"/>
    <mergeCell ref="I9:I12"/>
    <mergeCell ref="P9:P12"/>
    <mergeCell ref="J9:O10"/>
    <mergeCell ref="Q9:Q12"/>
    <mergeCell ref="A9:A12"/>
    <mergeCell ref="B9:B12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A49:Q49"/>
    <mergeCell ref="C9:C12"/>
    <mergeCell ref="D9:D12"/>
    <mergeCell ref="B1:H1"/>
    <mergeCell ref="B2:H2"/>
    <mergeCell ref="A8:D8"/>
    <mergeCell ref="E8:F8"/>
    <mergeCell ref="A5:Q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2011-04-12T03:27:13Z</dcterms:modified>
  <cp:category/>
  <cp:version/>
  <cp:contentType/>
  <cp:contentStatus/>
</cp:coreProperties>
</file>