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<sst xmlns="http://schemas.openxmlformats.org/spreadsheetml/2006/main" count="178" uniqueCount="94">
  <si>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</si>
  <si>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</si>
  <si>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</si>
  <si>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</si>
  <si>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</si>
  <si>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</si>
  <si>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</si>
  <si>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</si>
  <si>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</si>
  <si>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</si>
  <si>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</si>
  <si>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</si>
  <si>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</si>
  <si>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</si>
  <si>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</si>
  <si>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</si>
  <si>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</si>
  <si>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</si>
  <si>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</si>
  <si>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</si>
  <si>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</si>
  <si>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</si>
  <si>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</si>
  <si>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</si>
  <si>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</si>
  <si>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</si>
  <si>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</si>
  <si>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</si>
  <si>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</si>
  <si>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</si>
  <si>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</si>
  <si>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</si>
  <si>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</si>
  <si>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</si>
  <si>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</si>
  <si>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</si>
  <si>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</si>
  <si>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</si>
  <si>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</si>
  <si>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</si>
  <si>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</si>
  <si>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</si>
  <si>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</si>
  <si>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</si>
  <si>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</si>
  <si>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</si>
  <si>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</si>
  <si>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</si>
  <si>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</si>
  <si>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</si>
  <si>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</si>
  <si>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</si>
  <si>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</si>
  <si>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</si>
  <si>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</si>
  <si>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</si>
  <si>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</si>
  <si>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</si>
  <si>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</si>
  <si>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</si>
  <si>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</si>
  <si>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</si>
  <si>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</si>
  <si>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</si>
  <si>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</si>
  <si>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</si>
  <si>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</si>
  <si>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</si>
  <si>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</si>
  <si>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</si>
  <si>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</si>
  <si>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</si>
  <si>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</si>
  <si>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</si>
  <si>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</si>
  <si>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</si>
  <si>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</si>
  <si>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</si>
  <si>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</si>
  <si>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</si>
  <si>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</si>
  <si>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</si>
  <si>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</si>
  <si>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</si>
  <si>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</si>
  <si>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</si>
  <si>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</si>
  <si>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</si>
  <si>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</si>
  <si>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д.7</t>
  </si>
  <si>
    <t>Выписка по лицевому счету по адресу г. Таштагол ул. Поспелова, д. 7</t>
  </si>
  <si>
    <t>2010 год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</si>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</sst>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3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1">
          <cell r="I11">
            <v>3074.92542</v>
          </cell>
        </row>
        <row r="18">
          <cell r="I18">
            <v>1129.34024</v>
          </cell>
        </row>
        <row r="27">
          <cell r="I27">
            <v>1133.7345599999999</v>
          </cell>
        </row>
        <row r="29">
          <cell r="I29">
            <v>376.81293999999997</v>
          </cell>
        </row>
        <row r="40">
          <cell r="I40">
            <v>2770.61876</v>
          </cell>
        </row>
        <row r="83">
          <cell r="I83">
            <v>134.01676</v>
          </cell>
        </row>
        <row r="84">
          <cell r="I84">
            <v>134.01676</v>
          </cell>
        </row>
        <row r="85">
          <cell r="I85">
            <v>134.01676</v>
          </cell>
        </row>
        <row r="86">
          <cell r="I86">
            <v>134.01676</v>
          </cell>
        </row>
        <row r="87">
          <cell r="I87">
            <v>134.01676</v>
          </cell>
        </row>
      </sheetData>
      <sheetData sheetId="1">
        <row r="11">
          <cell r="I11">
            <v>3074.92542</v>
          </cell>
          <cell r="O11">
            <v>1465.61238</v>
          </cell>
        </row>
        <row r="18">
          <cell r="I18">
            <v>1129.34024</v>
          </cell>
          <cell r="O18">
            <v>538.2813600000001</v>
          </cell>
        </row>
        <row r="27">
          <cell r="I27">
            <v>1133.7345599999999</v>
          </cell>
          <cell r="O27">
            <v>540.37584</v>
          </cell>
        </row>
        <row r="29">
          <cell r="I29">
            <v>376.81293999999997</v>
          </cell>
          <cell r="O29">
            <v>179.60166</v>
          </cell>
        </row>
        <row r="40">
          <cell r="I40">
            <v>2770.61876</v>
          </cell>
          <cell r="O40">
            <v>1320.5696400000002</v>
          </cell>
        </row>
        <row r="83">
          <cell r="I83">
            <v>134.01676</v>
          </cell>
          <cell r="O83">
            <v>63.88164</v>
          </cell>
        </row>
        <row r="84">
          <cell r="I84">
            <v>134.01676</v>
          </cell>
          <cell r="O84">
            <v>63.88164</v>
          </cell>
        </row>
        <row r="85">
          <cell r="I85">
            <v>134.01676</v>
          </cell>
          <cell r="O85">
            <v>63.88164</v>
          </cell>
        </row>
        <row r="86">
          <cell r="I86">
            <v>134.01676</v>
          </cell>
          <cell r="O86">
            <v>63.88164</v>
          </cell>
        </row>
        <row r="87">
          <cell r="I87">
            <v>134.01676</v>
          </cell>
          <cell r="O87">
            <v>63.88164</v>
          </cell>
        </row>
      </sheetData>
      <sheetData sheetId="2">
        <row r="11">
          <cell r="I11">
            <v>3074.92542</v>
          </cell>
          <cell r="O11">
            <v>1465.61238</v>
          </cell>
        </row>
        <row r="18">
          <cell r="I18">
            <v>1129.34024</v>
          </cell>
          <cell r="O18">
            <v>538.2813600000001</v>
          </cell>
        </row>
        <row r="27">
          <cell r="I27">
            <v>1133.7345599999999</v>
          </cell>
          <cell r="O27">
            <v>540.37584</v>
          </cell>
        </row>
        <row r="29">
          <cell r="I29">
            <v>376.81293999999997</v>
          </cell>
          <cell r="O29">
            <v>179.60166</v>
          </cell>
        </row>
        <row r="40">
          <cell r="I40">
            <v>2770.61876</v>
          </cell>
          <cell r="O40">
            <v>1320.5696400000002</v>
          </cell>
        </row>
        <row r="84">
          <cell r="I84">
            <v>134.01676</v>
          </cell>
          <cell r="O84">
            <v>63.88164</v>
          </cell>
        </row>
        <row r="85">
          <cell r="I85">
            <v>134.01676</v>
          </cell>
          <cell r="O85">
            <v>63.88164</v>
          </cell>
        </row>
        <row r="86">
          <cell r="I86">
            <v>134.01676</v>
          </cell>
          <cell r="O86">
            <v>63.88164</v>
          </cell>
        </row>
        <row r="87">
          <cell r="I87">
            <v>134.01676</v>
          </cell>
          <cell r="O87">
            <v>63.88164</v>
          </cell>
        </row>
        <row r="88">
          <cell r="I88">
            <v>134.01676</v>
          </cell>
          <cell r="O88">
            <v>63.88164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0">
          <cell r="I10">
            <v>3074.92542</v>
          </cell>
        </row>
        <row r="17">
          <cell r="I17">
            <v>1129.34024</v>
          </cell>
        </row>
        <row r="25">
          <cell r="I25">
            <v>1133.7345599999999</v>
          </cell>
        </row>
        <row r="27">
          <cell r="I27">
            <v>376.81293999999997</v>
          </cell>
        </row>
        <row r="37">
          <cell r="I37">
            <v>2770.61876</v>
          </cell>
        </row>
      </sheetData>
      <sheetData sheetId="1">
        <row r="10">
          <cell r="I10">
            <v>3074.92542</v>
          </cell>
        </row>
        <row r="17">
          <cell r="I17">
            <v>1129.34024</v>
          </cell>
        </row>
        <row r="25">
          <cell r="I25">
            <v>1133.7345599999999</v>
          </cell>
        </row>
        <row r="27">
          <cell r="I27">
            <v>376.81293999999997</v>
          </cell>
        </row>
        <row r="37">
          <cell r="I37">
            <v>2770.61876</v>
          </cell>
        </row>
      </sheetData>
      <sheetData sheetId="6">
        <row r="11">
          <cell r="I11">
            <v>3074.92542</v>
          </cell>
        </row>
        <row r="18">
          <cell r="I18">
            <v>1129.34024</v>
          </cell>
        </row>
        <row r="26">
          <cell r="I26">
            <v>1133.7345599999999</v>
          </cell>
        </row>
        <row r="28">
          <cell r="I28">
            <v>376.81293999999997</v>
          </cell>
        </row>
        <row r="39">
          <cell r="I39">
            <v>2770.61876</v>
          </cell>
        </row>
        <row r="75">
          <cell r="I75">
            <v>134.01676</v>
          </cell>
        </row>
        <row r="76">
          <cell r="I76">
            <v>134.01676</v>
          </cell>
        </row>
        <row r="77">
          <cell r="I77">
            <v>134.01676</v>
          </cell>
        </row>
        <row r="78">
          <cell r="I78">
            <v>134.01676</v>
          </cell>
        </row>
        <row r="79">
          <cell r="I79">
            <v>134.01676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0">
          <cell r="O10">
            <v>1307.29311458</v>
          </cell>
        </row>
        <row r="17">
          <cell r="O17">
            <v>480.13913976000003</v>
          </cell>
        </row>
        <row r="25">
          <cell r="O25">
            <v>482.00738544000006</v>
          </cell>
        </row>
        <row r="27">
          <cell r="O27">
            <v>160.20206706</v>
          </cell>
        </row>
        <row r="37">
          <cell r="O37">
            <v>1177.92890124</v>
          </cell>
        </row>
      </sheetData>
      <sheetData sheetId="1">
        <row r="10">
          <cell r="O10">
            <v>1309.27009248</v>
          </cell>
        </row>
        <row r="17">
          <cell r="O17">
            <v>480.86089856</v>
          </cell>
        </row>
        <row r="25">
          <cell r="O25">
            <v>482.7319526400001</v>
          </cell>
        </row>
        <row r="27">
          <cell r="O27">
            <v>160.44288736</v>
          </cell>
        </row>
        <row r="37">
          <cell r="O37">
            <v>1179.69959744</v>
          </cell>
        </row>
      </sheetData>
      <sheetData sheetId="2">
        <row r="10">
          <cell r="O10">
            <v>1281.8087955899998</v>
          </cell>
        </row>
        <row r="17">
          <cell r="O17">
            <v>470.77507748000005</v>
          </cell>
        </row>
        <row r="25">
          <cell r="O25">
            <v>472.60688712</v>
          </cell>
        </row>
        <row r="27">
          <cell r="O27">
            <v>157.07767662999996</v>
          </cell>
        </row>
        <row r="37">
          <cell r="O37">
            <v>1154.95597802</v>
          </cell>
        </row>
      </sheetData>
      <sheetData sheetId="3">
        <row r="10">
          <cell r="I10">
            <v>3074.92542</v>
          </cell>
          <cell r="O10">
            <v>1318.37927004</v>
          </cell>
        </row>
        <row r="17">
          <cell r="I17">
            <v>1129.34024</v>
          </cell>
          <cell r="O17">
            <v>484.20646288000006</v>
          </cell>
        </row>
        <row r="25">
          <cell r="I25">
            <v>1133.7345599999999</v>
          </cell>
          <cell r="O25">
            <v>486.09053472000005</v>
          </cell>
        </row>
        <row r="27">
          <cell r="I27">
            <v>376.81293999999997</v>
          </cell>
          <cell r="O27">
            <v>161.55916028</v>
          </cell>
        </row>
        <row r="38">
          <cell r="I38">
            <v>2770.61876</v>
          </cell>
          <cell r="O38">
            <v>1187.9072951199998</v>
          </cell>
        </row>
      </sheetData>
      <sheetData sheetId="4">
        <row r="10">
          <cell r="O10">
            <v>1471.6127032460001</v>
          </cell>
        </row>
        <row r="17">
          <cell r="O17">
            <v>540.510894008</v>
          </cell>
        </row>
        <row r="25">
          <cell r="O25">
            <v>542.6258951520001</v>
          </cell>
        </row>
        <row r="27">
          <cell r="O27">
            <v>180.349498098</v>
          </cell>
        </row>
        <row r="38">
          <cell r="O38">
            <v>1326.068321292</v>
          </cell>
        </row>
      </sheetData>
      <sheetData sheetId="5">
        <row r="10">
          <cell r="I10">
            <v>3074.92542</v>
          </cell>
          <cell r="O10">
            <v>1393.25750226</v>
          </cell>
        </row>
        <row r="17">
          <cell r="I17">
            <v>1129.34024</v>
          </cell>
          <cell r="O17">
            <v>511.70729272000005</v>
          </cell>
        </row>
        <row r="25">
          <cell r="I25">
            <v>1133.7345599999999</v>
          </cell>
          <cell r="O25">
            <v>513.69837168</v>
          </cell>
        </row>
        <row r="27">
          <cell r="I27">
            <v>376.81293999999997</v>
          </cell>
          <cell r="O27">
            <v>170.73502082</v>
          </cell>
        </row>
        <row r="38">
          <cell r="I38">
            <v>2770.61876</v>
          </cell>
          <cell r="O38">
            <v>1255.37528428</v>
          </cell>
        </row>
      </sheetData>
      <sheetData sheetId="6">
        <row r="11">
          <cell r="O11">
            <v>1453.08478374</v>
          </cell>
        </row>
        <row r="18">
          <cell r="O18">
            <v>533.68029928</v>
          </cell>
        </row>
        <row r="26">
          <cell r="O26">
            <v>535.7568763200001</v>
          </cell>
        </row>
        <row r="28">
          <cell r="O28">
            <v>178.06648118</v>
          </cell>
        </row>
        <row r="39">
          <cell r="O39">
            <v>1309.2818237200001</v>
          </cell>
        </row>
        <row r="75">
          <cell r="O75">
            <v>63.33559971999999</v>
          </cell>
        </row>
        <row r="76">
          <cell r="O76">
            <v>63.33559971999999</v>
          </cell>
        </row>
        <row r="77">
          <cell r="O77">
            <v>63.33559971999999</v>
          </cell>
        </row>
        <row r="78">
          <cell r="O78">
            <v>63.33559971999999</v>
          </cell>
        </row>
        <row r="79">
          <cell r="O79">
            <v>63.33559971999999</v>
          </cell>
        </row>
      </sheetData>
      <sheetData sheetId="8">
        <row r="11">
          <cell r="O11">
            <v>1452.2048794638</v>
          </cell>
        </row>
        <row r="18">
          <cell r="O18">
            <v>533.3571332936</v>
          </cell>
        </row>
        <row r="26">
          <cell r="O26">
            <v>535.4324528784</v>
          </cell>
        </row>
        <row r="28">
          <cell r="O28">
            <v>177.9586543966</v>
          </cell>
        </row>
        <row r="39">
          <cell r="O39">
            <v>1308.4889982164</v>
          </cell>
        </row>
        <row r="76">
          <cell r="O76">
            <v>63.29724733639999</v>
          </cell>
        </row>
        <row r="77">
          <cell r="O77">
            <v>63.29724733639999</v>
          </cell>
        </row>
        <row r="78">
          <cell r="O78">
            <v>63.29724733639999</v>
          </cell>
        </row>
        <row r="79">
          <cell r="O79">
            <v>63.29724733639999</v>
          </cell>
        </row>
        <row r="80">
          <cell r="O80">
            <v>63.29724733639999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1">
          <cell r="O11">
            <v>1463.537054</v>
          </cell>
        </row>
        <row r="18">
          <cell r="O18">
            <v>537.529488</v>
          </cell>
        </row>
        <row r="27">
          <cell r="O27">
            <v>539.621272</v>
          </cell>
        </row>
        <row r="29">
          <cell r="O29">
            <v>179.370478</v>
          </cell>
        </row>
        <row r="40">
          <cell r="O40">
            <v>1318.716412</v>
          </cell>
        </row>
        <row r="83">
          <cell r="O83">
            <v>63.78761200000001</v>
          </cell>
        </row>
        <row r="84">
          <cell r="O84">
            <v>63.78761200000001</v>
          </cell>
        </row>
        <row r="85">
          <cell r="O85">
            <v>63.78761200000001</v>
          </cell>
        </row>
        <row r="86">
          <cell r="O86">
            <v>63.78761200000001</v>
          </cell>
        </row>
        <row r="87">
          <cell r="O87">
            <v>63.78761200000001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7"/>
      <sheetName val="Таштагол 08"/>
      <sheetName val="Таштагол 09"/>
      <sheetName val="Шерегеш 07"/>
      <sheetName val="Шерегеш 08"/>
      <sheetName val="Шерегеш 09"/>
      <sheetName val="Шалым 07"/>
      <sheetName val="Шалым 08"/>
      <sheetName val="Шалым 09"/>
    </sheetNames>
    <sheetDataSet>
      <sheetData sheetId="2">
        <row r="97">
          <cell r="BD97">
            <v>4326.102240068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1">
          <cell r="I11">
            <v>3074.92542</v>
          </cell>
        </row>
        <row r="18">
          <cell r="I18">
            <v>1129.34024</v>
          </cell>
        </row>
        <row r="27">
          <cell r="I27">
            <v>1133.7345599999999</v>
          </cell>
        </row>
        <row r="29">
          <cell r="I29">
            <v>376.81293999999997</v>
          </cell>
        </row>
        <row r="38">
          <cell r="I38">
            <v>2770.61876</v>
          </cell>
        </row>
        <row r="81">
          <cell r="I81">
            <v>134.01676</v>
          </cell>
        </row>
        <row r="82">
          <cell r="I82">
            <v>134.01676</v>
          </cell>
        </row>
        <row r="83">
          <cell r="I83">
            <v>134.01676</v>
          </cell>
        </row>
        <row r="84">
          <cell r="I84">
            <v>134.01676</v>
          </cell>
        </row>
        <row r="85">
          <cell r="I85">
            <v>134.01676</v>
          </cell>
        </row>
      </sheetData>
      <sheetData sheetId="2">
        <row r="11">
          <cell r="M11">
            <v>1463.877</v>
          </cell>
        </row>
        <row r="18">
          <cell r="M18">
            <v>537.644</v>
          </cell>
        </row>
        <row r="27">
          <cell r="M27">
            <v>539.736</v>
          </cell>
        </row>
        <row r="29">
          <cell r="M29">
            <v>179.38899999999998</v>
          </cell>
        </row>
        <row r="38">
          <cell r="M38">
            <v>1319.0059999999999</v>
          </cell>
        </row>
        <row r="82">
          <cell r="M82">
            <v>63.806</v>
          </cell>
        </row>
        <row r="83">
          <cell r="M83">
            <v>63.806</v>
          </cell>
        </row>
        <row r="84">
          <cell r="M84">
            <v>63.806</v>
          </cell>
        </row>
        <row r="85">
          <cell r="M85">
            <v>63.806</v>
          </cell>
        </row>
        <row r="86">
          <cell r="M86">
            <v>63.806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1">
          <cell r="I11">
            <v>3074.92542</v>
          </cell>
        </row>
        <row r="18">
          <cell r="I18">
            <v>1129.34024</v>
          </cell>
        </row>
        <row r="27">
          <cell r="I27">
            <v>1133.7345599999999</v>
          </cell>
        </row>
        <row r="29">
          <cell r="I29">
            <v>376.81293999999997</v>
          </cell>
        </row>
        <row r="38">
          <cell r="I38">
            <v>2770.61876</v>
          </cell>
        </row>
        <row r="82">
          <cell r="I82">
            <v>134.01676</v>
          </cell>
        </row>
        <row r="83">
          <cell r="I83">
            <v>134.01676</v>
          </cell>
        </row>
        <row r="84">
          <cell r="I84">
            <v>134.01676</v>
          </cell>
        </row>
        <row r="85">
          <cell r="I85">
            <v>134.01676</v>
          </cell>
        </row>
        <row r="86">
          <cell r="I86">
            <v>134.01676</v>
          </cell>
        </row>
      </sheetData>
      <sheetData sheetId="5">
        <row r="11">
          <cell r="M11">
            <v>1463.877</v>
          </cell>
        </row>
        <row r="18">
          <cell r="M18">
            <v>537.644</v>
          </cell>
        </row>
        <row r="27">
          <cell r="M27">
            <v>539.736</v>
          </cell>
        </row>
        <row r="29">
          <cell r="M29">
            <v>179.38899999999998</v>
          </cell>
        </row>
        <row r="38">
          <cell r="M38">
            <v>1319.0059999999999</v>
          </cell>
        </row>
        <row r="80">
          <cell r="M80">
            <v>63.806</v>
          </cell>
        </row>
        <row r="81">
          <cell r="M81">
            <v>63.806</v>
          </cell>
        </row>
        <row r="82">
          <cell r="M82">
            <v>63.806</v>
          </cell>
        </row>
        <row r="83">
          <cell r="M83">
            <v>63.806</v>
          </cell>
        </row>
        <row r="84">
          <cell r="M84">
            <v>63.806</v>
          </cell>
        </row>
        <row r="123">
          <cell r="M123">
            <v>783.8724</v>
          </cell>
        </row>
        <row r="126">
          <cell r="M126">
            <v>531.3679999999999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3">
        <row r="11">
          <cell r="M11">
            <v>1463.877</v>
          </cell>
        </row>
        <row r="18">
          <cell r="M18">
            <v>537.644</v>
          </cell>
        </row>
        <row r="27">
          <cell r="M27">
            <v>539.736</v>
          </cell>
        </row>
        <row r="29">
          <cell r="M29">
            <v>179.38899999999998</v>
          </cell>
        </row>
        <row r="38">
          <cell r="M38">
            <v>1319.0059999999999</v>
          </cell>
        </row>
        <row r="82">
          <cell r="M82">
            <v>63.806</v>
          </cell>
        </row>
        <row r="83">
          <cell r="M83">
            <v>63.806</v>
          </cell>
        </row>
        <row r="84">
          <cell r="M84">
            <v>63.806</v>
          </cell>
        </row>
        <row r="85">
          <cell r="M85">
            <v>63.806</v>
          </cell>
        </row>
        <row r="86">
          <cell r="M86">
            <v>63.806</v>
          </cell>
        </row>
        <row r="126">
          <cell r="M126">
            <v>783.8724</v>
          </cell>
        </row>
      </sheetData>
      <sheetData sheetId="4">
        <row r="11">
          <cell r="I11">
            <v>3074.92542</v>
          </cell>
          <cell r="M11">
            <v>1463.877</v>
          </cell>
        </row>
        <row r="18">
          <cell r="I18">
            <v>1129.34024</v>
          </cell>
          <cell r="M18">
            <v>537.644</v>
          </cell>
        </row>
        <row r="27">
          <cell r="I27">
            <v>1133.7345599999999</v>
          </cell>
          <cell r="M27">
            <v>539.736</v>
          </cell>
        </row>
        <row r="29">
          <cell r="I29">
            <v>376.81293999999997</v>
          </cell>
          <cell r="M29">
            <v>179.38899999999998</v>
          </cell>
        </row>
        <row r="38">
          <cell r="I38">
            <v>2770.61876</v>
          </cell>
          <cell r="M38">
            <v>1319.0059999999999</v>
          </cell>
        </row>
        <row r="82">
          <cell r="I82">
            <v>134.01676</v>
          </cell>
          <cell r="M82">
            <v>63.806</v>
          </cell>
        </row>
        <row r="83">
          <cell r="I83">
            <v>134.01676</v>
          </cell>
          <cell r="M83">
            <v>63.806</v>
          </cell>
        </row>
        <row r="84">
          <cell r="I84">
            <v>134.01676</v>
          </cell>
          <cell r="M84">
            <v>63.806</v>
          </cell>
        </row>
        <row r="85">
          <cell r="I85">
            <v>134.01676</v>
          </cell>
          <cell r="M85">
            <v>63.806</v>
          </cell>
        </row>
        <row r="86">
          <cell r="I86">
            <v>134.01676</v>
          </cell>
          <cell r="M86">
            <v>63.806</v>
          </cell>
        </row>
        <row r="126">
          <cell r="M126">
            <v>783.8724</v>
          </cell>
        </row>
        <row r="129">
          <cell r="I129">
            <v>5076.757895999999</v>
          </cell>
          <cell r="M129">
            <v>531.3679999999999</v>
          </cell>
        </row>
      </sheetData>
      <sheetData sheetId="5">
        <row r="11">
          <cell r="I11">
            <v>3074.92542</v>
          </cell>
        </row>
        <row r="18">
          <cell r="I18">
            <v>1129.34024</v>
          </cell>
        </row>
        <row r="27">
          <cell r="I27">
            <v>1133.7345599999999</v>
          </cell>
        </row>
        <row r="29">
          <cell r="I29">
            <v>376.81293999999997</v>
          </cell>
        </row>
        <row r="38">
          <cell r="I38">
            <v>2770.61876</v>
          </cell>
        </row>
        <row r="80">
          <cell r="I80">
            <v>134.01676</v>
          </cell>
        </row>
        <row r="81">
          <cell r="I81">
            <v>134.01676</v>
          </cell>
        </row>
        <row r="82">
          <cell r="I82">
            <v>134.01676</v>
          </cell>
        </row>
        <row r="83">
          <cell r="I83">
            <v>134.01676</v>
          </cell>
        </row>
        <row r="84">
          <cell r="I84">
            <v>134.01676</v>
          </cell>
        </row>
        <row r="123">
          <cell r="I123">
            <v>11683.255904</v>
          </cell>
        </row>
        <row r="126">
          <cell r="I126">
            <v>612.1287759999999</v>
          </cell>
        </row>
      </sheetData>
      <sheetData sheetId="6">
        <row r="10">
          <cell r="I10">
            <v>3074.92542</v>
          </cell>
          <cell r="M10">
            <v>1463.877</v>
          </cell>
        </row>
        <row r="17">
          <cell r="I17">
            <v>1129.34024</v>
          </cell>
          <cell r="M17">
            <v>537.644</v>
          </cell>
        </row>
        <row r="26">
          <cell r="I26">
            <v>1133.7345599999999</v>
          </cell>
          <cell r="M26">
            <v>539.736</v>
          </cell>
        </row>
        <row r="28">
          <cell r="I28">
            <v>376.81293999999997</v>
          </cell>
          <cell r="M28">
            <v>179.38899999999998</v>
          </cell>
        </row>
        <row r="37">
          <cell r="I37">
            <v>2770.61876</v>
          </cell>
          <cell r="M37">
            <v>1319.0059999999999</v>
          </cell>
        </row>
        <row r="79">
          <cell r="I79">
            <v>134.01676</v>
          </cell>
          <cell r="M79">
            <v>63.806</v>
          </cell>
        </row>
        <row r="80">
          <cell r="I80">
            <v>134.01676</v>
          </cell>
          <cell r="M80">
            <v>63.806</v>
          </cell>
        </row>
        <row r="81">
          <cell r="I81">
            <v>134.01676</v>
          </cell>
          <cell r="M81">
            <v>63.806</v>
          </cell>
        </row>
        <row r="82">
          <cell r="I82">
            <v>134.01676</v>
          </cell>
          <cell r="M82">
            <v>63.806</v>
          </cell>
        </row>
        <row r="83">
          <cell r="I83">
            <v>134.01676</v>
          </cell>
          <cell r="M83">
            <v>63.806</v>
          </cell>
        </row>
        <row r="122">
          <cell r="I122">
            <v>1947.2109839999998</v>
          </cell>
          <cell r="M122">
            <v>783.8724</v>
          </cell>
        </row>
        <row r="125">
          <cell r="I125">
            <v>612.1287759999999</v>
          </cell>
          <cell r="M125">
            <v>531.3679999999999</v>
          </cell>
        </row>
      </sheetData>
      <sheetData sheetId="8">
        <row r="10">
          <cell r="I10">
            <v>3074.92542</v>
          </cell>
        </row>
        <row r="17">
          <cell r="I17">
            <v>1129.34024</v>
          </cell>
        </row>
        <row r="26">
          <cell r="I26">
            <v>1133.7345599999999</v>
          </cell>
        </row>
        <row r="28">
          <cell r="I28">
            <v>376.81293999999997</v>
          </cell>
        </row>
        <row r="37">
          <cell r="I37">
            <v>2770.61876</v>
          </cell>
        </row>
        <row r="79">
          <cell r="I79">
            <v>134.01676</v>
          </cell>
        </row>
        <row r="80">
          <cell r="I80">
            <v>134.01676</v>
          </cell>
        </row>
        <row r="81">
          <cell r="I81">
            <v>134.01676</v>
          </cell>
        </row>
        <row r="82">
          <cell r="I82">
            <v>134.01676</v>
          </cell>
        </row>
        <row r="83">
          <cell r="I83">
            <v>134.01676</v>
          </cell>
        </row>
        <row r="123">
          <cell r="I123">
            <v>1947.2109839999998</v>
          </cell>
        </row>
        <row r="126">
          <cell r="I126">
            <v>2628.252792</v>
          </cell>
        </row>
      </sheetData>
      <sheetData sheetId="9">
        <row r="10">
          <cell r="I10">
            <v>3074.92542</v>
          </cell>
          <cell r="M10">
            <v>1463.877</v>
          </cell>
        </row>
        <row r="17">
          <cell r="I17">
            <v>1129.34024</v>
          </cell>
          <cell r="M17">
            <v>537.644</v>
          </cell>
        </row>
        <row r="26">
          <cell r="I26">
            <v>1133.7345599999999</v>
          </cell>
          <cell r="M26">
            <v>539.736</v>
          </cell>
        </row>
        <row r="28">
          <cell r="I28">
            <v>376.81293999999997</v>
          </cell>
          <cell r="M28">
            <v>179.38899999999998</v>
          </cell>
        </row>
        <row r="37">
          <cell r="I37">
            <v>2770.61876</v>
          </cell>
          <cell r="M37">
            <v>1319.0059999999999</v>
          </cell>
        </row>
        <row r="79">
          <cell r="I79">
            <v>134.01676</v>
          </cell>
          <cell r="M79">
            <v>63.806</v>
          </cell>
        </row>
        <row r="80">
          <cell r="I80">
            <v>134.01676</v>
          </cell>
          <cell r="M80">
            <v>63.806</v>
          </cell>
        </row>
        <row r="81">
          <cell r="I81">
            <v>134.01676</v>
          </cell>
          <cell r="M81">
            <v>63.806</v>
          </cell>
        </row>
        <row r="82">
          <cell r="I82">
            <v>134.01676</v>
          </cell>
          <cell r="M82">
            <v>63.806</v>
          </cell>
        </row>
        <row r="83">
          <cell r="I83">
            <v>134.01676</v>
          </cell>
          <cell r="M83">
            <v>63.806</v>
          </cell>
        </row>
        <row r="123">
          <cell r="I123">
            <v>1947.2109839999998</v>
          </cell>
          <cell r="M123">
            <v>783.8724</v>
          </cell>
        </row>
        <row r="126">
          <cell r="I126">
            <v>1116.15728</v>
          </cell>
          <cell r="M126">
            <v>531.3679999999999</v>
          </cell>
        </row>
      </sheetData>
      <sheetData sheetId="10">
        <row r="10">
          <cell r="I10">
            <v>3074.92542</v>
          </cell>
          <cell r="M10">
            <v>1463.877</v>
          </cell>
        </row>
        <row r="17">
          <cell r="I17">
            <v>1129.34024</v>
          </cell>
          <cell r="M17">
            <v>537.644</v>
          </cell>
        </row>
        <row r="26">
          <cell r="I26">
            <v>1133.7345599999999</v>
          </cell>
          <cell r="M26">
            <v>539.736</v>
          </cell>
        </row>
        <row r="28">
          <cell r="I28">
            <v>376.81293999999997</v>
          </cell>
          <cell r="M28">
            <v>179.38899999999998</v>
          </cell>
        </row>
        <row r="37">
          <cell r="I37">
            <v>2770.61876</v>
          </cell>
          <cell r="M37">
            <v>1319.0059999999999</v>
          </cell>
        </row>
        <row r="79">
          <cell r="I79">
            <v>134.01676</v>
          </cell>
          <cell r="M79">
            <v>63.806</v>
          </cell>
        </row>
        <row r="80">
          <cell r="I80">
            <v>134.01676</v>
          </cell>
          <cell r="M80">
            <v>63.806</v>
          </cell>
        </row>
        <row r="81">
          <cell r="I81">
            <v>134.01676</v>
          </cell>
          <cell r="M81">
            <v>63.806</v>
          </cell>
        </row>
        <row r="82">
          <cell r="I82">
            <v>134.01676</v>
          </cell>
          <cell r="M82">
            <v>63.806</v>
          </cell>
        </row>
        <row r="83">
          <cell r="I83">
            <v>134.01676</v>
          </cell>
          <cell r="M83">
            <v>63.806</v>
          </cell>
        </row>
        <row r="122">
          <cell r="I122">
            <v>1947.2109839999998</v>
          </cell>
          <cell r="M122">
            <v>783.8724</v>
          </cell>
        </row>
        <row r="125">
          <cell r="I125">
            <v>1116.15728</v>
          </cell>
          <cell r="M125">
            <v>531.3679999999999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B39" sqref="BB3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2.125" style="2" customWidth="1"/>
    <col min="4" max="4" width="10.375" style="2" customWidth="1"/>
    <col min="5" max="5" width="10.125" style="2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2.003906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41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2" t="s">
        <v>0</v>
      </c>
      <c r="B3" s="145" t="s">
        <v>1</v>
      </c>
      <c r="C3" s="145" t="s">
        <v>2</v>
      </c>
      <c r="D3" s="145" t="s">
        <v>3</v>
      </c>
      <c r="E3" s="148" t="s">
        <v>4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65" t="s">
        <v>5</v>
      </c>
      <c r="T3" s="165"/>
      <c r="U3" s="166" t="s">
        <v>6</v>
      </c>
      <c r="V3" s="166"/>
      <c r="W3" s="166"/>
      <c r="X3" s="166"/>
      <c r="Y3" s="166"/>
      <c r="Z3" s="166"/>
      <c r="AA3" s="166"/>
      <c r="AB3" s="166"/>
      <c r="AC3" s="168" t="s">
        <v>87</v>
      </c>
      <c r="AD3" s="168" t="s">
        <v>8</v>
      </c>
      <c r="AE3" s="171" t="s">
        <v>9</v>
      </c>
      <c r="AF3" s="178" t="s">
        <v>75</v>
      </c>
      <c r="AG3" s="181" t="s">
        <v>10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57" t="s">
        <v>76</v>
      </c>
      <c r="BD3" s="162" t="s">
        <v>11</v>
      </c>
      <c r="BE3" s="150" t="s">
        <v>12</v>
      </c>
    </row>
    <row r="4" spans="1:57" ht="36" customHeight="1" thickBot="1">
      <c r="A4" s="143"/>
      <c r="B4" s="146"/>
      <c r="C4" s="146"/>
      <c r="D4" s="146"/>
      <c r="E4" s="149" t="s">
        <v>13</v>
      </c>
      <c r="F4" s="149"/>
      <c r="G4" s="149" t="s">
        <v>14</v>
      </c>
      <c r="H4" s="149"/>
      <c r="I4" s="149" t="s">
        <v>15</v>
      </c>
      <c r="J4" s="149"/>
      <c r="K4" s="149" t="s">
        <v>16</v>
      </c>
      <c r="L4" s="149"/>
      <c r="M4" s="149" t="s">
        <v>17</v>
      </c>
      <c r="N4" s="149"/>
      <c r="O4" s="149" t="s">
        <v>18</v>
      </c>
      <c r="P4" s="149"/>
      <c r="Q4" s="149" t="s">
        <v>19</v>
      </c>
      <c r="R4" s="149"/>
      <c r="S4" s="149"/>
      <c r="T4" s="149"/>
      <c r="U4" s="167"/>
      <c r="V4" s="167"/>
      <c r="W4" s="167"/>
      <c r="X4" s="167"/>
      <c r="Y4" s="167"/>
      <c r="Z4" s="167"/>
      <c r="AA4" s="167"/>
      <c r="AB4" s="167"/>
      <c r="AC4" s="169"/>
      <c r="AD4" s="169"/>
      <c r="AE4" s="172"/>
      <c r="AF4" s="179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8"/>
      <c r="BD4" s="163"/>
      <c r="BE4" s="151"/>
    </row>
    <row r="5" spans="1:57" ht="29.25" customHeight="1" thickBot="1">
      <c r="A5" s="143"/>
      <c r="B5" s="146"/>
      <c r="C5" s="146"/>
      <c r="D5" s="146"/>
      <c r="E5" s="160" t="s">
        <v>20</v>
      </c>
      <c r="F5" s="160" t="s">
        <v>21</v>
      </c>
      <c r="G5" s="160" t="s">
        <v>20</v>
      </c>
      <c r="H5" s="160" t="s">
        <v>21</v>
      </c>
      <c r="I5" s="160" t="s">
        <v>20</v>
      </c>
      <c r="J5" s="160" t="s">
        <v>21</v>
      </c>
      <c r="K5" s="160" t="s">
        <v>20</v>
      </c>
      <c r="L5" s="160" t="s">
        <v>21</v>
      </c>
      <c r="M5" s="160" t="s">
        <v>20</v>
      </c>
      <c r="N5" s="160" t="s">
        <v>21</v>
      </c>
      <c r="O5" s="160" t="s">
        <v>20</v>
      </c>
      <c r="P5" s="160" t="s">
        <v>21</v>
      </c>
      <c r="Q5" s="160" t="s">
        <v>20</v>
      </c>
      <c r="R5" s="160" t="s">
        <v>21</v>
      </c>
      <c r="S5" s="160" t="s">
        <v>20</v>
      </c>
      <c r="T5" s="160" t="s">
        <v>21</v>
      </c>
      <c r="U5" s="174" t="s">
        <v>22</v>
      </c>
      <c r="V5" s="174" t="s">
        <v>23</v>
      </c>
      <c r="W5" s="174" t="s">
        <v>24</v>
      </c>
      <c r="X5" s="174" t="s">
        <v>25</v>
      </c>
      <c r="Y5" s="174" t="s">
        <v>26</v>
      </c>
      <c r="Z5" s="174" t="s">
        <v>27</v>
      </c>
      <c r="AA5" s="174" t="s">
        <v>28</v>
      </c>
      <c r="AB5" s="174" t="s">
        <v>29</v>
      </c>
      <c r="AC5" s="169"/>
      <c r="AD5" s="169"/>
      <c r="AE5" s="172"/>
      <c r="AF5" s="179"/>
      <c r="AG5" s="153" t="s">
        <v>30</v>
      </c>
      <c r="AH5" s="153" t="s">
        <v>31</v>
      </c>
      <c r="AI5" s="153" t="s">
        <v>32</v>
      </c>
      <c r="AJ5" s="153" t="s">
        <v>33</v>
      </c>
      <c r="AK5" s="153" t="s">
        <v>34</v>
      </c>
      <c r="AL5" s="153" t="s">
        <v>33</v>
      </c>
      <c r="AM5" s="153" t="s">
        <v>35</v>
      </c>
      <c r="AN5" s="153" t="s">
        <v>33</v>
      </c>
      <c r="AO5" s="153" t="s">
        <v>36</v>
      </c>
      <c r="AP5" s="153" t="s">
        <v>33</v>
      </c>
      <c r="AQ5" s="185" t="s">
        <v>80</v>
      </c>
      <c r="AR5" s="187" t="s">
        <v>33</v>
      </c>
      <c r="AS5" s="155" t="s">
        <v>81</v>
      </c>
      <c r="AT5" s="176" t="s">
        <v>82</v>
      </c>
      <c r="AU5" s="176" t="s">
        <v>33</v>
      </c>
      <c r="AV5" s="182" t="s">
        <v>83</v>
      </c>
      <c r="AW5" s="183"/>
      <c r="AX5" s="184"/>
      <c r="AY5" s="153" t="s">
        <v>19</v>
      </c>
      <c r="AZ5" s="153" t="s">
        <v>38</v>
      </c>
      <c r="BA5" s="153" t="s">
        <v>33</v>
      </c>
      <c r="BB5" s="153" t="s">
        <v>39</v>
      </c>
      <c r="BC5" s="158"/>
      <c r="BD5" s="163"/>
      <c r="BE5" s="151"/>
    </row>
    <row r="6" spans="1:57" ht="54" customHeight="1" thickBot="1">
      <c r="A6" s="144"/>
      <c r="B6" s="147"/>
      <c r="C6" s="147"/>
      <c r="D6" s="147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75"/>
      <c r="V6" s="175"/>
      <c r="W6" s="175"/>
      <c r="X6" s="175"/>
      <c r="Y6" s="175"/>
      <c r="Z6" s="175"/>
      <c r="AA6" s="175"/>
      <c r="AB6" s="175"/>
      <c r="AC6" s="170"/>
      <c r="AD6" s="170"/>
      <c r="AE6" s="173"/>
      <c r="AF6" s="180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86"/>
      <c r="AR6" s="188"/>
      <c r="AS6" s="156"/>
      <c r="AT6" s="177"/>
      <c r="AU6" s="177"/>
      <c r="AV6" s="120" t="s">
        <v>84</v>
      </c>
      <c r="AW6" s="120" t="s">
        <v>85</v>
      </c>
      <c r="AX6" s="120" t="s">
        <v>86</v>
      </c>
      <c r="AY6" s="154"/>
      <c r="AZ6" s="154"/>
      <c r="BA6" s="154"/>
      <c r="BB6" s="154"/>
      <c r="BC6" s="159"/>
      <c r="BD6" s="164"/>
      <c r="BE6" s="152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5567.2</v>
      </c>
      <c r="C9" s="105">
        <f>B9*8.65</f>
        <v>48156.28</v>
      </c>
      <c r="D9" s="106">
        <f>C9*0.24088</f>
        <v>11599.8847264</v>
      </c>
      <c r="E9" s="107">
        <v>3859.07</v>
      </c>
      <c r="F9" s="107">
        <v>806.59</v>
      </c>
      <c r="G9" s="107">
        <v>5209.81</v>
      </c>
      <c r="H9" s="107">
        <v>1088.92</v>
      </c>
      <c r="I9" s="107">
        <v>12542.02</v>
      </c>
      <c r="J9" s="107">
        <v>2621.46</v>
      </c>
      <c r="K9" s="107">
        <v>8682.98</v>
      </c>
      <c r="L9" s="107">
        <v>1814.87</v>
      </c>
      <c r="M9" s="107">
        <v>3087.25</v>
      </c>
      <c r="N9" s="107">
        <v>645.27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33381.130000000005</v>
      </c>
      <c r="T9" s="108">
        <f>P9+N9+L9+J9+H9+F9+R9</f>
        <v>6977.110000000001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109">
        <v>0</v>
      </c>
      <c r="AA9" s="109">
        <v>0</v>
      </c>
      <c r="AB9" s="109">
        <f>SUM(U9:AA9)</f>
        <v>0</v>
      </c>
      <c r="AC9" s="110">
        <f>D9+T9+AB9</f>
        <v>18576.9947264</v>
      </c>
      <c r="AD9" s="111">
        <f>P9+Z9</f>
        <v>0</v>
      </c>
      <c r="AE9" s="102">
        <f>R9+AA9</f>
        <v>0</v>
      </c>
      <c r="AF9" s="102"/>
      <c r="AG9" s="16">
        <f>0.6*B9</f>
        <v>3340.3199999999997</v>
      </c>
      <c r="AH9" s="16">
        <f>B9*0.2*1.05826</f>
        <v>1178.3090144</v>
      </c>
      <c r="AI9" s="16">
        <f>0.8518*B9-0.1</f>
        <v>4742.040959999999</v>
      </c>
      <c r="AJ9" s="16">
        <f>AI9*0.18</f>
        <v>853.5673727999998</v>
      </c>
      <c r="AK9" s="16">
        <f>1.04*B9*0.9531</f>
        <v>5518.342252799999</v>
      </c>
      <c r="AL9" s="16">
        <f>AK9*0.18</f>
        <v>993.3016055039998</v>
      </c>
      <c r="AM9" s="16">
        <f>(1.91)*B9*0.9531</f>
        <v>10134.6477912</v>
      </c>
      <c r="AN9" s="16">
        <f>AM9*0.18</f>
        <v>1824.2366024159999</v>
      </c>
      <c r="AO9" s="16"/>
      <c r="AP9" s="16">
        <f>AO9*0.18</f>
        <v>0</v>
      </c>
      <c r="AQ9" s="16"/>
      <c r="AR9" s="16"/>
      <c r="AS9" s="97">
        <v>9122.88</v>
      </c>
      <c r="AT9" s="97"/>
      <c r="AU9" s="48">
        <f>AS9*0.18</f>
        <v>1642.1183999999998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39349.76399912</v>
      </c>
      <c r="BC9" s="14">
        <v>0</v>
      </c>
      <c r="BD9" s="14">
        <f>AC9-BB9</f>
        <v>-20772.769272719997</v>
      </c>
      <c r="BE9" s="30">
        <f>AB9-S9</f>
        <v>-33381.130000000005</v>
      </c>
    </row>
    <row r="10" spans="1:57" ht="12.75">
      <c r="A10" s="11" t="s">
        <v>42</v>
      </c>
      <c r="B10" s="104">
        <v>5567.2</v>
      </c>
      <c r="C10" s="105">
        <f>B10*8.65</f>
        <v>48156.28</v>
      </c>
      <c r="D10" s="106">
        <f>C10*0.24088</f>
        <v>11599.8847264</v>
      </c>
      <c r="E10" s="107">
        <v>3727.85</v>
      </c>
      <c r="F10" s="107">
        <v>767.77</v>
      </c>
      <c r="G10" s="107">
        <v>5032.5</v>
      </c>
      <c r="H10" s="107">
        <v>1036.5</v>
      </c>
      <c r="I10" s="107">
        <v>12115.59</v>
      </c>
      <c r="J10" s="107">
        <v>2495.16</v>
      </c>
      <c r="K10" s="107">
        <v>8387.67</v>
      </c>
      <c r="L10" s="107">
        <v>1727.47</v>
      </c>
      <c r="M10" s="107">
        <v>2982.28</v>
      </c>
      <c r="N10" s="107">
        <v>614.19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32245.89</v>
      </c>
      <c r="T10" s="108">
        <f>P10+N10+L10+J10+H10+F10+R10</f>
        <v>6641.09</v>
      </c>
      <c r="U10" s="91">
        <v>2747.48</v>
      </c>
      <c r="V10" s="91">
        <v>3709.14</v>
      </c>
      <c r="W10" s="91">
        <v>9413.14</v>
      </c>
      <c r="X10" s="91">
        <v>6181.84</v>
      </c>
      <c r="Y10" s="91">
        <v>2198</v>
      </c>
      <c r="Z10" s="109">
        <v>0</v>
      </c>
      <c r="AA10" s="109">
        <v>0</v>
      </c>
      <c r="AB10" s="112">
        <f>SUM(U10:AA10)</f>
        <v>24249.6</v>
      </c>
      <c r="AC10" s="113">
        <f>D10+T10+AB10</f>
        <v>42490.574726399995</v>
      </c>
      <c r="AD10" s="102">
        <f>P10+Z10</f>
        <v>0</v>
      </c>
      <c r="AE10" s="102">
        <f>R10+AA10</f>
        <v>0</v>
      </c>
      <c r="AF10" s="102"/>
      <c r="AG10" s="16">
        <f>0.6*B10</f>
        <v>3340.3199999999997</v>
      </c>
      <c r="AH10" s="16">
        <f>B10*0.201+0.42</f>
        <v>1119.4272</v>
      </c>
      <c r="AI10" s="16">
        <f>0.8518*B10-0.01</f>
        <v>4742.1309599999995</v>
      </c>
      <c r="AJ10" s="16">
        <f>AI10*0.18</f>
        <v>853.5835727999998</v>
      </c>
      <c r="AK10" s="16">
        <f>1.04*B10*0.9531</f>
        <v>5518.342252799999</v>
      </c>
      <c r="AL10" s="16">
        <f>AK10*0.18</f>
        <v>993.3016055039998</v>
      </c>
      <c r="AM10" s="16">
        <f>(1.91)*B10*0.9531</f>
        <v>10134.6477912</v>
      </c>
      <c r="AN10" s="16">
        <f>AM10*0.18</f>
        <v>1824.2366024159999</v>
      </c>
      <c r="AO10" s="16"/>
      <c r="AP10" s="16">
        <f>AO10*0.18</f>
        <v>0</v>
      </c>
      <c r="AQ10" s="16"/>
      <c r="AR10" s="16"/>
      <c r="AS10" s="97">
        <v>17445</v>
      </c>
      <c r="AT10" s="97"/>
      <c r="AU10" s="48">
        <f>AS10*0.18</f>
        <v>3140.1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49111.08998472</v>
      </c>
      <c r="BC10" s="14">
        <v>0</v>
      </c>
      <c r="BD10" s="14">
        <f>AC10-BB10</f>
        <v>-6620.515258320003</v>
      </c>
      <c r="BE10" s="30">
        <f>AB10-S10</f>
        <v>-7996.290000000001</v>
      </c>
    </row>
    <row r="11" spans="1:57" ht="12.75">
      <c r="A11" s="11" t="s">
        <v>43</v>
      </c>
      <c r="B11" s="104">
        <v>5567.2</v>
      </c>
      <c r="C11" s="105">
        <f>B11*8.65</f>
        <v>48156.28</v>
      </c>
      <c r="D11" s="106">
        <f>C11*0.24035</f>
        <v>11574.361898</v>
      </c>
      <c r="E11" s="107">
        <v>3757.51</v>
      </c>
      <c r="F11" s="107">
        <v>776.68</v>
      </c>
      <c r="G11" s="107">
        <v>5072.62</v>
      </c>
      <c r="H11" s="107">
        <v>1048.53</v>
      </c>
      <c r="I11" s="107">
        <v>12212.01</v>
      </c>
      <c r="J11" s="107">
        <v>2524.19</v>
      </c>
      <c r="K11" s="107">
        <v>8454.43</v>
      </c>
      <c r="L11" s="107">
        <v>1747.55</v>
      </c>
      <c r="M11" s="107">
        <v>3005.96</v>
      </c>
      <c r="N11" s="107">
        <v>621.33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32502.53</v>
      </c>
      <c r="T11" s="108">
        <f>P11+N11+L11+J11+H11+F11+R11</f>
        <v>6718.28</v>
      </c>
      <c r="U11" s="91">
        <v>4513.82</v>
      </c>
      <c r="V11" s="91">
        <v>6093.53</v>
      </c>
      <c r="W11" s="91">
        <v>14175.84</v>
      </c>
      <c r="X11" s="91">
        <v>10155.97</v>
      </c>
      <c r="Y11" s="91">
        <v>3610.95</v>
      </c>
      <c r="Z11" s="109">
        <v>0</v>
      </c>
      <c r="AA11" s="109">
        <v>0</v>
      </c>
      <c r="AB11" s="112">
        <f>SUM(U11:AA11)</f>
        <v>38550.10999999999</v>
      </c>
      <c r="AC11" s="113">
        <f>D11+T11+AB11</f>
        <v>56842.75189799999</v>
      </c>
      <c r="AD11" s="102">
        <f>P11+Z11</f>
        <v>0</v>
      </c>
      <c r="AE11" s="102">
        <f>R11+AA11</f>
        <v>0</v>
      </c>
      <c r="AF11" s="102"/>
      <c r="AG11" s="16">
        <f>0.6*B11</f>
        <v>3340.3199999999997</v>
      </c>
      <c r="AH11" s="16">
        <f>B11*0.2*1.02524-0.01</f>
        <v>1141.5332256</v>
      </c>
      <c r="AI11" s="16">
        <f>0.84932*B11</f>
        <v>4728.334304</v>
      </c>
      <c r="AJ11" s="16">
        <f>AI11*0.18</f>
        <v>851.1001747199999</v>
      </c>
      <c r="AK11" s="16">
        <f>1.04*B11*0.95033</f>
        <v>5502.30426304</v>
      </c>
      <c r="AL11" s="16">
        <f>AK11*0.18</f>
        <v>990.4147673471999</v>
      </c>
      <c r="AM11" s="16">
        <f>(1.91)*B11*0.95033-0.1</f>
        <v>10105.093406159998</v>
      </c>
      <c r="AN11" s="16">
        <f>AM11*0.18</f>
        <v>1818.9168131087997</v>
      </c>
      <c r="AO11" s="16"/>
      <c r="AP11" s="16">
        <f>AO11*0.18</f>
        <v>0</v>
      </c>
      <c r="AQ11" s="16"/>
      <c r="AR11" s="16"/>
      <c r="AS11" s="97">
        <v>14936</v>
      </c>
      <c r="AT11" s="97"/>
      <c r="AU11" s="48">
        <f>AS11*0.18</f>
        <v>2688.48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46102.496953976</v>
      </c>
      <c r="BC11" s="14">
        <v>0</v>
      </c>
      <c r="BD11" s="14">
        <f>AC11-BB11</f>
        <v>10740.254944023989</v>
      </c>
      <c r="BE11" s="30">
        <f>AB11-S11</f>
        <v>6047.5799999999945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144468.84</v>
      </c>
      <c r="D12" s="60">
        <f t="shared" si="1"/>
        <v>34774.1313508</v>
      </c>
      <c r="E12" s="57">
        <f>SUM(E9:E11)</f>
        <v>11344.43</v>
      </c>
      <c r="F12" s="57">
        <f t="shared" si="1"/>
        <v>2351.04</v>
      </c>
      <c r="G12" s="57">
        <f t="shared" si="1"/>
        <v>15314.93</v>
      </c>
      <c r="H12" s="57">
        <f t="shared" si="1"/>
        <v>3173.95</v>
      </c>
      <c r="I12" s="57">
        <f t="shared" si="1"/>
        <v>36869.62</v>
      </c>
      <c r="J12" s="57">
        <f t="shared" si="1"/>
        <v>7640.8099999999995</v>
      </c>
      <c r="K12" s="57">
        <f t="shared" si="1"/>
        <v>25525.08</v>
      </c>
      <c r="L12" s="57">
        <f t="shared" si="1"/>
        <v>5289.89</v>
      </c>
      <c r="M12" s="57">
        <f t="shared" si="1"/>
        <v>9075.490000000002</v>
      </c>
      <c r="N12" s="57">
        <f t="shared" si="1"/>
        <v>1880.79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98129.55</v>
      </c>
      <c r="T12" s="57">
        <f t="shared" si="1"/>
        <v>20336.48</v>
      </c>
      <c r="U12" s="61">
        <f t="shared" si="1"/>
        <v>7261.299999999999</v>
      </c>
      <c r="V12" s="61">
        <f t="shared" si="1"/>
        <v>9802.67</v>
      </c>
      <c r="W12" s="61">
        <f t="shared" si="1"/>
        <v>23588.98</v>
      </c>
      <c r="X12" s="61">
        <f t="shared" si="1"/>
        <v>16337.81</v>
      </c>
      <c r="Y12" s="61">
        <f t="shared" si="1"/>
        <v>5808.95</v>
      </c>
      <c r="Z12" s="61">
        <f t="shared" si="1"/>
        <v>0</v>
      </c>
      <c r="AA12" s="61">
        <f t="shared" si="1"/>
        <v>0</v>
      </c>
      <c r="AB12" s="61">
        <f t="shared" si="1"/>
        <v>62799.70999999999</v>
      </c>
      <c r="AC12" s="61">
        <f t="shared" si="1"/>
        <v>117910.32135079999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10020.96</v>
      </c>
      <c r="AH12" s="18">
        <f t="shared" si="1"/>
        <v>3439.26944</v>
      </c>
      <c r="AI12" s="18">
        <f t="shared" si="1"/>
        <v>14212.506223999999</v>
      </c>
      <c r="AJ12" s="18">
        <f t="shared" si="1"/>
        <v>2558.2511203199997</v>
      </c>
      <c r="AK12" s="18">
        <f t="shared" si="1"/>
        <v>16538.988768639996</v>
      </c>
      <c r="AL12" s="18">
        <f t="shared" si="1"/>
        <v>2977.0179783551994</v>
      </c>
      <c r="AM12" s="18">
        <f>SUM(AM9:AM11)</f>
        <v>30374.388988559997</v>
      </c>
      <c r="AN12" s="18">
        <f>SUM(AN9:AN11)</f>
        <v>5467.390017940799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41503.88</v>
      </c>
      <c r="AT12" s="18">
        <f>SUM(AT9:AT11)</f>
        <v>0</v>
      </c>
      <c r="AU12" s="18">
        <f>SUM(AU9:AU11)</f>
        <v>7470.698399999999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134563.350937816</v>
      </c>
      <c r="BC12" s="18">
        <f t="shared" si="1"/>
        <v>0</v>
      </c>
      <c r="BD12" s="18">
        <f t="shared" si="1"/>
        <v>-16653.02958701601</v>
      </c>
      <c r="BE12" s="19">
        <f t="shared" si="1"/>
        <v>-35329.84000000001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5585.1</v>
      </c>
      <c r="C14" s="105">
        <f>B14*8.65</f>
        <v>48311.115000000005</v>
      </c>
      <c r="D14" s="106">
        <f>C14*0.125</f>
        <v>6038.889375000001</v>
      </c>
      <c r="E14" s="107">
        <v>3811.73</v>
      </c>
      <c r="F14" s="107">
        <v>785.18</v>
      </c>
      <c r="G14" s="107">
        <v>5145.82</v>
      </c>
      <c r="H14" s="107">
        <v>1060.01</v>
      </c>
      <c r="I14" s="107">
        <v>12388.21</v>
      </c>
      <c r="J14" s="107">
        <v>2551.81</v>
      </c>
      <c r="K14" s="107">
        <v>8576.45</v>
      </c>
      <c r="L14" s="107">
        <v>1766.67</v>
      </c>
      <c r="M14" s="107">
        <v>3049.39</v>
      </c>
      <c r="N14" s="107">
        <v>628.13</v>
      </c>
      <c r="O14" s="107">
        <v>0</v>
      </c>
      <c r="P14" s="114">
        <v>0</v>
      </c>
      <c r="Q14" s="107">
        <v>0</v>
      </c>
      <c r="R14" s="114">
        <v>0</v>
      </c>
      <c r="S14" s="91">
        <f aca="true" t="shared" si="2" ref="S14:S19">E14+G14+I14+K14+M14+O14+Q14</f>
        <v>32971.6</v>
      </c>
      <c r="T14" s="108">
        <f aca="true" t="shared" si="3" ref="T14:T19">P14+N14+L14+J14+H14+F14+R14</f>
        <v>6791.800000000001</v>
      </c>
      <c r="U14" s="91">
        <v>2705.32</v>
      </c>
      <c r="V14" s="91">
        <v>3690.42</v>
      </c>
      <c r="W14" s="91">
        <v>8905.73</v>
      </c>
      <c r="X14" s="91">
        <v>6131.22</v>
      </c>
      <c r="Y14" s="91">
        <v>2176.05</v>
      </c>
      <c r="Z14" s="109">
        <v>0</v>
      </c>
      <c r="AA14" s="109">
        <v>0</v>
      </c>
      <c r="AB14" s="116">
        <f>SUM(U14:AA14)</f>
        <v>23608.739999999998</v>
      </c>
      <c r="AC14" s="113">
        <f aca="true" t="shared" si="4" ref="AC14:AC22">D14+T14+AB14</f>
        <v>36439.429375</v>
      </c>
      <c r="AD14" s="102">
        <f aca="true" t="shared" si="5" ref="AD14:AD19">P14+Z14</f>
        <v>0</v>
      </c>
      <c r="AE14" s="102">
        <f aca="true" t="shared" si="6" ref="AE14:AE19">R14+AA14</f>
        <v>0</v>
      </c>
      <c r="AF14" s="102">
        <f>'[2]Т01-09'!$I$10+'[2]Т01-09'!$I$17+'[2]Т01-09'!$I$25+'[2]Т01-09'!$I$27+'[2]Т01-09'!$I$37</f>
        <v>8485.431919999999</v>
      </c>
      <c r="AG14" s="16">
        <f>0.6*B14*0.9</f>
        <v>3015.954</v>
      </c>
      <c r="AH14" s="16">
        <f>B14*0.2*0.891</f>
        <v>995.2648200000002</v>
      </c>
      <c r="AI14" s="16">
        <f>0.85*B14*0.867-0.02</f>
        <v>4115.9194449999995</v>
      </c>
      <c r="AJ14" s="16">
        <f aca="true" t="shared" si="7" ref="AJ14:AJ19">AI14*0.18</f>
        <v>740.8655000999998</v>
      </c>
      <c r="AK14" s="16">
        <f>0.83*B14*0.8686</f>
        <v>4026.5108238</v>
      </c>
      <c r="AL14" s="16">
        <f aca="true" t="shared" si="8" ref="AL14:AL19">AK14*0.18</f>
        <v>724.7719482839999</v>
      </c>
      <c r="AM14" s="16">
        <f>1.91*B14*0.8686</f>
        <v>9265.826112600002</v>
      </c>
      <c r="AN14" s="16">
        <f aca="true" t="shared" si="9" ref="AN14:AN19">AM14*0.18</f>
        <v>1667.8487002680001</v>
      </c>
      <c r="AO14" s="16"/>
      <c r="AP14" s="16">
        <f>AO14*0.18</f>
        <v>0</v>
      </c>
      <c r="AQ14" s="117"/>
      <c r="AR14" s="117">
        <f>AQ14*0.18</f>
        <v>0</v>
      </c>
      <c r="AS14" s="97">
        <v>7570</v>
      </c>
      <c r="AT14" s="97"/>
      <c r="AU14" s="97">
        <f>(AS14+AT14)*0.18+0.01</f>
        <v>1362.61</v>
      </c>
      <c r="AV14" s="118">
        <v>508</v>
      </c>
      <c r="AW14" s="119">
        <v>3.75</v>
      </c>
      <c r="AX14" s="16">
        <f>AV14*AW14*1.12*1.18</f>
        <v>2517.648</v>
      </c>
      <c r="AY14" s="121"/>
      <c r="AZ14" s="122"/>
      <c r="BA14" s="122">
        <f aca="true" t="shared" si="10" ref="BA14:BA19">AZ14*0.18</f>
        <v>0</v>
      </c>
      <c r="BB14" s="122">
        <f>SUM(AG14:AU14)</f>
        <v>33485.571350052</v>
      </c>
      <c r="BC14" s="132">
        <f>'[3]Т01-09'!$O$10+'[3]Т01-09'!$O$17+'[3]Т01-09'!$O$25+'[3]Т01-09'!$O$27+'[3]Т01-09'!$O$37</f>
        <v>3607.57060808</v>
      </c>
      <c r="BD14" s="14">
        <f>AC14+AF14-BB14-BC14</f>
        <v>7831.7193368679955</v>
      </c>
      <c r="BE14" s="30">
        <f>AB14-S14</f>
        <v>-9362.86</v>
      </c>
    </row>
    <row r="15" spans="1:57" ht="12.75">
      <c r="A15" s="11" t="s">
        <v>46</v>
      </c>
      <c r="B15" s="115">
        <v>5585.1</v>
      </c>
      <c r="C15" s="105">
        <f>B15*8.65</f>
        <v>48311.115000000005</v>
      </c>
      <c r="D15" s="106">
        <f>C15*0.125</f>
        <v>6038.889375000001</v>
      </c>
      <c r="E15" s="107">
        <v>3584.94</v>
      </c>
      <c r="F15" s="107">
        <v>801.14</v>
      </c>
      <c r="G15" s="107">
        <v>4839.63</v>
      </c>
      <c r="H15" s="107">
        <v>1081.56</v>
      </c>
      <c r="I15" s="107">
        <v>11651.12</v>
      </c>
      <c r="J15" s="107">
        <v>2603.68</v>
      </c>
      <c r="K15" s="107">
        <v>8066.14</v>
      </c>
      <c r="L15" s="107">
        <v>1802.58</v>
      </c>
      <c r="M15" s="107">
        <v>2867.89</v>
      </c>
      <c r="N15" s="107">
        <v>640.9</v>
      </c>
      <c r="O15" s="107">
        <v>0</v>
      </c>
      <c r="P15" s="114">
        <v>0</v>
      </c>
      <c r="Q15" s="107">
        <v>0</v>
      </c>
      <c r="R15" s="114">
        <v>0</v>
      </c>
      <c r="S15" s="91">
        <f t="shared" si="2"/>
        <v>31009.72</v>
      </c>
      <c r="T15" s="108">
        <f t="shared" si="3"/>
        <v>6929.86</v>
      </c>
      <c r="U15" s="91">
        <v>3277.35</v>
      </c>
      <c r="V15" s="91">
        <v>4410.31</v>
      </c>
      <c r="W15" s="91">
        <v>10617.41</v>
      </c>
      <c r="X15" s="91">
        <v>7350.55</v>
      </c>
      <c r="Y15" s="91">
        <v>2613.54</v>
      </c>
      <c r="Z15" s="109">
        <v>0</v>
      </c>
      <c r="AA15" s="109">
        <v>0</v>
      </c>
      <c r="AB15" s="112">
        <f>SUM(U15:AA15)</f>
        <v>28269.16</v>
      </c>
      <c r="AC15" s="113">
        <f t="shared" si="4"/>
        <v>41237.909375</v>
      </c>
      <c r="AD15" s="102">
        <f t="shared" si="5"/>
        <v>0</v>
      </c>
      <c r="AE15" s="102">
        <f t="shared" si="6"/>
        <v>0</v>
      </c>
      <c r="AF15" s="102">
        <f>'[2]Т02-09'!$I$10+'[2]Т02-09'!$I$17+'[2]Т02-09'!$I$25+'[2]Т02-09'!$I$27+'[2]Т02-09'!$I$37</f>
        <v>8485.431919999999</v>
      </c>
      <c r="AG15" s="16">
        <f>0.6*B15*0.9</f>
        <v>3015.954</v>
      </c>
      <c r="AH15" s="16">
        <f>B15*0.2*0.9153</f>
        <v>1022.4084060000002</v>
      </c>
      <c r="AI15" s="16">
        <f>0.85*B15*0.866</f>
        <v>4111.19211</v>
      </c>
      <c r="AJ15" s="16">
        <f t="shared" si="7"/>
        <v>740.0145798</v>
      </c>
      <c r="AK15" s="16">
        <f>0.83*B15*0.8684</f>
        <v>4025.5836971999997</v>
      </c>
      <c r="AL15" s="16">
        <f t="shared" si="8"/>
        <v>724.605065496</v>
      </c>
      <c r="AM15" s="16">
        <f>(1.91)*B15*0.8684</f>
        <v>9263.692604400001</v>
      </c>
      <c r="AN15" s="16">
        <f t="shared" si="9"/>
        <v>1667.464668792</v>
      </c>
      <c r="AO15" s="16"/>
      <c r="AP15" s="16">
        <f>AO15*0.18</f>
        <v>0</v>
      </c>
      <c r="AQ15" s="117"/>
      <c r="AR15" s="117">
        <f>AQ15*0.18</f>
        <v>0</v>
      </c>
      <c r="AS15" s="97">
        <f>31958</f>
        <v>31958</v>
      </c>
      <c r="AT15" s="97">
        <f>756*8</f>
        <v>6048</v>
      </c>
      <c r="AU15" s="97">
        <f>(AS15+AT15)*0.18</f>
        <v>6841.08</v>
      </c>
      <c r="AV15" s="118">
        <v>407</v>
      </c>
      <c r="AW15" s="119">
        <v>3.75</v>
      </c>
      <c r="AX15" s="16">
        <f>AV15*AW15*1.12*1.18</f>
        <v>2017.092</v>
      </c>
      <c r="AY15" s="121"/>
      <c r="AZ15" s="122"/>
      <c r="BA15" s="122">
        <f t="shared" si="10"/>
        <v>0</v>
      </c>
      <c r="BB15" s="122">
        <f>SUM(AG15:AU15)+AY15</f>
        <v>69417.995131688</v>
      </c>
      <c r="BC15" s="128">
        <f>'[3]Т02-09'!$O$10+'[3]Т02-09'!$O$17+'[3]Т02-09'!$O$25+'[3]Т02-09'!$O$27+'[3]Т02-09'!$O$37</f>
        <v>3613.00542848</v>
      </c>
      <c r="BD15" s="14">
        <f aca="true" t="shared" si="11" ref="BD15:BD24">AC15+AF15-BB15-BC15</f>
        <v>-23307.659265167997</v>
      </c>
      <c r="BE15" s="30">
        <f aca="true" t="shared" si="12" ref="BE15:BE24">AB15-S15</f>
        <v>-2740.5600000000013</v>
      </c>
    </row>
    <row r="16" spans="1:57" ht="12.75">
      <c r="A16" s="11" t="s">
        <v>47</v>
      </c>
      <c r="B16" s="129">
        <v>5585.1</v>
      </c>
      <c r="C16" s="105">
        <f aca="true" t="shared" si="13" ref="C16:C25">B16*8.65</f>
        <v>48311.115000000005</v>
      </c>
      <c r="D16" s="106">
        <f>C16*0.125</f>
        <v>6038.889375000001</v>
      </c>
      <c r="E16" s="126">
        <v>3816.18</v>
      </c>
      <c r="F16" s="126">
        <v>801.14</v>
      </c>
      <c r="G16" s="126">
        <v>5151.8</v>
      </c>
      <c r="H16" s="126">
        <v>1081.56</v>
      </c>
      <c r="I16" s="126">
        <v>12402.6</v>
      </c>
      <c r="J16" s="126">
        <v>2603.68</v>
      </c>
      <c r="K16" s="126">
        <v>8586.41</v>
      </c>
      <c r="L16" s="126">
        <v>1802.58</v>
      </c>
      <c r="M16" s="126">
        <v>3052.95</v>
      </c>
      <c r="N16" s="126">
        <v>640.9</v>
      </c>
      <c r="O16" s="126">
        <v>0</v>
      </c>
      <c r="P16" s="127">
        <v>0</v>
      </c>
      <c r="Q16" s="126">
        <v>0</v>
      </c>
      <c r="R16" s="127">
        <v>0</v>
      </c>
      <c r="S16" s="91">
        <f t="shared" si="2"/>
        <v>33009.94</v>
      </c>
      <c r="T16" s="108">
        <f t="shared" si="3"/>
        <v>6929.86</v>
      </c>
      <c r="U16" s="92">
        <v>4387.97</v>
      </c>
      <c r="V16" s="92">
        <v>5900.97</v>
      </c>
      <c r="W16" s="92">
        <v>14192.29</v>
      </c>
      <c r="X16" s="92">
        <v>9851.9</v>
      </c>
      <c r="Y16" s="92">
        <v>3507.56</v>
      </c>
      <c r="Z16" s="123">
        <v>0</v>
      </c>
      <c r="AA16" s="123">
        <v>0</v>
      </c>
      <c r="AB16" s="116">
        <f aca="true" t="shared" si="14" ref="AB16:AB22">SUM(U16:AA16)</f>
        <v>37840.69</v>
      </c>
      <c r="AC16" s="113">
        <f t="shared" si="4"/>
        <v>50809.439375</v>
      </c>
      <c r="AD16" s="102">
        <f t="shared" si="5"/>
        <v>0</v>
      </c>
      <c r="AE16" s="102">
        <f t="shared" si="6"/>
        <v>0</v>
      </c>
      <c r="AF16" s="102">
        <f>'[2]Т02-09'!$I$10+'[2]Т02-09'!$I$17+'[2]Т02-09'!$I$25+'[2]Т02-09'!$I$27+'[2]Т02-09'!$I$37</f>
        <v>8485.431919999999</v>
      </c>
      <c r="AG16" s="16">
        <f>0.6*B16*0.9</f>
        <v>3015.954</v>
      </c>
      <c r="AH16" s="124">
        <f>B16*0.2*0.9082-0.01</f>
        <v>1014.4675640000002</v>
      </c>
      <c r="AI16" s="16">
        <f>0.85*B16*0.8675+0.01</f>
        <v>4118.3231125</v>
      </c>
      <c r="AJ16" s="16">
        <f t="shared" si="7"/>
        <v>741.29816025</v>
      </c>
      <c r="AK16" s="124">
        <f>0.83*B16*0.838</f>
        <v>3884.660454</v>
      </c>
      <c r="AL16" s="16">
        <f t="shared" si="8"/>
        <v>699.23888172</v>
      </c>
      <c r="AM16" s="16">
        <f>1.91*B16*0.838</f>
        <v>8939.399358</v>
      </c>
      <c r="AN16" s="16">
        <f t="shared" si="9"/>
        <v>1609.09188444</v>
      </c>
      <c r="AO16" s="16"/>
      <c r="AP16" s="16">
        <f aca="true" t="shared" si="15" ref="AP16:AR25">AO16*0.18</f>
        <v>0</v>
      </c>
      <c r="AQ16" s="117"/>
      <c r="AR16" s="117">
        <f>AQ16*0.18</f>
        <v>0</v>
      </c>
      <c r="AS16" s="97">
        <v>12353</v>
      </c>
      <c r="AT16" s="97"/>
      <c r="AU16" s="97">
        <f aca="true" t="shared" si="16" ref="AU16:AU25">(AS16+AT16)*0.18</f>
        <v>2223.54</v>
      </c>
      <c r="AV16" s="118">
        <v>383</v>
      </c>
      <c r="AW16" s="119">
        <v>3.75</v>
      </c>
      <c r="AX16" s="16">
        <f>AV16*AW16*1.12*1.18</f>
        <v>1898.1480000000001</v>
      </c>
      <c r="AY16" s="121"/>
      <c r="AZ16" s="122"/>
      <c r="BA16" s="122">
        <f t="shared" si="10"/>
        <v>0</v>
      </c>
      <c r="BB16" s="122">
        <f>SUM(AG16:AU16)</f>
        <v>38598.973414910004</v>
      </c>
      <c r="BC16" s="128">
        <f>'[3]Т03-09'!$O$10+'[3]Т03-09'!$O$17+'[3]Т03-09'!$O$25+'[3]Т03-09'!$O$27+'[3]Т03-09'!$O$37</f>
        <v>3537.2244148399996</v>
      </c>
      <c r="BD16" s="14">
        <f t="shared" si="11"/>
        <v>17158.67346525</v>
      </c>
      <c r="BE16" s="30">
        <f t="shared" si="12"/>
        <v>4830.75</v>
      </c>
    </row>
    <row r="17" spans="1:57" ht="12.75">
      <c r="A17" s="11" t="s">
        <v>48</v>
      </c>
      <c r="B17" s="125">
        <v>5585.1</v>
      </c>
      <c r="C17" s="105">
        <f t="shared" si="13"/>
        <v>48311.115000000005</v>
      </c>
      <c r="D17" s="106">
        <f>C17*0.125</f>
        <v>6038.889375000001</v>
      </c>
      <c r="E17" s="126">
        <v>4030.7</v>
      </c>
      <c r="F17" s="126">
        <v>801.14</v>
      </c>
      <c r="G17" s="126">
        <v>5441.39</v>
      </c>
      <c r="H17" s="126">
        <v>1081.55</v>
      </c>
      <c r="I17" s="126">
        <v>13099.76</v>
      </c>
      <c r="J17" s="126">
        <v>2603.68</v>
      </c>
      <c r="K17" s="126">
        <v>9069.02</v>
      </c>
      <c r="L17" s="126">
        <v>1802.58</v>
      </c>
      <c r="M17" s="126">
        <v>3224.52</v>
      </c>
      <c r="N17" s="126">
        <v>640.9</v>
      </c>
      <c r="O17" s="126">
        <v>0</v>
      </c>
      <c r="P17" s="127">
        <v>0</v>
      </c>
      <c r="Q17" s="126">
        <v>0</v>
      </c>
      <c r="R17" s="127">
        <v>0</v>
      </c>
      <c r="S17" s="91">
        <f t="shared" si="2"/>
        <v>34865.39</v>
      </c>
      <c r="T17" s="108">
        <f t="shared" si="3"/>
        <v>6929.85</v>
      </c>
      <c r="U17" s="92">
        <v>3190.36</v>
      </c>
      <c r="V17" s="92">
        <v>4298.12</v>
      </c>
      <c r="W17" s="92">
        <v>10346.96</v>
      </c>
      <c r="X17" s="92">
        <v>7172.33</v>
      </c>
      <c r="Y17" s="92">
        <v>2550.53</v>
      </c>
      <c r="Z17" s="91">
        <v>0</v>
      </c>
      <c r="AA17" s="91">
        <v>0</v>
      </c>
      <c r="AB17" s="116">
        <f t="shared" si="14"/>
        <v>27558.299999999996</v>
      </c>
      <c r="AC17" s="113">
        <f t="shared" si="4"/>
        <v>40527.03937499999</v>
      </c>
      <c r="AD17" s="102">
        <f t="shared" si="5"/>
        <v>0</v>
      </c>
      <c r="AE17" s="102">
        <f t="shared" si="6"/>
        <v>0</v>
      </c>
      <c r="AF17" s="102">
        <f>'[3]Т04-09'!$I$10+'[3]Т04-09'!$I$17+'[3]Т04-09'!$I$25+'[3]Т04-09'!$I$27+'[3]Т04-09'!$I$38</f>
        <v>8485.431919999999</v>
      </c>
      <c r="AG17" s="16">
        <f>0.6*B17*0.9</f>
        <v>3015.954</v>
      </c>
      <c r="AH17" s="124">
        <f>B17*0.2*0.9234</f>
        <v>1031.4562680000001</v>
      </c>
      <c r="AI17" s="16">
        <f>0.85*B17*0.8934</f>
        <v>4241.269089</v>
      </c>
      <c r="AJ17" s="16">
        <f t="shared" si="7"/>
        <v>763.42843602</v>
      </c>
      <c r="AK17" s="16">
        <f>0.83*B17*0.8498</f>
        <v>3939.3609234</v>
      </c>
      <c r="AL17" s="16">
        <f t="shared" si="8"/>
        <v>709.0849662119999</v>
      </c>
      <c r="AM17" s="16">
        <f>(1.91)*B17*0.8498-0.01</f>
        <v>9065.266341800001</v>
      </c>
      <c r="AN17" s="16">
        <f t="shared" si="9"/>
        <v>1631.7479415240002</v>
      </c>
      <c r="AO17" s="16"/>
      <c r="AP17" s="16">
        <f t="shared" si="15"/>
        <v>0</v>
      </c>
      <c r="AQ17" s="117">
        <f>1588.983+1781.01</f>
        <v>3369.993</v>
      </c>
      <c r="AR17" s="117">
        <f t="shared" si="15"/>
        <v>606.59874</v>
      </c>
      <c r="AS17" s="97">
        <v>3367.45</v>
      </c>
      <c r="AT17" s="97"/>
      <c r="AU17" s="97">
        <f t="shared" si="16"/>
        <v>606.141</v>
      </c>
      <c r="AV17" s="118">
        <v>307</v>
      </c>
      <c r="AW17" s="119">
        <v>3.75</v>
      </c>
      <c r="AX17" s="16">
        <f>AV17*AW17*1.12*1.18+AX14+AX15+AX16</f>
        <v>7954.38</v>
      </c>
      <c r="AY17" s="121"/>
      <c r="AZ17" s="122"/>
      <c r="BA17" s="122">
        <f t="shared" si="10"/>
        <v>0</v>
      </c>
      <c r="BB17" s="122">
        <f aca="true" t="shared" si="17" ref="BB17:BB22">SUM(AG17:BA17)-AV17-AW17</f>
        <v>40302.130705956006</v>
      </c>
      <c r="BC17" s="128">
        <f>'[3]Т04-09'!$O$10+'[3]Т04-09'!$O$17+'[3]Т04-09'!$O$25+'[3]Т04-09'!$O$27+'[3]Т04-09'!$O$38</f>
        <v>3638.1427230400004</v>
      </c>
      <c r="BD17" s="14">
        <f t="shared" si="11"/>
        <v>5072.1978660039895</v>
      </c>
      <c r="BE17" s="30">
        <f t="shared" si="12"/>
        <v>-7307.090000000004</v>
      </c>
    </row>
    <row r="18" spans="1:57" ht="12.75">
      <c r="A18" s="11" t="s">
        <v>49</v>
      </c>
      <c r="B18" s="129">
        <v>5583.55</v>
      </c>
      <c r="C18" s="105">
        <f t="shared" si="13"/>
        <v>48297.707500000004</v>
      </c>
      <c r="D18" s="130">
        <f>C18-E18-F18-G18-H18-I18-J18-K18-L18-M18-N18</f>
        <v>4378.877500000006</v>
      </c>
      <c r="E18" s="126">
        <v>4191.47</v>
      </c>
      <c r="F18" s="126">
        <v>878.35</v>
      </c>
      <c r="G18" s="126">
        <v>5675.33</v>
      </c>
      <c r="H18" s="126">
        <v>1190.63</v>
      </c>
      <c r="I18" s="126">
        <v>13639.04</v>
      </c>
      <c r="J18" s="126">
        <v>2859.46</v>
      </c>
      <c r="K18" s="126">
        <v>9447.59</v>
      </c>
      <c r="L18" s="126">
        <v>1981.15</v>
      </c>
      <c r="M18" s="126">
        <v>3353.16</v>
      </c>
      <c r="N18" s="126">
        <v>702.65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2"/>
        <v>36306.59</v>
      </c>
      <c r="T18" s="108">
        <f t="shared" si="3"/>
        <v>7612.240000000001</v>
      </c>
      <c r="U18" s="92">
        <v>3572.31</v>
      </c>
      <c r="V18" s="92">
        <v>4837.26</v>
      </c>
      <c r="W18" s="92">
        <v>11645.52</v>
      </c>
      <c r="X18" s="92">
        <v>8062.25</v>
      </c>
      <c r="Y18" s="92">
        <v>2866.64</v>
      </c>
      <c r="Z18" s="123">
        <v>0</v>
      </c>
      <c r="AA18" s="123">
        <v>0</v>
      </c>
      <c r="AB18" s="116">
        <f t="shared" si="14"/>
        <v>30983.98</v>
      </c>
      <c r="AC18" s="113">
        <f t="shared" si="4"/>
        <v>42975.0975</v>
      </c>
      <c r="AD18" s="102">
        <f t="shared" si="5"/>
        <v>0</v>
      </c>
      <c r="AE18" s="102">
        <f t="shared" si="6"/>
        <v>0</v>
      </c>
      <c r="AF18" s="102">
        <f>'[3]Т04-09'!$I$10+'[3]Т04-09'!$I$17+'[3]Т04-09'!$I$25+'[3]Т04-09'!$I$27+'[3]Т04-09'!$I$38</f>
        <v>8485.431919999999</v>
      </c>
      <c r="AG18" s="16">
        <f>0.6*B18</f>
        <v>3350.13</v>
      </c>
      <c r="AH18" s="16">
        <f>B18*0.2*1.01</f>
        <v>1127.8771000000002</v>
      </c>
      <c r="AI18" s="16">
        <f>0.85*B18</f>
        <v>4746.0175</v>
      </c>
      <c r="AJ18" s="16">
        <f t="shared" si="7"/>
        <v>854.28315</v>
      </c>
      <c r="AK18" s="16">
        <f>0.83*B18</f>
        <v>4634.3465</v>
      </c>
      <c r="AL18" s="16">
        <f t="shared" si="8"/>
        <v>834.1823699999999</v>
      </c>
      <c r="AM18" s="16">
        <f>(1.91)*B18-0.01</f>
        <v>10664.5705</v>
      </c>
      <c r="AN18" s="16">
        <f t="shared" si="9"/>
        <v>1919.62269</v>
      </c>
      <c r="AO18" s="16"/>
      <c r="AP18" s="16">
        <f t="shared" si="15"/>
        <v>0</v>
      </c>
      <c r="AQ18" s="117">
        <v>255</v>
      </c>
      <c r="AR18" s="117">
        <f t="shared" si="15"/>
        <v>45.9</v>
      </c>
      <c r="AS18" s="97">
        <v>35308.54</v>
      </c>
      <c r="AT18" s="97">
        <f>800</f>
        <v>800</v>
      </c>
      <c r="AU18" s="97">
        <f t="shared" si="16"/>
        <v>6499.5372</v>
      </c>
      <c r="AV18" s="118">
        <v>263</v>
      </c>
      <c r="AW18" s="119">
        <v>3.75</v>
      </c>
      <c r="AX18" s="16">
        <f>AV18*AW18*1.12*1.18</f>
        <v>1303.428</v>
      </c>
      <c r="AY18" s="121"/>
      <c r="AZ18" s="122"/>
      <c r="BA18" s="122">
        <f t="shared" si="10"/>
        <v>0</v>
      </c>
      <c r="BB18" s="122">
        <f t="shared" si="17"/>
        <v>72343.43501</v>
      </c>
      <c r="BC18" s="128">
        <f>'[3]Т05-09'!$O$10+'[3]Т05-09'!$O$17+'[3]Т05-09'!$O$25+'[3]Т05-09'!$O$27+'[3]Т05-09'!$O$38</f>
        <v>4061.167311796</v>
      </c>
      <c r="BD18" s="14">
        <f t="shared" si="11"/>
        <v>-24944.072901795997</v>
      </c>
      <c r="BE18" s="30">
        <f t="shared" si="12"/>
        <v>-5322.609999999997</v>
      </c>
    </row>
    <row r="19" spans="1:57" ht="12.75">
      <c r="A19" s="11" t="s">
        <v>50</v>
      </c>
      <c r="B19" s="129">
        <v>5583.55</v>
      </c>
      <c r="C19" s="105">
        <f t="shared" si="13"/>
        <v>48297.707500000004</v>
      </c>
      <c r="D19" s="130">
        <f>C19-E19-F19-G19-H19-I19-J19-K19-L19-M19-N19</f>
        <v>3890.447500000002</v>
      </c>
      <c r="E19" s="126">
        <v>4244.01</v>
      </c>
      <c r="F19" s="126">
        <v>882.33</v>
      </c>
      <c r="G19" s="126">
        <v>5746.07</v>
      </c>
      <c r="H19" s="126">
        <v>1196.02</v>
      </c>
      <c r="I19" s="126">
        <v>13809.59</v>
      </c>
      <c r="J19" s="126">
        <v>2872.43</v>
      </c>
      <c r="K19" s="126">
        <v>9565.61</v>
      </c>
      <c r="L19" s="126">
        <v>1990.13</v>
      </c>
      <c r="M19" s="126">
        <v>3395.23</v>
      </c>
      <c r="N19" s="126">
        <v>705.84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2"/>
        <v>36760.51</v>
      </c>
      <c r="T19" s="108">
        <f t="shared" si="3"/>
        <v>7646.75</v>
      </c>
      <c r="U19" s="92">
        <v>4009.7</v>
      </c>
      <c r="V19" s="92">
        <v>5418.91</v>
      </c>
      <c r="W19" s="92">
        <v>13029.56</v>
      </c>
      <c r="X19" s="92">
        <v>9016.41</v>
      </c>
      <c r="Y19" s="92">
        <v>3199.99</v>
      </c>
      <c r="Z19" s="123">
        <v>0</v>
      </c>
      <c r="AA19" s="123">
        <v>0</v>
      </c>
      <c r="AB19" s="116">
        <f t="shared" si="14"/>
        <v>34674.57</v>
      </c>
      <c r="AC19" s="113">
        <f t="shared" si="4"/>
        <v>46211.7675</v>
      </c>
      <c r="AD19" s="102">
        <f t="shared" si="5"/>
        <v>0</v>
      </c>
      <c r="AE19" s="102">
        <f t="shared" si="6"/>
        <v>0</v>
      </c>
      <c r="AF19" s="102">
        <f>'[3]Т06-09'!$I$10+'[3]Т06-09'!$I$17+'[3]Т06-09'!$I$25+'[3]Т06-09'!$I$27+'[3]Т06-09'!$I$38</f>
        <v>8485.431919999999</v>
      </c>
      <c r="AG19" s="16">
        <f>0.6*B19</f>
        <v>3350.13</v>
      </c>
      <c r="AH19" s="16">
        <f>B19*0.2*1.01045-0.01</f>
        <v>1128.3696195000002</v>
      </c>
      <c r="AI19" s="16">
        <f>0.85*B19+0.01</f>
        <v>4746.0275</v>
      </c>
      <c r="AJ19" s="16">
        <f t="shared" si="7"/>
        <v>854.28495</v>
      </c>
      <c r="AK19" s="16">
        <f>0.83*B19</f>
        <v>4634.3465</v>
      </c>
      <c r="AL19" s="16">
        <f t="shared" si="8"/>
        <v>834.1823699999999</v>
      </c>
      <c r="AM19" s="16">
        <f>(1.91)*B19+0.01</f>
        <v>10664.5905</v>
      </c>
      <c r="AN19" s="16">
        <f t="shared" si="9"/>
        <v>1919.62629</v>
      </c>
      <c r="AO19" s="16"/>
      <c r="AP19" s="16">
        <f t="shared" si="15"/>
        <v>0</v>
      </c>
      <c r="AQ19" s="117"/>
      <c r="AR19" s="117">
        <f t="shared" si="15"/>
        <v>0</v>
      </c>
      <c r="AS19" s="97">
        <v>1048.85</v>
      </c>
      <c r="AT19" s="97"/>
      <c r="AU19" s="97">
        <f t="shared" si="16"/>
        <v>188.79299999999998</v>
      </c>
      <c r="AV19" s="118">
        <v>233</v>
      </c>
      <c r="AW19" s="119">
        <v>3.75</v>
      </c>
      <c r="AX19" s="16">
        <f>AV19*AW19*1.12*1.18</f>
        <v>1154.748</v>
      </c>
      <c r="AY19" s="121"/>
      <c r="AZ19" s="122"/>
      <c r="BA19" s="122">
        <f t="shared" si="10"/>
        <v>0</v>
      </c>
      <c r="BB19" s="122">
        <f t="shared" si="17"/>
        <v>30523.9487295</v>
      </c>
      <c r="BC19" s="128">
        <f>'[3]Т06-09'!$O$10+'[3]Т06-09'!$O$17+'[3]Т06-09'!$O$25+'[3]Т06-09'!$O$27+'[3]Т06-09'!$O$38</f>
        <v>3844.77347176</v>
      </c>
      <c r="BD19" s="14">
        <f t="shared" si="11"/>
        <v>20328.477218740005</v>
      </c>
      <c r="BE19" s="30">
        <f t="shared" si="12"/>
        <v>-2085.9400000000023</v>
      </c>
    </row>
    <row r="20" spans="1:57" ht="12.75">
      <c r="A20" s="11" t="s">
        <v>51</v>
      </c>
      <c r="B20" s="115">
        <v>5583.55</v>
      </c>
      <c r="C20" s="105">
        <f t="shared" si="13"/>
        <v>48297.707500000004</v>
      </c>
      <c r="D20" s="130">
        <f aca="true" t="shared" si="18" ref="D20:D25">C20-E20-F20-G20-H20-I20-J20-K20-L20-M20-N20</f>
        <v>4302.127500000014</v>
      </c>
      <c r="E20" s="126">
        <v>4210.72</v>
      </c>
      <c r="F20" s="126">
        <v>868.09</v>
      </c>
      <c r="G20" s="126">
        <v>5701.03</v>
      </c>
      <c r="H20" s="126">
        <v>1176.74</v>
      </c>
      <c r="I20" s="126">
        <v>13701.24</v>
      </c>
      <c r="J20" s="126">
        <v>2826.12</v>
      </c>
      <c r="K20" s="126">
        <v>9490.57</v>
      </c>
      <c r="L20" s="126">
        <v>1958.05</v>
      </c>
      <c r="M20" s="126">
        <v>3368.56</v>
      </c>
      <c r="N20" s="126">
        <v>694.46</v>
      </c>
      <c r="O20" s="126">
        <v>0</v>
      </c>
      <c r="P20" s="127">
        <v>0</v>
      </c>
      <c r="Q20" s="126">
        <v>0</v>
      </c>
      <c r="R20" s="127">
        <v>0</v>
      </c>
      <c r="S20" s="91">
        <f aca="true" t="shared" si="19" ref="S20:S25">E20+G20+I20+K20+M20+O20+Q20</f>
        <v>36472.119999999995</v>
      </c>
      <c r="T20" s="108">
        <f aca="true" t="shared" si="20" ref="T20:T25">P20+N20+L20+J20+H20+F20+R20</f>
        <v>7523.46</v>
      </c>
      <c r="U20" s="92">
        <v>3678.9</v>
      </c>
      <c r="V20" s="92">
        <v>4981.8</v>
      </c>
      <c r="W20" s="92">
        <v>11972.3</v>
      </c>
      <c r="X20" s="92">
        <v>8292.51</v>
      </c>
      <c r="Y20" s="92">
        <v>2943.17</v>
      </c>
      <c r="Z20" s="123">
        <v>0</v>
      </c>
      <c r="AA20" s="123">
        <v>0</v>
      </c>
      <c r="AB20" s="116">
        <f t="shared" si="14"/>
        <v>31868.68</v>
      </c>
      <c r="AC20" s="113">
        <f t="shared" si="4"/>
        <v>43694.267500000016</v>
      </c>
      <c r="AD20" s="102">
        <f aca="true" t="shared" si="21" ref="AD20:AD25">P20+Z20</f>
        <v>0</v>
      </c>
      <c r="AE20" s="102">
        <f aca="true" t="shared" si="22" ref="AE20:AE25">R20+AA20</f>
        <v>0</v>
      </c>
      <c r="AF20" s="102">
        <f>'[2]Т07-09'!$I$11+'[2]Т07-09'!$I$18+'[2]Т07-09'!$I$26+'[2]Т07-09'!$I$28+'[2]Т07-09'!$I$39+'[2]Т07-09'!$I$75+'[2]Т07-09'!$I$76+'[2]Т07-09'!$I$77+'[2]Т07-09'!$I$78+'[2]Т07-09'!$I$79</f>
        <v>9155.515720000001</v>
      </c>
      <c r="AG20" s="16">
        <f aca="true" t="shared" si="23" ref="AG20:AG25">0.6*B20</f>
        <v>3350.13</v>
      </c>
      <c r="AH20" s="16">
        <f>B20*0.2*0.99425</f>
        <v>1110.2889175</v>
      </c>
      <c r="AI20" s="16">
        <f>0.85*B20*0.9857-0.01</f>
        <v>4678.13944975</v>
      </c>
      <c r="AJ20" s="16">
        <f aca="true" t="shared" si="24" ref="AJ20:AJ25">AI20*0.18</f>
        <v>842.0651009549999</v>
      </c>
      <c r="AK20" s="16">
        <f>0.83*B20*0.9905</f>
        <v>4590.32020825</v>
      </c>
      <c r="AL20" s="16">
        <f aca="true" t="shared" si="25" ref="AL20:AL25">AK20*0.18</f>
        <v>826.257637485</v>
      </c>
      <c r="AM20" s="16">
        <f>(1.91)*B20*0.9904</f>
        <v>10562.200527199999</v>
      </c>
      <c r="AN20" s="16">
        <f aca="true" t="shared" si="26" ref="AN20:AN25">AM20*0.18</f>
        <v>1901.1960948959997</v>
      </c>
      <c r="AO20" s="16"/>
      <c r="AP20" s="16">
        <f t="shared" si="15"/>
        <v>0</v>
      </c>
      <c r="AQ20" s="117"/>
      <c r="AR20" s="117">
        <f t="shared" si="15"/>
        <v>0</v>
      </c>
      <c r="AS20" s="97">
        <v>2402</v>
      </c>
      <c r="AT20" s="97"/>
      <c r="AU20" s="97">
        <f t="shared" si="16"/>
        <v>432.35999999999996</v>
      </c>
      <c r="AV20" s="118">
        <v>248</v>
      </c>
      <c r="AW20" s="119">
        <v>3.75</v>
      </c>
      <c r="AX20" s="16">
        <f aca="true" t="shared" si="27" ref="AX20:AX25">AV20*AW20*1.12*1.18</f>
        <v>1229.0880000000002</v>
      </c>
      <c r="AY20" s="121"/>
      <c r="AZ20" s="122"/>
      <c r="BA20" s="122">
        <f t="shared" si="0"/>
        <v>0</v>
      </c>
      <c r="BB20" s="122">
        <f t="shared" si="17"/>
        <v>31924.045936036</v>
      </c>
      <c r="BC20" s="128">
        <f>'[3]Т07-09'!$O$11+'[3]Т07-09'!$O$18+'[3]Т07-09'!$O$26+'[3]Т07-09'!$O$28+'[3]Т07-09'!$O$39+'[3]Т07-09'!$O$75+'[3]Т07-09'!$O$76+'[3]Т07-09'!$O$77+'[3]Т07-09'!$O$78+'[3]Т07-09'!$O$79</f>
        <v>4326.54826284</v>
      </c>
      <c r="BD20" s="14">
        <f t="shared" si="11"/>
        <v>16599.18902112402</v>
      </c>
      <c r="BE20" s="30">
        <f t="shared" si="12"/>
        <v>-4603.439999999995</v>
      </c>
    </row>
    <row r="21" spans="1:57" ht="12.75">
      <c r="A21" s="11" t="s">
        <v>52</v>
      </c>
      <c r="B21" s="104">
        <v>5583.55</v>
      </c>
      <c r="C21" s="105">
        <f t="shared" si="13"/>
        <v>48297.707500000004</v>
      </c>
      <c r="D21" s="130">
        <f t="shared" si="18"/>
        <v>4208.127499999999</v>
      </c>
      <c r="E21" s="126">
        <v>4261.05</v>
      </c>
      <c r="F21" s="126">
        <v>828.78</v>
      </c>
      <c r="G21" s="126">
        <v>5768.76</v>
      </c>
      <c r="H21" s="126">
        <v>1123.41</v>
      </c>
      <c r="I21" s="126">
        <v>13864.73</v>
      </c>
      <c r="J21" s="126">
        <v>2698.03</v>
      </c>
      <c r="K21" s="126">
        <v>9603.68</v>
      </c>
      <c r="L21" s="126">
        <v>1869.3</v>
      </c>
      <c r="M21" s="126">
        <v>3408.84</v>
      </c>
      <c r="N21" s="126">
        <v>663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19"/>
        <v>36907.06</v>
      </c>
      <c r="T21" s="108">
        <f t="shared" si="20"/>
        <v>7182.5199999999995</v>
      </c>
      <c r="U21" s="92">
        <v>4296.94</v>
      </c>
      <c r="V21" s="92">
        <v>5817.31</v>
      </c>
      <c r="W21" s="92">
        <v>13981.53</v>
      </c>
      <c r="X21" s="92">
        <v>9684.56</v>
      </c>
      <c r="Y21" s="92">
        <v>3437.62</v>
      </c>
      <c r="Z21" s="123">
        <v>0</v>
      </c>
      <c r="AA21" s="123">
        <v>0</v>
      </c>
      <c r="AB21" s="116">
        <f t="shared" si="14"/>
        <v>37217.96</v>
      </c>
      <c r="AC21" s="113">
        <f t="shared" si="4"/>
        <v>48608.6075</v>
      </c>
      <c r="AD21" s="102">
        <f t="shared" si="21"/>
        <v>0</v>
      </c>
      <c r="AE21" s="102">
        <f t="shared" si="22"/>
        <v>0</v>
      </c>
      <c r="AF21" s="102">
        <f>'[2]Т07-09'!$I$11+'[2]Т07-09'!$I$18+'[2]Т07-09'!$I$26+'[2]Т07-09'!$I$28+'[2]Т07-09'!$I$39+'[2]Т07-09'!$I$75+'[2]Т07-09'!$I$76+'[2]Т07-09'!$I$77+'[2]Т07-09'!$I$78+'[2]Т07-09'!$I$79</f>
        <v>9155.515720000001</v>
      </c>
      <c r="AG21" s="16">
        <f t="shared" si="23"/>
        <v>3350.13</v>
      </c>
      <c r="AH21" s="16">
        <f>B21*0.2*0.99876</f>
        <v>1115.3252796</v>
      </c>
      <c r="AI21" s="16">
        <f>0.85*B21*0.98525</f>
        <v>4676.013741875</v>
      </c>
      <c r="AJ21" s="16">
        <f t="shared" si="24"/>
        <v>841.6824735375</v>
      </c>
      <c r="AK21" s="16">
        <f>0.83*B21*0.99</f>
        <v>4588.003035</v>
      </c>
      <c r="AL21" s="16">
        <f t="shared" si="25"/>
        <v>825.8405462999999</v>
      </c>
      <c r="AM21" s="16">
        <f>(1.91)*B21*0.9899</f>
        <v>10556.86823695</v>
      </c>
      <c r="AN21" s="16">
        <f t="shared" si="26"/>
        <v>1900.236282651</v>
      </c>
      <c r="AO21" s="16"/>
      <c r="AP21" s="16">
        <f t="shared" si="15"/>
        <v>0</v>
      </c>
      <c r="AQ21" s="117">
        <f>1855.6+19803</f>
        <v>21658.6</v>
      </c>
      <c r="AR21" s="117">
        <f t="shared" si="15"/>
        <v>3898.548</v>
      </c>
      <c r="AS21" s="97">
        <v>14153</v>
      </c>
      <c r="AT21" s="97"/>
      <c r="AU21" s="97">
        <f t="shared" si="16"/>
        <v>2547.54</v>
      </c>
      <c r="AV21" s="118">
        <v>293</v>
      </c>
      <c r="AW21" s="119">
        <v>3.75</v>
      </c>
      <c r="AX21" s="16">
        <f t="shared" si="27"/>
        <v>1452.1080000000002</v>
      </c>
      <c r="AY21" s="121"/>
      <c r="AZ21" s="122"/>
      <c r="BA21" s="122">
        <f t="shared" si="0"/>
        <v>0</v>
      </c>
      <c r="BB21" s="122">
        <f t="shared" si="17"/>
        <v>71563.89559591349</v>
      </c>
      <c r="BC21" s="128">
        <f>'[5]Таштагол 08'!$BD$97</f>
        <v>4326.102240068</v>
      </c>
      <c r="BD21" s="14">
        <f t="shared" si="11"/>
        <v>-18125.87461598149</v>
      </c>
      <c r="BE21" s="30">
        <f t="shared" si="12"/>
        <v>310.90000000000146</v>
      </c>
    </row>
    <row r="22" spans="1:57" ht="12.75">
      <c r="A22" s="11" t="s">
        <v>53</v>
      </c>
      <c r="B22" s="104">
        <v>5583.55</v>
      </c>
      <c r="C22" s="105">
        <f t="shared" si="13"/>
        <v>48297.707500000004</v>
      </c>
      <c r="D22" s="130">
        <f t="shared" si="18"/>
        <v>4247.477500000003</v>
      </c>
      <c r="E22" s="107">
        <v>4222.95</v>
      </c>
      <c r="F22" s="107">
        <v>862.25</v>
      </c>
      <c r="G22" s="107">
        <v>5717.4</v>
      </c>
      <c r="H22" s="107">
        <v>1168.76</v>
      </c>
      <c r="I22" s="107">
        <v>13740.95</v>
      </c>
      <c r="J22" s="107">
        <v>2806.98</v>
      </c>
      <c r="K22" s="107">
        <v>9518.01</v>
      </c>
      <c r="L22" s="107">
        <v>1944.78</v>
      </c>
      <c r="M22" s="107">
        <v>3378.38</v>
      </c>
      <c r="N22" s="107">
        <v>689.77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19"/>
        <v>36577.689999999995</v>
      </c>
      <c r="T22" s="108">
        <f t="shared" si="20"/>
        <v>7472.540000000001</v>
      </c>
      <c r="U22" s="91">
        <v>3750.37</v>
      </c>
      <c r="V22" s="91">
        <v>5079.74</v>
      </c>
      <c r="W22" s="91">
        <v>12203.02</v>
      </c>
      <c r="X22" s="91">
        <v>8452.61</v>
      </c>
      <c r="Y22" s="91">
        <v>3000.2</v>
      </c>
      <c r="Z22" s="109">
        <v>0</v>
      </c>
      <c r="AA22" s="109">
        <v>0</v>
      </c>
      <c r="AB22" s="116">
        <f t="shared" si="14"/>
        <v>32485.940000000002</v>
      </c>
      <c r="AC22" s="113">
        <f t="shared" si="4"/>
        <v>44205.957500000004</v>
      </c>
      <c r="AD22" s="102">
        <f t="shared" si="21"/>
        <v>0</v>
      </c>
      <c r="AE22" s="102">
        <f t="shared" si="22"/>
        <v>0</v>
      </c>
      <c r="AF22" s="102">
        <f>'[2]Т07-09'!$I$11+'[2]Т07-09'!$I$18+'[2]Т07-09'!$I$26+'[2]Т07-09'!$I$28+'[2]Т07-09'!$I$39+'[2]Т07-09'!$I$75+'[2]Т07-09'!$I$76+'[2]Т07-09'!$I$77+'[2]Т07-09'!$I$78+'[2]Т07-09'!$I$79</f>
        <v>9155.515720000001</v>
      </c>
      <c r="AG22" s="16">
        <f t="shared" si="23"/>
        <v>3350.13</v>
      </c>
      <c r="AH22" s="16">
        <f>B22*0.2*0.9997</f>
        <v>1116.3749870000001</v>
      </c>
      <c r="AI22" s="16">
        <f>0.85*B22*0.98508</f>
        <v>4675.206918899999</v>
      </c>
      <c r="AJ22" s="16">
        <f t="shared" si="24"/>
        <v>841.5372454019998</v>
      </c>
      <c r="AK22" s="16">
        <f>0.83*B22*0.98981</f>
        <v>4587.122509164999</v>
      </c>
      <c r="AL22" s="16">
        <f t="shared" si="25"/>
        <v>825.6820516496998</v>
      </c>
      <c r="AM22" s="16">
        <f>(1.91)*B22*0.98981</f>
        <v>10555.908424705</v>
      </c>
      <c r="AN22" s="16">
        <f t="shared" si="26"/>
        <v>1900.0635164469</v>
      </c>
      <c r="AO22" s="16"/>
      <c r="AP22" s="16">
        <f t="shared" si="15"/>
        <v>0</v>
      </c>
      <c r="AQ22" s="117"/>
      <c r="AR22" s="117">
        <f t="shared" si="15"/>
        <v>0</v>
      </c>
      <c r="AS22" s="97"/>
      <c r="AT22" s="97"/>
      <c r="AU22" s="97">
        <f t="shared" si="16"/>
        <v>0</v>
      </c>
      <c r="AV22" s="118">
        <v>349</v>
      </c>
      <c r="AW22" s="119">
        <v>3.75</v>
      </c>
      <c r="AX22" s="16">
        <f t="shared" si="27"/>
        <v>1729.6440000000002</v>
      </c>
      <c r="AY22" s="121"/>
      <c r="AZ22" s="122"/>
      <c r="BA22" s="122">
        <f t="shared" si="0"/>
        <v>0</v>
      </c>
      <c r="BB22" s="122">
        <f t="shared" si="17"/>
        <v>29581.669653268596</v>
      </c>
      <c r="BC22" s="128">
        <f>'[3]Т09-09'!$O$11+'[3]Т09-09'!$O$18+'[3]Т09-09'!$O$26+'[3]Т09-09'!$O$28+'[3]Т09-09'!$O$39+'[3]Т09-09'!$O$76+'[3]Т09-09'!$O$77+'[3]Т09-09'!$O$78+'[3]Т09-09'!$O$79+'[3]Т09-09'!$O$80</f>
        <v>4323.928354930799</v>
      </c>
      <c r="BD22" s="14">
        <f t="shared" si="11"/>
        <v>19455.875211800612</v>
      </c>
      <c r="BE22" s="30">
        <f t="shared" si="12"/>
        <v>-4091.7499999999927</v>
      </c>
    </row>
    <row r="23" spans="1:57" ht="12.75">
      <c r="A23" s="11" t="s">
        <v>41</v>
      </c>
      <c r="B23" s="104">
        <v>5583.55</v>
      </c>
      <c r="C23" s="131">
        <f t="shared" si="13"/>
        <v>48297.707500000004</v>
      </c>
      <c r="D23" s="130">
        <f t="shared" si="18"/>
        <v>4266.2775000000065</v>
      </c>
      <c r="E23" s="93">
        <v>4203.7</v>
      </c>
      <c r="F23" s="91">
        <v>879.29</v>
      </c>
      <c r="G23" s="91">
        <v>5691.36</v>
      </c>
      <c r="H23" s="91">
        <v>1191.92</v>
      </c>
      <c r="I23" s="91">
        <v>13678.33</v>
      </c>
      <c r="J23" s="91">
        <v>2862.53</v>
      </c>
      <c r="K23" s="91">
        <f>9474.66-0.01</f>
        <v>9474.65</v>
      </c>
      <c r="L23" s="91">
        <v>1983.26</v>
      </c>
      <c r="M23" s="91">
        <f>3362.95+0.01</f>
        <v>3362.96</v>
      </c>
      <c r="N23" s="91">
        <v>703.43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19"/>
        <v>36411</v>
      </c>
      <c r="T23" s="108">
        <f t="shared" si="20"/>
        <v>7620.43</v>
      </c>
      <c r="U23" s="94">
        <f>5308.56+244.18</f>
        <v>5552.740000000001</v>
      </c>
      <c r="V23" s="91">
        <f>7183.05+330.86</f>
        <v>7513.91</v>
      </c>
      <c r="W23" s="91">
        <f>17269.09+794.8</f>
        <v>18063.89</v>
      </c>
      <c r="X23" s="91">
        <f>11960.51+550.64</f>
        <v>12511.15</v>
      </c>
      <c r="Y23" s="91">
        <f>4246.88+195.34</f>
        <v>4442.22</v>
      </c>
      <c r="Z23" s="109">
        <v>0</v>
      </c>
      <c r="AA23" s="109">
        <v>0</v>
      </c>
      <c r="AB23" s="109">
        <f>SUM(U23:AA23)</f>
        <v>48083.91</v>
      </c>
      <c r="AC23" s="113">
        <f>AB23+T23+D23</f>
        <v>59970.61750000001</v>
      </c>
      <c r="AD23" s="102">
        <f t="shared" si="21"/>
        <v>0</v>
      </c>
      <c r="AE23" s="102">
        <f t="shared" si="22"/>
        <v>0</v>
      </c>
      <c r="AF23" s="102">
        <f>'[1]Т10'!$I$11+'[1]Т10'!$I$18+'[1]Т10'!$I$27+'[1]Т10'!$I$29+'[1]Т10'!$I$40+'[1]Т10'!$I$83+'[1]Т10'!$I$84+'[1]Т10'!$I$85+'[1]Т10'!$I$86+'[1]Т10'!$I$87</f>
        <v>9155.515720000001</v>
      </c>
      <c r="AG23" s="16">
        <f t="shared" si="23"/>
        <v>3350.13</v>
      </c>
      <c r="AH23" s="16">
        <f>B23*0.2</f>
        <v>1116.71</v>
      </c>
      <c r="AI23" s="16">
        <f>0.847*B23</f>
        <v>4729.26685</v>
      </c>
      <c r="AJ23" s="16">
        <f t="shared" si="24"/>
        <v>851.268033</v>
      </c>
      <c r="AK23" s="16">
        <f>0.83*B23</f>
        <v>4634.3465</v>
      </c>
      <c r="AL23" s="16">
        <f t="shared" si="25"/>
        <v>834.1823699999999</v>
      </c>
      <c r="AM23" s="16">
        <f>(2.25/1.18)*B23</f>
        <v>10646.599576271186</v>
      </c>
      <c r="AN23" s="16">
        <f t="shared" si="26"/>
        <v>1916.3879237288136</v>
      </c>
      <c r="AO23" s="16"/>
      <c r="AP23" s="16">
        <f t="shared" si="15"/>
        <v>0</v>
      </c>
      <c r="AQ23" s="117"/>
      <c r="AR23" s="117">
        <f t="shared" si="15"/>
        <v>0</v>
      </c>
      <c r="AS23" s="97">
        <v>8631.24</v>
      </c>
      <c r="AT23" s="97"/>
      <c r="AU23" s="97">
        <f t="shared" si="16"/>
        <v>1553.6232</v>
      </c>
      <c r="AV23" s="118">
        <v>425</v>
      </c>
      <c r="AW23" s="134">
        <v>3.75</v>
      </c>
      <c r="AX23" s="16">
        <f t="shared" si="27"/>
        <v>2106.3</v>
      </c>
      <c r="AY23" s="121"/>
      <c r="AZ23" s="135"/>
      <c r="BA23" s="122">
        <f t="shared" si="0"/>
        <v>0</v>
      </c>
      <c r="BB23" s="122">
        <f>SUM(AG23:AU23)+AX23+AY23+AZ23+BA23</f>
        <v>40370.054453000004</v>
      </c>
      <c r="BC23" s="128">
        <f>'[4]Т10'!$O$11+'[4]Т10'!$O$18+'[4]Т10'!$O$27+'[4]Т10'!$O$29+'[4]Т10'!$O$40+'[4]Т10'!$O$83+'[4]Т10'!$O$84+'[4]Т10'!$O$85+'[4]Т10'!$O$86+'[4]Т10'!$O$87</f>
        <v>4357.712764</v>
      </c>
      <c r="BD23" s="14">
        <f t="shared" si="11"/>
        <v>24398.366003</v>
      </c>
      <c r="BE23" s="30">
        <f t="shared" si="12"/>
        <v>11672.910000000003</v>
      </c>
    </row>
    <row r="24" spans="1:57" ht="12.75">
      <c r="A24" s="11" t="s">
        <v>42</v>
      </c>
      <c r="B24" s="115">
        <v>5584.95</v>
      </c>
      <c r="C24" s="131">
        <f t="shared" si="13"/>
        <v>48309.8175</v>
      </c>
      <c r="D24" s="130">
        <f t="shared" si="18"/>
        <v>4260.237499999999</v>
      </c>
      <c r="E24" s="107">
        <v>4196.01</v>
      </c>
      <c r="F24" s="107">
        <v>889.09</v>
      </c>
      <c r="G24" s="107">
        <v>5680.93</v>
      </c>
      <c r="H24" s="107">
        <v>1205.17</v>
      </c>
      <c r="I24" s="107">
        <v>13653.29</v>
      </c>
      <c r="J24" s="107">
        <v>2894.39</v>
      </c>
      <c r="K24" s="107">
        <v>9457.27</v>
      </c>
      <c r="L24" s="107">
        <v>2005.36</v>
      </c>
      <c r="M24" s="107">
        <v>3356.81</v>
      </c>
      <c r="N24" s="107">
        <v>711.26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19"/>
        <v>36344.31</v>
      </c>
      <c r="T24" s="108">
        <f t="shared" si="20"/>
        <v>7705.27</v>
      </c>
      <c r="U24" s="91">
        <v>4183.39</v>
      </c>
      <c r="V24" s="91">
        <v>5662.83</v>
      </c>
      <c r="W24" s="91">
        <v>13613.77</v>
      </c>
      <c r="X24" s="91">
        <v>9430.59</v>
      </c>
      <c r="Y24" s="91">
        <v>3346.67</v>
      </c>
      <c r="Z24" s="109">
        <v>0</v>
      </c>
      <c r="AA24" s="109">
        <v>0</v>
      </c>
      <c r="AB24" s="109">
        <f>SUM(U24:AA24)</f>
        <v>36237.25</v>
      </c>
      <c r="AC24" s="113">
        <f>D24+T24+AB24</f>
        <v>48202.7575</v>
      </c>
      <c r="AD24" s="102">
        <f t="shared" si="21"/>
        <v>0</v>
      </c>
      <c r="AE24" s="102">
        <f t="shared" si="22"/>
        <v>0</v>
      </c>
      <c r="AF24" s="102">
        <f>'[1]Т11'!$I$11+'[1]Т11'!$I$18+'[1]Т11'!$I$27+'[1]Т11'!$I$29+'[1]Т11'!$I$40+'[1]Т11'!$I$83+'[1]Т11'!$I$84+'[1]Т11'!$I$85+'[1]Т11'!$I$86+'[1]Т11'!$I$87</f>
        <v>9155.515720000001</v>
      </c>
      <c r="AG24" s="16">
        <f t="shared" si="23"/>
        <v>3350.97</v>
      </c>
      <c r="AH24" s="16">
        <f>B24*0.2</f>
        <v>1116.99</v>
      </c>
      <c r="AI24" s="16">
        <f>0.85*B24</f>
        <v>4747.2074999999995</v>
      </c>
      <c r="AJ24" s="16">
        <f t="shared" si="24"/>
        <v>854.4973499999999</v>
      </c>
      <c r="AK24" s="16">
        <f>0.83*B24</f>
        <v>4635.5085</v>
      </c>
      <c r="AL24" s="16">
        <f t="shared" si="25"/>
        <v>834.39153</v>
      </c>
      <c r="AM24" s="16">
        <f>(1.91)*B24</f>
        <v>10667.2545</v>
      </c>
      <c r="AN24" s="16">
        <f t="shared" si="26"/>
        <v>1920.1058099999998</v>
      </c>
      <c r="AO24" s="16"/>
      <c r="AP24" s="16">
        <f t="shared" si="15"/>
        <v>0</v>
      </c>
      <c r="AQ24" s="117"/>
      <c r="AR24" s="117">
        <f t="shared" si="15"/>
        <v>0</v>
      </c>
      <c r="AS24" s="97">
        <v>5251</v>
      </c>
      <c r="AT24" s="97"/>
      <c r="AU24" s="97">
        <f t="shared" si="16"/>
        <v>945.18</v>
      </c>
      <c r="AV24" s="118">
        <v>470</v>
      </c>
      <c r="AW24" s="134">
        <v>3.75</v>
      </c>
      <c r="AX24" s="16">
        <f t="shared" si="27"/>
        <v>2329.32</v>
      </c>
      <c r="AY24" s="121"/>
      <c r="AZ24" s="122"/>
      <c r="BA24" s="122">
        <f t="shared" si="0"/>
        <v>0</v>
      </c>
      <c r="BB24" s="122">
        <f>SUM(AG24:AU24)+AX24+AY24+AZ24+BA24</f>
        <v>36652.42519</v>
      </c>
      <c r="BC24" s="132">
        <f>'[1]Т11'!$O$11+'[1]Т11'!$O$18+'[1]Т11'!$O$27+'[1]Т11'!$O$29+'[1]Т11'!$O$40+'[1]Т11'!$O$83+'[1]Т11'!$O$84+'[1]Т11'!$O$85+'[1]Т11'!$O$86+'[1]Т11'!$O$87</f>
        <v>4363.849079999998</v>
      </c>
      <c r="BD24" s="14">
        <f t="shared" si="11"/>
        <v>16341.998950000003</v>
      </c>
      <c r="BE24" s="30">
        <f t="shared" si="12"/>
        <v>-107.05999999999767</v>
      </c>
    </row>
    <row r="25" spans="1:57" ht="12.75">
      <c r="A25" s="11" t="s">
        <v>43</v>
      </c>
      <c r="B25" s="104">
        <v>5584.95</v>
      </c>
      <c r="C25" s="131">
        <f t="shared" si="13"/>
        <v>48309.8175</v>
      </c>
      <c r="D25" s="130">
        <f t="shared" si="18"/>
        <v>4553.447499999995</v>
      </c>
      <c r="E25" s="107">
        <v>4166.21</v>
      </c>
      <c r="F25" s="107">
        <v>885.04</v>
      </c>
      <c r="G25" s="107">
        <v>5640.57</v>
      </c>
      <c r="H25" s="107">
        <v>1199.66</v>
      </c>
      <c r="I25" s="107">
        <v>13556.38</v>
      </c>
      <c r="J25" s="107">
        <v>2881.16</v>
      </c>
      <c r="K25" s="107">
        <v>9390.12</v>
      </c>
      <c r="L25" s="107">
        <v>1996.19</v>
      </c>
      <c r="M25" s="107">
        <v>3333.03</v>
      </c>
      <c r="N25" s="107">
        <v>708.01</v>
      </c>
      <c r="O25" s="107">
        <v>0</v>
      </c>
      <c r="P25" s="114">
        <v>0</v>
      </c>
      <c r="Q25" s="114"/>
      <c r="R25" s="114"/>
      <c r="S25" s="91">
        <f t="shared" si="19"/>
        <v>36086.31</v>
      </c>
      <c r="T25" s="108">
        <f t="shared" si="20"/>
        <v>7670.0599999999995</v>
      </c>
      <c r="U25" s="91">
        <v>6051.6</v>
      </c>
      <c r="V25" s="91">
        <v>8194.46</v>
      </c>
      <c r="W25" s="91">
        <v>19692.25</v>
      </c>
      <c r="X25" s="91">
        <v>13640.58</v>
      </c>
      <c r="Y25" s="91">
        <v>4841.12</v>
      </c>
      <c r="Z25" s="109">
        <v>0</v>
      </c>
      <c r="AA25" s="109">
        <v>0</v>
      </c>
      <c r="AB25" s="109">
        <f>SUM(U25:AA25)</f>
        <v>52420.01</v>
      </c>
      <c r="AC25" s="113">
        <f>D25+T25+AB25</f>
        <v>64643.517499999994</v>
      </c>
      <c r="AD25" s="102">
        <f t="shared" si="21"/>
        <v>0</v>
      </c>
      <c r="AE25" s="102">
        <f t="shared" si="22"/>
        <v>0</v>
      </c>
      <c r="AF25" s="102">
        <f>'[1]Т12'!$I$11+'[1]Т12'!$I$18+'[1]Т12'!$I$27+'[1]Т12'!$I$29+'[1]Т12'!$I$40+'[1]Т12'!$I$84+'[1]Т12'!$I$85+'[1]Т12'!$I$86+'[1]Т12'!$I$87+'[1]Т12'!$I$88</f>
        <v>9155.515720000001</v>
      </c>
      <c r="AG25" s="16">
        <f t="shared" si="23"/>
        <v>3350.97</v>
      </c>
      <c r="AH25" s="16">
        <f>B25*0.2</f>
        <v>1116.99</v>
      </c>
      <c r="AI25" s="16">
        <f>0.85*B25</f>
        <v>4747.2074999999995</v>
      </c>
      <c r="AJ25" s="16">
        <f t="shared" si="24"/>
        <v>854.4973499999999</v>
      </c>
      <c r="AK25" s="16">
        <f>0.83*B25</f>
        <v>4635.5085</v>
      </c>
      <c r="AL25" s="16">
        <f t="shared" si="25"/>
        <v>834.39153</v>
      </c>
      <c r="AM25" s="16">
        <f>(1.91)*B25</f>
        <v>10667.2545</v>
      </c>
      <c r="AN25" s="16">
        <f t="shared" si="26"/>
        <v>1920.1058099999998</v>
      </c>
      <c r="AO25" s="16"/>
      <c r="AP25" s="16">
        <f t="shared" si="15"/>
        <v>0</v>
      </c>
      <c r="AQ25" s="117"/>
      <c r="AR25" s="117">
        <f t="shared" si="15"/>
        <v>0</v>
      </c>
      <c r="AS25" s="97">
        <v>11120</v>
      </c>
      <c r="AT25" s="97">
        <v>398.3</v>
      </c>
      <c r="AU25" s="97">
        <f t="shared" si="16"/>
        <v>2073.294</v>
      </c>
      <c r="AV25" s="118">
        <v>514</v>
      </c>
      <c r="AW25" s="134">
        <v>3.75</v>
      </c>
      <c r="AX25" s="16">
        <f t="shared" si="27"/>
        <v>2547.384</v>
      </c>
      <c r="AY25" s="121"/>
      <c r="AZ25" s="122"/>
      <c r="BA25" s="122">
        <f t="shared" si="0"/>
        <v>0</v>
      </c>
      <c r="BB25" s="122">
        <f>SUM(AG25:BA25)-AV25-AW25</f>
        <v>44265.903190000005</v>
      </c>
      <c r="BC25" s="132">
        <f>'[1]Т12'!$O$11+'[1]Т12'!$O$18+'[1]Т12'!$O$27+'[1]Т12'!$O$29+'[1]Т12'!$O$40+'[1]Т12'!$O$84+'[1]Т12'!$O$85+'[1]Т12'!$O$86+'[1]Т12'!$O$87+'[1]Т12'!$O$88</f>
        <v>4363.849079999998</v>
      </c>
      <c r="BD25" s="14">
        <f>AC25+AF25-BB25-BC25</f>
        <v>25169.280949999993</v>
      </c>
      <c r="BE25" s="30">
        <f>AB25-S25</f>
        <v>16333.700000000004</v>
      </c>
    </row>
    <row r="26" spans="1:57" s="20" customFormat="1" ht="12.75">
      <c r="A26" s="17" t="s">
        <v>5</v>
      </c>
      <c r="B26" s="60"/>
      <c r="C26" s="60">
        <f aca="true" t="shared" si="28" ref="C26:BC26">SUM(C14:C25)</f>
        <v>579650.3400000001</v>
      </c>
      <c r="D26" s="60">
        <f t="shared" si="28"/>
        <v>58262.57750000003</v>
      </c>
      <c r="E26" s="57">
        <f t="shared" si="28"/>
        <v>48939.67</v>
      </c>
      <c r="F26" s="57">
        <f t="shared" si="28"/>
        <v>10161.82</v>
      </c>
      <c r="G26" s="57">
        <f t="shared" si="28"/>
        <v>66200.09</v>
      </c>
      <c r="H26" s="57">
        <f t="shared" si="28"/>
        <v>13756.99</v>
      </c>
      <c r="I26" s="57">
        <f t="shared" si="28"/>
        <v>159185.24000000002</v>
      </c>
      <c r="J26" s="57">
        <f t="shared" si="28"/>
        <v>33063.95</v>
      </c>
      <c r="K26" s="57">
        <f t="shared" si="28"/>
        <v>110245.51999999999</v>
      </c>
      <c r="L26" s="57">
        <f t="shared" si="28"/>
        <v>22902.629999999994</v>
      </c>
      <c r="M26" s="57">
        <f t="shared" si="28"/>
        <v>39151.72</v>
      </c>
      <c r="N26" s="57">
        <f t="shared" si="28"/>
        <v>8129.250000000002</v>
      </c>
      <c r="O26" s="57">
        <f t="shared" si="28"/>
        <v>0</v>
      </c>
      <c r="P26" s="57">
        <f t="shared" si="28"/>
        <v>0</v>
      </c>
      <c r="Q26" s="57">
        <f t="shared" si="28"/>
        <v>0</v>
      </c>
      <c r="R26" s="57">
        <f t="shared" si="28"/>
        <v>0</v>
      </c>
      <c r="S26" s="57">
        <f t="shared" si="28"/>
        <v>423722.24000000005</v>
      </c>
      <c r="T26" s="57">
        <f t="shared" si="28"/>
        <v>88014.64</v>
      </c>
      <c r="U26" s="61">
        <f t="shared" si="28"/>
        <v>48656.95</v>
      </c>
      <c r="V26" s="61">
        <f t="shared" si="28"/>
        <v>65806.04000000001</v>
      </c>
      <c r="W26" s="61">
        <f t="shared" si="28"/>
        <v>158264.23</v>
      </c>
      <c r="X26" s="61">
        <f t="shared" si="28"/>
        <v>109596.66</v>
      </c>
      <c r="Y26" s="61">
        <f t="shared" si="28"/>
        <v>38925.31</v>
      </c>
      <c r="Z26" s="61">
        <f t="shared" si="28"/>
        <v>0</v>
      </c>
      <c r="AA26" s="61">
        <f t="shared" si="28"/>
        <v>0</v>
      </c>
      <c r="AB26" s="61">
        <f t="shared" si="28"/>
        <v>421249.19000000006</v>
      </c>
      <c r="AC26" s="61">
        <f t="shared" si="28"/>
        <v>567526.4075</v>
      </c>
      <c r="AD26" s="61">
        <f t="shared" si="28"/>
        <v>0</v>
      </c>
      <c r="AE26" s="100">
        <f t="shared" si="28"/>
        <v>0</v>
      </c>
      <c r="AF26" s="100">
        <f t="shared" si="28"/>
        <v>105845.68583999999</v>
      </c>
      <c r="AG26" s="18">
        <f t="shared" si="28"/>
        <v>38866.53600000001</v>
      </c>
      <c r="AH26" s="18">
        <f t="shared" si="28"/>
        <v>13012.5229616</v>
      </c>
      <c r="AI26" s="18">
        <f t="shared" si="28"/>
        <v>54331.790717025</v>
      </c>
      <c r="AJ26" s="18">
        <f t="shared" si="28"/>
        <v>9779.7223290645</v>
      </c>
      <c r="AK26" s="18">
        <f t="shared" si="28"/>
        <v>52815.61815081499</v>
      </c>
      <c r="AL26" s="18">
        <f t="shared" si="28"/>
        <v>9506.8112671467</v>
      </c>
      <c r="AM26" s="18">
        <f t="shared" si="28"/>
        <v>121519.43118192618</v>
      </c>
      <c r="AN26" s="18">
        <f t="shared" si="28"/>
        <v>21873.497612746716</v>
      </c>
      <c r="AO26" s="18">
        <f t="shared" si="28"/>
        <v>0</v>
      </c>
      <c r="AP26" s="18">
        <f t="shared" si="28"/>
        <v>0</v>
      </c>
      <c r="AQ26" s="18">
        <f>SUM(AQ14:AQ25)</f>
        <v>25283.592999999997</v>
      </c>
      <c r="AR26" s="18">
        <f>SUM(AR14:AR25)</f>
        <v>4551.04674</v>
      </c>
      <c r="AS26" s="18">
        <f>SUM(AS14:AS25)</f>
        <v>133163.08000000002</v>
      </c>
      <c r="AT26" s="18">
        <f>SUM(AT14:AT25)</f>
        <v>7246.3</v>
      </c>
      <c r="AU26" s="18">
        <f>SUM(AU14:AU25)</f>
        <v>25273.6984</v>
      </c>
      <c r="AV26" s="18"/>
      <c r="AW26" s="18"/>
      <c r="AX26" s="18">
        <f t="shared" si="28"/>
        <v>28239.288</v>
      </c>
      <c r="AY26" s="18">
        <f t="shared" si="28"/>
        <v>0</v>
      </c>
      <c r="AZ26" s="18">
        <f t="shared" si="28"/>
        <v>0</v>
      </c>
      <c r="BA26" s="18">
        <f t="shared" si="28"/>
        <v>0</v>
      </c>
      <c r="BB26" s="18">
        <f t="shared" si="28"/>
        <v>539030.0483603241</v>
      </c>
      <c r="BC26" s="18">
        <f t="shared" si="28"/>
        <v>48363.8737398348</v>
      </c>
      <c r="BD26" s="18">
        <f>SUM(BD14:BD25)</f>
        <v>85978.17123984113</v>
      </c>
      <c r="BE26" s="19">
        <f>SUM(BE14:BE25)</f>
        <v>-2473.049999999981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724119.18</v>
      </c>
      <c r="D28" s="23">
        <f>D12+D26</f>
        <v>93036.70885080003</v>
      </c>
      <c r="E28" s="50">
        <f aca="true" t="shared" si="29" ref="E28:BC28">E12+E26</f>
        <v>60284.1</v>
      </c>
      <c r="F28" s="50">
        <f t="shared" si="29"/>
        <v>12512.86</v>
      </c>
      <c r="G28" s="50">
        <f t="shared" si="29"/>
        <v>81515.01999999999</v>
      </c>
      <c r="H28" s="50">
        <f t="shared" si="29"/>
        <v>16930.94</v>
      </c>
      <c r="I28" s="50">
        <f t="shared" si="29"/>
        <v>196054.86000000002</v>
      </c>
      <c r="J28" s="50">
        <f t="shared" si="29"/>
        <v>40704.759999999995</v>
      </c>
      <c r="K28" s="50">
        <f t="shared" si="29"/>
        <v>135770.59999999998</v>
      </c>
      <c r="L28" s="50">
        <f t="shared" si="29"/>
        <v>28192.519999999993</v>
      </c>
      <c r="M28" s="50">
        <f t="shared" si="29"/>
        <v>48227.21000000001</v>
      </c>
      <c r="N28" s="50">
        <f>N12+N26</f>
        <v>10010.04</v>
      </c>
      <c r="O28" s="50">
        <f t="shared" si="29"/>
        <v>0</v>
      </c>
      <c r="P28" s="50">
        <f t="shared" si="29"/>
        <v>0</v>
      </c>
      <c r="Q28" s="50">
        <f t="shared" si="29"/>
        <v>0</v>
      </c>
      <c r="R28" s="50">
        <f t="shared" si="29"/>
        <v>0</v>
      </c>
      <c r="S28" s="50">
        <f t="shared" si="29"/>
        <v>521851.79000000004</v>
      </c>
      <c r="T28" s="50">
        <f t="shared" si="29"/>
        <v>108351.12</v>
      </c>
      <c r="U28" s="53">
        <f t="shared" si="29"/>
        <v>55918.25</v>
      </c>
      <c r="V28" s="53">
        <f t="shared" si="29"/>
        <v>75608.71</v>
      </c>
      <c r="W28" s="53">
        <f t="shared" si="29"/>
        <v>181853.21000000002</v>
      </c>
      <c r="X28" s="53">
        <f t="shared" si="29"/>
        <v>125934.47</v>
      </c>
      <c r="Y28" s="53">
        <f t="shared" si="29"/>
        <v>44734.259999999995</v>
      </c>
      <c r="Z28" s="53">
        <f t="shared" si="29"/>
        <v>0</v>
      </c>
      <c r="AA28" s="53">
        <f t="shared" si="29"/>
        <v>0</v>
      </c>
      <c r="AB28" s="53">
        <f t="shared" si="29"/>
        <v>484048.9</v>
      </c>
      <c r="AC28" s="53">
        <f t="shared" si="29"/>
        <v>685436.7288508</v>
      </c>
      <c r="AD28" s="53">
        <f t="shared" si="29"/>
        <v>0</v>
      </c>
      <c r="AE28" s="53">
        <f>AE12+AE26</f>
        <v>0</v>
      </c>
      <c r="AF28" s="53">
        <f t="shared" si="29"/>
        <v>105845.68583999999</v>
      </c>
      <c r="AG28" s="23">
        <f t="shared" si="29"/>
        <v>48887.49600000001</v>
      </c>
      <c r="AH28" s="23">
        <f t="shared" si="29"/>
        <v>16451.7924016</v>
      </c>
      <c r="AI28" s="23">
        <f t="shared" si="29"/>
        <v>68544.296941025</v>
      </c>
      <c r="AJ28" s="23">
        <f t="shared" si="29"/>
        <v>12337.973449384499</v>
      </c>
      <c r="AK28" s="23">
        <f t="shared" si="29"/>
        <v>69354.606919455</v>
      </c>
      <c r="AL28" s="23">
        <f t="shared" si="29"/>
        <v>12483.8292455019</v>
      </c>
      <c r="AM28" s="23">
        <f t="shared" si="29"/>
        <v>151893.82017048617</v>
      </c>
      <c r="AN28" s="23">
        <f t="shared" si="29"/>
        <v>27340.887630687517</v>
      </c>
      <c r="AO28" s="23">
        <f t="shared" si="29"/>
        <v>0</v>
      </c>
      <c r="AP28" s="23">
        <f t="shared" si="29"/>
        <v>0</v>
      </c>
      <c r="AQ28" s="23">
        <f t="shared" si="29"/>
        <v>25283.592999999997</v>
      </c>
      <c r="AR28" s="23">
        <f t="shared" si="29"/>
        <v>4551.04674</v>
      </c>
      <c r="AS28" s="23">
        <f t="shared" si="29"/>
        <v>174666.96000000002</v>
      </c>
      <c r="AT28" s="23">
        <f t="shared" si="29"/>
        <v>7246.3</v>
      </c>
      <c r="AU28" s="23">
        <f t="shared" si="29"/>
        <v>32744.396800000002</v>
      </c>
      <c r="AV28" s="23"/>
      <c r="AW28" s="23"/>
      <c r="AX28" s="23">
        <f t="shared" si="29"/>
        <v>28239.288</v>
      </c>
      <c r="AY28" s="23">
        <f t="shared" si="29"/>
        <v>0</v>
      </c>
      <c r="AZ28" s="23">
        <f t="shared" si="29"/>
        <v>0</v>
      </c>
      <c r="BA28" s="23">
        <f t="shared" si="29"/>
        <v>0</v>
      </c>
      <c r="BB28" s="23">
        <f t="shared" si="29"/>
        <v>673593.3992981401</v>
      </c>
      <c r="BC28" s="23">
        <f t="shared" si="29"/>
        <v>48363.8737398348</v>
      </c>
      <c r="BD28" s="23">
        <f>BD12+BD26</f>
        <v>69325.14165282511</v>
      </c>
      <c r="BE28" s="24">
        <f>BE12+BE26</f>
        <v>-37802.88999999999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5584.95</v>
      </c>
      <c r="C30" s="131">
        <f aca="true" t="shared" si="30" ref="C30:C41">B30*8.65</f>
        <v>48309.8175</v>
      </c>
      <c r="D30" s="130">
        <f aca="true" t="shared" si="31" ref="D30:D41">C30-E30-F30-G30-H30-I30-J30-K30-L30-M30-N30</f>
        <v>4249.727500000002</v>
      </c>
      <c r="E30" s="107">
        <v>4209.53</v>
      </c>
      <c r="F30" s="107">
        <v>876.81</v>
      </c>
      <c r="G30" s="107">
        <v>5699.19</v>
      </c>
      <c r="H30" s="107">
        <v>1188.52</v>
      </c>
      <c r="I30" s="107">
        <v>13697.22</v>
      </c>
      <c r="J30" s="107">
        <v>2854.42</v>
      </c>
      <c r="K30" s="107">
        <v>9487.68</v>
      </c>
      <c r="L30" s="107">
        <v>1977.66</v>
      </c>
      <c r="M30" s="107">
        <v>3367.63</v>
      </c>
      <c r="N30" s="107">
        <v>701.43</v>
      </c>
      <c r="O30" s="107">
        <v>0</v>
      </c>
      <c r="P30" s="114">
        <v>0</v>
      </c>
      <c r="Q30" s="114"/>
      <c r="R30" s="114"/>
      <c r="S30" s="91">
        <f aca="true" t="shared" si="32" ref="S30:S41">E30+G30+I30+K30+M30+O30+Q30</f>
        <v>36461.24999999999</v>
      </c>
      <c r="T30" s="108">
        <f aca="true" t="shared" si="33" ref="T30:T41">P30+N30+L30+J30+H30+F30+R30</f>
        <v>7598.84</v>
      </c>
      <c r="U30" s="91">
        <v>2953.25</v>
      </c>
      <c r="V30" s="91">
        <v>3998.39</v>
      </c>
      <c r="W30" s="91">
        <v>9609.57</v>
      </c>
      <c r="X30" s="91">
        <v>6656.28</v>
      </c>
      <c r="Y30" s="91">
        <v>2362.65</v>
      </c>
      <c r="Z30" s="109">
        <v>0</v>
      </c>
      <c r="AA30" s="109">
        <v>0</v>
      </c>
      <c r="AB30" s="109">
        <f>SUM(U30:AA30)</f>
        <v>25580.14</v>
      </c>
      <c r="AC30" s="113">
        <f aca="true" t="shared" si="34" ref="AC30:AC41">D30+T30+AB30</f>
        <v>37428.707500000004</v>
      </c>
      <c r="AD30" s="102">
        <f aca="true" t="shared" si="35" ref="AD30:AD41">P30+Z30</f>
        <v>0</v>
      </c>
      <c r="AE30" s="102">
        <f aca="true" t="shared" si="36" ref="AE30:AE41">R30+AA30</f>
        <v>0</v>
      </c>
      <c r="AF30" s="102">
        <f>'[6]Т01-10'!$I$11+'[6]Т01-10'!$I$18+'[6]Т01-10'!$I$27+'[6]Т01-10'!$I$29+'[6]Т01-10'!$I$38+'[6]Т01-10'!$I$81+'[6]Т01-10'!$I$82+'[6]Т01-10'!$I$83+'[6]Т01-10'!$I$84+'[6]Т01-10'!$I$85</f>
        <v>9155.515720000001</v>
      </c>
      <c r="AG30" s="16">
        <f aca="true" t="shared" si="37" ref="AG30:AG41">0.6*B30</f>
        <v>3350.97</v>
      </c>
      <c r="AH30" s="16">
        <f aca="true" t="shared" si="38" ref="AH30:AH41">B30*0.2</f>
        <v>1116.99</v>
      </c>
      <c r="AI30" s="16">
        <f aca="true" t="shared" si="39" ref="AI30:AI41">1*B30</f>
        <v>5584.95</v>
      </c>
      <c r="AJ30" s="16">
        <v>0</v>
      </c>
      <c r="AK30" s="16">
        <f aca="true" t="shared" si="40" ref="AK30:AK41">0.98*B30</f>
        <v>5473.250999999999</v>
      </c>
      <c r="AL30" s="16">
        <v>0</v>
      </c>
      <c r="AM30" s="16">
        <f aca="true" t="shared" si="41" ref="AM30:AM41">2.25*B30</f>
        <v>12566.137499999999</v>
      </c>
      <c r="AN30" s="16">
        <v>0</v>
      </c>
      <c r="AO30" s="16"/>
      <c r="AP30" s="16">
        <v>0</v>
      </c>
      <c r="AQ30" s="117"/>
      <c r="AR30" s="117"/>
      <c r="AS30" s="97">
        <v>3141</v>
      </c>
      <c r="AT30" s="97"/>
      <c r="AU30" s="97">
        <f aca="true" t="shared" si="42" ref="AU30:AU37">AT30*0.18</f>
        <v>0</v>
      </c>
      <c r="AV30" s="118">
        <v>508</v>
      </c>
      <c r="AW30" s="134">
        <v>3.75</v>
      </c>
      <c r="AX30" s="16">
        <f aca="true" t="shared" si="43" ref="AX30:AX37">AV30*AW30*1.4</f>
        <v>2667</v>
      </c>
      <c r="AY30" s="121"/>
      <c r="AZ30" s="122"/>
      <c r="BA30" s="122">
        <f aca="true" t="shared" si="44" ref="BA30:BA41">AZ30*0.18</f>
        <v>0</v>
      </c>
      <c r="BB30" s="122">
        <f>SUM(AG30:BA30)-AV30-AW30</f>
        <v>33900.2985</v>
      </c>
      <c r="BC30" s="132">
        <f>'[6]Т03-10'!$M$11+'[6]Т03-10'!$M$18+'[6]Т03-10'!$M$27+'[6]Т03-10'!$M$29+'[6]Т03-10'!$M$38+'[6]Т03-10'!$M$82+'[6]Т03-10'!$M$83+'[6]Т03-10'!$M$84+'[6]Т03-10'!$M$85+'[6]Т03-10'!$M$86</f>
        <v>4358.681999999998</v>
      </c>
      <c r="BD30" s="14">
        <f>AC30+AF30-BB30-BC30</f>
        <v>8325.242720000013</v>
      </c>
      <c r="BE30" s="30">
        <f>AB30-S30</f>
        <v>-10881.109999999993</v>
      </c>
    </row>
    <row r="31" spans="1:57" ht="12.75">
      <c r="A31" s="11" t="s">
        <v>46</v>
      </c>
      <c r="B31" s="115">
        <v>5584.95</v>
      </c>
      <c r="C31" s="131">
        <f t="shared" si="30"/>
        <v>48309.8175</v>
      </c>
      <c r="D31" s="130">
        <f t="shared" si="31"/>
        <v>4266.267499999989</v>
      </c>
      <c r="E31" s="136">
        <v>4220.51</v>
      </c>
      <c r="F31" s="107">
        <v>863.89</v>
      </c>
      <c r="G31" s="107">
        <v>5714.15</v>
      </c>
      <c r="H31" s="107">
        <v>1171.01</v>
      </c>
      <c r="I31" s="107">
        <v>13733.08</v>
      </c>
      <c r="J31" s="107">
        <v>2812.33</v>
      </c>
      <c r="K31" s="107">
        <v>9512.55</v>
      </c>
      <c r="L31" s="107">
        <v>1948.53</v>
      </c>
      <c r="M31" s="107">
        <v>3376.4</v>
      </c>
      <c r="N31" s="107">
        <v>691.1</v>
      </c>
      <c r="O31" s="107">
        <v>0</v>
      </c>
      <c r="P31" s="114">
        <v>0</v>
      </c>
      <c r="Q31" s="91">
        <v>0</v>
      </c>
      <c r="R31" s="109">
        <v>0</v>
      </c>
      <c r="S31" s="91">
        <f t="shared" si="32"/>
        <v>36556.689999999995</v>
      </c>
      <c r="T31" s="108">
        <f t="shared" si="33"/>
        <v>7486.860000000001</v>
      </c>
      <c r="U31" s="91">
        <v>3590.49</v>
      </c>
      <c r="V31" s="91">
        <v>4861.44</v>
      </c>
      <c r="W31" s="91">
        <v>11683.24</v>
      </c>
      <c r="X31" s="91">
        <v>8092.83</v>
      </c>
      <c r="Y31" s="91">
        <v>2872.43</v>
      </c>
      <c r="Z31" s="109">
        <v>0</v>
      </c>
      <c r="AA31" s="109">
        <v>0</v>
      </c>
      <c r="AB31" s="109">
        <f>SUM(U31:AA31)</f>
        <v>31100.43</v>
      </c>
      <c r="AC31" s="113">
        <f t="shared" si="34"/>
        <v>42853.55749999999</v>
      </c>
      <c r="AD31" s="102">
        <f t="shared" si="35"/>
        <v>0</v>
      </c>
      <c r="AE31" s="102">
        <f t="shared" si="36"/>
        <v>0</v>
      </c>
      <c r="AF31" s="102">
        <f>'[6]Т01-10'!$I$11+'[6]Т01-10'!$I$18+'[6]Т01-10'!$I$27+'[6]Т01-10'!$I$29+'[6]Т01-10'!$I$38+'[6]Т01-10'!$I$81+'[6]Т01-10'!$I$82+'[6]Т01-10'!$I$83+'[6]Т01-10'!$I$84+'[6]Т01-10'!$I$85</f>
        <v>9155.515720000001</v>
      </c>
      <c r="AG31" s="16">
        <f t="shared" si="37"/>
        <v>3350.97</v>
      </c>
      <c r="AH31" s="16">
        <f t="shared" si="38"/>
        <v>1116.99</v>
      </c>
      <c r="AI31" s="16">
        <f t="shared" si="39"/>
        <v>5584.95</v>
      </c>
      <c r="AJ31" s="16">
        <v>0</v>
      </c>
      <c r="AK31" s="16">
        <f t="shared" si="40"/>
        <v>5473.250999999999</v>
      </c>
      <c r="AL31" s="16">
        <v>0</v>
      </c>
      <c r="AM31" s="16">
        <f t="shared" si="41"/>
        <v>12566.137499999999</v>
      </c>
      <c r="AN31" s="16">
        <v>0</v>
      </c>
      <c r="AO31" s="16"/>
      <c r="AP31" s="16"/>
      <c r="AQ31" s="117"/>
      <c r="AR31" s="117"/>
      <c r="AS31" s="97">
        <v>6423</v>
      </c>
      <c r="AT31" s="97"/>
      <c r="AU31" s="97">
        <f t="shared" si="42"/>
        <v>0</v>
      </c>
      <c r="AV31" s="118">
        <v>407</v>
      </c>
      <c r="AW31" s="134">
        <v>3.75</v>
      </c>
      <c r="AX31" s="16">
        <f t="shared" si="43"/>
        <v>2136.75</v>
      </c>
      <c r="AY31" s="121"/>
      <c r="AZ31" s="122"/>
      <c r="BA31" s="122">
        <f t="shared" si="44"/>
        <v>0</v>
      </c>
      <c r="BB31" s="122">
        <f aca="true" t="shared" si="45" ref="BB31:BB41">SUM(AG31:BA31)-AV31-AW31</f>
        <v>36652.0485</v>
      </c>
      <c r="BC31" s="132">
        <f>'[6]Т03-10'!$M$11+'[6]Т03-10'!$M$18+'[6]Т03-10'!$M$27+'[6]Т03-10'!$M$29+'[6]Т03-10'!$M$38+'[6]Т03-10'!$M$82+'[6]Т03-10'!$M$83+'[6]Т03-10'!$M$84+'[6]Т03-10'!$M$85+'[6]Т03-10'!$M$86</f>
        <v>4358.681999999998</v>
      </c>
      <c r="BD31" s="14">
        <f aca="true" t="shared" si="46" ref="BD31:BD41">AC31+AF31-BB31-BC31</f>
        <v>10998.342719999997</v>
      </c>
      <c r="BE31" s="30">
        <f aca="true" t="shared" si="47" ref="BE31:BE41">AB31-S31</f>
        <v>-5456.259999999995</v>
      </c>
    </row>
    <row r="32" spans="1:57" ht="12.75">
      <c r="A32" s="11" t="s">
        <v>47</v>
      </c>
      <c r="B32" s="104">
        <v>5584.95</v>
      </c>
      <c r="C32" s="131">
        <f t="shared" si="30"/>
        <v>48309.8175</v>
      </c>
      <c r="D32" s="130">
        <f t="shared" si="31"/>
        <v>4278.847500000004</v>
      </c>
      <c r="E32" s="107">
        <v>4219.53</v>
      </c>
      <c r="F32" s="107">
        <v>863.4</v>
      </c>
      <c r="G32" s="107">
        <v>5712.89</v>
      </c>
      <c r="H32" s="107">
        <v>1170.34</v>
      </c>
      <c r="I32" s="107">
        <v>13729.93</v>
      </c>
      <c r="J32" s="107">
        <v>2810.74</v>
      </c>
      <c r="K32" s="107">
        <v>9510.39</v>
      </c>
      <c r="L32" s="107">
        <v>1947.41</v>
      </c>
      <c r="M32" s="107">
        <v>3375.64</v>
      </c>
      <c r="N32" s="107">
        <v>690.7</v>
      </c>
      <c r="O32" s="107">
        <v>0</v>
      </c>
      <c r="P32" s="114">
        <v>0</v>
      </c>
      <c r="Q32" s="114">
        <v>0</v>
      </c>
      <c r="R32" s="114">
        <v>0</v>
      </c>
      <c r="S32" s="91">
        <f t="shared" si="32"/>
        <v>36548.38</v>
      </c>
      <c r="T32" s="108">
        <f t="shared" si="33"/>
        <v>7482.59</v>
      </c>
      <c r="U32" s="91">
        <v>4834.71</v>
      </c>
      <c r="V32" s="91">
        <v>6546.91</v>
      </c>
      <c r="W32" s="91">
        <v>15732.97</v>
      </c>
      <c r="X32" s="91">
        <v>10898.23</v>
      </c>
      <c r="Y32" s="91">
        <v>3867.8</v>
      </c>
      <c r="Z32" s="109">
        <v>0</v>
      </c>
      <c r="AA32" s="109">
        <v>0</v>
      </c>
      <c r="AB32" s="109">
        <f>SUM(U32:AA32)</f>
        <v>41880.619999999995</v>
      </c>
      <c r="AC32" s="113">
        <f t="shared" si="34"/>
        <v>53642.057499999995</v>
      </c>
      <c r="AD32" s="102">
        <f t="shared" si="35"/>
        <v>0</v>
      </c>
      <c r="AE32" s="102">
        <f t="shared" si="36"/>
        <v>0</v>
      </c>
      <c r="AF32" s="102">
        <f>'[6]Т01-10'!$I$11+'[6]Т01-10'!$I$18+'[6]Т01-10'!$I$27+'[6]Т01-10'!$I$29+'[6]Т01-10'!$I$38+'[6]Т01-10'!$I$81+'[6]Т01-10'!$I$82+'[6]Т01-10'!$I$83+'[6]Т01-10'!$I$84+'[6]Т01-10'!$I$85</f>
        <v>9155.515720000001</v>
      </c>
      <c r="AG32" s="16">
        <f t="shared" si="37"/>
        <v>3350.97</v>
      </c>
      <c r="AH32" s="16">
        <f t="shared" si="38"/>
        <v>1116.99</v>
      </c>
      <c r="AI32" s="16">
        <f t="shared" si="39"/>
        <v>5584.95</v>
      </c>
      <c r="AJ32" s="16">
        <v>0</v>
      </c>
      <c r="AK32" s="16">
        <f t="shared" si="40"/>
        <v>5473.250999999999</v>
      </c>
      <c r="AL32" s="16">
        <v>0</v>
      </c>
      <c r="AM32" s="16">
        <f t="shared" si="41"/>
        <v>12566.137499999999</v>
      </c>
      <c r="AN32" s="16">
        <v>0</v>
      </c>
      <c r="AO32" s="16"/>
      <c r="AP32" s="16"/>
      <c r="AQ32" s="128">
        <f>3819</f>
        <v>3819</v>
      </c>
      <c r="AR32" s="117"/>
      <c r="AS32" s="97">
        <v>28099</v>
      </c>
      <c r="AT32" s="97"/>
      <c r="AU32" s="97">
        <f t="shared" si="42"/>
        <v>0</v>
      </c>
      <c r="AV32" s="118">
        <v>383</v>
      </c>
      <c r="AW32" s="134">
        <v>3.75</v>
      </c>
      <c r="AX32" s="16">
        <f t="shared" si="43"/>
        <v>2010.7499999999998</v>
      </c>
      <c r="AY32" s="121"/>
      <c r="AZ32" s="122"/>
      <c r="BA32" s="122">
        <f t="shared" si="44"/>
        <v>0</v>
      </c>
      <c r="BB32" s="122">
        <f t="shared" si="45"/>
        <v>62021.0485</v>
      </c>
      <c r="BC32" s="132">
        <f>'[6]Т03-10'!$M$11+'[6]Т03-10'!$M$18+'[6]Т03-10'!$M$27+'[6]Т03-10'!$M$29+'[6]Т03-10'!$M$38+'[6]Т03-10'!$M$82+'[6]Т03-10'!$M$83+'[6]Т03-10'!$M$84+'[6]Т03-10'!$M$85+'[6]Т03-10'!$M$86</f>
        <v>4358.681999999998</v>
      </c>
      <c r="BD32" s="14">
        <f t="shared" si="46"/>
        <v>-3582.1572799999967</v>
      </c>
      <c r="BE32" s="30">
        <f t="shared" si="47"/>
        <v>5332.239999999998</v>
      </c>
    </row>
    <row r="33" spans="1:57" ht="12.75">
      <c r="A33" s="11" t="s">
        <v>48</v>
      </c>
      <c r="B33" s="104">
        <v>5584.95</v>
      </c>
      <c r="C33" s="131">
        <f t="shared" si="30"/>
        <v>48309.8175</v>
      </c>
      <c r="D33" s="130">
        <f t="shared" si="31"/>
        <v>4270.067499999992</v>
      </c>
      <c r="E33" s="107">
        <v>4222.78</v>
      </c>
      <c r="F33" s="107">
        <v>861.16</v>
      </c>
      <c r="G33" s="107">
        <v>5717.29</v>
      </c>
      <c r="H33" s="107">
        <v>1167.3</v>
      </c>
      <c r="I33" s="107">
        <v>13740.52</v>
      </c>
      <c r="J33" s="107">
        <v>2803.46</v>
      </c>
      <c r="K33" s="107">
        <v>9517.73</v>
      </c>
      <c r="L33" s="107">
        <v>1942.36</v>
      </c>
      <c r="M33" s="107">
        <v>3378.24</v>
      </c>
      <c r="N33" s="107">
        <v>688.91</v>
      </c>
      <c r="O33" s="107">
        <v>0</v>
      </c>
      <c r="P33" s="114">
        <v>0</v>
      </c>
      <c r="Q33" s="114"/>
      <c r="R33" s="114"/>
      <c r="S33" s="91">
        <f t="shared" si="32"/>
        <v>36576.56</v>
      </c>
      <c r="T33" s="108">
        <f t="shared" si="33"/>
        <v>7463.19</v>
      </c>
      <c r="U33" s="91">
        <v>3190.36</v>
      </c>
      <c r="V33" s="91">
        <v>4298.12</v>
      </c>
      <c r="W33" s="91">
        <v>10346.96</v>
      </c>
      <c r="X33" s="91">
        <v>7172.33</v>
      </c>
      <c r="Y33" s="91">
        <v>2550.53</v>
      </c>
      <c r="Z33" s="109">
        <v>0</v>
      </c>
      <c r="AA33" s="109">
        <v>0</v>
      </c>
      <c r="AB33" s="109">
        <f>SUM(U33:AA33)</f>
        <v>27558.299999999996</v>
      </c>
      <c r="AC33" s="113">
        <f t="shared" si="34"/>
        <v>39291.55749999999</v>
      </c>
      <c r="AD33" s="102">
        <f t="shared" si="35"/>
        <v>0</v>
      </c>
      <c r="AE33" s="102">
        <f t="shared" si="36"/>
        <v>0</v>
      </c>
      <c r="AF33" s="102">
        <f>'[7]Т04-10'!$I$11+'[7]Т04-10'!$I$18+'[7]Т04-10'!$I$27+'[7]Т04-10'!$I$29+'[7]Т04-10'!$I$38+'[7]Т04-10'!$I$82+'[7]Т04-10'!$I$83+'[7]Т04-10'!$I$84+'[7]Т04-10'!$I$85+'[7]Т04-10'!$I$86</f>
        <v>9155.515720000001</v>
      </c>
      <c r="AG33" s="16">
        <f t="shared" si="37"/>
        <v>3350.97</v>
      </c>
      <c r="AH33" s="16">
        <f t="shared" si="38"/>
        <v>1116.99</v>
      </c>
      <c r="AI33" s="16">
        <f t="shared" si="39"/>
        <v>5584.95</v>
      </c>
      <c r="AJ33" s="16">
        <v>0</v>
      </c>
      <c r="AK33" s="16">
        <f t="shared" si="40"/>
        <v>5473.250999999999</v>
      </c>
      <c r="AL33" s="16">
        <v>0</v>
      </c>
      <c r="AM33" s="16">
        <f t="shared" si="41"/>
        <v>12566.137499999999</v>
      </c>
      <c r="AN33" s="16">
        <v>0</v>
      </c>
      <c r="AO33" s="16"/>
      <c r="AP33" s="16"/>
      <c r="AQ33" s="117">
        <f>12153.48-0.02</f>
        <v>12153.46</v>
      </c>
      <c r="AR33" s="117"/>
      <c r="AS33" s="97">
        <v>13487</v>
      </c>
      <c r="AT33" s="97"/>
      <c r="AU33" s="97">
        <f t="shared" si="42"/>
        <v>0</v>
      </c>
      <c r="AV33" s="118">
        <v>307</v>
      </c>
      <c r="AW33" s="134">
        <v>3.75</v>
      </c>
      <c r="AX33" s="16">
        <f t="shared" si="43"/>
        <v>1611.75</v>
      </c>
      <c r="AY33" s="121"/>
      <c r="AZ33" s="122"/>
      <c r="BA33" s="122">
        <f t="shared" si="44"/>
        <v>0</v>
      </c>
      <c r="BB33" s="122">
        <f t="shared" si="45"/>
        <v>55344.508499999996</v>
      </c>
      <c r="BC33" s="132">
        <f>'[8]Т04-10'!$M$11+'[8]Т04-10'!$M$18+'[8]Т04-10'!$M$27+'[8]Т04-10'!$M$29+'[8]Т04-10'!$M$38+'[8]Т04-10'!$M$82+'[8]Т04-10'!$M$83+'[8]Т04-10'!$M$84+'[8]Т04-10'!$M$85+'[8]Т04-10'!$M$86+'[8]Т04-10'!$M$126</f>
        <v>5142.554399999998</v>
      </c>
      <c r="BD33" s="14">
        <f t="shared" si="46"/>
        <v>-12039.989680000002</v>
      </c>
      <c r="BE33" s="30">
        <f t="shared" si="47"/>
        <v>-9018.260000000002</v>
      </c>
    </row>
    <row r="34" spans="1:57" ht="12.75">
      <c r="A34" s="11" t="s">
        <v>49</v>
      </c>
      <c r="B34" s="104">
        <v>5587.44</v>
      </c>
      <c r="C34" s="131">
        <f t="shared" si="30"/>
        <v>48331.356</v>
      </c>
      <c r="D34" s="130">
        <f t="shared" si="31"/>
        <v>4238.856000000001</v>
      </c>
      <c r="E34" s="107">
        <v>4246.14</v>
      </c>
      <c r="F34" s="107">
        <v>843.97</v>
      </c>
      <c r="G34" s="107">
        <v>5748.72</v>
      </c>
      <c r="H34" s="107">
        <v>1144</v>
      </c>
      <c r="I34" s="107">
        <v>13816.35</v>
      </c>
      <c r="J34" s="107">
        <v>2747.48</v>
      </c>
      <c r="K34" s="107">
        <v>9570.15</v>
      </c>
      <c r="L34" s="107">
        <v>1903.57</v>
      </c>
      <c r="M34" s="107">
        <v>3396.96</v>
      </c>
      <c r="N34" s="107">
        <v>675.16</v>
      </c>
      <c r="O34" s="107">
        <v>0</v>
      </c>
      <c r="P34" s="114">
        <v>0</v>
      </c>
      <c r="Q34" s="114"/>
      <c r="R34" s="114"/>
      <c r="S34" s="91">
        <f t="shared" si="32"/>
        <v>36778.32</v>
      </c>
      <c r="T34" s="108">
        <f t="shared" si="33"/>
        <v>7314.18</v>
      </c>
      <c r="U34" s="137">
        <v>3720.58</v>
      </c>
      <c r="V34" s="137">
        <v>5037.48</v>
      </c>
      <c r="W34" s="137">
        <v>12106.58</v>
      </c>
      <c r="X34" s="137">
        <v>8386.1</v>
      </c>
      <c r="Y34" s="137">
        <v>2976.45</v>
      </c>
      <c r="Z34" s="138">
        <v>0</v>
      </c>
      <c r="AA34" s="138">
        <v>0</v>
      </c>
      <c r="AB34" s="109">
        <f aca="true" t="shared" si="48" ref="AB34:AB41">SUM(U34:AA34)</f>
        <v>32227.19</v>
      </c>
      <c r="AC34" s="113">
        <f t="shared" si="34"/>
        <v>43780.225999999995</v>
      </c>
      <c r="AD34" s="102">
        <f t="shared" si="35"/>
        <v>0</v>
      </c>
      <c r="AE34" s="102">
        <f t="shared" si="36"/>
        <v>0</v>
      </c>
      <c r="AF34" s="102">
        <f>'[8]Т05-10'!$I$11+'[8]Т05-10'!$I$18+'[8]Т05-10'!$I$27+'[8]Т05-10'!$I$29+'[8]Т05-10'!$I$38+'[8]Т05-10'!$I$82+'[8]Т05-10'!$I$83+'[8]Т05-10'!$I$84+'[8]Т05-10'!$I$85+'[8]Т05-10'!$I$86+'[8]Т05-10'!$I$129</f>
        <v>14232.273616</v>
      </c>
      <c r="AG34" s="16">
        <f t="shared" si="37"/>
        <v>3352.4639999999995</v>
      </c>
      <c r="AH34" s="16">
        <f t="shared" si="38"/>
        <v>1117.488</v>
      </c>
      <c r="AI34" s="16">
        <f t="shared" si="39"/>
        <v>5587.44</v>
      </c>
      <c r="AJ34" s="16">
        <v>0</v>
      </c>
      <c r="AK34" s="16">
        <f t="shared" si="40"/>
        <v>5475.691199999999</v>
      </c>
      <c r="AL34" s="16">
        <v>0</v>
      </c>
      <c r="AM34" s="16">
        <f t="shared" si="41"/>
        <v>12571.74</v>
      </c>
      <c r="AN34" s="16">
        <v>0</v>
      </c>
      <c r="AO34" s="16">
        <v>6924.42</v>
      </c>
      <c r="AP34" s="16"/>
      <c r="AQ34" s="117"/>
      <c r="AR34" s="117"/>
      <c r="AS34" s="97">
        <v>561</v>
      </c>
      <c r="AT34" s="97"/>
      <c r="AU34" s="97">
        <f t="shared" si="42"/>
        <v>0</v>
      </c>
      <c r="AV34" s="118">
        <v>263</v>
      </c>
      <c r="AW34" s="134">
        <v>3.75</v>
      </c>
      <c r="AX34" s="16">
        <f t="shared" si="43"/>
        <v>1380.75</v>
      </c>
      <c r="AY34" s="121"/>
      <c r="AZ34" s="122"/>
      <c r="BA34" s="122">
        <f t="shared" si="44"/>
        <v>0</v>
      </c>
      <c r="BB34" s="122">
        <f t="shared" si="45"/>
        <v>36970.9932</v>
      </c>
      <c r="BC34" s="132">
        <f>'[8]Т05-10'!$M$11+'[8]Т05-10'!$M$18+'[8]Т05-10'!$M$27+'[8]Т05-10'!$M$29+'[8]Т05-10'!$M$38+'[8]Т05-10'!$M$82+'[8]Т05-10'!$M$83+'[8]Т05-10'!$M$84+'[8]Т05-10'!$M$85+'[8]Т05-10'!$M$86+'[8]Т05-10'!$M$126+'[8]Т05-10'!$M$129</f>
        <v>5673.922399999998</v>
      </c>
      <c r="BD34" s="14">
        <f t="shared" si="46"/>
        <v>15367.584015999999</v>
      </c>
      <c r="BE34" s="30">
        <f t="shared" si="47"/>
        <v>-4551.130000000001</v>
      </c>
    </row>
    <row r="35" spans="1:57" ht="12.75">
      <c r="A35" s="11" t="s">
        <v>50</v>
      </c>
      <c r="B35" s="104">
        <v>5587.44</v>
      </c>
      <c r="C35" s="131">
        <f t="shared" si="30"/>
        <v>48331.356</v>
      </c>
      <c r="D35" s="130">
        <f t="shared" si="31"/>
        <v>4233.005999999992</v>
      </c>
      <c r="E35" s="107">
        <v>4240.18</v>
      </c>
      <c r="F35" s="107">
        <v>850.61</v>
      </c>
      <c r="G35" s="107">
        <v>5740.62</v>
      </c>
      <c r="H35" s="107">
        <v>1153</v>
      </c>
      <c r="I35" s="107">
        <v>13796.94</v>
      </c>
      <c r="J35" s="107">
        <v>2769.09</v>
      </c>
      <c r="K35" s="107">
        <v>9556.7</v>
      </c>
      <c r="L35" s="107">
        <v>1918.54</v>
      </c>
      <c r="M35" s="107">
        <v>3392.2</v>
      </c>
      <c r="N35" s="107">
        <v>680.47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32"/>
        <v>36726.64</v>
      </c>
      <c r="T35" s="108">
        <f t="shared" si="33"/>
        <v>7371.71</v>
      </c>
      <c r="U35" s="91">
        <v>4313.35</v>
      </c>
      <c r="V35" s="91">
        <v>5838.06</v>
      </c>
      <c r="W35" s="91">
        <v>14033.31</v>
      </c>
      <c r="X35" s="91">
        <v>9719.84</v>
      </c>
      <c r="Y35" s="91">
        <v>3450.65</v>
      </c>
      <c r="Z35" s="109">
        <v>0</v>
      </c>
      <c r="AA35" s="109">
        <v>0</v>
      </c>
      <c r="AB35" s="109">
        <f t="shared" si="48"/>
        <v>37355.21</v>
      </c>
      <c r="AC35" s="113">
        <f t="shared" si="34"/>
        <v>48959.92599999999</v>
      </c>
      <c r="AD35" s="102">
        <f t="shared" si="35"/>
        <v>0</v>
      </c>
      <c r="AE35" s="102">
        <f t="shared" si="36"/>
        <v>0</v>
      </c>
      <c r="AF35" s="102">
        <f>'[8]Т06-10'!$I$11+'[8]Т06-10'!$I$18+'[8]Т06-10'!$I$27+'[8]Т06-10'!$I$29+'[8]Т06-10'!$I$38+'[8]Т06-10'!$I$80+'[8]Т06-10'!$I$81+'[8]Т06-10'!$I$82+'[8]Т06-10'!$I$83+'[8]Т06-10'!$I$84+'[8]Т06-10'!$I$123+'[8]Т06-10'!$I$126</f>
        <v>21450.900400000002</v>
      </c>
      <c r="AG35" s="16">
        <f t="shared" si="37"/>
        <v>3352.4639999999995</v>
      </c>
      <c r="AH35" s="16">
        <f t="shared" si="38"/>
        <v>1117.488</v>
      </c>
      <c r="AI35" s="16">
        <f t="shared" si="39"/>
        <v>5587.44</v>
      </c>
      <c r="AJ35" s="16">
        <v>0</v>
      </c>
      <c r="AK35" s="16">
        <f t="shared" si="40"/>
        <v>5475.691199999999</v>
      </c>
      <c r="AL35" s="16">
        <v>0</v>
      </c>
      <c r="AM35" s="16">
        <f t="shared" si="41"/>
        <v>12571.74</v>
      </c>
      <c r="AN35" s="16">
        <v>0</v>
      </c>
      <c r="AO35" s="16"/>
      <c r="AP35" s="16"/>
      <c r="AQ35" s="117">
        <f>200+3000</f>
        <v>3200</v>
      </c>
      <c r="AR35" s="117"/>
      <c r="AS35" s="97">
        <v>9142</v>
      </c>
      <c r="AT35" s="97">
        <v>766.27</v>
      </c>
      <c r="AU35" s="97">
        <f t="shared" si="42"/>
        <v>137.9286</v>
      </c>
      <c r="AV35" s="118">
        <v>233</v>
      </c>
      <c r="AW35" s="134">
        <v>3.75</v>
      </c>
      <c r="AX35" s="16">
        <f t="shared" si="43"/>
        <v>1223.25</v>
      </c>
      <c r="AY35" s="121"/>
      <c r="AZ35" s="122"/>
      <c r="BA35" s="122">
        <f t="shared" si="44"/>
        <v>0</v>
      </c>
      <c r="BB35" s="122">
        <f t="shared" si="45"/>
        <v>42574.271799999995</v>
      </c>
      <c r="BC35" s="132">
        <f>'[7]Т06-10'!$M$11+'[7]Т06-10'!$M$18+'[7]Т06-10'!$M$27+'[7]Т06-10'!$M$29+'[7]Т06-10'!$M$38+'[7]Т06-10'!$M$80+'[7]Т06-10'!$M$81+'[7]Т06-10'!$M$82+'[7]Т06-10'!$M$83+'[7]Т06-10'!$M$84+'[7]Т06-10'!$M$123+'[7]Т06-10'!$M$126</f>
        <v>5673.922399999998</v>
      </c>
      <c r="BD35" s="14">
        <f t="shared" si="46"/>
        <v>22162.6322</v>
      </c>
      <c r="BE35" s="30">
        <f t="shared" si="47"/>
        <v>628.5699999999997</v>
      </c>
    </row>
    <row r="36" spans="1:57" ht="12.75">
      <c r="A36" s="11" t="s">
        <v>51</v>
      </c>
      <c r="B36" s="104">
        <v>5587.44</v>
      </c>
      <c r="C36" s="131">
        <f t="shared" si="30"/>
        <v>48331.356</v>
      </c>
      <c r="D36" s="130">
        <f t="shared" si="31"/>
        <v>4140.446000000003</v>
      </c>
      <c r="E36" s="136">
        <v>5114.68</v>
      </c>
      <c r="F36" s="107">
        <v>0</v>
      </c>
      <c r="G36" s="107">
        <v>6925.41</v>
      </c>
      <c r="H36" s="107">
        <v>0</v>
      </c>
      <c r="I36" s="107">
        <v>16643.2</v>
      </c>
      <c r="J36" s="107">
        <v>0</v>
      </c>
      <c r="K36" s="107">
        <v>11528.5</v>
      </c>
      <c r="L36" s="107">
        <v>0</v>
      </c>
      <c r="M36" s="107">
        <v>3979.12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32"/>
        <v>44190.91</v>
      </c>
      <c r="T36" s="108">
        <f t="shared" si="33"/>
        <v>0</v>
      </c>
      <c r="U36" s="93">
        <v>4372.25</v>
      </c>
      <c r="V36" s="91">
        <v>5920.55</v>
      </c>
      <c r="W36" s="91">
        <v>14227.75</v>
      </c>
      <c r="X36" s="91">
        <v>9855.51</v>
      </c>
      <c r="Y36" s="91">
        <v>3497.83</v>
      </c>
      <c r="Z36" s="109">
        <v>0</v>
      </c>
      <c r="AA36" s="109">
        <v>0</v>
      </c>
      <c r="AB36" s="109">
        <f t="shared" si="48"/>
        <v>37873.89</v>
      </c>
      <c r="AC36" s="113">
        <f t="shared" si="34"/>
        <v>42014.336</v>
      </c>
      <c r="AD36" s="102">
        <f t="shared" si="35"/>
        <v>0</v>
      </c>
      <c r="AE36" s="102">
        <f t="shared" si="36"/>
        <v>0</v>
      </c>
      <c r="AF36" s="102">
        <f>'[8]Т07-10'!$I$10+'[8]Т07-10'!$I$17+'[8]Т07-10'!$I$26+'[8]Т07-10'!$I$28+'[8]Т07-10'!$I$37+'[8]Т07-10'!$I$79+'[8]Т07-10'!$I$80+'[8]Т07-10'!$I$81+'[8]Т07-10'!$I$82+'[8]Т07-10'!$I$83+'[8]Т07-10'!$I$122+'[8]Т07-10'!$I$125</f>
        <v>11714.85548</v>
      </c>
      <c r="AG36" s="16">
        <f t="shared" si="37"/>
        <v>3352.4639999999995</v>
      </c>
      <c r="AH36" s="16">
        <f t="shared" si="38"/>
        <v>1117.488</v>
      </c>
      <c r="AI36" s="16">
        <f t="shared" si="39"/>
        <v>5587.44</v>
      </c>
      <c r="AJ36" s="16">
        <v>0</v>
      </c>
      <c r="AK36" s="16">
        <f t="shared" si="40"/>
        <v>5475.691199999999</v>
      </c>
      <c r="AL36" s="16">
        <v>0</v>
      </c>
      <c r="AM36" s="16">
        <f t="shared" si="41"/>
        <v>12571.74</v>
      </c>
      <c r="AN36" s="16">
        <v>0</v>
      </c>
      <c r="AO36" s="16"/>
      <c r="AP36" s="16"/>
      <c r="AQ36" s="117"/>
      <c r="AR36" s="117"/>
      <c r="AS36" s="97"/>
      <c r="AT36" s="97"/>
      <c r="AU36" s="97">
        <f t="shared" si="42"/>
        <v>0</v>
      </c>
      <c r="AV36" s="118">
        <v>248</v>
      </c>
      <c r="AW36" s="134">
        <v>3.75</v>
      </c>
      <c r="AX36" s="16">
        <f t="shared" si="43"/>
        <v>1302</v>
      </c>
      <c r="AY36" s="121"/>
      <c r="AZ36" s="122"/>
      <c r="BA36" s="122">
        <f t="shared" si="44"/>
        <v>0</v>
      </c>
      <c r="BB36" s="122">
        <f t="shared" si="45"/>
        <v>29406.8232</v>
      </c>
      <c r="BC36" s="132">
        <f>'[8]Т07-10'!$M$10+'[8]Т07-10'!$M$17+'[8]Т07-10'!$M$26+'[8]Т07-10'!$M$28+'[8]Т07-10'!$M$37+'[8]Т07-10'!$M$79+'[8]Т07-10'!$M$80+'[8]Т07-10'!$M$81+'[8]Т07-10'!$M$82+'[8]Т07-10'!$M$83+'[8]Т07-10'!$M$122+'[8]Т07-10'!$M$125</f>
        <v>5673.922399999998</v>
      </c>
      <c r="BD36" s="14">
        <f t="shared" si="46"/>
        <v>18648.445880000007</v>
      </c>
      <c r="BE36" s="30">
        <f t="shared" si="47"/>
        <v>-6317.020000000004</v>
      </c>
    </row>
    <row r="37" spans="1:57" ht="12.75">
      <c r="A37" s="11" t="s">
        <v>52</v>
      </c>
      <c r="B37" s="104">
        <v>5587.44</v>
      </c>
      <c r="C37" s="131">
        <f t="shared" si="30"/>
        <v>48331.356</v>
      </c>
      <c r="D37" s="130">
        <f t="shared" si="31"/>
        <v>4164.985999999997</v>
      </c>
      <c r="E37" s="136">
        <v>5098.79</v>
      </c>
      <c r="F37" s="107">
        <v>0</v>
      </c>
      <c r="G37" s="107">
        <v>6904.01</v>
      </c>
      <c r="H37" s="107">
        <v>0</v>
      </c>
      <c r="I37" s="107">
        <v>16591.66</v>
      </c>
      <c r="J37" s="107">
        <v>0</v>
      </c>
      <c r="K37" s="107">
        <v>11492.85</v>
      </c>
      <c r="L37" s="107">
        <v>0</v>
      </c>
      <c r="M37" s="107">
        <v>4079.06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32"/>
        <v>44166.369999999995</v>
      </c>
      <c r="T37" s="108">
        <f t="shared" si="33"/>
        <v>0</v>
      </c>
      <c r="U37" s="137">
        <v>5233.04</v>
      </c>
      <c r="V37" s="137">
        <v>7084.64</v>
      </c>
      <c r="W37" s="137">
        <v>17227.31</v>
      </c>
      <c r="X37" s="137">
        <v>11887.09</v>
      </c>
      <c r="Y37" s="137">
        <v>4186.44</v>
      </c>
      <c r="Z37" s="138">
        <v>0</v>
      </c>
      <c r="AA37" s="138">
        <v>0</v>
      </c>
      <c r="AB37" s="109">
        <f t="shared" si="48"/>
        <v>45618.520000000004</v>
      </c>
      <c r="AC37" s="113">
        <f t="shared" si="34"/>
        <v>49783.506</v>
      </c>
      <c r="AD37" s="102">
        <f t="shared" si="35"/>
        <v>0</v>
      </c>
      <c r="AE37" s="102">
        <f t="shared" si="36"/>
        <v>0</v>
      </c>
      <c r="AF37" s="102">
        <f>'[8]Т07-10'!$I$10+'[8]Т07-10'!$I$17+'[8]Т07-10'!$I$26+'[8]Т07-10'!$I$28+'[8]Т07-10'!$I$37+'[8]Т07-10'!$I$79+'[8]Т07-10'!$I$80+'[8]Т07-10'!$I$81+'[8]Т07-10'!$I$82+'[8]Т07-10'!$I$83+'[8]Т07-10'!$I$122+'[8]Т07-10'!$I$125</f>
        <v>11714.85548</v>
      </c>
      <c r="AG37" s="16">
        <f t="shared" si="37"/>
        <v>3352.4639999999995</v>
      </c>
      <c r="AH37" s="16">
        <f t="shared" si="38"/>
        <v>1117.488</v>
      </c>
      <c r="AI37" s="16">
        <f t="shared" si="39"/>
        <v>5587.44</v>
      </c>
      <c r="AJ37" s="16">
        <v>0</v>
      </c>
      <c r="AK37" s="16">
        <f t="shared" si="40"/>
        <v>5475.691199999999</v>
      </c>
      <c r="AL37" s="16">
        <v>0</v>
      </c>
      <c r="AM37" s="16">
        <f t="shared" si="41"/>
        <v>12571.74</v>
      </c>
      <c r="AN37" s="16">
        <v>0</v>
      </c>
      <c r="AO37" s="16"/>
      <c r="AP37" s="16"/>
      <c r="AQ37" s="117"/>
      <c r="AR37" s="117"/>
      <c r="AS37" s="97"/>
      <c r="AT37" s="97">
        <f>47.8+267+10738</f>
        <v>11052.8</v>
      </c>
      <c r="AU37" s="97">
        <f t="shared" si="42"/>
        <v>1989.504</v>
      </c>
      <c r="AV37" s="118">
        <v>293</v>
      </c>
      <c r="AW37" s="134">
        <v>3.75</v>
      </c>
      <c r="AX37" s="16">
        <f t="shared" si="43"/>
        <v>1538.25</v>
      </c>
      <c r="AY37" s="121"/>
      <c r="AZ37" s="122"/>
      <c r="BA37" s="122">
        <f t="shared" si="44"/>
        <v>0</v>
      </c>
      <c r="BB37" s="122">
        <f t="shared" si="45"/>
        <v>42685.3772</v>
      </c>
      <c r="BC37" s="132">
        <f>'[7]Т06-10'!$M$11+'[7]Т06-10'!$M$18+'[7]Т06-10'!$M$27+'[7]Т06-10'!$M$29+'[7]Т06-10'!$M$38+'[7]Т06-10'!$M$80+'[7]Т06-10'!$M$81+'[7]Т06-10'!$M$82+'[7]Т06-10'!$M$83+'[7]Т06-10'!$M$84+'[7]Т06-10'!$M$123+'[7]Т06-10'!$M$126</f>
        <v>5673.922399999998</v>
      </c>
      <c r="BD37" s="14">
        <f t="shared" si="46"/>
        <v>13139.06188</v>
      </c>
      <c r="BE37" s="30">
        <f t="shared" si="47"/>
        <v>1452.1500000000087</v>
      </c>
    </row>
    <row r="38" spans="1:57" ht="12.75">
      <c r="A38" s="11" t="s">
        <v>53</v>
      </c>
      <c r="B38" s="139">
        <v>5587.44</v>
      </c>
      <c r="C38" s="131">
        <f t="shared" si="30"/>
        <v>48331.356</v>
      </c>
      <c r="D38" s="130">
        <f t="shared" si="31"/>
        <v>4193.026000000002</v>
      </c>
      <c r="E38" s="107">
        <v>5095.49</v>
      </c>
      <c r="F38" s="107">
        <v>0</v>
      </c>
      <c r="G38" s="107">
        <v>6899.74</v>
      </c>
      <c r="H38" s="107">
        <v>0</v>
      </c>
      <c r="I38" s="107">
        <v>16581.08</v>
      </c>
      <c r="J38" s="107">
        <v>0</v>
      </c>
      <c r="K38" s="107">
        <v>11485.6</v>
      </c>
      <c r="L38" s="107">
        <v>0</v>
      </c>
      <c r="M38" s="107">
        <v>4076.42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32"/>
        <v>44138.33</v>
      </c>
      <c r="T38" s="108">
        <f t="shared" si="33"/>
        <v>0</v>
      </c>
      <c r="U38" s="91">
        <v>4978.95</v>
      </c>
      <c r="V38" s="91">
        <v>6741.47</v>
      </c>
      <c r="W38" s="91">
        <v>16123</v>
      </c>
      <c r="X38" s="91">
        <v>11185.85</v>
      </c>
      <c r="Y38" s="91">
        <v>3983.21</v>
      </c>
      <c r="Z38" s="109">
        <v>0</v>
      </c>
      <c r="AA38" s="109">
        <v>0</v>
      </c>
      <c r="AB38" s="109">
        <f t="shared" si="48"/>
        <v>43012.479999999996</v>
      </c>
      <c r="AC38" s="113">
        <f t="shared" si="34"/>
        <v>47205.505999999994</v>
      </c>
      <c r="AD38" s="102">
        <f t="shared" si="35"/>
        <v>0</v>
      </c>
      <c r="AE38" s="102">
        <f t="shared" si="36"/>
        <v>0</v>
      </c>
      <c r="AF38" s="102">
        <f>'[8]Т09-10'!$I$10+'[8]Т09-10'!$I$17+'[8]Т09-10'!$I$26+'[8]Т09-10'!$I$28+'[8]Т09-10'!$I$37+'[8]Т09-10'!$I$79+'[8]Т09-10'!$I$80+'[8]Т09-10'!$I$81+'[8]Т09-10'!$I$82+'[8]Т09-10'!$I$83+'[8]Т09-10'!$I$123+'[8]Т09-10'!$I$126</f>
        <v>13730.979496</v>
      </c>
      <c r="AG38" s="16">
        <f t="shared" si="37"/>
        <v>3352.4639999999995</v>
      </c>
      <c r="AH38" s="16">
        <f t="shared" si="38"/>
        <v>1117.488</v>
      </c>
      <c r="AI38" s="16">
        <f t="shared" si="39"/>
        <v>5587.44</v>
      </c>
      <c r="AJ38" s="16">
        <v>0</v>
      </c>
      <c r="AK38" s="16">
        <f t="shared" si="40"/>
        <v>5475.691199999999</v>
      </c>
      <c r="AL38" s="16">
        <v>0</v>
      </c>
      <c r="AM38" s="16">
        <f t="shared" si="41"/>
        <v>12571.74</v>
      </c>
      <c r="AN38" s="16">
        <v>0</v>
      </c>
      <c r="AO38" s="16"/>
      <c r="AP38" s="16"/>
      <c r="AQ38" s="117"/>
      <c r="AR38" s="117"/>
      <c r="AS38" s="97">
        <v>19771</v>
      </c>
      <c r="AT38" s="97">
        <f>1180.25</f>
        <v>1180.25</v>
      </c>
      <c r="AU38" s="140">
        <f>AT38*0.18-0.01</f>
        <v>212.435</v>
      </c>
      <c r="AV38" s="118">
        <v>349</v>
      </c>
      <c r="AW38" s="134">
        <v>3.75</v>
      </c>
      <c r="AX38" s="16">
        <f>AV38*AW38*1.4</f>
        <v>1832.2499999999998</v>
      </c>
      <c r="AY38" s="121"/>
      <c r="AZ38" s="122"/>
      <c r="BA38" s="122">
        <f t="shared" si="44"/>
        <v>0</v>
      </c>
      <c r="BB38" s="122">
        <f t="shared" si="45"/>
        <v>51100.7582</v>
      </c>
      <c r="BC38" s="132">
        <f>'[7]Т06-10'!$M$11+'[7]Т06-10'!$M$18+'[7]Т06-10'!$M$27+'[7]Т06-10'!$M$29+'[7]Т06-10'!$M$38+'[7]Т06-10'!$M$80+'[7]Т06-10'!$M$81+'[7]Т06-10'!$M$82+'[7]Т06-10'!$M$83+'[7]Т06-10'!$M$84+'[7]Т06-10'!$M$123+'[7]Т06-10'!$M$126</f>
        <v>5673.922399999998</v>
      </c>
      <c r="BD38" s="14">
        <f t="shared" si="46"/>
        <v>4161.804896</v>
      </c>
      <c r="BE38" s="30">
        <f t="shared" si="47"/>
        <v>-1125.8500000000058</v>
      </c>
    </row>
    <row r="39" spans="1:57" ht="12.75">
      <c r="A39" s="11" t="s">
        <v>41</v>
      </c>
      <c r="B39" s="104">
        <v>5587.44</v>
      </c>
      <c r="C39" s="131">
        <f t="shared" si="30"/>
        <v>48331.356</v>
      </c>
      <c r="D39" s="130">
        <f t="shared" si="31"/>
        <v>4193.026000000002</v>
      </c>
      <c r="E39" s="126">
        <v>5095.49</v>
      </c>
      <c r="F39" s="126">
        <v>0</v>
      </c>
      <c r="G39" s="126">
        <v>6899.74</v>
      </c>
      <c r="H39" s="126">
        <v>0</v>
      </c>
      <c r="I39" s="126">
        <v>16581.08</v>
      </c>
      <c r="J39" s="126">
        <v>0</v>
      </c>
      <c r="K39" s="126">
        <v>11485.6</v>
      </c>
      <c r="L39" s="126">
        <v>0</v>
      </c>
      <c r="M39" s="126">
        <v>4076.42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32"/>
        <v>44138.33</v>
      </c>
      <c r="T39" s="108">
        <f t="shared" si="33"/>
        <v>0</v>
      </c>
      <c r="U39" s="91">
        <v>4793.98</v>
      </c>
      <c r="V39" s="91">
        <v>6491.23</v>
      </c>
      <c r="W39" s="91">
        <v>15493.23</v>
      </c>
      <c r="X39" s="91">
        <v>10756.41</v>
      </c>
      <c r="Y39" s="91">
        <v>3835.18</v>
      </c>
      <c r="Z39" s="109">
        <v>0</v>
      </c>
      <c r="AA39" s="109">
        <v>0</v>
      </c>
      <c r="AB39" s="109">
        <f t="shared" si="48"/>
        <v>41370.03</v>
      </c>
      <c r="AC39" s="113">
        <f t="shared" si="34"/>
        <v>45563.056</v>
      </c>
      <c r="AD39" s="102">
        <f t="shared" si="35"/>
        <v>0</v>
      </c>
      <c r="AE39" s="102">
        <f t="shared" si="36"/>
        <v>0</v>
      </c>
      <c r="AF39" s="102">
        <f>'[8]Т10-10'!$I$10+'[8]Т10-10'!$I$17+'[8]Т10-10'!$I$26+'[8]Т10-10'!$I$28+'[8]Т10-10'!$I$37+'[8]Т10-10'!$I$79+'[8]Т10-10'!$I$80+'[8]Т10-10'!$I$81+'[8]Т10-10'!$I$82+'[8]Т10-10'!$I$83+'[8]Т10-10'!$I$123+'[8]Т10-10'!$I$126+150</f>
        <v>12368.883984</v>
      </c>
      <c r="AG39" s="16">
        <f t="shared" si="37"/>
        <v>3352.4639999999995</v>
      </c>
      <c r="AH39" s="16">
        <f t="shared" si="38"/>
        <v>1117.488</v>
      </c>
      <c r="AI39" s="16">
        <f t="shared" si="39"/>
        <v>5587.44</v>
      </c>
      <c r="AJ39" s="16">
        <v>0</v>
      </c>
      <c r="AK39" s="16">
        <f t="shared" si="40"/>
        <v>5475.691199999999</v>
      </c>
      <c r="AL39" s="16">
        <v>0</v>
      </c>
      <c r="AM39" s="16">
        <f t="shared" si="41"/>
        <v>12571.74</v>
      </c>
      <c r="AN39" s="16">
        <v>0</v>
      </c>
      <c r="AO39" s="16"/>
      <c r="AP39" s="16"/>
      <c r="AQ39" s="117"/>
      <c r="AR39" s="117"/>
      <c r="AS39" s="97">
        <v>2602</v>
      </c>
      <c r="AT39" s="97">
        <f>170+170+84</f>
        <v>424</v>
      </c>
      <c r="AU39" s="97">
        <f>AT39*0.18</f>
        <v>76.32</v>
      </c>
      <c r="AV39" s="118">
        <v>425</v>
      </c>
      <c r="AW39" s="134">
        <v>3.75</v>
      </c>
      <c r="AX39" s="16">
        <f>AV39*AW39*1.4</f>
        <v>2231.25</v>
      </c>
      <c r="AY39" s="121"/>
      <c r="AZ39" s="122"/>
      <c r="BA39" s="122">
        <f t="shared" si="44"/>
        <v>0</v>
      </c>
      <c r="BB39" s="122">
        <f t="shared" si="45"/>
        <v>33438.3932</v>
      </c>
      <c r="BC39" s="132">
        <f>'[8]Т10-10'!$M$10+'[8]Т10-10'!$M$17+'[8]Т10-10'!$M$26+'[8]Т10-10'!$M$28+'[8]Т10-10'!$M$37+'[8]Т10-10'!$M$79+'[8]Т10-10'!$M$80+'[8]Т10-10'!$M$81+'[8]Т10-10'!$M$82+'[8]Т10-10'!$M$83+'[8]Т10-10'!$M$123+'[8]Т10-10'!$M$126+37.5</f>
        <v>5711.422399999998</v>
      </c>
      <c r="BD39" s="14">
        <f t="shared" si="46"/>
        <v>18782.124384000002</v>
      </c>
      <c r="BE39" s="30">
        <f t="shared" si="47"/>
        <v>-2768.300000000003</v>
      </c>
    </row>
    <row r="40" spans="1:57" ht="12.75">
      <c r="A40" s="11" t="s">
        <v>42</v>
      </c>
      <c r="B40" s="104">
        <v>5587.44</v>
      </c>
      <c r="C40" s="131">
        <f t="shared" si="30"/>
        <v>48331.356</v>
      </c>
      <c r="D40" s="130">
        <f t="shared" si="31"/>
        <v>3698.0660000000034</v>
      </c>
      <c r="E40" s="107">
        <v>5145.23</v>
      </c>
      <c r="F40" s="107">
        <v>0</v>
      </c>
      <c r="G40" s="107">
        <v>6966.99</v>
      </c>
      <c r="H40" s="107">
        <v>0</v>
      </c>
      <c r="I40" s="107">
        <v>16742.83</v>
      </c>
      <c r="J40" s="107">
        <v>0</v>
      </c>
      <c r="K40" s="107">
        <v>11597.62</v>
      </c>
      <c r="L40" s="107">
        <v>0</v>
      </c>
      <c r="M40" s="107">
        <v>4180.62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32"/>
        <v>44633.29000000001</v>
      </c>
      <c r="T40" s="108">
        <f t="shared" si="33"/>
        <v>0</v>
      </c>
      <c r="U40" s="93">
        <v>5150.35</v>
      </c>
      <c r="V40" s="91">
        <v>6974.31</v>
      </c>
      <c r="W40" s="91">
        <v>17598.3</v>
      </c>
      <c r="X40" s="91">
        <v>11604.32</v>
      </c>
      <c r="Y40" s="91">
        <v>4120.29</v>
      </c>
      <c r="Z40" s="109">
        <v>0</v>
      </c>
      <c r="AA40" s="109">
        <v>0</v>
      </c>
      <c r="AB40" s="109">
        <f t="shared" si="48"/>
        <v>45447.57</v>
      </c>
      <c r="AC40" s="113">
        <f t="shared" si="34"/>
        <v>49145.636000000006</v>
      </c>
      <c r="AD40" s="102">
        <f t="shared" si="35"/>
        <v>0</v>
      </c>
      <c r="AE40" s="102">
        <f t="shared" si="36"/>
        <v>0</v>
      </c>
      <c r="AF40" s="102">
        <f>'[8]Т11'!$I$10+'[8]Т11'!$I$17+'[8]Т11'!$I$26+'[8]Т11'!$I$28+'[8]Т11'!$I$37+'[8]Т11'!$I$79+'[8]Т11'!$I$80+'[8]Т11'!$I$81+'[8]Т11'!$I$82+'[8]Т11'!$I$83+'[8]Т11'!$I$122+'[8]Т11'!$I$125+150</f>
        <v>12368.883984</v>
      </c>
      <c r="AG40" s="16">
        <f t="shared" si="37"/>
        <v>3352.4639999999995</v>
      </c>
      <c r="AH40" s="16">
        <f t="shared" si="38"/>
        <v>1117.488</v>
      </c>
      <c r="AI40" s="16">
        <f t="shared" si="39"/>
        <v>5587.44</v>
      </c>
      <c r="AJ40" s="16">
        <v>0</v>
      </c>
      <c r="AK40" s="16">
        <f t="shared" si="40"/>
        <v>5475.691199999999</v>
      </c>
      <c r="AL40" s="16">
        <v>0</v>
      </c>
      <c r="AM40" s="16">
        <f t="shared" si="41"/>
        <v>12571.74</v>
      </c>
      <c r="AN40" s="16">
        <v>0</v>
      </c>
      <c r="AO40" s="16"/>
      <c r="AP40" s="16"/>
      <c r="AQ40" s="117"/>
      <c r="AR40" s="117"/>
      <c r="AS40" s="97">
        <v>4641</v>
      </c>
      <c r="AT40" s="97"/>
      <c r="AU40" s="97">
        <f>AT40*0.18</f>
        <v>0</v>
      </c>
      <c r="AV40" s="118">
        <v>470</v>
      </c>
      <c r="AW40" s="134">
        <v>3.75</v>
      </c>
      <c r="AX40" s="16">
        <f>AV40*AW40*1.4</f>
        <v>2467.5</v>
      </c>
      <c r="AY40" s="121"/>
      <c r="AZ40" s="122"/>
      <c r="BA40" s="122">
        <f t="shared" si="44"/>
        <v>0</v>
      </c>
      <c r="BB40" s="122">
        <f t="shared" si="45"/>
        <v>35213.3232</v>
      </c>
      <c r="BC40" s="132">
        <f>'[8]Т11'!$M$10+'[8]Т11'!$M$17+'[8]Т11'!$M$26+'[8]Т11'!$M$28+'[8]Т11'!$M$37+'[8]Т11'!$M$79+'[8]Т11'!$M$80+'[8]Т11'!$M$81+'[8]Т11'!$M$82+'[8]Т11'!$M$83+'[8]Т11'!$M$122+'[8]Т11'!$M$125+37.5</f>
        <v>5711.422399999998</v>
      </c>
      <c r="BD40" s="14">
        <f t="shared" si="46"/>
        <v>20589.77438400001</v>
      </c>
      <c r="BE40" s="30">
        <f t="shared" si="47"/>
        <v>814.2799999999916</v>
      </c>
    </row>
    <row r="41" spans="1:57" ht="12.75">
      <c r="A41" s="11" t="s">
        <v>43</v>
      </c>
      <c r="B41" s="104">
        <v>5587.44</v>
      </c>
      <c r="C41" s="131">
        <f t="shared" si="30"/>
        <v>48331.356</v>
      </c>
      <c r="D41" s="130">
        <f t="shared" si="31"/>
        <v>4200.656000000002</v>
      </c>
      <c r="E41" s="107">
        <v>5094.59</v>
      </c>
      <c r="F41" s="107">
        <v>0</v>
      </c>
      <c r="G41" s="107">
        <v>6898.58</v>
      </c>
      <c r="H41" s="107">
        <v>0</v>
      </c>
      <c r="I41" s="107">
        <v>16578.21</v>
      </c>
      <c r="J41" s="107">
        <v>0</v>
      </c>
      <c r="K41" s="107">
        <v>11483.62</v>
      </c>
      <c r="L41" s="107">
        <v>0</v>
      </c>
      <c r="M41" s="107">
        <v>4075.7</v>
      </c>
      <c r="N41" s="107">
        <v>0</v>
      </c>
      <c r="O41" s="107">
        <v>0</v>
      </c>
      <c r="P41" s="114">
        <v>0</v>
      </c>
      <c r="Q41" s="114"/>
      <c r="R41" s="114"/>
      <c r="S41" s="91">
        <f t="shared" si="32"/>
        <v>44130.7</v>
      </c>
      <c r="T41" s="108">
        <f t="shared" si="33"/>
        <v>0</v>
      </c>
      <c r="U41" s="91">
        <v>5560.5</v>
      </c>
      <c r="V41" s="91">
        <v>7530.71</v>
      </c>
      <c r="W41" s="91">
        <v>20929.9</v>
      </c>
      <c r="X41" s="91">
        <v>12533.58</v>
      </c>
      <c r="Y41" s="91">
        <v>4448.45</v>
      </c>
      <c r="Z41" s="109">
        <v>0</v>
      </c>
      <c r="AA41" s="109">
        <v>0</v>
      </c>
      <c r="AB41" s="109">
        <f t="shared" si="48"/>
        <v>51003.14</v>
      </c>
      <c r="AC41" s="113">
        <f t="shared" si="34"/>
        <v>55203.796</v>
      </c>
      <c r="AD41" s="102">
        <f t="shared" si="35"/>
        <v>0</v>
      </c>
      <c r="AE41" s="102">
        <f t="shared" si="36"/>
        <v>0</v>
      </c>
      <c r="AF41" s="102">
        <f>'[8]Т11'!$I$10+'[8]Т11'!$I$17+'[8]Т11'!$I$26+'[8]Т11'!$I$28+'[8]Т11'!$I$37+'[8]Т11'!$I$79+'[8]Т11'!$I$80+'[8]Т11'!$I$81+'[8]Т11'!$I$82+'[8]Т11'!$I$83+'[8]Т11'!$I$122+'[8]Т11'!$I$125+150</f>
        <v>12368.883984</v>
      </c>
      <c r="AG41" s="16">
        <f t="shared" si="37"/>
        <v>3352.4639999999995</v>
      </c>
      <c r="AH41" s="16">
        <f t="shared" si="38"/>
        <v>1117.488</v>
      </c>
      <c r="AI41" s="16">
        <f t="shared" si="39"/>
        <v>5587.44</v>
      </c>
      <c r="AJ41" s="16">
        <v>0</v>
      </c>
      <c r="AK41" s="16">
        <f t="shared" si="40"/>
        <v>5475.691199999999</v>
      </c>
      <c r="AL41" s="16">
        <v>0</v>
      </c>
      <c r="AM41" s="16">
        <f t="shared" si="41"/>
        <v>12571.74</v>
      </c>
      <c r="AN41" s="16">
        <v>0</v>
      </c>
      <c r="AO41" s="16"/>
      <c r="AP41" s="16"/>
      <c r="AQ41" s="117"/>
      <c r="AR41" s="117"/>
      <c r="AS41" s="97"/>
      <c r="AT41" s="97"/>
      <c r="AU41" s="97">
        <f>AT41*0.18</f>
        <v>0</v>
      </c>
      <c r="AV41" s="118">
        <v>514</v>
      </c>
      <c r="AW41" s="134">
        <v>3.75</v>
      </c>
      <c r="AX41" s="16">
        <f>AV41*AW41*1.4</f>
        <v>2698.5</v>
      </c>
      <c r="AY41" s="121"/>
      <c r="AZ41" s="122"/>
      <c r="BA41" s="122">
        <f t="shared" si="44"/>
        <v>0</v>
      </c>
      <c r="BB41" s="122">
        <f t="shared" si="45"/>
        <v>30803.3232</v>
      </c>
      <c r="BC41" s="132">
        <f>'[8]Т11'!$M$10+'[8]Т11'!$M$17+'[8]Т11'!$M$26+'[8]Т11'!$M$28+'[8]Т11'!$M$37+'[8]Т11'!$M$79+'[8]Т11'!$M$80+'[8]Т11'!$M$81+'[8]Т11'!$M$82+'[8]Т11'!$M$83+'[8]Т11'!$M$122+'[8]Т11'!$M$125+37.5</f>
        <v>5711.422399999998</v>
      </c>
      <c r="BD41" s="14">
        <f t="shared" si="46"/>
        <v>31057.934384000007</v>
      </c>
      <c r="BE41" s="30">
        <f t="shared" si="47"/>
        <v>6872.440000000002</v>
      </c>
    </row>
    <row r="42" spans="1:57" s="20" customFormat="1" ht="12.75">
      <c r="A42" s="17" t="s">
        <v>5</v>
      </c>
      <c r="B42" s="60"/>
      <c r="C42" s="60">
        <f aca="true" t="shared" si="49" ref="C42:AU42">SUM(C30:C41)</f>
        <v>579890.1180000001</v>
      </c>
      <c r="D42" s="60">
        <f t="shared" si="49"/>
        <v>50126.97799999999</v>
      </c>
      <c r="E42" s="57">
        <f t="shared" si="49"/>
        <v>56002.93999999999</v>
      </c>
      <c r="F42" s="57">
        <f t="shared" si="49"/>
        <v>5159.839999999999</v>
      </c>
      <c r="G42" s="57">
        <f t="shared" si="49"/>
        <v>75827.33</v>
      </c>
      <c r="H42" s="57">
        <f t="shared" si="49"/>
        <v>6994.17</v>
      </c>
      <c r="I42" s="57">
        <f t="shared" si="49"/>
        <v>182232.1</v>
      </c>
      <c r="J42" s="57">
        <f t="shared" si="49"/>
        <v>16797.52</v>
      </c>
      <c r="K42" s="57">
        <f t="shared" si="49"/>
        <v>126228.99</v>
      </c>
      <c r="L42" s="57">
        <f t="shared" si="49"/>
        <v>11638.07</v>
      </c>
      <c r="M42" s="57">
        <f t="shared" si="49"/>
        <v>44754.409999999996</v>
      </c>
      <c r="N42" s="57">
        <f t="shared" si="49"/>
        <v>4127.7699999999995</v>
      </c>
      <c r="O42" s="57">
        <f t="shared" si="49"/>
        <v>0</v>
      </c>
      <c r="P42" s="57">
        <f t="shared" si="49"/>
        <v>0</v>
      </c>
      <c r="Q42" s="57">
        <f t="shared" si="49"/>
        <v>0</v>
      </c>
      <c r="R42" s="57">
        <f t="shared" si="49"/>
        <v>0</v>
      </c>
      <c r="S42" s="57">
        <f t="shared" si="49"/>
        <v>485045.7700000001</v>
      </c>
      <c r="T42" s="57">
        <f t="shared" si="49"/>
        <v>44717.37</v>
      </c>
      <c r="U42" s="61">
        <f t="shared" si="49"/>
        <v>52691.80999999999</v>
      </c>
      <c r="V42" s="61">
        <f t="shared" si="49"/>
        <v>71323.31000000001</v>
      </c>
      <c r="W42" s="61">
        <f t="shared" si="49"/>
        <v>175112.12</v>
      </c>
      <c r="X42" s="61">
        <f t="shared" si="49"/>
        <v>118748.37000000001</v>
      </c>
      <c r="Y42" s="61">
        <f t="shared" si="49"/>
        <v>42151.909999999996</v>
      </c>
      <c r="Z42" s="61">
        <f t="shared" si="49"/>
        <v>0</v>
      </c>
      <c r="AA42" s="61">
        <f t="shared" si="49"/>
        <v>0</v>
      </c>
      <c r="AB42" s="61">
        <f t="shared" si="49"/>
        <v>460027.51999999996</v>
      </c>
      <c r="AC42" s="61">
        <f t="shared" si="49"/>
        <v>554871.8679999999</v>
      </c>
      <c r="AD42" s="61">
        <f t="shared" si="49"/>
        <v>0</v>
      </c>
      <c r="AE42" s="100">
        <f t="shared" si="49"/>
        <v>0</v>
      </c>
      <c r="AF42" s="100">
        <f t="shared" si="49"/>
        <v>146572.579304</v>
      </c>
      <c r="AG42" s="18">
        <f t="shared" si="49"/>
        <v>40223.592</v>
      </c>
      <c r="AH42" s="18">
        <f t="shared" si="49"/>
        <v>13407.863999999998</v>
      </c>
      <c r="AI42" s="18">
        <f t="shared" si="49"/>
        <v>67039.32</v>
      </c>
      <c r="AJ42" s="18">
        <f t="shared" si="49"/>
        <v>0</v>
      </c>
      <c r="AK42" s="18">
        <f t="shared" si="49"/>
        <v>65698.5336</v>
      </c>
      <c r="AL42" s="18">
        <f t="shared" si="49"/>
        <v>0</v>
      </c>
      <c r="AM42" s="18">
        <f t="shared" si="49"/>
        <v>150838.47</v>
      </c>
      <c r="AN42" s="18">
        <f t="shared" si="49"/>
        <v>0</v>
      </c>
      <c r="AO42" s="18">
        <f t="shared" si="49"/>
        <v>6924.42</v>
      </c>
      <c r="AP42" s="18">
        <f t="shared" si="49"/>
        <v>0</v>
      </c>
      <c r="AQ42" s="18">
        <f t="shared" si="49"/>
        <v>19172.46</v>
      </c>
      <c r="AR42" s="18">
        <f t="shared" si="49"/>
        <v>0</v>
      </c>
      <c r="AS42" s="18">
        <f t="shared" si="49"/>
        <v>87867</v>
      </c>
      <c r="AT42" s="18">
        <f t="shared" si="49"/>
        <v>13423.32</v>
      </c>
      <c r="AU42" s="18">
        <f t="shared" si="49"/>
        <v>2416.1876</v>
      </c>
      <c r="AV42" s="18"/>
      <c r="AW42" s="18"/>
      <c r="AX42" s="18">
        <f aca="true" t="shared" si="50" ref="AX42:BE42">SUM(AX30:AX41)</f>
        <v>23100</v>
      </c>
      <c r="AY42" s="18">
        <f t="shared" si="50"/>
        <v>0</v>
      </c>
      <c r="AZ42" s="18">
        <f t="shared" si="50"/>
        <v>0</v>
      </c>
      <c r="BA42" s="18">
        <f t="shared" si="50"/>
        <v>0</v>
      </c>
      <c r="BB42" s="18">
        <f t="shared" si="50"/>
        <v>490111.1671999999</v>
      </c>
      <c r="BC42" s="18">
        <f t="shared" si="50"/>
        <v>63722.47959999996</v>
      </c>
      <c r="BD42" s="18">
        <f t="shared" si="50"/>
        <v>147610.80050400004</v>
      </c>
      <c r="BE42" s="19">
        <f t="shared" si="50"/>
        <v>-25018.250000000004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51" ref="C44:AU44">C28+C42</f>
        <v>1304009.2980000002</v>
      </c>
      <c r="D44" s="23">
        <f t="shared" si="51"/>
        <v>143163.6868508</v>
      </c>
      <c r="E44" s="50">
        <f t="shared" si="51"/>
        <v>116287.03999999998</v>
      </c>
      <c r="F44" s="50">
        <f t="shared" si="51"/>
        <v>17672.7</v>
      </c>
      <c r="G44" s="50">
        <f t="shared" si="51"/>
        <v>157342.34999999998</v>
      </c>
      <c r="H44" s="50">
        <f t="shared" si="51"/>
        <v>23925.11</v>
      </c>
      <c r="I44" s="50">
        <f t="shared" si="51"/>
        <v>378286.96</v>
      </c>
      <c r="J44" s="50">
        <f t="shared" si="51"/>
        <v>57502.28</v>
      </c>
      <c r="K44" s="50">
        <f t="shared" si="51"/>
        <v>261999.58999999997</v>
      </c>
      <c r="L44" s="50">
        <f t="shared" si="51"/>
        <v>39830.59</v>
      </c>
      <c r="M44" s="50">
        <f t="shared" si="51"/>
        <v>92981.62</v>
      </c>
      <c r="N44" s="50">
        <f t="shared" si="51"/>
        <v>14137.810000000001</v>
      </c>
      <c r="O44" s="50">
        <f t="shared" si="51"/>
        <v>0</v>
      </c>
      <c r="P44" s="50">
        <f t="shared" si="51"/>
        <v>0</v>
      </c>
      <c r="Q44" s="50">
        <f t="shared" si="51"/>
        <v>0</v>
      </c>
      <c r="R44" s="50">
        <f t="shared" si="51"/>
        <v>0</v>
      </c>
      <c r="S44" s="50">
        <f t="shared" si="51"/>
        <v>1006897.56</v>
      </c>
      <c r="T44" s="50">
        <f t="shared" si="51"/>
        <v>153068.49</v>
      </c>
      <c r="U44" s="53">
        <f t="shared" si="51"/>
        <v>108610.06</v>
      </c>
      <c r="V44" s="53">
        <f t="shared" si="51"/>
        <v>146932.02000000002</v>
      </c>
      <c r="W44" s="53">
        <f t="shared" si="51"/>
        <v>356965.33</v>
      </c>
      <c r="X44" s="53">
        <f t="shared" si="51"/>
        <v>244682.84000000003</v>
      </c>
      <c r="Y44" s="53">
        <f t="shared" si="51"/>
        <v>86886.16999999998</v>
      </c>
      <c r="Z44" s="53">
        <f t="shared" si="51"/>
        <v>0</v>
      </c>
      <c r="AA44" s="53">
        <f t="shared" si="51"/>
        <v>0</v>
      </c>
      <c r="AB44" s="53">
        <f t="shared" si="51"/>
        <v>944076.4199999999</v>
      </c>
      <c r="AC44" s="53">
        <f t="shared" si="51"/>
        <v>1240308.5968507999</v>
      </c>
      <c r="AD44" s="53">
        <f t="shared" si="51"/>
        <v>0</v>
      </c>
      <c r="AE44" s="53">
        <f t="shared" si="51"/>
        <v>0</v>
      </c>
      <c r="AF44" s="53">
        <f t="shared" si="51"/>
        <v>252418.265144</v>
      </c>
      <c r="AG44" s="23">
        <f t="shared" si="51"/>
        <v>89111.088</v>
      </c>
      <c r="AH44" s="23">
        <f t="shared" si="51"/>
        <v>29859.656401599997</v>
      </c>
      <c r="AI44" s="23">
        <f t="shared" si="51"/>
        <v>135583.61694102501</v>
      </c>
      <c r="AJ44" s="23">
        <f t="shared" si="51"/>
        <v>12337.973449384499</v>
      </c>
      <c r="AK44" s="23">
        <f t="shared" si="51"/>
        <v>135053.140519455</v>
      </c>
      <c r="AL44" s="23">
        <f t="shared" si="51"/>
        <v>12483.8292455019</v>
      </c>
      <c r="AM44" s="23">
        <f t="shared" si="51"/>
        <v>302732.2901704862</v>
      </c>
      <c r="AN44" s="23">
        <f t="shared" si="51"/>
        <v>27340.887630687517</v>
      </c>
      <c r="AO44" s="23">
        <f t="shared" si="51"/>
        <v>6924.42</v>
      </c>
      <c r="AP44" s="23">
        <f t="shared" si="51"/>
        <v>0</v>
      </c>
      <c r="AQ44" s="23">
        <f t="shared" si="51"/>
        <v>44456.053</v>
      </c>
      <c r="AR44" s="23">
        <f t="shared" si="51"/>
        <v>4551.04674</v>
      </c>
      <c r="AS44" s="23">
        <f t="shared" si="51"/>
        <v>262533.96</v>
      </c>
      <c r="AT44" s="23">
        <f t="shared" si="51"/>
        <v>20669.62</v>
      </c>
      <c r="AU44" s="23">
        <f t="shared" si="51"/>
        <v>35160.5844</v>
      </c>
      <c r="AV44" s="23"/>
      <c r="AW44" s="23"/>
      <c r="AX44" s="23">
        <f aca="true" t="shared" si="52" ref="AX44:BE44">AX28+AX42</f>
        <v>51339.288</v>
      </c>
      <c r="AY44" s="23">
        <f t="shared" si="52"/>
        <v>0</v>
      </c>
      <c r="AZ44" s="23">
        <f t="shared" si="52"/>
        <v>0</v>
      </c>
      <c r="BA44" s="23">
        <f t="shared" si="52"/>
        <v>0</v>
      </c>
      <c r="BB44" s="23">
        <f t="shared" si="52"/>
        <v>1163704.5664981399</v>
      </c>
      <c r="BC44" s="23">
        <f t="shared" si="52"/>
        <v>112086.35333983476</v>
      </c>
      <c r="BD44" s="23">
        <f t="shared" si="52"/>
        <v>216935.94215682516</v>
      </c>
      <c r="BE44" s="24">
        <f t="shared" si="52"/>
        <v>-62821.14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10.00390625" style="2" customWidth="1"/>
    <col min="2" max="2" width="10.875" style="2" customWidth="1"/>
    <col min="3" max="3" width="11.375" style="2" customWidth="1"/>
    <col min="4" max="4" width="11.625" style="2" customWidth="1"/>
    <col min="5" max="5" width="13.125" style="2" customWidth="1"/>
    <col min="6" max="6" width="9.875" style="2" customWidth="1"/>
    <col min="7" max="7" width="10.00390625" style="2" customWidth="1"/>
    <col min="8" max="8" width="11.37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1.875" style="2" customWidth="1"/>
    <col min="16" max="16" width="11.253906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197" t="s">
        <v>55</v>
      </c>
      <c r="C1" s="197"/>
      <c r="D1" s="197"/>
      <c r="E1" s="197"/>
      <c r="F1" s="197"/>
      <c r="G1" s="197"/>
      <c r="H1" s="197"/>
    </row>
    <row r="2" spans="2:8" ht="21" customHeight="1">
      <c r="B2" s="197" t="s">
        <v>56</v>
      </c>
      <c r="C2" s="197"/>
      <c r="D2" s="197"/>
      <c r="E2" s="197"/>
      <c r="F2" s="197"/>
      <c r="G2" s="197"/>
      <c r="H2" s="197"/>
    </row>
    <row r="5" spans="1:17" ht="12.75">
      <c r="A5" s="199" t="s">
        <v>90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7" ht="12.75">
      <c r="A6" s="200" t="s">
        <v>93</v>
      </c>
      <c r="B6" s="200"/>
      <c r="C6" s="200"/>
      <c r="D6" s="200"/>
      <c r="E6" s="200"/>
      <c r="F6" s="200"/>
      <c r="G6" s="200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198" t="s">
        <v>57</v>
      </c>
      <c r="B8" s="198"/>
      <c r="C8" s="198"/>
      <c r="D8" s="198"/>
      <c r="E8" s="198">
        <v>8.65</v>
      </c>
      <c r="F8" s="198"/>
    </row>
    <row r="9" spans="1:18" ht="12.75" customHeight="1">
      <c r="A9" s="142" t="s">
        <v>58</v>
      </c>
      <c r="B9" s="231" t="s">
        <v>1</v>
      </c>
      <c r="C9" s="191" t="s">
        <v>59</v>
      </c>
      <c r="D9" s="194" t="s">
        <v>3</v>
      </c>
      <c r="E9" s="212" t="s">
        <v>60</v>
      </c>
      <c r="F9" s="213"/>
      <c r="G9" s="216" t="s">
        <v>61</v>
      </c>
      <c r="H9" s="217"/>
      <c r="I9" s="223" t="str">
        <f>Лист1!AF3</f>
        <v>Доходы по нежил.помещениям</v>
      </c>
      <c r="J9" s="226" t="s">
        <v>10</v>
      </c>
      <c r="K9" s="181"/>
      <c r="L9" s="181"/>
      <c r="M9" s="181"/>
      <c r="N9" s="181"/>
      <c r="O9" s="227"/>
      <c r="P9" s="157" t="s">
        <v>76</v>
      </c>
      <c r="Q9" s="201" t="s">
        <v>62</v>
      </c>
      <c r="R9" s="201" t="s">
        <v>12</v>
      </c>
    </row>
    <row r="10" spans="1:18" ht="12.75">
      <c r="A10" s="143"/>
      <c r="B10" s="232"/>
      <c r="C10" s="192"/>
      <c r="D10" s="195"/>
      <c r="E10" s="214"/>
      <c r="F10" s="215"/>
      <c r="G10" s="218"/>
      <c r="H10" s="219"/>
      <c r="I10" s="224"/>
      <c r="J10" s="228"/>
      <c r="K10" s="153"/>
      <c r="L10" s="153"/>
      <c r="M10" s="153"/>
      <c r="N10" s="153"/>
      <c r="O10" s="229"/>
      <c r="P10" s="158"/>
      <c r="Q10" s="202"/>
      <c r="R10" s="202"/>
    </row>
    <row r="11" spans="1:18" ht="26.25" customHeight="1">
      <c r="A11" s="143"/>
      <c r="B11" s="232"/>
      <c r="C11" s="192"/>
      <c r="D11" s="195"/>
      <c r="E11" s="204" t="s">
        <v>63</v>
      </c>
      <c r="F11" s="205"/>
      <c r="G11" s="89" t="s">
        <v>64</v>
      </c>
      <c r="H11" s="206" t="s">
        <v>7</v>
      </c>
      <c r="I11" s="224"/>
      <c r="J11" s="208" t="s">
        <v>65</v>
      </c>
      <c r="K11" s="210" t="s">
        <v>32</v>
      </c>
      <c r="L11" s="210" t="s">
        <v>66</v>
      </c>
      <c r="M11" s="210" t="s">
        <v>37</v>
      </c>
      <c r="N11" s="210" t="s">
        <v>67</v>
      </c>
      <c r="O11" s="206" t="s">
        <v>39</v>
      </c>
      <c r="P11" s="158"/>
      <c r="Q11" s="202"/>
      <c r="R11" s="202"/>
    </row>
    <row r="12" spans="1:18" ht="66.75" customHeight="1" thickBot="1">
      <c r="A12" s="230"/>
      <c r="B12" s="233"/>
      <c r="C12" s="193"/>
      <c r="D12" s="196"/>
      <c r="E12" s="63" t="s">
        <v>68</v>
      </c>
      <c r="F12" s="67" t="s">
        <v>21</v>
      </c>
      <c r="G12" s="82" t="s">
        <v>69</v>
      </c>
      <c r="H12" s="207"/>
      <c r="I12" s="225"/>
      <c r="J12" s="209"/>
      <c r="K12" s="211"/>
      <c r="L12" s="211"/>
      <c r="M12" s="211"/>
      <c r="N12" s="211"/>
      <c r="O12" s="207"/>
      <c r="P12" s="159"/>
      <c r="Q12" s="203"/>
      <c r="R12" s="203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5567.2</v>
      </c>
      <c r="C15" s="27">
        <f>B15*8.65</f>
        <v>48156.28</v>
      </c>
      <c r="D15" s="28">
        <f>Лист1!D9</f>
        <v>11599.8847264</v>
      </c>
      <c r="E15" s="14">
        <f>Лист1!S9</f>
        <v>33381.130000000005</v>
      </c>
      <c r="F15" s="30">
        <f>Лист1!T9</f>
        <v>6977.110000000001</v>
      </c>
      <c r="G15" s="29">
        <f>Лист1!AB9</f>
        <v>0</v>
      </c>
      <c r="H15" s="30">
        <f>Лист1!AC9</f>
        <v>18576.9947264</v>
      </c>
      <c r="I15" s="87">
        <f>Лист1!AD9</f>
        <v>0</v>
      </c>
      <c r="J15" s="29">
        <f>Лист1!AG9</f>
        <v>3340.3199999999997</v>
      </c>
      <c r="K15" s="14">
        <f>Лист1!AI9+Лист1!AJ9</f>
        <v>5595.6083327999995</v>
      </c>
      <c r="L15" s="14">
        <f>Лист1!AH9+Лист1!AK9+Лист1!AL9+Лист1!AM9+Лист1!AN9+Лист1!AO9+Лист1!AP9</f>
        <v>19648.83726632</v>
      </c>
      <c r="M15" s="31">
        <f>Лист1!AS9+Лист1!AU9</f>
        <v>10764.998399999999</v>
      </c>
      <c r="N15" s="31">
        <f>Лист1!AX9</f>
        <v>0</v>
      </c>
      <c r="O15" s="30">
        <f>Лист1!BB9</f>
        <v>39349.76399912</v>
      </c>
      <c r="P15" s="90">
        <f>Лист1!BC9</f>
        <v>0</v>
      </c>
      <c r="Q15" s="75">
        <f>Лист1!BD9</f>
        <v>-20772.769272719997</v>
      </c>
      <c r="R15" s="75">
        <f>Лист1!BE9</f>
        <v>-33381.130000000005</v>
      </c>
    </row>
    <row r="16" spans="1:18" ht="12.75">
      <c r="A16" s="11" t="s">
        <v>42</v>
      </c>
      <c r="B16" s="84">
        <f>Лист1!B10</f>
        <v>5567.2</v>
      </c>
      <c r="C16" s="27">
        <f aca="true" t="shared" si="0" ref="C16:C31">B16*8.65</f>
        <v>48156.28</v>
      </c>
      <c r="D16" s="28">
        <f>Лист1!D10</f>
        <v>11599.8847264</v>
      </c>
      <c r="E16" s="14">
        <f>Лист1!S10</f>
        <v>32245.89</v>
      </c>
      <c r="F16" s="30">
        <f>Лист1!T10</f>
        <v>6641.09</v>
      </c>
      <c r="G16" s="29">
        <f>Лист1!AB10</f>
        <v>24249.6</v>
      </c>
      <c r="H16" s="30">
        <f>Лист1!AC10</f>
        <v>42490.574726399995</v>
      </c>
      <c r="I16" s="87">
        <f>Лист1!AD10</f>
        <v>0</v>
      </c>
      <c r="J16" s="29">
        <f>Лист1!AG10</f>
        <v>3340.3199999999997</v>
      </c>
      <c r="K16" s="14">
        <f>Лист1!AI10+Лист1!AJ10</f>
        <v>5595.7145328</v>
      </c>
      <c r="L16" s="14">
        <f>Лист1!AH10+Лист1!AK10+Лист1!AL10+Лист1!AM10+Лист1!AN10+Лист1!AO10+Лист1!AP10</f>
        <v>19589.95545192</v>
      </c>
      <c r="M16" s="31">
        <f>Лист1!AS10+Лист1!AU10</f>
        <v>20585.1</v>
      </c>
      <c r="N16" s="31">
        <f>Лист1!AX10</f>
        <v>0</v>
      </c>
      <c r="O16" s="30">
        <f>Лист1!BB10</f>
        <v>49111.08998472</v>
      </c>
      <c r="P16" s="90">
        <f>Лист1!BC10</f>
        <v>0</v>
      </c>
      <c r="Q16" s="75">
        <f>Лист1!BD10</f>
        <v>-6620.515258320003</v>
      </c>
      <c r="R16" s="75">
        <f>Лист1!BE10</f>
        <v>-7996.290000000001</v>
      </c>
    </row>
    <row r="17" spans="1:20" ht="13.5" thickBot="1">
      <c r="A17" s="32" t="s">
        <v>43</v>
      </c>
      <c r="B17" s="84">
        <f>Лист1!B11</f>
        <v>5567.2</v>
      </c>
      <c r="C17" s="33">
        <f t="shared" si="0"/>
        <v>48156.28</v>
      </c>
      <c r="D17" s="28">
        <f>Лист1!D11</f>
        <v>11574.361898</v>
      </c>
      <c r="E17" s="14">
        <f>Лист1!S11</f>
        <v>32502.53</v>
      </c>
      <c r="F17" s="30">
        <f>Лист1!T11</f>
        <v>6718.28</v>
      </c>
      <c r="G17" s="29">
        <f>Лист1!AB11</f>
        <v>38550.10999999999</v>
      </c>
      <c r="H17" s="30">
        <f>Лист1!AC11</f>
        <v>56842.75189799999</v>
      </c>
      <c r="I17" s="87">
        <f>Лист1!AD11</f>
        <v>0</v>
      </c>
      <c r="J17" s="29">
        <f>Лист1!AG11</f>
        <v>3340.3199999999997</v>
      </c>
      <c r="K17" s="14">
        <f>Лист1!AI11+Лист1!AJ11</f>
        <v>5579.43447872</v>
      </c>
      <c r="L17" s="14">
        <f>Лист1!AH11+Лист1!AK11+Лист1!AL11+Лист1!AM11+Лист1!AN11+Лист1!AO11+Лист1!AP11</f>
        <v>19558.262475256</v>
      </c>
      <c r="M17" s="31">
        <f>Лист1!AS11+Лист1!AU11</f>
        <v>17624.48</v>
      </c>
      <c r="N17" s="31">
        <f>Лист1!AX11</f>
        <v>0</v>
      </c>
      <c r="O17" s="30">
        <f>Лист1!BB11</f>
        <v>46102.496953976</v>
      </c>
      <c r="P17" s="90">
        <f>Лист1!BC11</f>
        <v>0</v>
      </c>
      <c r="Q17" s="75">
        <f>Лист1!BD11</f>
        <v>10740.254944023989</v>
      </c>
      <c r="R17" s="75">
        <f>Лист1!BE11</f>
        <v>6047.5799999999945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144468.84</v>
      </c>
      <c r="D18" s="68">
        <f aca="true" t="shared" si="1" ref="D18:J18">SUM(D15:D17)</f>
        <v>34774.1313508</v>
      </c>
      <c r="E18" s="36">
        <f t="shared" si="1"/>
        <v>98129.55</v>
      </c>
      <c r="F18" s="69">
        <f t="shared" si="1"/>
        <v>20336.48</v>
      </c>
      <c r="G18" s="68">
        <f t="shared" si="1"/>
        <v>62799.70999999999</v>
      </c>
      <c r="H18" s="69">
        <f t="shared" si="1"/>
        <v>117910.32135079999</v>
      </c>
      <c r="I18" s="69">
        <f t="shared" si="1"/>
        <v>0</v>
      </c>
      <c r="J18" s="68">
        <f t="shared" si="1"/>
        <v>10020.96</v>
      </c>
      <c r="K18" s="36">
        <f aca="true" t="shared" si="2" ref="K18:R18">SUM(K15:K17)</f>
        <v>16770.757344319998</v>
      </c>
      <c r="L18" s="36">
        <f t="shared" si="2"/>
        <v>58797.055193496</v>
      </c>
      <c r="M18" s="36">
        <f t="shared" si="2"/>
        <v>48974.5784</v>
      </c>
      <c r="N18" s="36">
        <f t="shared" si="2"/>
        <v>0</v>
      </c>
      <c r="O18" s="69">
        <f t="shared" si="2"/>
        <v>134563.350937816</v>
      </c>
      <c r="P18" s="69">
        <f t="shared" si="2"/>
        <v>0</v>
      </c>
      <c r="Q18" s="76">
        <f t="shared" si="2"/>
        <v>-16653.02958701601</v>
      </c>
      <c r="R18" s="76">
        <f t="shared" si="2"/>
        <v>-35329.84000000001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5585.1</v>
      </c>
      <c r="C20" s="27">
        <f t="shared" si="0"/>
        <v>48311.115000000005</v>
      </c>
      <c r="D20" s="28">
        <f>Лист1!D14</f>
        <v>6038.889375000001</v>
      </c>
      <c r="E20" s="14">
        <f>Лист1!S14</f>
        <v>32971.6</v>
      </c>
      <c r="F20" s="30">
        <f>Лист1!T14</f>
        <v>6791.800000000001</v>
      </c>
      <c r="G20" s="29">
        <f>Лист1!AB14</f>
        <v>23608.739999999998</v>
      </c>
      <c r="H20" s="30">
        <f>Лист1!AC14</f>
        <v>36439.429375</v>
      </c>
      <c r="I20" s="87">
        <f>Лист1!AF14</f>
        <v>8485.431919999999</v>
      </c>
      <c r="J20" s="29">
        <f>Лист1!AG14</f>
        <v>3015.954</v>
      </c>
      <c r="K20" s="14">
        <f>Лист1!AI14+Лист1!AJ14</f>
        <v>4856.784945099999</v>
      </c>
      <c r="L20" s="14">
        <f>Лист1!AH14+Лист1!AK14+Лист1!AL14+Лист1!AM14+Лист1!AN14+Лист1!AO14+Лист1!AP14+Лист1!AQ14+Лист1!AR14</f>
        <v>16680.222404952</v>
      </c>
      <c r="M20" s="31">
        <f>Лист1!AS14+Лист1!AT14+Лист1!AU14+Лист1!AZ14+Лист1!BA14</f>
        <v>8932.61</v>
      </c>
      <c r="N20" s="31">
        <f>Лист1!AX14</f>
        <v>2517.648</v>
      </c>
      <c r="O20" s="30">
        <f>Лист1!BB14</f>
        <v>33485.571350052</v>
      </c>
      <c r="P20" s="90">
        <f>Лист1!BC14</f>
        <v>3607.57060808</v>
      </c>
      <c r="Q20" s="75">
        <f>Лист1!BD14</f>
        <v>7831.7193368679955</v>
      </c>
      <c r="R20" s="75">
        <f>Лист1!BE14</f>
        <v>-9362.86</v>
      </c>
      <c r="S20" s="1"/>
      <c r="T20" s="1"/>
    </row>
    <row r="21" spans="1:20" ht="12.75">
      <c r="A21" s="11" t="s">
        <v>46</v>
      </c>
      <c r="B21" s="84">
        <f>Лист1!B15</f>
        <v>5585.1</v>
      </c>
      <c r="C21" s="27">
        <f t="shared" si="0"/>
        <v>48311.115000000005</v>
      </c>
      <c r="D21" s="28">
        <f>Лист1!D15</f>
        <v>6038.889375000001</v>
      </c>
      <c r="E21" s="14">
        <f>Лист1!S15</f>
        <v>31009.72</v>
      </c>
      <c r="F21" s="30">
        <f>Лист1!T15</f>
        <v>6929.86</v>
      </c>
      <c r="G21" s="29">
        <f>Лист1!AB15</f>
        <v>28269.16</v>
      </c>
      <c r="H21" s="30">
        <f>Лист1!AC15</f>
        <v>41237.909375</v>
      </c>
      <c r="I21" s="87">
        <f>Лист1!AF15</f>
        <v>8485.431919999999</v>
      </c>
      <c r="J21" s="29">
        <f>Лист1!AG15</f>
        <v>3015.954</v>
      </c>
      <c r="K21" s="14">
        <f>Лист1!AI15+Лист1!AJ15</f>
        <v>4851.2066898</v>
      </c>
      <c r="L21" s="14">
        <f>Лист1!AH15+Лист1!AK15+Лист1!AL15+Лист1!AM15+Лист1!AN15+Лист1!AO15+Лист1!AP15+Лист1!AQ15+Лист1!AR15</f>
        <v>16703.754441888002</v>
      </c>
      <c r="M21" s="31">
        <f>Лист1!AS15+Лист1!AT15+Лист1!AU15+Лист1!AZ15+Лист1!BA15</f>
        <v>44847.08</v>
      </c>
      <c r="N21" s="31">
        <f>Лист1!AX15</f>
        <v>2017.092</v>
      </c>
      <c r="O21" s="30">
        <f>Лист1!BB15</f>
        <v>69417.995131688</v>
      </c>
      <c r="P21" s="90">
        <f>Лист1!BC15</f>
        <v>3613.00542848</v>
      </c>
      <c r="Q21" s="75">
        <f>Лист1!BD15</f>
        <v>-23307.659265167997</v>
      </c>
      <c r="R21" s="75">
        <f>Лист1!BE15</f>
        <v>-2740.5600000000013</v>
      </c>
      <c r="S21" s="1"/>
      <c r="T21" s="1"/>
    </row>
    <row r="22" spans="1:20" ht="12.75">
      <c r="A22" s="11" t="s">
        <v>47</v>
      </c>
      <c r="B22" s="84">
        <f>Лист1!B16</f>
        <v>5585.1</v>
      </c>
      <c r="C22" s="27">
        <f t="shared" si="0"/>
        <v>48311.115000000005</v>
      </c>
      <c r="D22" s="28">
        <f>Лист1!D16</f>
        <v>6038.889375000001</v>
      </c>
      <c r="E22" s="14">
        <f>Лист1!S16</f>
        <v>33009.94</v>
      </c>
      <c r="F22" s="30">
        <f>Лист1!T16</f>
        <v>6929.86</v>
      </c>
      <c r="G22" s="29">
        <f>Лист1!AB16</f>
        <v>37840.69</v>
      </c>
      <c r="H22" s="30">
        <f>Лист1!AC16</f>
        <v>50809.439375</v>
      </c>
      <c r="I22" s="87">
        <f>Лист1!AF16</f>
        <v>8485.431919999999</v>
      </c>
      <c r="J22" s="29">
        <f>Лист1!AG16</f>
        <v>3015.954</v>
      </c>
      <c r="K22" s="14">
        <f>Лист1!AI16+Лист1!AJ16</f>
        <v>4859.621272750001</v>
      </c>
      <c r="L22" s="14">
        <f>Лист1!AH16+Лист1!AK16+Лист1!AL16+Лист1!AM16+Лист1!AN16+Лист1!AO16+Лист1!AP16+Лист1!AQ16+Лист1!AR16</f>
        <v>16146.858142160001</v>
      </c>
      <c r="M22" s="31">
        <f>Лист1!AS16+Лист1!AT16+Лист1!AU16+Лист1!AZ16+Лист1!BA16</f>
        <v>14576.54</v>
      </c>
      <c r="N22" s="31">
        <f>Лист1!AX16</f>
        <v>1898.1480000000001</v>
      </c>
      <c r="O22" s="30">
        <f>Лист1!BB16</f>
        <v>38598.973414910004</v>
      </c>
      <c r="P22" s="90">
        <f>Лист1!BC16</f>
        <v>3537.2244148399996</v>
      </c>
      <c r="Q22" s="75">
        <f>Лист1!BD16</f>
        <v>17158.67346525</v>
      </c>
      <c r="R22" s="75">
        <f>Лист1!BE16</f>
        <v>4830.75</v>
      </c>
      <c r="S22" s="1"/>
      <c r="T22" s="1"/>
    </row>
    <row r="23" spans="1:20" ht="12.75">
      <c r="A23" s="11" t="s">
        <v>48</v>
      </c>
      <c r="B23" s="84">
        <f>Лист1!B17</f>
        <v>5585.1</v>
      </c>
      <c r="C23" s="27">
        <f t="shared" si="0"/>
        <v>48311.115000000005</v>
      </c>
      <c r="D23" s="28">
        <f>Лист1!D17</f>
        <v>6038.889375000001</v>
      </c>
      <c r="E23" s="14">
        <f>Лист1!S17</f>
        <v>34865.39</v>
      </c>
      <c r="F23" s="30">
        <f>Лист1!T17</f>
        <v>6929.85</v>
      </c>
      <c r="G23" s="29">
        <f>Лист1!AB17</f>
        <v>27558.299999999996</v>
      </c>
      <c r="H23" s="30">
        <f>Лист1!AC17</f>
        <v>40527.03937499999</v>
      </c>
      <c r="I23" s="87">
        <f>Лист1!AF17</f>
        <v>8485.431919999999</v>
      </c>
      <c r="J23" s="29">
        <f>Лист1!AG17</f>
        <v>3015.954</v>
      </c>
      <c r="K23" s="14">
        <f>Лист1!AI17+Лист1!AJ17</f>
        <v>5004.69752502</v>
      </c>
      <c r="L23" s="14">
        <f>Лист1!AH17+Лист1!AK17+Лист1!AL17+Лист1!AM17+Лист1!AN17+Лист1!AO17+Лист1!AP17+Лист1!AQ17+Лист1!AR17</f>
        <v>20353.508180936</v>
      </c>
      <c r="M23" s="31">
        <f>Лист1!AS17+Лист1!AT17+Лист1!AU17+Лист1!AY17+Лист1!AZ17</f>
        <v>3973.591</v>
      </c>
      <c r="N23" s="31">
        <f>Лист1!AX17</f>
        <v>7954.38</v>
      </c>
      <c r="O23" s="30">
        <f>Лист1!BB17</f>
        <v>40302.130705956006</v>
      </c>
      <c r="P23" s="90">
        <f>Лист1!BC17</f>
        <v>3638.1427230400004</v>
      </c>
      <c r="Q23" s="75">
        <f>Лист1!BD17</f>
        <v>5072.1978660039895</v>
      </c>
      <c r="R23" s="75">
        <f>Лист1!BE17</f>
        <v>-7307.090000000004</v>
      </c>
      <c r="S23" s="1"/>
      <c r="T23" s="1"/>
    </row>
    <row r="24" spans="1:20" ht="12.75">
      <c r="A24" s="11" t="s">
        <v>49</v>
      </c>
      <c r="B24" s="84">
        <f>Лист1!B18</f>
        <v>5583.55</v>
      </c>
      <c r="C24" s="27">
        <f t="shared" si="0"/>
        <v>48297.707500000004</v>
      </c>
      <c r="D24" s="28">
        <f>Лист1!D18</f>
        <v>4378.877500000006</v>
      </c>
      <c r="E24" s="14">
        <f>Лист1!S18</f>
        <v>36306.59</v>
      </c>
      <c r="F24" s="30">
        <f>Лист1!T18</f>
        <v>7612.240000000001</v>
      </c>
      <c r="G24" s="29">
        <f>Лист1!AB18</f>
        <v>30983.98</v>
      </c>
      <c r="H24" s="30">
        <f>Лист1!AC18</f>
        <v>42975.0975</v>
      </c>
      <c r="I24" s="87">
        <f>Лист1!AF18</f>
        <v>8485.431919999999</v>
      </c>
      <c r="J24" s="29">
        <f>Лист1!AG18</f>
        <v>3350.13</v>
      </c>
      <c r="K24" s="14">
        <f>Лист1!AI18+Лист1!AJ18</f>
        <v>5600.30065</v>
      </c>
      <c r="L24" s="14">
        <f>Лист1!AH18+Лист1!AK18+Лист1!AL18+Лист1!AM18+Лист1!AN18+Лист1!AO18+Лист1!AP18+Лист1!AQ18+Лист1!AR18</f>
        <v>19481.49916</v>
      </c>
      <c r="M24" s="31">
        <f>Лист1!AS18+Лист1!AT18+Лист1!AU18+Лист1!AZ18+Лист1!BA18</f>
        <v>42608.0772</v>
      </c>
      <c r="N24" s="31">
        <f>Лист1!AX18</f>
        <v>1303.428</v>
      </c>
      <c r="O24" s="30">
        <f>Лист1!BB18</f>
        <v>72343.43501</v>
      </c>
      <c r="P24" s="90">
        <f>Лист1!BC18</f>
        <v>4061.167311796</v>
      </c>
      <c r="Q24" s="75">
        <f>Лист1!BD18</f>
        <v>-24944.072901795997</v>
      </c>
      <c r="R24" s="75">
        <f>Лист1!BE18</f>
        <v>-5322.609999999997</v>
      </c>
      <c r="S24" s="1"/>
      <c r="T24" s="1"/>
    </row>
    <row r="25" spans="1:20" ht="12.75">
      <c r="A25" s="11" t="s">
        <v>50</v>
      </c>
      <c r="B25" s="84">
        <f>Лист1!B19</f>
        <v>5583.55</v>
      </c>
      <c r="C25" s="27">
        <f t="shared" si="0"/>
        <v>48297.707500000004</v>
      </c>
      <c r="D25" s="28">
        <f>Лист1!D19</f>
        <v>3890.447500000002</v>
      </c>
      <c r="E25" s="14">
        <f>Лист1!S19</f>
        <v>36760.51</v>
      </c>
      <c r="F25" s="30">
        <f>Лист1!T19</f>
        <v>7646.75</v>
      </c>
      <c r="G25" s="29">
        <f>Лист1!AB19</f>
        <v>34674.57</v>
      </c>
      <c r="H25" s="30">
        <f>Лист1!AC19</f>
        <v>46211.7675</v>
      </c>
      <c r="I25" s="87">
        <f>Лист1!AF19</f>
        <v>8485.431919999999</v>
      </c>
      <c r="J25" s="29">
        <f>Лист1!AG19</f>
        <v>3350.13</v>
      </c>
      <c r="K25" s="14">
        <f>Лист1!AI19+Лист1!AJ19</f>
        <v>5600.31245</v>
      </c>
      <c r="L25" s="14">
        <f>Лист1!AH19+Лист1!AK19+Лист1!AL19+Лист1!AM19+Лист1!AN19+Лист1!AO19+Лист1!AP19+Лист1!AQ19+Лист1!AR19</f>
        <v>19181.1152795</v>
      </c>
      <c r="M25" s="31">
        <f>Лист1!AS19+Лист1!AT19+Лист1!AU19+Лист1!AZ19+Лист1!BA19</f>
        <v>1237.6429999999998</v>
      </c>
      <c r="N25" s="31">
        <f>Лист1!AX19</f>
        <v>1154.748</v>
      </c>
      <c r="O25" s="30">
        <f>Лист1!BB19</f>
        <v>30523.9487295</v>
      </c>
      <c r="P25" s="90">
        <f>Лист1!BC19</f>
        <v>3844.77347176</v>
      </c>
      <c r="Q25" s="75">
        <f>Лист1!BD19</f>
        <v>20328.477218740005</v>
      </c>
      <c r="R25" s="75">
        <f>Лист1!BE19</f>
        <v>-2085.9400000000023</v>
      </c>
      <c r="S25" s="1"/>
      <c r="T25" s="1"/>
    </row>
    <row r="26" spans="1:20" ht="12.75">
      <c r="A26" s="11" t="s">
        <v>51</v>
      </c>
      <c r="B26" s="84">
        <f>Лист1!B20</f>
        <v>5583.55</v>
      </c>
      <c r="C26" s="27">
        <f t="shared" si="0"/>
        <v>48297.707500000004</v>
      </c>
      <c r="D26" s="28">
        <f>Лист1!D20</f>
        <v>4302.127500000014</v>
      </c>
      <c r="E26" s="14">
        <f>Лист1!S20</f>
        <v>36472.119999999995</v>
      </c>
      <c r="F26" s="30">
        <f>Лист1!T20</f>
        <v>7523.46</v>
      </c>
      <c r="G26" s="29">
        <f>Лист1!AB20</f>
        <v>31868.68</v>
      </c>
      <c r="H26" s="30">
        <f>Лист1!AC20</f>
        <v>43694.267500000016</v>
      </c>
      <c r="I26" s="87">
        <f>Лист1!AF20</f>
        <v>9155.515720000001</v>
      </c>
      <c r="J26" s="29">
        <f>Лист1!AG20</f>
        <v>3350.13</v>
      </c>
      <c r="K26" s="14">
        <f>Лист1!AI20+Лист1!AJ20</f>
        <v>5520.204550705</v>
      </c>
      <c r="L26" s="14">
        <f>Лист1!AH20+Лист1!AK20+Лист1!AL20+Лист1!AM20+Лист1!AN20+Лист1!AO20+Лист1!AP20+Лист1!AQ20+Лист1!AR20</f>
        <v>18990.263385331</v>
      </c>
      <c r="M26" s="31">
        <f>Лист1!AS20+Лист1!AT20+Лист1!AU20+Лист1!AZ20+Лист1!BA20</f>
        <v>2834.36</v>
      </c>
      <c r="N26" s="31">
        <f>Лист1!AX20</f>
        <v>1229.0880000000002</v>
      </c>
      <c r="O26" s="30">
        <f>Лист1!BB20</f>
        <v>31924.045936036</v>
      </c>
      <c r="P26" s="90">
        <f>Лист1!BC20</f>
        <v>4326.54826284</v>
      </c>
      <c r="Q26" s="75">
        <f>Лист1!BD20</f>
        <v>16599.18902112402</v>
      </c>
      <c r="R26" s="75">
        <f>Лист1!BE20</f>
        <v>-4603.439999999995</v>
      </c>
      <c r="S26" s="1"/>
      <c r="T26" s="1"/>
    </row>
    <row r="27" spans="1:20" ht="12.75">
      <c r="A27" s="11" t="s">
        <v>52</v>
      </c>
      <c r="B27" s="84">
        <f>Лист1!B21</f>
        <v>5583.55</v>
      </c>
      <c r="C27" s="27">
        <f t="shared" si="0"/>
        <v>48297.707500000004</v>
      </c>
      <c r="D27" s="28">
        <f>Лист1!D21</f>
        <v>4208.127499999999</v>
      </c>
      <c r="E27" s="14">
        <f>Лист1!S21</f>
        <v>36907.06</v>
      </c>
      <c r="F27" s="30">
        <f>Лист1!T21</f>
        <v>7182.5199999999995</v>
      </c>
      <c r="G27" s="29">
        <f>Лист1!AB21</f>
        <v>37217.96</v>
      </c>
      <c r="H27" s="30">
        <f>Лист1!AC21</f>
        <v>48608.6075</v>
      </c>
      <c r="I27" s="87">
        <f>Лист1!AF21</f>
        <v>9155.515720000001</v>
      </c>
      <c r="J27" s="29">
        <f>Лист1!AG21</f>
        <v>3350.13</v>
      </c>
      <c r="K27" s="14">
        <f>Лист1!AI21+Лист1!AJ21</f>
        <v>5517.6962154125</v>
      </c>
      <c r="L27" s="14">
        <f>Лист1!AH21+Лист1!AK21+Лист1!AL21+Лист1!AM21+Лист1!AN21+Лист1!AO21+Лист1!AP21+Лист1!AQ21+Лист1!AR21</f>
        <v>44543.421380501</v>
      </c>
      <c r="M27" s="31">
        <f>Лист1!AS21+Лист1!AT21+Лист1!AU21+Лист1!AZ21+Лист1!BA21</f>
        <v>16700.54</v>
      </c>
      <c r="N27" s="31">
        <f>Лист1!AX21</f>
        <v>1452.1080000000002</v>
      </c>
      <c r="O27" s="30">
        <f>Лист1!BB21</f>
        <v>71563.89559591349</v>
      </c>
      <c r="P27" s="90">
        <f>Лист1!BC21</f>
        <v>4326.102240068</v>
      </c>
      <c r="Q27" s="75">
        <f>Лист1!BD21</f>
        <v>-18125.87461598149</v>
      </c>
      <c r="R27" s="75">
        <f>Лист1!BE21</f>
        <v>310.90000000000146</v>
      </c>
      <c r="S27" s="1"/>
      <c r="T27" s="1"/>
    </row>
    <row r="28" spans="1:20" ht="12.75">
      <c r="A28" s="11" t="s">
        <v>53</v>
      </c>
      <c r="B28" s="84">
        <f>Лист1!B22</f>
        <v>5583.55</v>
      </c>
      <c r="C28" s="27">
        <f t="shared" si="0"/>
        <v>48297.707500000004</v>
      </c>
      <c r="D28" s="28">
        <f>Лист1!D22</f>
        <v>4247.477500000003</v>
      </c>
      <c r="E28" s="14">
        <f>Лист1!S22</f>
        <v>36577.689999999995</v>
      </c>
      <c r="F28" s="30">
        <f>Лист1!T22</f>
        <v>7472.540000000001</v>
      </c>
      <c r="G28" s="29">
        <f>Лист1!AB22</f>
        <v>32485.940000000002</v>
      </c>
      <c r="H28" s="30">
        <f>Лист1!AC22</f>
        <v>44205.957500000004</v>
      </c>
      <c r="I28" s="87">
        <f>Лист1!AF22</f>
        <v>9155.515720000001</v>
      </c>
      <c r="J28" s="29">
        <f>Лист1!AG22</f>
        <v>3350.13</v>
      </c>
      <c r="K28" s="14">
        <f>Лист1!AI22+Лист1!AJ22</f>
        <v>5516.744164301999</v>
      </c>
      <c r="L28" s="14">
        <f>Лист1!AH22+Лист1!AK22+Лист1!AL22+Лист1!AM22+Лист1!AN22+Лист1!AO22+Лист1!AP22+Лист1!AQ22+Лист1!AR22</f>
        <v>18985.1514889666</v>
      </c>
      <c r="M28" s="31">
        <f>Лист1!AS22+Лист1!AT22+Лист1!AU22+Лист1!AZ22+Лист1!BA22</f>
        <v>0</v>
      </c>
      <c r="N28" s="31">
        <f>Лист1!AX22</f>
        <v>1729.6440000000002</v>
      </c>
      <c r="O28" s="30">
        <f>Лист1!BB22</f>
        <v>29581.669653268596</v>
      </c>
      <c r="P28" s="90">
        <f>Лист1!BC22</f>
        <v>4323.928354930799</v>
      </c>
      <c r="Q28" s="75">
        <f>Лист1!BD22</f>
        <v>19455.875211800612</v>
      </c>
      <c r="R28" s="75">
        <f>Лист1!BE22</f>
        <v>-4091.7499999999927</v>
      </c>
      <c r="S28" s="1"/>
      <c r="T28" s="1"/>
    </row>
    <row r="29" spans="1:20" ht="12.75">
      <c r="A29" s="11" t="s">
        <v>41</v>
      </c>
      <c r="B29" s="84">
        <f>Лист1!B23</f>
        <v>5583.55</v>
      </c>
      <c r="C29" s="27">
        <f>B29*8.65</f>
        <v>48297.707500000004</v>
      </c>
      <c r="D29" s="28">
        <f>Лист1!D23</f>
        <v>4266.2775000000065</v>
      </c>
      <c r="E29" s="14">
        <f>Лист1!S23</f>
        <v>36411</v>
      </c>
      <c r="F29" s="30">
        <f>Лист1!T23</f>
        <v>7620.43</v>
      </c>
      <c r="G29" s="29">
        <f>Лист1!AB23</f>
        <v>48083.91</v>
      </c>
      <c r="H29" s="30">
        <f>Лист1!AC23</f>
        <v>59970.61750000001</v>
      </c>
      <c r="I29" s="87">
        <f>Лист1!AF23</f>
        <v>9155.515720000001</v>
      </c>
      <c r="J29" s="29">
        <f>Лист1!AG23</f>
        <v>3350.13</v>
      </c>
      <c r="K29" s="14">
        <f>Лист1!AI23+Лист1!AJ23</f>
        <v>5580.534883</v>
      </c>
      <c r="L29" s="14">
        <f>Лист1!AH23+Лист1!AK23+Лист1!AL23+Лист1!AM23+Лист1!AN23+Лист1!AO23+Лист1!AP23+Лист1!AQ23+Лист1!AR23</f>
        <v>19148.226369999997</v>
      </c>
      <c r="M29" s="31">
        <f>Лист1!AS23+Лист1!AT23+Лист1!AU23+Лист1!AZ23+Лист1!BA23</f>
        <v>10184.8632</v>
      </c>
      <c r="N29" s="31">
        <f>Лист1!AX23</f>
        <v>2106.3</v>
      </c>
      <c r="O29" s="30">
        <f>Лист1!BB23</f>
        <v>40370.054453000004</v>
      </c>
      <c r="P29" s="90">
        <f>Лист1!BC23</f>
        <v>4357.712764</v>
      </c>
      <c r="Q29" s="75">
        <f>Лист1!BD23</f>
        <v>24398.366003</v>
      </c>
      <c r="R29" s="75">
        <f>Лист1!BE23</f>
        <v>11672.910000000003</v>
      </c>
      <c r="S29" s="1"/>
      <c r="T29" s="1"/>
    </row>
    <row r="30" spans="1:20" ht="12.75">
      <c r="A30" s="11" t="s">
        <v>42</v>
      </c>
      <c r="B30" s="84">
        <f>Лист1!B24</f>
        <v>5584.95</v>
      </c>
      <c r="C30" s="27">
        <f t="shared" si="0"/>
        <v>48309.8175</v>
      </c>
      <c r="D30" s="28">
        <f>Лист1!D24</f>
        <v>4260.237499999999</v>
      </c>
      <c r="E30" s="14">
        <f>Лист1!S24</f>
        <v>36344.31</v>
      </c>
      <c r="F30" s="30">
        <f>Лист1!T24</f>
        <v>7705.27</v>
      </c>
      <c r="G30" s="29">
        <f>Лист1!AB24</f>
        <v>36237.25</v>
      </c>
      <c r="H30" s="30">
        <f>Лист1!AC24</f>
        <v>48202.7575</v>
      </c>
      <c r="I30" s="87">
        <f>Лист1!AF24</f>
        <v>9155.515720000001</v>
      </c>
      <c r="J30" s="29">
        <f>Лист1!AG24</f>
        <v>3350.97</v>
      </c>
      <c r="K30" s="14">
        <f>Лист1!AI24+Лист1!AJ24</f>
        <v>5601.704849999999</v>
      </c>
      <c r="L30" s="14">
        <f>Лист1!AH24+Лист1!AK24+Лист1!AL24+Лист1!AM24+Лист1!AN24+Лист1!AO24+Лист1!AP24+Лист1!AQ24+Лист1!AR24</f>
        <v>19174.25034</v>
      </c>
      <c r="M30" s="31">
        <f>Лист1!AS24+Лист1!AT24+Лист1!AU24+Лист1!AZ24+Лист1!BA24</f>
        <v>6196.18</v>
      </c>
      <c r="N30" s="31">
        <f>Лист1!AX24</f>
        <v>2329.32</v>
      </c>
      <c r="O30" s="30">
        <f>Лист1!BB24</f>
        <v>36652.42519</v>
      </c>
      <c r="P30" s="90">
        <f>Лист1!BC24</f>
        <v>4363.849079999998</v>
      </c>
      <c r="Q30" s="75">
        <f>Лист1!BD24</f>
        <v>16341.998950000003</v>
      </c>
      <c r="R30" s="75">
        <f>Лист1!BE24</f>
        <v>-107.05999999999767</v>
      </c>
      <c r="S30" s="1"/>
      <c r="T30" s="1"/>
    </row>
    <row r="31" spans="1:20" ht="13.5" thickBot="1">
      <c r="A31" s="32" t="s">
        <v>43</v>
      </c>
      <c r="B31" s="84">
        <f>Лист1!B25</f>
        <v>5584.95</v>
      </c>
      <c r="C31" s="33">
        <f t="shared" si="0"/>
        <v>48309.8175</v>
      </c>
      <c r="D31" s="28">
        <f>Лист1!D25</f>
        <v>4553.447499999995</v>
      </c>
      <c r="E31" s="14">
        <f>Лист1!S25</f>
        <v>36086.31</v>
      </c>
      <c r="F31" s="30">
        <f>Лист1!T25</f>
        <v>7670.0599999999995</v>
      </c>
      <c r="G31" s="29">
        <f>Лист1!AB25</f>
        <v>52420.01</v>
      </c>
      <c r="H31" s="30">
        <f>Лист1!AC25</f>
        <v>64643.517499999994</v>
      </c>
      <c r="I31" s="87">
        <f>Лист1!AF25</f>
        <v>9155.515720000001</v>
      </c>
      <c r="J31" s="29">
        <f>Лист1!AG25</f>
        <v>3350.97</v>
      </c>
      <c r="K31" s="14">
        <f>Лист1!AI25+Лист1!AJ25</f>
        <v>5601.704849999999</v>
      </c>
      <c r="L31" s="14">
        <f>Лист1!AH25+Лист1!AK25+Лист1!AL25+Лист1!AM25+Лист1!AN25+Лист1!AO25+Лист1!AP25+Лист1!AQ25+Лист1!AR25</f>
        <v>19174.25034</v>
      </c>
      <c r="M31" s="31">
        <f>Лист1!AS25+Лист1!AT25+Лист1!AU25+Лист1!AZ25+Лист1!BA25</f>
        <v>13591.594</v>
      </c>
      <c r="N31" s="31">
        <f>Лист1!AX25</f>
        <v>2547.384</v>
      </c>
      <c r="O31" s="30">
        <f>Лист1!BB25</f>
        <v>44265.903190000005</v>
      </c>
      <c r="P31" s="90">
        <f>Лист1!BC25</f>
        <v>4363.849079999998</v>
      </c>
      <c r="Q31" s="75">
        <f>Лист1!BD25</f>
        <v>25169.280949999993</v>
      </c>
      <c r="R31" s="75">
        <f>Лист1!BE25</f>
        <v>16333.700000000004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579650.3400000001</v>
      </c>
      <c r="D32" s="68">
        <f t="shared" si="3"/>
        <v>58262.57750000003</v>
      </c>
      <c r="E32" s="36">
        <f t="shared" si="3"/>
        <v>423722.24000000005</v>
      </c>
      <c r="F32" s="69">
        <f t="shared" si="3"/>
        <v>88014.64</v>
      </c>
      <c r="G32" s="68">
        <f t="shared" si="3"/>
        <v>421249.19000000006</v>
      </c>
      <c r="H32" s="69">
        <f t="shared" si="3"/>
        <v>567526.4075</v>
      </c>
      <c r="I32" s="69">
        <f t="shared" si="3"/>
        <v>105845.68583999999</v>
      </c>
      <c r="J32" s="68">
        <f t="shared" si="3"/>
        <v>38866.53600000001</v>
      </c>
      <c r="K32" s="36">
        <f t="shared" si="3"/>
        <v>64111.51304608951</v>
      </c>
      <c r="L32" s="36">
        <f t="shared" si="3"/>
        <v>248562.5209142346</v>
      </c>
      <c r="M32" s="36">
        <f>SUM(M20:M31)</f>
        <v>165683.0784</v>
      </c>
      <c r="N32" s="36">
        <f t="shared" si="3"/>
        <v>28239.288</v>
      </c>
      <c r="O32" s="69">
        <f t="shared" si="3"/>
        <v>539030.0483603241</v>
      </c>
      <c r="P32" s="69">
        <f t="shared" si="3"/>
        <v>48363.8737398348</v>
      </c>
      <c r="Q32" s="76">
        <f>SUM(Q20:Q31)</f>
        <v>85978.17123984113</v>
      </c>
      <c r="R32" s="76">
        <f t="shared" si="3"/>
        <v>-2473.049999999981</v>
      </c>
      <c r="S32" s="72"/>
      <c r="T32" s="72"/>
    </row>
    <row r="33" spans="1:20" ht="13.5" thickBot="1">
      <c r="A33" s="189" t="s">
        <v>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724119.18</v>
      </c>
      <c r="D34" s="37">
        <f aca="true" t="shared" si="4" ref="D34:R34">D18+D32</f>
        <v>93036.70885080003</v>
      </c>
      <c r="E34" s="38">
        <f t="shared" si="4"/>
        <v>521851.79000000004</v>
      </c>
      <c r="F34" s="39">
        <f t="shared" si="4"/>
        <v>108351.12</v>
      </c>
      <c r="G34" s="37">
        <f t="shared" si="4"/>
        <v>484048.9</v>
      </c>
      <c r="H34" s="39">
        <f t="shared" si="4"/>
        <v>685436.7288508</v>
      </c>
      <c r="I34" s="39">
        <f t="shared" si="4"/>
        <v>105845.68583999999</v>
      </c>
      <c r="J34" s="37">
        <f t="shared" si="4"/>
        <v>48887.49600000001</v>
      </c>
      <c r="K34" s="38">
        <f t="shared" si="4"/>
        <v>80882.27039040951</v>
      </c>
      <c r="L34" s="38">
        <f t="shared" si="4"/>
        <v>307359.5761077306</v>
      </c>
      <c r="M34" s="38">
        <f t="shared" si="4"/>
        <v>214657.6568</v>
      </c>
      <c r="N34" s="38">
        <f t="shared" si="4"/>
        <v>28239.288</v>
      </c>
      <c r="O34" s="79">
        <f t="shared" si="4"/>
        <v>673593.3992981401</v>
      </c>
      <c r="P34" s="79">
        <f>P18+P32</f>
        <v>48363.8737398348</v>
      </c>
      <c r="Q34" s="78">
        <f>Q18+Q32</f>
        <v>69325.14165282511</v>
      </c>
      <c r="R34" s="78">
        <f t="shared" si="4"/>
        <v>-37802.88999999999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5584.95</v>
      </c>
      <c r="C36" s="27">
        <f aca="true" t="shared" si="5" ref="C36:C47">B36*8.65</f>
        <v>48309.8175</v>
      </c>
      <c r="D36" s="28">
        <f>Лист1!D30</f>
        <v>4249.727500000002</v>
      </c>
      <c r="E36" s="14">
        <f>Лист1!S30</f>
        <v>36461.24999999999</v>
      </c>
      <c r="F36" s="30">
        <f>Лист1!T30</f>
        <v>7598.84</v>
      </c>
      <c r="G36" s="29">
        <f>Лист1!AB30</f>
        <v>25580.14</v>
      </c>
      <c r="H36" s="30">
        <f>Лист1!AC30</f>
        <v>37428.707500000004</v>
      </c>
      <c r="I36" s="87">
        <f>Лист1!AF30</f>
        <v>9155.515720000001</v>
      </c>
      <c r="J36" s="29">
        <f>Лист1!AG30</f>
        <v>3350.97</v>
      </c>
      <c r="K36" s="14">
        <f>Лист1!AI30+Лист1!AJ30</f>
        <v>5584.95</v>
      </c>
      <c r="L36" s="14">
        <f>Лист1!AH30+Лист1!AK30+Лист1!AL30+Лист1!AM30+Лист1!AN30+Лист1!AO30+Лист1!AP30+Лист1!AQ30+Лист1!AR30</f>
        <v>19156.3785</v>
      </c>
      <c r="M36" s="31">
        <f>Лист1!AS30+Лист1!AT30+Лист1!AU30+Лист1!AZ30+Лист1!BA30</f>
        <v>3141</v>
      </c>
      <c r="N36" s="31">
        <f>Лист1!AX30</f>
        <v>2667</v>
      </c>
      <c r="O36" s="30">
        <f>Лист1!BB30</f>
        <v>33900.2985</v>
      </c>
      <c r="P36" s="90">
        <f>Лист1!BC30</f>
        <v>4358.681999999998</v>
      </c>
      <c r="Q36" s="75">
        <f>Лист1!BD30</f>
        <v>8325.242720000013</v>
      </c>
      <c r="R36" s="75">
        <f>Лист1!BE30</f>
        <v>-10881.109999999993</v>
      </c>
      <c r="S36" s="1"/>
      <c r="T36" s="1"/>
    </row>
    <row r="37" spans="1:20" ht="12.75">
      <c r="A37" s="11" t="s">
        <v>46</v>
      </c>
      <c r="B37" s="84">
        <f>Лист1!B31</f>
        <v>5584.95</v>
      </c>
      <c r="C37" s="27">
        <f t="shared" si="5"/>
        <v>48309.8175</v>
      </c>
      <c r="D37" s="28">
        <f>Лист1!D31</f>
        <v>4266.267499999989</v>
      </c>
      <c r="E37" s="14">
        <f>Лист1!S31</f>
        <v>36556.689999999995</v>
      </c>
      <c r="F37" s="30">
        <f>Лист1!T31</f>
        <v>7486.860000000001</v>
      </c>
      <c r="G37" s="29">
        <f>Лист1!AB31</f>
        <v>31100.43</v>
      </c>
      <c r="H37" s="30">
        <f>Лист1!AC31</f>
        <v>42853.55749999999</v>
      </c>
      <c r="I37" s="87">
        <f>Лист1!AF31</f>
        <v>9155.515720000001</v>
      </c>
      <c r="J37" s="29">
        <f>Лист1!AG31</f>
        <v>3350.97</v>
      </c>
      <c r="K37" s="14">
        <f>Лист1!AI31+Лист1!AJ31</f>
        <v>5584.95</v>
      </c>
      <c r="L37" s="14">
        <f>Лист1!AH31+Лист1!AK31+Лист1!AL31+Лист1!AM31+Лист1!AN31+Лист1!AO31+Лист1!AP31+Лист1!AQ31+Лист1!AR31</f>
        <v>19156.3785</v>
      </c>
      <c r="M37" s="31">
        <f>Лист1!AS31+Лист1!AT31+Лист1!AU31+Лист1!AZ31+Лист1!BA31</f>
        <v>6423</v>
      </c>
      <c r="N37" s="31">
        <f>Лист1!AX31</f>
        <v>2136.75</v>
      </c>
      <c r="O37" s="30">
        <f>Лист1!BB31</f>
        <v>36652.0485</v>
      </c>
      <c r="P37" s="90">
        <f>Лист1!BC31</f>
        <v>4358.681999999998</v>
      </c>
      <c r="Q37" s="75">
        <f>Лист1!BD31</f>
        <v>10998.342719999997</v>
      </c>
      <c r="R37" s="75">
        <f>Лист1!BE31</f>
        <v>-5456.259999999995</v>
      </c>
      <c r="S37" s="1"/>
      <c r="T37" s="1"/>
    </row>
    <row r="38" spans="1:20" ht="12.75">
      <c r="A38" s="11" t="s">
        <v>47</v>
      </c>
      <c r="B38" s="84">
        <f>Лист1!B32</f>
        <v>5584.95</v>
      </c>
      <c r="C38" s="27">
        <f t="shared" si="5"/>
        <v>48309.8175</v>
      </c>
      <c r="D38" s="28">
        <f>Лист1!D32</f>
        <v>4278.847500000004</v>
      </c>
      <c r="E38" s="14">
        <f>Лист1!S32</f>
        <v>36548.38</v>
      </c>
      <c r="F38" s="30">
        <f>Лист1!T32</f>
        <v>7482.59</v>
      </c>
      <c r="G38" s="29">
        <f>Лист1!AB32</f>
        <v>41880.619999999995</v>
      </c>
      <c r="H38" s="30">
        <f>Лист1!AC32</f>
        <v>53642.057499999995</v>
      </c>
      <c r="I38" s="87">
        <f>Лист1!AF32</f>
        <v>9155.515720000001</v>
      </c>
      <c r="J38" s="29">
        <f>Лист1!AG32</f>
        <v>3350.97</v>
      </c>
      <c r="K38" s="14">
        <f>Лист1!AI32+Лист1!AJ32</f>
        <v>5584.95</v>
      </c>
      <c r="L38" s="14">
        <f>Лист1!AH32+Лист1!AK32+Лист1!AL32+Лист1!AM32+Лист1!AN32+Лист1!AO32+Лист1!AP32+Лист1!AQ32+Лист1!AR32</f>
        <v>22975.3785</v>
      </c>
      <c r="M38" s="31">
        <f>Лист1!AS32+Лист1!AT32+Лист1!AU32+Лист1!AZ32+Лист1!BA32</f>
        <v>28099</v>
      </c>
      <c r="N38" s="31">
        <f>Лист1!AX32</f>
        <v>2010.7499999999998</v>
      </c>
      <c r="O38" s="30">
        <f>Лист1!BB32</f>
        <v>62021.0485</v>
      </c>
      <c r="P38" s="90">
        <f>Лист1!BC32</f>
        <v>4358.681999999998</v>
      </c>
      <c r="Q38" s="75">
        <f>Лист1!BD32</f>
        <v>-3582.1572799999967</v>
      </c>
      <c r="R38" s="75">
        <f>Лист1!BE32</f>
        <v>5332.239999999998</v>
      </c>
      <c r="S38" s="1"/>
      <c r="T38" s="1"/>
    </row>
    <row r="39" spans="1:20" ht="12.75">
      <c r="A39" s="11" t="s">
        <v>48</v>
      </c>
      <c r="B39" s="84">
        <f>Лист1!B33</f>
        <v>5584.95</v>
      </c>
      <c r="C39" s="27">
        <f t="shared" si="5"/>
        <v>48309.8175</v>
      </c>
      <c r="D39" s="28">
        <f>Лист1!D33</f>
        <v>4270.067499999992</v>
      </c>
      <c r="E39" s="14">
        <f>Лист1!S33</f>
        <v>36576.56</v>
      </c>
      <c r="F39" s="30">
        <f>Лист1!T33</f>
        <v>7463.19</v>
      </c>
      <c r="G39" s="29">
        <f>Лист1!AB33</f>
        <v>27558.299999999996</v>
      </c>
      <c r="H39" s="30">
        <f>Лист1!AC33</f>
        <v>39291.55749999999</v>
      </c>
      <c r="I39" s="87">
        <f>Лист1!AF33</f>
        <v>9155.515720000001</v>
      </c>
      <c r="J39" s="29">
        <f>Лист1!AG33</f>
        <v>3350.97</v>
      </c>
      <c r="K39" s="14">
        <f>Лист1!AI33+Лист1!AJ33</f>
        <v>5584.95</v>
      </c>
      <c r="L39" s="14">
        <f>Лист1!AH33+Лист1!AK33+Лист1!AL33+Лист1!AM33+Лист1!AN33+Лист1!AO33+Лист1!AP33+Лист1!AQ33+Лист1!AR33</f>
        <v>31309.838499999998</v>
      </c>
      <c r="M39" s="31">
        <f>Лист1!AS33+Лист1!AT33+Лист1!AU33+Лист1!AZ33+Лист1!BA33</f>
        <v>13487</v>
      </c>
      <c r="N39" s="31">
        <f>Лист1!AX33</f>
        <v>1611.75</v>
      </c>
      <c r="O39" s="30">
        <f>Лист1!BB33</f>
        <v>55344.508499999996</v>
      </c>
      <c r="P39" s="90">
        <f>Лист1!BC33</f>
        <v>5142.554399999998</v>
      </c>
      <c r="Q39" s="75">
        <f>Лист1!BD33</f>
        <v>-12039.989680000002</v>
      </c>
      <c r="R39" s="75">
        <f>Лист1!BE33</f>
        <v>-9018.260000000002</v>
      </c>
      <c r="S39" s="1"/>
      <c r="T39" s="1"/>
    </row>
    <row r="40" spans="1:20" ht="12.75">
      <c r="A40" s="11" t="s">
        <v>49</v>
      </c>
      <c r="B40" s="84">
        <f>Лист1!B34</f>
        <v>5587.44</v>
      </c>
      <c r="C40" s="27">
        <f t="shared" si="5"/>
        <v>48331.356</v>
      </c>
      <c r="D40" s="28">
        <f>Лист1!D34</f>
        <v>4238.856000000001</v>
      </c>
      <c r="E40" s="14">
        <f>Лист1!S34</f>
        <v>36778.32</v>
      </c>
      <c r="F40" s="30">
        <f>Лист1!T34</f>
        <v>7314.18</v>
      </c>
      <c r="G40" s="29">
        <f>Лист1!AB34</f>
        <v>32227.19</v>
      </c>
      <c r="H40" s="30">
        <f>Лист1!AC34</f>
        <v>43780.225999999995</v>
      </c>
      <c r="I40" s="87">
        <f>Лист1!AF34</f>
        <v>14232.273616</v>
      </c>
      <c r="J40" s="29">
        <f>Лист1!AG34</f>
        <v>3352.4639999999995</v>
      </c>
      <c r="K40" s="14">
        <f>Лист1!AI34+Лист1!AJ34</f>
        <v>5587.44</v>
      </c>
      <c r="L40" s="14">
        <f>Лист1!AH34+Лист1!AK34+Лист1!AL34+Лист1!AM34+Лист1!AN34+Лист1!AO34+Лист1!AP34+Лист1!AQ34+Лист1!AR34</f>
        <v>26089.339200000002</v>
      </c>
      <c r="M40" s="31">
        <f>Лист1!AS34+Лист1!AT34+Лист1!AU34+Лист1!AZ34+Лист1!BA34</f>
        <v>561</v>
      </c>
      <c r="N40" s="31">
        <f>Лист1!AX34</f>
        <v>1380.75</v>
      </c>
      <c r="O40" s="30">
        <f>Лист1!BB34</f>
        <v>36970.9932</v>
      </c>
      <c r="P40" s="90">
        <f>Лист1!BC34</f>
        <v>5673.922399999998</v>
      </c>
      <c r="Q40" s="75">
        <f>Лист1!BD34</f>
        <v>15367.584015999999</v>
      </c>
      <c r="R40" s="75">
        <f>Лист1!BE34</f>
        <v>-4551.130000000001</v>
      </c>
      <c r="S40" s="1"/>
      <c r="T40" s="1"/>
    </row>
    <row r="41" spans="1:20" ht="12.75">
      <c r="A41" s="11" t="s">
        <v>50</v>
      </c>
      <c r="B41" s="84">
        <f>Лист1!B35</f>
        <v>5587.44</v>
      </c>
      <c r="C41" s="27">
        <f t="shared" si="5"/>
        <v>48331.356</v>
      </c>
      <c r="D41" s="28">
        <f>Лист1!D35</f>
        <v>4233.005999999992</v>
      </c>
      <c r="E41" s="14">
        <f>Лист1!S35</f>
        <v>36726.64</v>
      </c>
      <c r="F41" s="30">
        <f>Лист1!T35</f>
        <v>7371.71</v>
      </c>
      <c r="G41" s="29">
        <f>Лист1!AB35</f>
        <v>37355.21</v>
      </c>
      <c r="H41" s="30">
        <f>Лист1!AC35</f>
        <v>48959.92599999999</v>
      </c>
      <c r="I41" s="87">
        <f>Лист1!AF35</f>
        <v>21450.900400000002</v>
      </c>
      <c r="J41" s="29">
        <f>Лист1!AG35</f>
        <v>3352.4639999999995</v>
      </c>
      <c r="K41" s="14">
        <f>Лист1!AI35+Лист1!AJ35</f>
        <v>5587.44</v>
      </c>
      <c r="L41" s="14">
        <f>Лист1!AH35+Лист1!AK35+Лист1!AL35+Лист1!AM35+Лист1!AN35+Лист1!AO35+Лист1!AP35+Лист1!AQ35+Лист1!AR35</f>
        <v>22364.9192</v>
      </c>
      <c r="M41" s="31">
        <f>Лист1!AS35+Лист1!AT35+Лист1!AU35+Лист1!AZ35+Лист1!BA35</f>
        <v>10046.1986</v>
      </c>
      <c r="N41" s="31">
        <f>Лист1!AX35</f>
        <v>1223.25</v>
      </c>
      <c r="O41" s="30">
        <f>Лист1!BB35</f>
        <v>42574.271799999995</v>
      </c>
      <c r="P41" s="90">
        <f>Лист1!BC35</f>
        <v>5673.922399999998</v>
      </c>
      <c r="Q41" s="75">
        <f>Лист1!BD35</f>
        <v>22162.6322</v>
      </c>
      <c r="R41" s="75">
        <f>Лист1!BE35</f>
        <v>628.5699999999997</v>
      </c>
      <c r="S41" s="1"/>
      <c r="T41" s="1"/>
    </row>
    <row r="42" spans="1:20" ht="12.75">
      <c r="A42" s="11" t="s">
        <v>51</v>
      </c>
      <c r="B42" s="84">
        <f>Лист1!B36</f>
        <v>5587.44</v>
      </c>
      <c r="C42" s="27">
        <f t="shared" si="5"/>
        <v>48331.356</v>
      </c>
      <c r="D42" s="28">
        <f>Лист1!D36</f>
        <v>4140.446000000003</v>
      </c>
      <c r="E42" s="14">
        <f>Лист1!S36</f>
        <v>44190.91</v>
      </c>
      <c r="F42" s="30">
        <f>Лист1!T36</f>
        <v>0</v>
      </c>
      <c r="G42" s="29">
        <f>Лист1!AB36</f>
        <v>37873.89</v>
      </c>
      <c r="H42" s="30">
        <f>Лист1!AC36</f>
        <v>42014.336</v>
      </c>
      <c r="I42" s="87">
        <f>Лист1!AF36</f>
        <v>11714.85548</v>
      </c>
      <c r="J42" s="29">
        <f>Лист1!AG36</f>
        <v>3352.4639999999995</v>
      </c>
      <c r="K42" s="14">
        <f>Лист1!AI36+Лист1!AJ36</f>
        <v>5587.44</v>
      </c>
      <c r="L42" s="14">
        <f>Лист1!AH36+Лист1!AK36+Лист1!AL36+Лист1!AM36+Лист1!AN36+Лист1!AO36+Лист1!AP36+Лист1!AQ36+Лист1!AR36</f>
        <v>19164.9192</v>
      </c>
      <c r="M42" s="31">
        <f>Лист1!AS36+Лист1!AT36+Лист1!AU36+Лист1!AZ36+Лист1!BA36</f>
        <v>0</v>
      </c>
      <c r="N42" s="31">
        <f>Лист1!AX36</f>
        <v>1302</v>
      </c>
      <c r="O42" s="30">
        <f>Лист1!BB36</f>
        <v>29406.8232</v>
      </c>
      <c r="P42" s="90">
        <f>Лист1!BC36</f>
        <v>5673.922399999998</v>
      </c>
      <c r="Q42" s="75">
        <f>Лист1!BD36</f>
        <v>18648.445880000007</v>
      </c>
      <c r="R42" s="75">
        <f>Лист1!BE36</f>
        <v>-6317.020000000004</v>
      </c>
      <c r="S42" s="1"/>
      <c r="T42" s="1"/>
    </row>
    <row r="43" spans="1:20" ht="12.75">
      <c r="A43" s="11" t="s">
        <v>52</v>
      </c>
      <c r="B43" s="84">
        <f>Лист1!B37</f>
        <v>5587.44</v>
      </c>
      <c r="C43" s="27">
        <f t="shared" si="5"/>
        <v>48331.356</v>
      </c>
      <c r="D43" s="28">
        <f>Лист1!D37</f>
        <v>4164.985999999997</v>
      </c>
      <c r="E43" s="14">
        <f>Лист1!S37</f>
        <v>44166.369999999995</v>
      </c>
      <c r="F43" s="30">
        <f>Лист1!T37</f>
        <v>0</v>
      </c>
      <c r="G43" s="29">
        <f>Лист1!AB37</f>
        <v>45618.520000000004</v>
      </c>
      <c r="H43" s="30">
        <f>Лист1!AC37</f>
        <v>49783.506</v>
      </c>
      <c r="I43" s="87">
        <f>Лист1!AF37</f>
        <v>11714.85548</v>
      </c>
      <c r="J43" s="29">
        <f>Лист1!AG37</f>
        <v>3352.4639999999995</v>
      </c>
      <c r="K43" s="14">
        <f>Лист1!AI37+Лист1!AJ37</f>
        <v>5587.44</v>
      </c>
      <c r="L43" s="14">
        <f>Лист1!AH37+Лист1!AK37+Лист1!AL37+Лист1!AM37+Лист1!AN37+Лист1!AO37+Лист1!AP37+Лист1!AQ37+Лист1!AR37</f>
        <v>19164.9192</v>
      </c>
      <c r="M43" s="31">
        <f>Лист1!AS37+Лист1!AT37+Лист1!AU37+Лист1!AZ37+Лист1!BA37</f>
        <v>13042.304</v>
      </c>
      <c r="N43" s="31">
        <f>Лист1!AX37</f>
        <v>1538.25</v>
      </c>
      <c r="O43" s="30">
        <f>Лист1!BB37</f>
        <v>42685.3772</v>
      </c>
      <c r="P43" s="90">
        <f>Лист1!BC37</f>
        <v>5673.922399999998</v>
      </c>
      <c r="Q43" s="75">
        <f>Лист1!BD37</f>
        <v>13139.06188</v>
      </c>
      <c r="R43" s="75">
        <f>Лист1!BE37</f>
        <v>1452.1500000000087</v>
      </c>
      <c r="S43" s="1"/>
      <c r="T43" s="1"/>
    </row>
    <row r="44" spans="1:20" ht="12.75">
      <c r="A44" s="11" t="s">
        <v>53</v>
      </c>
      <c r="B44" s="84">
        <f>Лист1!B38</f>
        <v>5587.44</v>
      </c>
      <c r="C44" s="27">
        <f t="shared" si="5"/>
        <v>48331.356</v>
      </c>
      <c r="D44" s="28">
        <f>Лист1!D38</f>
        <v>4193.026000000002</v>
      </c>
      <c r="E44" s="14">
        <f>Лист1!S38</f>
        <v>44138.33</v>
      </c>
      <c r="F44" s="30">
        <f>Лист1!T38</f>
        <v>0</v>
      </c>
      <c r="G44" s="29">
        <f>Лист1!AB38</f>
        <v>43012.479999999996</v>
      </c>
      <c r="H44" s="30">
        <f>Лист1!AC38</f>
        <v>47205.505999999994</v>
      </c>
      <c r="I44" s="87">
        <f>Лист1!AF38</f>
        <v>13730.979496</v>
      </c>
      <c r="J44" s="29">
        <f>Лист1!AG38</f>
        <v>3352.4639999999995</v>
      </c>
      <c r="K44" s="14">
        <f>Лист1!AI38+Лист1!AJ38</f>
        <v>5587.44</v>
      </c>
      <c r="L44" s="14">
        <f>Лист1!AH38+Лист1!AK38+Лист1!AL38+Лист1!AM38+Лист1!AN38+Лист1!AO38+Лист1!AP38+Лист1!AQ38+Лист1!AR38</f>
        <v>19164.9192</v>
      </c>
      <c r="M44" s="31">
        <f>Лист1!AS38+Лист1!AT38+Лист1!AU38+Лист1!AZ38+Лист1!BA38</f>
        <v>21163.685</v>
      </c>
      <c r="N44" s="31">
        <f>Лист1!AX38</f>
        <v>1832.2499999999998</v>
      </c>
      <c r="O44" s="30">
        <f>Лист1!BB38</f>
        <v>51100.7582</v>
      </c>
      <c r="P44" s="90">
        <f>Лист1!BC38</f>
        <v>5673.922399999998</v>
      </c>
      <c r="Q44" s="75">
        <f>Лист1!BD38</f>
        <v>4161.804896</v>
      </c>
      <c r="R44" s="75">
        <f>Лист1!BE38</f>
        <v>-1125.8500000000058</v>
      </c>
      <c r="S44" s="1"/>
      <c r="T44" s="1"/>
    </row>
    <row r="45" spans="1:20" ht="12.75">
      <c r="A45" s="11" t="s">
        <v>41</v>
      </c>
      <c r="B45" s="84">
        <f>Лист1!B39</f>
        <v>5587.44</v>
      </c>
      <c r="C45" s="27">
        <f>B45*8.65</f>
        <v>48331.356</v>
      </c>
      <c r="D45" s="28">
        <f>Лист1!D39</f>
        <v>4193.026000000002</v>
      </c>
      <c r="E45" s="14">
        <f>Лист1!S39</f>
        <v>44138.33</v>
      </c>
      <c r="F45" s="30">
        <f>Лист1!T39</f>
        <v>0</v>
      </c>
      <c r="G45" s="29">
        <f>Лист1!AB39</f>
        <v>41370.03</v>
      </c>
      <c r="H45" s="30">
        <f>Лист1!AC39</f>
        <v>45563.056</v>
      </c>
      <c r="I45" s="87">
        <f>Лист1!AF39</f>
        <v>12368.883984</v>
      </c>
      <c r="J45" s="29">
        <f>Лист1!AG39</f>
        <v>3352.4639999999995</v>
      </c>
      <c r="K45" s="14">
        <f>Лист1!AI39+Лист1!AJ39</f>
        <v>5587.44</v>
      </c>
      <c r="L45" s="14">
        <f>Лист1!AH39+Лист1!AK39+Лист1!AL39+Лист1!AM39+Лист1!AN39+Лист1!AO39+Лист1!AP39+Лист1!AQ39+Лист1!AR39</f>
        <v>19164.9192</v>
      </c>
      <c r="M45" s="31">
        <f>Лист1!AS39+Лист1!AT39+Лист1!AU39+Лист1!AZ39+Лист1!BA39</f>
        <v>3102.32</v>
      </c>
      <c r="N45" s="31">
        <f>Лист1!AX39</f>
        <v>2231.25</v>
      </c>
      <c r="O45" s="30">
        <f>Лист1!BB39</f>
        <v>33438.3932</v>
      </c>
      <c r="P45" s="90">
        <f>Лист1!BC39</f>
        <v>5711.422399999998</v>
      </c>
      <c r="Q45" s="75">
        <f>Лист1!BD39</f>
        <v>18782.124384000002</v>
      </c>
      <c r="R45" s="75">
        <f>Лист1!BE39</f>
        <v>-2768.300000000003</v>
      </c>
      <c r="S45" s="1"/>
      <c r="T45" s="1"/>
    </row>
    <row r="46" spans="1:20" ht="12.75">
      <c r="A46" s="11" t="s">
        <v>42</v>
      </c>
      <c r="B46" s="84">
        <f>Лист1!B40</f>
        <v>5587.44</v>
      </c>
      <c r="C46" s="27">
        <f t="shared" si="5"/>
        <v>48331.356</v>
      </c>
      <c r="D46" s="28">
        <f>Лист1!D40</f>
        <v>3698.0660000000034</v>
      </c>
      <c r="E46" s="14">
        <f>Лист1!S40</f>
        <v>44633.29000000001</v>
      </c>
      <c r="F46" s="30">
        <f>Лист1!T40</f>
        <v>0</v>
      </c>
      <c r="G46" s="29">
        <f>Лист1!AB40</f>
        <v>45447.57</v>
      </c>
      <c r="H46" s="30">
        <f>Лист1!AC40</f>
        <v>49145.636000000006</v>
      </c>
      <c r="I46" s="87">
        <f>Лист1!AF40</f>
        <v>12368.883984</v>
      </c>
      <c r="J46" s="29">
        <f>Лист1!AG40</f>
        <v>3352.4639999999995</v>
      </c>
      <c r="K46" s="14">
        <f>Лист1!AI40+Лист1!AJ40</f>
        <v>5587.44</v>
      </c>
      <c r="L46" s="14">
        <f>Лист1!AH40+Лист1!AK40+Лист1!AL40+Лист1!AM40+Лист1!AN40+Лист1!AO40+Лист1!AP40+Лист1!AQ40+Лист1!AR40</f>
        <v>19164.9192</v>
      </c>
      <c r="M46" s="31">
        <f>Лист1!AS40+Лист1!AT40+Лист1!AU40+Лист1!AZ40+Лист1!BA40</f>
        <v>4641</v>
      </c>
      <c r="N46" s="31">
        <f>Лист1!AX40</f>
        <v>2467.5</v>
      </c>
      <c r="O46" s="30">
        <f>Лист1!BB40</f>
        <v>35213.3232</v>
      </c>
      <c r="P46" s="90">
        <f>Лист1!BC40</f>
        <v>5711.422399999998</v>
      </c>
      <c r="Q46" s="75">
        <f>Лист1!BD40</f>
        <v>20589.77438400001</v>
      </c>
      <c r="R46" s="75">
        <f>Лист1!BE40</f>
        <v>814.2799999999916</v>
      </c>
      <c r="S46" s="1"/>
      <c r="T46" s="1"/>
    </row>
    <row r="47" spans="1:20" ht="13.5" thickBot="1">
      <c r="A47" s="32" t="s">
        <v>43</v>
      </c>
      <c r="B47" s="84">
        <f>Лист1!B41</f>
        <v>5587.44</v>
      </c>
      <c r="C47" s="33">
        <f t="shared" si="5"/>
        <v>48331.356</v>
      </c>
      <c r="D47" s="28">
        <f>Лист1!D41</f>
        <v>4200.656000000002</v>
      </c>
      <c r="E47" s="14">
        <f>Лист1!S41</f>
        <v>44130.7</v>
      </c>
      <c r="F47" s="30">
        <f>Лист1!T41</f>
        <v>0</v>
      </c>
      <c r="G47" s="29">
        <f>Лист1!AB41</f>
        <v>51003.14</v>
      </c>
      <c r="H47" s="30">
        <f>Лист1!AC41</f>
        <v>55203.796</v>
      </c>
      <c r="I47" s="87">
        <f>Лист1!AF41</f>
        <v>12368.883984</v>
      </c>
      <c r="J47" s="29">
        <f>Лист1!AG41</f>
        <v>3352.4639999999995</v>
      </c>
      <c r="K47" s="14">
        <f>Лист1!AI41+Лист1!AJ41</f>
        <v>5587.44</v>
      </c>
      <c r="L47" s="14">
        <f>Лист1!AH41+Лист1!AK41+Лист1!AL41+Лист1!AM41+Лист1!AN41+Лист1!AO41+Лист1!AP41+Лист1!AQ41+Лист1!AR41</f>
        <v>19164.9192</v>
      </c>
      <c r="M47" s="31">
        <f>Лист1!AS41+Лист1!AT41+Лист1!AU41+Лист1!AZ41+Лист1!BA41</f>
        <v>0</v>
      </c>
      <c r="N47" s="31">
        <f>Лист1!AX41</f>
        <v>2698.5</v>
      </c>
      <c r="O47" s="30">
        <f>Лист1!BB41</f>
        <v>30803.3232</v>
      </c>
      <c r="P47" s="90">
        <f>Лист1!BC41</f>
        <v>5711.422399999998</v>
      </c>
      <c r="Q47" s="75">
        <f>Лист1!BD41</f>
        <v>31057.934384000007</v>
      </c>
      <c r="R47" s="75">
        <f>Лист1!BE41</f>
        <v>6872.440000000002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579890.1180000001</v>
      </c>
      <c r="D48" s="68">
        <f t="shared" si="6"/>
        <v>50126.97799999999</v>
      </c>
      <c r="E48" s="36">
        <f t="shared" si="6"/>
        <v>485045.7700000001</v>
      </c>
      <c r="F48" s="69">
        <f t="shared" si="6"/>
        <v>44717.37</v>
      </c>
      <c r="G48" s="68">
        <f t="shared" si="6"/>
        <v>460027.51999999996</v>
      </c>
      <c r="H48" s="69">
        <f t="shared" si="6"/>
        <v>554871.8679999999</v>
      </c>
      <c r="I48" s="69">
        <f t="shared" si="6"/>
        <v>146572.579304</v>
      </c>
      <c r="J48" s="68">
        <f t="shared" si="6"/>
        <v>40223.592</v>
      </c>
      <c r="K48" s="36">
        <f t="shared" si="6"/>
        <v>67039.32</v>
      </c>
      <c r="L48" s="36">
        <f t="shared" si="6"/>
        <v>256041.7476</v>
      </c>
      <c r="M48" s="36">
        <f t="shared" si="6"/>
        <v>103706.50760000001</v>
      </c>
      <c r="N48" s="36">
        <f t="shared" si="6"/>
        <v>23100</v>
      </c>
      <c r="O48" s="69">
        <f t="shared" si="6"/>
        <v>490111.1671999999</v>
      </c>
      <c r="P48" s="69">
        <f t="shared" si="6"/>
        <v>63722.47959999996</v>
      </c>
      <c r="Q48" s="76">
        <f t="shared" si="6"/>
        <v>147610.80050400004</v>
      </c>
      <c r="R48" s="76">
        <f t="shared" si="6"/>
        <v>-25018.250000000004</v>
      </c>
      <c r="S48" s="72"/>
      <c r="T48" s="72"/>
    </row>
    <row r="49" spans="1:20" ht="13.5" thickBot="1">
      <c r="A49" s="189" t="s">
        <v>70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1304009.2980000002</v>
      </c>
      <c r="D50" s="37">
        <f aca="true" t="shared" si="7" ref="D50:O50">D34+D48</f>
        <v>143163.6868508</v>
      </c>
      <c r="E50" s="38">
        <f t="shared" si="7"/>
        <v>1006897.56</v>
      </c>
      <c r="F50" s="39">
        <f t="shared" si="7"/>
        <v>153068.49</v>
      </c>
      <c r="G50" s="37">
        <f t="shared" si="7"/>
        <v>944076.4199999999</v>
      </c>
      <c r="H50" s="39">
        <f t="shared" si="7"/>
        <v>1240308.5968507999</v>
      </c>
      <c r="I50" s="39">
        <f t="shared" si="7"/>
        <v>252418.265144</v>
      </c>
      <c r="J50" s="37">
        <f t="shared" si="7"/>
        <v>89111.088</v>
      </c>
      <c r="K50" s="38">
        <f t="shared" si="7"/>
        <v>147921.59039040952</v>
      </c>
      <c r="L50" s="38">
        <f t="shared" si="7"/>
        <v>563401.3237077306</v>
      </c>
      <c r="M50" s="38">
        <f t="shared" si="7"/>
        <v>318364.1644</v>
      </c>
      <c r="N50" s="38">
        <f t="shared" si="7"/>
        <v>51339.288</v>
      </c>
      <c r="O50" s="79">
        <f t="shared" si="7"/>
        <v>1163704.5664981399</v>
      </c>
      <c r="P50" s="79">
        <f>P34+P48</f>
        <v>112086.35333983476</v>
      </c>
      <c r="Q50" s="78">
        <f>Q34+Q48</f>
        <v>216935.94215682516</v>
      </c>
      <c r="R50" s="78">
        <f>R34+R48</f>
        <v>-62821.14</v>
      </c>
      <c r="S50" s="73"/>
      <c r="T50" s="72"/>
    </row>
    <row r="56" spans="1:20" ht="12.75">
      <c r="A56" s="20" t="s">
        <v>71</v>
      </c>
      <c r="D56" s="85" t="s">
        <v>92</v>
      </c>
      <c r="S56" s="1"/>
      <c r="T56" s="1"/>
    </row>
    <row r="57" spans="1:20" ht="12.75">
      <c r="A57" s="21" t="s">
        <v>72</v>
      </c>
      <c r="B57" s="21" t="s">
        <v>73</v>
      </c>
      <c r="C57" s="222" t="s">
        <v>74</v>
      </c>
      <c r="D57" s="222"/>
      <c r="S57" s="1"/>
      <c r="T57" s="1"/>
    </row>
    <row r="58" spans="1:20" ht="12.75">
      <c r="A58" s="133">
        <v>386464.67</v>
      </c>
      <c r="B58" s="133">
        <v>245235.91</v>
      </c>
      <c r="C58" s="220">
        <f>A58-B58</f>
        <v>141228.75999999998</v>
      </c>
      <c r="D58" s="221"/>
      <c r="S58" s="1"/>
      <c r="T58" s="1"/>
    </row>
    <row r="59" spans="1:20" ht="12.75">
      <c r="A59" s="46"/>
      <c r="S59" s="1"/>
      <c r="T59" s="1"/>
    </row>
    <row r="60" spans="1:20" ht="12.75">
      <c r="A60" s="2" t="s">
        <v>77</v>
      </c>
      <c r="G60" s="2" t="s">
        <v>78</v>
      </c>
      <c r="S60" s="1"/>
      <c r="T60" s="1"/>
    </row>
    <row r="61" ht="12.75">
      <c r="A61" s="1"/>
    </row>
    <row r="62" ht="12.75">
      <c r="A62" s="1"/>
    </row>
    <row r="63" ht="12.75">
      <c r="A63" s="2" t="s">
        <v>88</v>
      </c>
    </row>
    <row r="64" ht="12.75">
      <c r="A64" s="2" t="s">
        <v>79</v>
      </c>
    </row>
  </sheetData>
  <sheetProtection/>
  <mergeCells count="29">
    <mergeCell ref="C58:D58"/>
    <mergeCell ref="O11:O12"/>
    <mergeCell ref="A33:Q33"/>
    <mergeCell ref="C57:D57"/>
    <mergeCell ref="I9:I12"/>
    <mergeCell ref="P9:P12"/>
    <mergeCell ref="J9:O10"/>
    <mergeCell ref="Q9:Q12"/>
    <mergeCell ref="A9:A12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9:C12"/>
    <mergeCell ref="D9:D12"/>
    <mergeCell ref="B1:H1"/>
    <mergeCell ref="B2:H2"/>
    <mergeCell ref="A8:D8"/>
    <mergeCell ref="E8:F8"/>
    <mergeCell ref="A5:Q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2011-04-12T03:26:04Z</dcterms:modified>
  <cp:category/>
  <cp:version/>
  <cp:contentType/>
  <cp:contentStatus/>
</cp:coreProperties>
</file>