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<sst xmlns="http://schemas.openxmlformats.org/spreadsheetml/2006/main" count="178" uniqueCount="94">
  <si>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</si>
  <si>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</si>
  <si>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</si>
  <si>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</si>
  <si>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</si>
  <si>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</si>
  <si>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</si>
  <si>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</si>
  <si>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</si>
  <si>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</si>
  <si>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</si>
  <si>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</si>
  <si>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</si>
  <si>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</si>
  <si>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</si>
  <si>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</si>
  <si>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</si>
  <si>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</si>
  <si>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</si>
  <si>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</si>
  <si>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</si>
  <si>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</si>
  <si>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</si>
  <si>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</si>
  <si>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</si>
  <si>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</si>
  <si>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</si>
  <si>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</si>
  <si>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</si>
  <si>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</si>
  <si>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</si>
  <si>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</si>
  <si>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</si>
  <si>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</si>
  <si>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</si>
  <si>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</si>
  <si>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</si>
  <si>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</si>
  <si>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</si>
  <si>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</si>
  <si>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</si>
  <si>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</si>
  <si>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</si>
  <si>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</si>
  <si>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</si>
  <si>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</si>
  <si>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</si>
  <si>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</si>
  <si>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</si>
  <si>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</si>
  <si>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</si>
  <si>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</si>
  <si>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</si>
  <si>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</si>
  <si>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</si>
  <si>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</si>
  <si>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</si>
  <si>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</si>
  <si>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</si>
  <si>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</si>
  <si>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</si>
  <si>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</si>
  <si>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</si>
  <si>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</si>
  <si>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</si>
  <si>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</si>
  <si>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</si>
  <si>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</si>
  <si>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</si>
  <si>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</si>
  <si>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</si>
  <si>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</si>
  <si>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</si>
  <si>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</si>
  <si>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</si>
  <si>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</si>
  <si>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</si>
  <si>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</si>
  <si>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</si>
  <si>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</si>
  <si>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</si>
  <si>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</si>
  <si>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</si>
  <si>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</si>
  <si>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</si>
  <si>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</si>
  <si>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</si>
  <si>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</si>
  <si>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</si>
  <si>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Поспелова, д.22</t>
  </si>
  <si>
    <t>Выписка по лицевому счету по адресу г. Таштагол ул. Поспелова, д. 22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</si>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</sst>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38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43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3" xfId="0" applyNumberFormat="1" applyFont="1" applyFill="1" applyBorder="1" applyAlignment="1">
      <alignment horizontal="center" vertical="center" wrapText="1"/>
    </xf>
    <xf numFmtId="2" fontId="7" fillId="34" borderId="44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 textRotation="90" wrapText="1"/>
    </xf>
    <xf numFmtId="0" fontId="1" fillId="0" borderId="48" xfId="0" applyFont="1" applyFill="1" applyBorder="1" applyAlignment="1">
      <alignment horizontal="center" textRotation="90" wrapText="1"/>
    </xf>
    <xf numFmtId="0" fontId="1" fillId="0" borderId="49" xfId="0" applyFont="1" applyFill="1" applyBorder="1" applyAlignment="1">
      <alignment horizontal="center" textRotation="90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6">
          <cell r="I6">
            <v>831.62506</v>
          </cell>
        </row>
        <row r="74">
          <cell r="I74">
            <v>491.10004</v>
          </cell>
        </row>
      </sheetData>
      <sheetData sheetId="1">
        <row r="6">
          <cell r="I6">
            <v>831.62506</v>
          </cell>
          <cell r="O6">
            <v>396.38034000000005</v>
          </cell>
        </row>
        <row r="74">
          <cell r="I74">
            <v>491.10004</v>
          </cell>
          <cell r="O74">
            <v>197.92835999999997</v>
          </cell>
        </row>
      </sheetData>
      <sheetData sheetId="2">
        <row r="6">
          <cell r="I6">
            <v>831.62506</v>
          </cell>
          <cell r="O6">
            <v>396.38034000000005</v>
          </cell>
        </row>
        <row r="75">
          <cell r="I75">
            <v>491.10004</v>
          </cell>
          <cell r="O75">
            <v>197.92835999999997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6">
          <cell r="I6">
            <v>831.62506</v>
          </cell>
        </row>
      </sheetData>
      <sheetData sheetId="1">
        <row r="6">
          <cell r="I6">
            <v>831.62506</v>
          </cell>
        </row>
      </sheetData>
      <sheetData sheetId="6">
        <row r="6">
          <cell r="I6">
            <v>831.62506</v>
          </cell>
        </row>
        <row r="69">
          <cell r="I69">
            <v>491.10004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6">
          <cell r="O6">
            <v>353.55369494000007</v>
          </cell>
        </row>
      </sheetData>
      <sheetData sheetId="1">
        <row r="6">
          <cell r="O6">
            <v>354.0969846400001</v>
          </cell>
        </row>
      </sheetData>
      <sheetData sheetId="2">
        <row r="6">
          <cell r="O6">
            <v>346.66997437000003</v>
          </cell>
        </row>
      </sheetData>
      <sheetData sheetId="3">
        <row r="6">
          <cell r="I6">
            <v>831.62506</v>
          </cell>
          <cell r="O6">
            <v>356.5605957200001</v>
          </cell>
        </row>
      </sheetData>
      <sheetData sheetId="4">
        <row r="6">
          <cell r="O6">
            <v>397.994541178</v>
          </cell>
        </row>
      </sheetData>
      <sheetData sheetId="5">
        <row r="6">
          <cell r="I6">
            <v>831.62506</v>
          </cell>
          <cell r="O6">
            <v>376.81169318</v>
          </cell>
        </row>
      </sheetData>
      <sheetData sheetId="6">
        <row r="6">
          <cell r="O6">
            <v>392.99220482000004</v>
          </cell>
        </row>
        <row r="69">
          <cell r="O69">
            <v>196.23653028</v>
          </cell>
        </row>
      </sheetData>
      <sheetData sheetId="7">
        <row r="6">
          <cell r="O6">
            <v>392.81364214600006</v>
          </cell>
        </row>
        <row r="70">
          <cell r="O70">
            <v>196.14736688399998</v>
          </cell>
        </row>
      </sheetData>
      <sheetData sheetId="8">
        <row r="6">
          <cell r="O6">
            <v>392.75423142340003</v>
          </cell>
        </row>
        <row r="70">
          <cell r="O70">
            <v>196.11770076359997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6">
          <cell r="O6">
            <v>395.84652200000005</v>
          </cell>
        </row>
        <row r="74">
          <cell r="O74">
            <v>197.63818799999999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6">
          <cell r="I6">
            <v>831.62506</v>
          </cell>
        </row>
        <row r="72">
          <cell r="I72">
            <v>491.10004</v>
          </cell>
        </row>
      </sheetData>
      <sheetData sheetId="2">
        <row r="6">
          <cell r="M6">
            <v>395.911</v>
          </cell>
        </row>
        <row r="73">
          <cell r="M73">
            <v>197.694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6">
          <cell r="I6">
            <v>831.62506</v>
          </cell>
        </row>
        <row r="73">
          <cell r="I73">
            <v>491.10004</v>
          </cell>
        </row>
        <row r="126">
          <cell r="I126">
            <v>845.9065999999999</v>
          </cell>
        </row>
      </sheetData>
      <sheetData sheetId="4">
        <row r="6">
          <cell r="I6">
            <v>831.62506</v>
          </cell>
          <cell r="M6">
            <v>395.911</v>
          </cell>
        </row>
        <row r="73">
          <cell r="I73">
            <v>491.10004</v>
          </cell>
          <cell r="M73">
            <v>197.694</v>
          </cell>
        </row>
        <row r="127">
          <cell r="I127">
            <v>422.95329999999996</v>
          </cell>
          <cell r="M127">
            <v>201.35500000000002</v>
          </cell>
        </row>
      </sheetData>
      <sheetData sheetId="5">
        <row r="6">
          <cell r="M6">
            <v>395.911</v>
          </cell>
        </row>
        <row r="71">
          <cell r="M71">
            <v>197.694</v>
          </cell>
        </row>
        <row r="124">
          <cell r="M124">
            <v>201.35500000000002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3">
        <row r="6">
          <cell r="M6">
            <v>395.911</v>
          </cell>
        </row>
        <row r="73">
          <cell r="M73">
            <v>197.694</v>
          </cell>
        </row>
        <row r="127">
          <cell r="M127">
            <v>201.35500000000002</v>
          </cell>
        </row>
      </sheetData>
      <sheetData sheetId="6">
        <row r="6">
          <cell r="I6">
            <v>831.62506</v>
          </cell>
          <cell r="M6">
            <v>395.911</v>
          </cell>
        </row>
        <row r="70">
          <cell r="I70">
            <v>491.10004</v>
          </cell>
          <cell r="M70">
            <v>197.694</v>
          </cell>
        </row>
        <row r="123">
          <cell r="I123">
            <v>422.96329999999995</v>
          </cell>
          <cell r="M123">
            <v>201.35500000000002</v>
          </cell>
        </row>
      </sheetData>
      <sheetData sheetId="7">
        <row r="6">
          <cell r="I6">
            <v>831.62506</v>
          </cell>
        </row>
        <row r="70">
          <cell r="I70">
            <v>491.10004</v>
          </cell>
        </row>
        <row r="123">
          <cell r="I123">
            <v>422.96329999999995</v>
          </cell>
        </row>
      </sheetData>
      <sheetData sheetId="8">
        <row r="6">
          <cell r="I6">
            <v>831.62506</v>
          </cell>
        </row>
        <row r="70">
          <cell r="I70">
            <v>491.10004</v>
          </cell>
        </row>
        <row r="124">
          <cell r="I124">
            <v>422.96329999999995</v>
          </cell>
        </row>
      </sheetData>
      <sheetData sheetId="9">
        <row r="6">
          <cell r="I6">
            <v>831.62506</v>
          </cell>
          <cell r="M6">
            <v>395.911</v>
          </cell>
        </row>
        <row r="70">
          <cell r="I70">
            <v>491.10004</v>
          </cell>
          <cell r="M70">
            <v>197.694</v>
          </cell>
        </row>
        <row r="124">
          <cell r="I124">
            <v>422.96329999999995</v>
          </cell>
          <cell r="M124">
            <v>201.35500000000002</v>
          </cell>
        </row>
      </sheetData>
      <sheetData sheetId="10">
        <row r="6">
          <cell r="I6">
            <v>831.62506</v>
          </cell>
          <cell r="M6">
            <v>395.911</v>
          </cell>
        </row>
        <row r="70">
          <cell r="I70">
            <v>491.10004</v>
          </cell>
          <cell r="M70">
            <v>197.694</v>
          </cell>
        </row>
        <row r="123">
          <cell r="I123">
            <v>422.96329999999995</v>
          </cell>
          <cell r="M123">
            <v>201.35500000000002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D45" sqref="BD45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625" style="2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9.875" style="2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4" width="9.25390625" style="2" bestFit="1" customWidth="1"/>
    <col min="35" max="35" width="9.875" style="2" customWidth="1"/>
    <col min="36" max="36" width="9.25390625" style="2" bestFit="1" customWidth="1"/>
    <col min="37" max="37" width="10.00390625" style="2" customWidth="1"/>
    <col min="38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37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85" t="s">
        <v>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86" t="s">
        <v>0</v>
      </c>
      <c r="B3" s="189" t="s">
        <v>1</v>
      </c>
      <c r="C3" s="189" t="s">
        <v>2</v>
      </c>
      <c r="D3" s="189" t="s">
        <v>3</v>
      </c>
      <c r="E3" s="192" t="s">
        <v>4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71" t="s">
        <v>5</v>
      </c>
      <c r="T3" s="171"/>
      <c r="U3" s="172" t="s">
        <v>6</v>
      </c>
      <c r="V3" s="172"/>
      <c r="W3" s="172"/>
      <c r="X3" s="172"/>
      <c r="Y3" s="172"/>
      <c r="Z3" s="172"/>
      <c r="AA3" s="172"/>
      <c r="AB3" s="172"/>
      <c r="AC3" s="152" t="s">
        <v>87</v>
      </c>
      <c r="AD3" s="152" t="s">
        <v>8</v>
      </c>
      <c r="AE3" s="174" t="s">
        <v>9</v>
      </c>
      <c r="AF3" s="163" t="s">
        <v>75</v>
      </c>
      <c r="AG3" s="166" t="s">
        <v>10</v>
      </c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82" t="s">
        <v>76</v>
      </c>
      <c r="BD3" s="168" t="s">
        <v>11</v>
      </c>
      <c r="BE3" s="177" t="s">
        <v>12</v>
      </c>
    </row>
    <row r="4" spans="1:57" ht="36" customHeight="1" thickBot="1">
      <c r="A4" s="187"/>
      <c r="B4" s="190"/>
      <c r="C4" s="190"/>
      <c r="D4" s="190"/>
      <c r="E4" s="167" t="s">
        <v>13</v>
      </c>
      <c r="F4" s="167"/>
      <c r="G4" s="167" t="s">
        <v>14</v>
      </c>
      <c r="H4" s="167"/>
      <c r="I4" s="167" t="s">
        <v>15</v>
      </c>
      <c r="J4" s="167"/>
      <c r="K4" s="167" t="s">
        <v>16</v>
      </c>
      <c r="L4" s="167"/>
      <c r="M4" s="167" t="s">
        <v>17</v>
      </c>
      <c r="N4" s="167"/>
      <c r="O4" s="167" t="s">
        <v>18</v>
      </c>
      <c r="P4" s="167"/>
      <c r="Q4" s="167" t="s">
        <v>19</v>
      </c>
      <c r="R4" s="167"/>
      <c r="S4" s="167"/>
      <c r="T4" s="167"/>
      <c r="U4" s="173"/>
      <c r="V4" s="173"/>
      <c r="W4" s="173"/>
      <c r="X4" s="173"/>
      <c r="Y4" s="173"/>
      <c r="Z4" s="173"/>
      <c r="AA4" s="173"/>
      <c r="AB4" s="173"/>
      <c r="AC4" s="153"/>
      <c r="AD4" s="153"/>
      <c r="AE4" s="175"/>
      <c r="AF4" s="164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83"/>
      <c r="BD4" s="169"/>
      <c r="BE4" s="178"/>
    </row>
    <row r="5" spans="1:57" ht="29.25" customHeight="1" thickBot="1">
      <c r="A5" s="187"/>
      <c r="B5" s="190"/>
      <c r="C5" s="190"/>
      <c r="D5" s="190"/>
      <c r="E5" s="145" t="s">
        <v>20</v>
      </c>
      <c r="F5" s="145" t="s">
        <v>21</v>
      </c>
      <c r="G5" s="145" t="s">
        <v>20</v>
      </c>
      <c r="H5" s="145" t="s">
        <v>21</v>
      </c>
      <c r="I5" s="145" t="s">
        <v>20</v>
      </c>
      <c r="J5" s="145" t="s">
        <v>21</v>
      </c>
      <c r="K5" s="145" t="s">
        <v>20</v>
      </c>
      <c r="L5" s="145" t="s">
        <v>21</v>
      </c>
      <c r="M5" s="145" t="s">
        <v>20</v>
      </c>
      <c r="N5" s="145" t="s">
        <v>21</v>
      </c>
      <c r="O5" s="145" t="s">
        <v>20</v>
      </c>
      <c r="P5" s="145" t="s">
        <v>21</v>
      </c>
      <c r="Q5" s="145" t="s">
        <v>20</v>
      </c>
      <c r="R5" s="145" t="s">
        <v>21</v>
      </c>
      <c r="S5" s="145" t="s">
        <v>20</v>
      </c>
      <c r="T5" s="145" t="s">
        <v>21</v>
      </c>
      <c r="U5" s="147" t="s">
        <v>22</v>
      </c>
      <c r="V5" s="147" t="s">
        <v>23</v>
      </c>
      <c r="W5" s="147" t="s">
        <v>24</v>
      </c>
      <c r="X5" s="147" t="s">
        <v>25</v>
      </c>
      <c r="Y5" s="147" t="s">
        <v>26</v>
      </c>
      <c r="Z5" s="147" t="s">
        <v>27</v>
      </c>
      <c r="AA5" s="147" t="s">
        <v>28</v>
      </c>
      <c r="AB5" s="147" t="s">
        <v>29</v>
      </c>
      <c r="AC5" s="153"/>
      <c r="AD5" s="153"/>
      <c r="AE5" s="175"/>
      <c r="AF5" s="164"/>
      <c r="AG5" s="155" t="s">
        <v>30</v>
      </c>
      <c r="AH5" s="155" t="s">
        <v>31</v>
      </c>
      <c r="AI5" s="155" t="s">
        <v>32</v>
      </c>
      <c r="AJ5" s="155" t="s">
        <v>33</v>
      </c>
      <c r="AK5" s="155" t="s">
        <v>34</v>
      </c>
      <c r="AL5" s="155" t="s">
        <v>33</v>
      </c>
      <c r="AM5" s="155" t="s">
        <v>35</v>
      </c>
      <c r="AN5" s="155" t="s">
        <v>33</v>
      </c>
      <c r="AO5" s="155" t="s">
        <v>36</v>
      </c>
      <c r="AP5" s="155" t="s">
        <v>33</v>
      </c>
      <c r="AQ5" s="157" t="s">
        <v>80</v>
      </c>
      <c r="AR5" s="159" t="s">
        <v>33</v>
      </c>
      <c r="AS5" s="180" t="s">
        <v>81</v>
      </c>
      <c r="AT5" s="161" t="s">
        <v>82</v>
      </c>
      <c r="AU5" s="161" t="s">
        <v>33</v>
      </c>
      <c r="AV5" s="149" t="s">
        <v>83</v>
      </c>
      <c r="AW5" s="150"/>
      <c r="AX5" s="151"/>
      <c r="AY5" s="155" t="s">
        <v>19</v>
      </c>
      <c r="AZ5" s="155" t="s">
        <v>38</v>
      </c>
      <c r="BA5" s="155" t="s">
        <v>33</v>
      </c>
      <c r="BB5" s="155" t="s">
        <v>39</v>
      </c>
      <c r="BC5" s="183"/>
      <c r="BD5" s="169"/>
      <c r="BE5" s="178"/>
    </row>
    <row r="6" spans="1:57" ht="54" customHeight="1" thickBot="1">
      <c r="A6" s="188"/>
      <c r="B6" s="191"/>
      <c r="C6" s="191"/>
      <c r="D6" s="191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8"/>
      <c r="V6" s="148"/>
      <c r="W6" s="148"/>
      <c r="X6" s="148"/>
      <c r="Y6" s="148"/>
      <c r="Z6" s="148"/>
      <c r="AA6" s="148"/>
      <c r="AB6" s="148"/>
      <c r="AC6" s="154"/>
      <c r="AD6" s="154"/>
      <c r="AE6" s="176"/>
      <c r="AF6" s="165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8"/>
      <c r="AR6" s="160"/>
      <c r="AS6" s="181"/>
      <c r="AT6" s="162"/>
      <c r="AU6" s="162"/>
      <c r="AV6" s="120" t="s">
        <v>84</v>
      </c>
      <c r="AW6" s="120" t="s">
        <v>85</v>
      </c>
      <c r="AX6" s="120" t="s">
        <v>86</v>
      </c>
      <c r="AY6" s="156"/>
      <c r="AZ6" s="156"/>
      <c r="BA6" s="156"/>
      <c r="BB6" s="156"/>
      <c r="BC6" s="184"/>
      <c r="BD6" s="170"/>
      <c r="BE6" s="179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4">
        <v>6596.5</v>
      </c>
      <c r="C9" s="105">
        <f>B9*8.65</f>
        <v>57059.725000000006</v>
      </c>
      <c r="D9" s="106">
        <f>C9*0.24088</f>
        <v>13744.546558000002</v>
      </c>
      <c r="E9" s="107">
        <v>4920.28</v>
      </c>
      <c r="F9" s="107">
        <v>642.41</v>
      </c>
      <c r="G9" s="107">
        <v>6642.6</v>
      </c>
      <c r="H9" s="107">
        <v>867.24</v>
      </c>
      <c r="I9" s="107">
        <v>15991.11</v>
      </c>
      <c r="J9" s="107">
        <v>2087.82</v>
      </c>
      <c r="K9" s="107">
        <v>11070.82</v>
      </c>
      <c r="L9" s="107">
        <v>1445.41</v>
      </c>
      <c r="M9" s="107">
        <v>3936.2</v>
      </c>
      <c r="N9" s="107">
        <v>513.94</v>
      </c>
      <c r="O9" s="107">
        <v>0</v>
      </c>
      <c r="P9" s="107">
        <v>0</v>
      </c>
      <c r="Q9" s="107">
        <v>0</v>
      </c>
      <c r="R9" s="107">
        <v>0</v>
      </c>
      <c r="S9" s="91">
        <f>E9+G9+I9+K9+M9+O9+Q9</f>
        <v>42561.009999999995</v>
      </c>
      <c r="T9" s="108">
        <f>P9+N9+L9+J9+H9+F9+R9</f>
        <v>5556.82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109">
        <v>0</v>
      </c>
      <c r="AA9" s="109">
        <v>0</v>
      </c>
      <c r="AB9" s="109">
        <f>SUM(U9:AA9)</f>
        <v>0</v>
      </c>
      <c r="AC9" s="110">
        <f>D9+T9+AB9</f>
        <v>19301.366558</v>
      </c>
      <c r="AD9" s="111">
        <f>P9+Z9</f>
        <v>0</v>
      </c>
      <c r="AE9" s="102">
        <f>R9+AA9</f>
        <v>0</v>
      </c>
      <c r="AF9" s="102"/>
      <c r="AG9" s="16">
        <f>0.6*B9</f>
        <v>3957.8999999999996</v>
      </c>
      <c r="AH9" s="16">
        <f>B9*0.2*1.05826</f>
        <v>1396.1624180000001</v>
      </c>
      <c r="AI9" s="16">
        <f>0.8518*B9-0.01</f>
        <v>5618.8886999999995</v>
      </c>
      <c r="AJ9" s="16">
        <f>AI9*0.18</f>
        <v>1011.3999659999998</v>
      </c>
      <c r="AK9" s="16">
        <f>1.04*B9*0.9531</f>
        <v>6538.6091160000005</v>
      </c>
      <c r="AL9" s="16">
        <f>AK9*0.18</f>
        <v>1176.94964088</v>
      </c>
      <c r="AM9" s="16">
        <f>(1.91)*B9*0.9531</f>
        <v>12008.407126499998</v>
      </c>
      <c r="AN9" s="16">
        <f>AM9*0.18</f>
        <v>2161.5132827699995</v>
      </c>
      <c r="AO9" s="16"/>
      <c r="AP9" s="16">
        <f>AO9*0.18</f>
        <v>0</v>
      </c>
      <c r="AQ9" s="16"/>
      <c r="AR9" s="16"/>
      <c r="AS9" s="97">
        <v>10868.86</v>
      </c>
      <c r="AT9" s="97"/>
      <c r="AU9" s="48">
        <f>AS9*0.18</f>
        <v>1956.3948</v>
      </c>
      <c r="AV9" s="48"/>
      <c r="AW9" s="48"/>
      <c r="AX9" s="31">
        <v>0</v>
      </c>
      <c r="AY9" s="31">
        <v>0</v>
      </c>
      <c r="AZ9" s="31">
        <v>0</v>
      </c>
      <c r="BA9" s="14">
        <f aca="true" t="shared" si="0" ref="BA9:BA25">AZ9*0.18</f>
        <v>0</v>
      </c>
      <c r="BB9" s="14">
        <f>SUM(AG9:BA9)</f>
        <v>46695.085050149995</v>
      </c>
      <c r="BC9" s="14">
        <v>0</v>
      </c>
      <c r="BD9" s="14">
        <f>AC9-BB9</f>
        <v>-27393.718492149994</v>
      </c>
      <c r="BE9" s="30">
        <f>AB9-S9</f>
        <v>-42561.009999999995</v>
      </c>
    </row>
    <row r="10" spans="1:57" ht="12.75">
      <c r="A10" s="11" t="s">
        <v>42</v>
      </c>
      <c r="B10" s="104">
        <v>6596.5</v>
      </c>
      <c r="C10" s="105">
        <f>B10*8.65</f>
        <v>57059.725000000006</v>
      </c>
      <c r="D10" s="106">
        <f>C10*0.24088</f>
        <v>13744.546558000002</v>
      </c>
      <c r="E10" s="107">
        <v>4670.47</v>
      </c>
      <c r="F10" s="107">
        <v>634.8</v>
      </c>
      <c r="G10" s="107">
        <v>6304.94</v>
      </c>
      <c r="H10" s="107">
        <v>857.07</v>
      </c>
      <c r="I10" s="107">
        <v>15178.78</v>
      </c>
      <c r="J10" s="107">
        <v>2063.16</v>
      </c>
      <c r="K10" s="107">
        <v>10508.43</v>
      </c>
      <c r="L10" s="107">
        <v>1428.31</v>
      </c>
      <c r="M10" s="107">
        <v>3736.38</v>
      </c>
      <c r="N10" s="107">
        <v>507.84</v>
      </c>
      <c r="O10" s="107">
        <v>0</v>
      </c>
      <c r="P10" s="107">
        <v>0</v>
      </c>
      <c r="Q10" s="107">
        <v>0</v>
      </c>
      <c r="R10" s="107">
        <v>0</v>
      </c>
      <c r="S10" s="91">
        <f>E10+G10+I10+K10+M10+O10+Q10</f>
        <v>40399</v>
      </c>
      <c r="T10" s="108">
        <f>P10+N10+L10+J10+H10+F10+R10</f>
        <v>5491.179999999999</v>
      </c>
      <c r="U10" s="91">
        <v>3693.91</v>
      </c>
      <c r="V10" s="91">
        <v>4781.65</v>
      </c>
      <c r="W10" s="91">
        <v>10893.27</v>
      </c>
      <c r="X10" s="91">
        <v>7578.58</v>
      </c>
      <c r="Y10" s="91">
        <v>3072.3</v>
      </c>
      <c r="Z10" s="109">
        <v>0</v>
      </c>
      <c r="AA10" s="109">
        <v>0</v>
      </c>
      <c r="AB10" s="112">
        <f>SUM(U10:AA10)</f>
        <v>30019.710000000003</v>
      </c>
      <c r="AC10" s="113">
        <f>D10+T10+AB10</f>
        <v>49255.436558</v>
      </c>
      <c r="AD10" s="102">
        <f>P10+Z10</f>
        <v>0</v>
      </c>
      <c r="AE10" s="102">
        <f>R10+AA10</f>
        <v>0</v>
      </c>
      <c r="AF10" s="102"/>
      <c r="AG10" s="16">
        <f>0.6*B10</f>
        <v>3957.8999999999996</v>
      </c>
      <c r="AH10" s="16">
        <f>B10*0.201+1</f>
        <v>1326.8965</v>
      </c>
      <c r="AI10" s="16">
        <f>0.8518*B10-0.01</f>
        <v>5618.8886999999995</v>
      </c>
      <c r="AJ10" s="16">
        <f>AI10*0.18</f>
        <v>1011.3999659999998</v>
      </c>
      <c r="AK10" s="16">
        <f>1.04*B10*0.9531</f>
        <v>6538.6091160000005</v>
      </c>
      <c r="AL10" s="16">
        <f>AK10*0.18</f>
        <v>1176.94964088</v>
      </c>
      <c r="AM10" s="16">
        <f>(1.91)*B10*0.9531</f>
        <v>12008.407126499998</v>
      </c>
      <c r="AN10" s="16">
        <f>AM10*0.18</f>
        <v>2161.5132827699995</v>
      </c>
      <c r="AO10" s="16"/>
      <c r="AP10" s="16">
        <f>AO10*0.18</f>
        <v>0</v>
      </c>
      <c r="AQ10" s="16"/>
      <c r="AR10" s="16"/>
      <c r="AS10" s="97">
        <v>28186</v>
      </c>
      <c r="AT10" s="97"/>
      <c r="AU10" s="48">
        <f>AS10*0.18</f>
        <v>5073.48</v>
      </c>
      <c r="AV10" s="48"/>
      <c r="AW10" s="48"/>
      <c r="AX10" s="31">
        <v>0</v>
      </c>
      <c r="AY10" s="31">
        <v>0</v>
      </c>
      <c r="AZ10" s="31">
        <v>0</v>
      </c>
      <c r="BA10" s="14">
        <f t="shared" si="0"/>
        <v>0</v>
      </c>
      <c r="BB10" s="14">
        <f>SUM(AG10:BA10)</f>
        <v>67060.04433214999</v>
      </c>
      <c r="BC10" s="14">
        <v>0</v>
      </c>
      <c r="BD10" s="14">
        <f>AC10-BB10</f>
        <v>-17804.60777414999</v>
      </c>
      <c r="BE10" s="30">
        <f>AB10-S10</f>
        <v>-10379.289999999997</v>
      </c>
    </row>
    <row r="11" spans="1:57" ht="12.75">
      <c r="A11" s="11" t="s">
        <v>43</v>
      </c>
      <c r="B11" s="104">
        <v>6596.5</v>
      </c>
      <c r="C11" s="105">
        <f>B11*8.65</f>
        <v>57059.725000000006</v>
      </c>
      <c r="D11" s="106">
        <f>C11*0.24035</f>
        <v>13714.304903750002</v>
      </c>
      <c r="E11" s="107">
        <v>4930.5</v>
      </c>
      <c r="F11" s="107">
        <v>647.69</v>
      </c>
      <c r="G11" s="107">
        <v>6473.04</v>
      </c>
      <c r="H11" s="107">
        <v>874.43</v>
      </c>
      <c r="I11" s="107">
        <v>14882.66</v>
      </c>
      <c r="J11" s="107">
        <v>2105.04</v>
      </c>
      <c r="K11" s="107">
        <v>10360.94</v>
      </c>
      <c r="L11" s="107">
        <v>1457.32</v>
      </c>
      <c r="M11" s="107">
        <v>4061.04</v>
      </c>
      <c r="N11" s="107">
        <v>518.16</v>
      </c>
      <c r="O11" s="107">
        <v>0</v>
      </c>
      <c r="P11" s="114">
        <v>0</v>
      </c>
      <c r="Q11" s="107">
        <v>0</v>
      </c>
      <c r="R11" s="114">
        <v>0</v>
      </c>
      <c r="S11" s="91">
        <f>E11+G11+I11+K11+M11+O11+Q11</f>
        <v>40708.18</v>
      </c>
      <c r="T11" s="108">
        <f>P11+N11+L11+J11+H11+F11+R11</f>
        <v>5602.639999999999</v>
      </c>
      <c r="U11" s="91">
        <v>5093.26</v>
      </c>
      <c r="V11" s="91">
        <v>6875.83</v>
      </c>
      <c r="W11" s="91">
        <v>16523.61</v>
      </c>
      <c r="X11" s="91">
        <v>11459.86</v>
      </c>
      <c r="Y11" s="91">
        <v>4074.04</v>
      </c>
      <c r="Z11" s="109">
        <v>0</v>
      </c>
      <c r="AA11" s="109">
        <v>0</v>
      </c>
      <c r="AB11" s="112">
        <f>SUM(U11:AA11)</f>
        <v>44026.6</v>
      </c>
      <c r="AC11" s="113">
        <f>D11+T11+AB11</f>
        <v>63343.54490375</v>
      </c>
      <c r="AD11" s="102">
        <f>P11+Z11</f>
        <v>0</v>
      </c>
      <c r="AE11" s="102">
        <f>R11+AA11</f>
        <v>0</v>
      </c>
      <c r="AF11" s="102"/>
      <c r="AG11" s="16">
        <f>0.6*B11</f>
        <v>3957.8999999999996</v>
      </c>
      <c r="AH11" s="16">
        <f>B11*0.2*1.02524-0.01</f>
        <v>1352.589132</v>
      </c>
      <c r="AI11" s="16">
        <f>0.84932*B11</f>
        <v>5602.53938</v>
      </c>
      <c r="AJ11" s="16">
        <f>AI11*0.18</f>
        <v>1008.4570884</v>
      </c>
      <c r="AK11" s="16">
        <f>1.04*B11*0.95033</f>
        <v>6519.605918800001</v>
      </c>
      <c r="AL11" s="16">
        <f>AK11*0.18</f>
        <v>1173.5290653840002</v>
      </c>
      <c r="AM11" s="16">
        <f>(1.91)*B11*0.95033-0.1</f>
        <v>11973.407023949998</v>
      </c>
      <c r="AN11" s="16">
        <f>AM11*0.18</f>
        <v>2155.2132643109994</v>
      </c>
      <c r="AO11" s="16"/>
      <c r="AP11" s="16">
        <f>AO11*0.18</f>
        <v>0</v>
      </c>
      <c r="AQ11" s="16"/>
      <c r="AR11" s="16"/>
      <c r="AS11" s="97">
        <v>30197</v>
      </c>
      <c r="AT11" s="97"/>
      <c r="AU11" s="48">
        <f>AS11*0.18</f>
        <v>5435.46</v>
      </c>
      <c r="AV11" s="48"/>
      <c r="AW11" s="48"/>
      <c r="AX11" s="31">
        <v>0</v>
      </c>
      <c r="AY11" s="31">
        <v>0</v>
      </c>
      <c r="AZ11" s="31">
        <v>0</v>
      </c>
      <c r="BA11" s="14">
        <f t="shared" si="0"/>
        <v>0</v>
      </c>
      <c r="BB11" s="14">
        <f>SUM(AG11:BA11)</f>
        <v>69375.700872845</v>
      </c>
      <c r="BC11" s="14">
        <v>0</v>
      </c>
      <c r="BD11" s="14">
        <f>AC11-BB11</f>
        <v>-6032.155969095002</v>
      </c>
      <c r="BE11" s="30">
        <f>AB11-S11</f>
        <v>3318.4199999999983</v>
      </c>
    </row>
    <row r="12" spans="1:57" s="20" customFormat="1" ht="15" customHeight="1">
      <c r="A12" s="17" t="s">
        <v>5</v>
      </c>
      <c r="B12" s="60"/>
      <c r="C12" s="60">
        <f aca="true" t="shared" si="1" ref="C12:BE12">SUM(C9:C11)</f>
        <v>171179.17500000002</v>
      </c>
      <c r="D12" s="60">
        <f t="shared" si="1"/>
        <v>41203.398019750006</v>
      </c>
      <c r="E12" s="57">
        <f>SUM(E9:E11)</f>
        <v>14521.25</v>
      </c>
      <c r="F12" s="57">
        <f t="shared" si="1"/>
        <v>1924.9</v>
      </c>
      <c r="G12" s="57">
        <f t="shared" si="1"/>
        <v>19420.58</v>
      </c>
      <c r="H12" s="57">
        <f t="shared" si="1"/>
        <v>2598.74</v>
      </c>
      <c r="I12" s="57">
        <f t="shared" si="1"/>
        <v>46052.55</v>
      </c>
      <c r="J12" s="57">
        <f t="shared" si="1"/>
        <v>6256.0199999999995</v>
      </c>
      <c r="K12" s="57">
        <f t="shared" si="1"/>
        <v>31940.190000000002</v>
      </c>
      <c r="L12" s="57">
        <f t="shared" si="1"/>
        <v>4331.04</v>
      </c>
      <c r="M12" s="57">
        <f t="shared" si="1"/>
        <v>11733.619999999999</v>
      </c>
      <c r="N12" s="57">
        <f t="shared" si="1"/>
        <v>1539.94</v>
      </c>
      <c r="O12" s="57">
        <f t="shared" si="1"/>
        <v>0</v>
      </c>
      <c r="P12" s="57">
        <f t="shared" si="1"/>
        <v>0</v>
      </c>
      <c r="Q12" s="57">
        <f t="shared" si="1"/>
        <v>0</v>
      </c>
      <c r="R12" s="57">
        <f t="shared" si="1"/>
        <v>0</v>
      </c>
      <c r="S12" s="57">
        <f t="shared" si="1"/>
        <v>123668.19</v>
      </c>
      <c r="T12" s="57">
        <f t="shared" si="1"/>
        <v>16650.64</v>
      </c>
      <c r="U12" s="61">
        <f t="shared" si="1"/>
        <v>8787.17</v>
      </c>
      <c r="V12" s="61">
        <f t="shared" si="1"/>
        <v>11657.48</v>
      </c>
      <c r="W12" s="61">
        <f t="shared" si="1"/>
        <v>27416.88</v>
      </c>
      <c r="X12" s="61">
        <f t="shared" si="1"/>
        <v>19038.440000000002</v>
      </c>
      <c r="Y12" s="61">
        <f t="shared" si="1"/>
        <v>7146.34</v>
      </c>
      <c r="Z12" s="61">
        <f t="shared" si="1"/>
        <v>0</v>
      </c>
      <c r="AA12" s="61">
        <f t="shared" si="1"/>
        <v>0</v>
      </c>
      <c r="AB12" s="61">
        <f t="shared" si="1"/>
        <v>74046.31</v>
      </c>
      <c r="AC12" s="61">
        <f t="shared" si="1"/>
        <v>131900.34801975</v>
      </c>
      <c r="AD12" s="61">
        <f>SUM(AD9:AD11)</f>
        <v>0</v>
      </c>
      <c r="AE12" s="100">
        <f t="shared" si="1"/>
        <v>0</v>
      </c>
      <c r="AF12" s="100">
        <f t="shared" si="1"/>
        <v>0</v>
      </c>
      <c r="AG12" s="18">
        <f t="shared" si="1"/>
        <v>11873.699999999999</v>
      </c>
      <c r="AH12" s="18">
        <f t="shared" si="1"/>
        <v>4075.6480500000002</v>
      </c>
      <c r="AI12" s="18">
        <f t="shared" si="1"/>
        <v>16840.31678</v>
      </c>
      <c r="AJ12" s="18">
        <f t="shared" si="1"/>
        <v>3031.2570203999994</v>
      </c>
      <c r="AK12" s="18">
        <f t="shared" si="1"/>
        <v>19596.824150800003</v>
      </c>
      <c r="AL12" s="18">
        <f t="shared" si="1"/>
        <v>3527.4283471440003</v>
      </c>
      <c r="AM12" s="18">
        <f>SUM(AM9:AM11)</f>
        <v>35990.22127695</v>
      </c>
      <c r="AN12" s="18">
        <f>SUM(AN9:AN11)</f>
        <v>6478.239829850998</v>
      </c>
      <c r="AO12" s="18">
        <f t="shared" si="1"/>
        <v>0</v>
      </c>
      <c r="AP12" s="18">
        <f t="shared" si="1"/>
        <v>0</v>
      </c>
      <c r="AQ12" s="18">
        <f>SUM(AQ9:AQ11)</f>
        <v>0</v>
      </c>
      <c r="AR12" s="18">
        <f>SUM(AR9:AR11)</f>
        <v>0</v>
      </c>
      <c r="AS12" s="18">
        <f>SUM(AS9:AS11)</f>
        <v>69251.86</v>
      </c>
      <c r="AT12" s="18">
        <f>SUM(AT9:AT11)</f>
        <v>0</v>
      </c>
      <c r="AU12" s="18">
        <f>SUM(AU9:AU11)</f>
        <v>12465.3348</v>
      </c>
      <c r="AV12" s="18"/>
      <c r="AW12" s="18"/>
      <c r="AX12" s="18">
        <f t="shared" si="1"/>
        <v>0</v>
      </c>
      <c r="AY12" s="18">
        <f t="shared" si="1"/>
        <v>0</v>
      </c>
      <c r="AZ12" s="18">
        <f t="shared" si="1"/>
        <v>0</v>
      </c>
      <c r="BA12" s="18">
        <f t="shared" si="1"/>
        <v>0</v>
      </c>
      <c r="BB12" s="18">
        <f t="shared" si="1"/>
        <v>183130.83025514497</v>
      </c>
      <c r="BC12" s="18">
        <f t="shared" si="1"/>
        <v>0</v>
      </c>
      <c r="BD12" s="18">
        <f t="shared" si="1"/>
        <v>-51230.482235394986</v>
      </c>
      <c r="BE12" s="19">
        <f t="shared" si="1"/>
        <v>-49621.87999999999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8"/>
      <c r="AD13" s="98"/>
      <c r="AE13" s="99"/>
      <c r="AF13" s="99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5"/>
      <c r="AT13" s="95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5">
        <v>6598.4</v>
      </c>
      <c r="C14" s="105">
        <f aca="true" t="shared" si="2" ref="C14:C25">B14*8.65</f>
        <v>57076.159999999996</v>
      </c>
      <c r="D14" s="106">
        <f>C14*0.125</f>
        <v>7134.5199999999995</v>
      </c>
      <c r="E14" s="107">
        <v>4713.42</v>
      </c>
      <c r="F14" s="107">
        <v>656.53</v>
      </c>
      <c r="G14" s="107">
        <v>6363.1</v>
      </c>
      <c r="H14" s="107">
        <v>886.37</v>
      </c>
      <c r="I14" s="107">
        <v>15318.44</v>
      </c>
      <c r="J14" s="107">
        <v>2133.79</v>
      </c>
      <c r="K14" s="107">
        <v>10605.14</v>
      </c>
      <c r="L14" s="107">
        <v>1477.23</v>
      </c>
      <c r="M14" s="107">
        <v>3770.69</v>
      </c>
      <c r="N14" s="107">
        <v>525.23</v>
      </c>
      <c r="O14" s="107">
        <v>0</v>
      </c>
      <c r="P14" s="114">
        <v>0</v>
      </c>
      <c r="Q14" s="107">
        <v>0</v>
      </c>
      <c r="R14" s="114">
        <v>0</v>
      </c>
      <c r="S14" s="91">
        <f aca="true" t="shared" si="3" ref="S14:S25">E14+G14+I14+K14+M14+O14+Q14</f>
        <v>40770.79</v>
      </c>
      <c r="T14" s="108">
        <f aca="true" t="shared" si="4" ref="T14:T25">P14+N14+L14+J14+H14+F14+R14</f>
        <v>5679.15</v>
      </c>
      <c r="U14" s="91">
        <v>2796.32</v>
      </c>
      <c r="V14" s="91">
        <v>3776.26</v>
      </c>
      <c r="W14" s="91">
        <v>9087.99</v>
      </c>
      <c r="X14" s="91">
        <v>6291.76</v>
      </c>
      <c r="Y14" s="91">
        <v>2237.1</v>
      </c>
      <c r="Z14" s="109">
        <v>0</v>
      </c>
      <c r="AA14" s="109">
        <v>0</v>
      </c>
      <c r="AB14" s="116">
        <f aca="true" t="shared" si="5" ref="AB14:AB22">SUM(U14:AA14)</f>
        <v>24189.43</v>
      </c>
      <c r="AC14" s="113">
        <f aca="true" t="shared" si="6" ref="AC14:AC22">D14+T14+AB14</f>
        <v>37003.1</v>
      </c>
      <c r="AD14" s="102">
        <f aca="true" t="shared" si="7" ref="AD14:AD25">P14+Z14</f>
        <v>0</v>
      </c>
      <c r="AE14" s="102">
        <f aca="true" t="shared" si="8" ref="AE14:AE25">R14+AA14</f>
        <v>0</v>
      </c>
      <c r="AF14" s="102">
        <f>'[2]Т01-09'!$I$6</f>
        <v>831.62506</v>
      </c>
      <c r="AG14" s="16">
        <f>0.6*B14*0.9</f>
        <v>3563.1359999999995</v>
      </c>
      <c r="AH14" s="16">
        <f>B14*0.2*0.891</f>
        <v>1175.83488</v>
      </c>
      <c r="AI14" s="16">
        <f>0.85*B14*0.867-0.02</f>
        <v>4862.670879999999</v>
      </c>
      <c r="AJ14" s="16">
        <f aca="true" t="shared" si="9" ref="AJ14:AJ25">AI14*0.18</f>
        <v>875.2807583999997</v>
      </c>
      <c r="AK14" s="16">
        <f>0.83*B14*0.8686</f>
        <v>4757.0372992</v>
      </c>
      <c r="AL14" s="16">
        <f aca="true" t="shared" si="10" ref="AL14:AL25">AK14*0.18</f>
        <v>856.266713856</v>
      </c>
      <c r="AM14" s="16">
        <f>1.91*B14*0.8686</f>
        <v>10946.9171584</v>
      </c>
      <c r="AN14" s="16">
        <f aca="true" t="shared" si="11" ref="AN14:AN25">AM14*0.18</f>
        <v>1970.4450885119998</v>
      </c>
      <c r="AO14" s="16"/>
      <c r="AP14" s="16">
        <f aca="true" t="shared" si="12" ref="AP14:AR25">AO14*0.18</f>
        <v>0</v>
      </c>
      <c r="AQ14" s="117"/>
      <c r="AR14" s="117">
        <f>AQ14*0.18</f>
        <v>0</v>
      </c>
      <c r="AS14" s="97">
        <v>5643</v>
      </c>
      <c r="AT14" s="97"/>
      <c r="AU14" s="97">
        <f>(AS14+AT14)*0.18+0.01</f>
        <v>1015.75</v>
      </c>
      <c r="AV14" s="118">
        <v>508</v>
      </c>
      <c r="AW14" s="119">
        <v>1.625</v>
      </c>
      <c r="AX14" s="16">
        <f>AV14*AW14*1.12*1.18</f>
        <v>1090.9808</v>
      </c>
      <c r="AY14" s="121"/>
      <c r="AZ14" s="122"/>
      <c r="BA14" s="122">
        <f>AZ14*0.18</f>
        <v>0</v>
      </c>
      <c r="BB14" s="122">
        <f>SUM(AG14:AU14)</f>
        <v>35666.338778367994</v>
      </c>
      <c r="BC14" s="132">
        <f>'[3]Т01-09'!$O$6</f>
        <v>353.55369494000007</v>
      </c>
      <c r="BD14" s="14">
        <f>AC14+AF14-BB14-BC14</f>
        <v>1814.8325866920034</v>
      </c>
      <c r="BE14" s="30">
        <f>AB14-S14</f>
        <v>-16581.36</v>
      </c>
    </row>
    <row r="15" spans="1:57" ht="12.75">
      <c r="A15" s="11" t="s">
        <v>46</v>
      </c>
      <c r="B15" s="115">
        <v>6598.5</v>
      </c>
      <c r="C15" s="105">
        <f t="shared" si="2"/>
        <v>57077.025</v>
      </c>
      <c r="D15" s="106">
        <f>C15*0.125</f>
        <v>7134.628125</v>
      </c>
      <c r="E15" s="107">
        <v>4696.31</v>
      </c>
      <c r="F15" s="107">
        <v>654.95</v>
      </c>
      <c r="G15" s="107">
        <v>6340.05</v>
      </c>
      <c r="H15" s="107">
        <v>884.24</v>
      </c>
      <c r="I15" s="107">
        <v>15262.95</v>
      </c>
      <c r="J15" s="107">
        <v>2128.64</v>
      </c>
      <c r="K15" s="107">
        <v>10566.7</v>
      </c>
      <c r="L15" s="107">
        <v>1473.66</v>
      </c>
      <c r="M15" s="107">
        <v>3757.01</v>
      </c>
      <c r="N15" s="107">
        <v>523.97</v>
      </c>
      <c r="O15" s="107">
        <v>0</v>
      </c>
      <c r="P15" s="114">
        <v>0</v>
      </c>
      <c r="Q15" s="107">
        <v>0</v>
      </c>
      <c r="R15" s="114">
        <v>0</v>
      </c>
      <c r="S15" s="91">
        <f t="shared" si="3"/>
        <v>40623.020000000004</v>
      </c>
      <c r="T15" s="108">
        <f t="shared" si="4"/>
        <v>5665.46</v>
      </c>
      <c r="U15" s="91">
        <v>4056.04</v>
      </c>
      <c r="V15" s="91">
        <v>5476.75</v>
      </c>
      <c r="W15" s="91">
        <v>13182.17</v>
      </c>
      <c r="X15" s="91">
        <v>9126.14</v>
      </c>
      <c r="Y15" s="91">
        <v>3244.84</v>
      </c>
      <c r="Z15" s="109">
        <v>0</v>
      </c>
      <c r="AA15" s="109">
        <v>0</v>
      </c>
      <c r="AB15" s="112">
        <f t="shared" si="5"/>
        <v>35085.94</v>
      </c>
      <c r="AC15" s="113">
        <f t="shared" si="6"/>
        <v>47886.028125000004</v>
      </c>
      <c r="AD15" s="102">
        <f t="shared" si="7"/>
        <v>0</v>
      </c>
      <c r="AE15" s="102">
        <f t="shared" si="8"/>
        <v>0</v>
      </c>
      <c r="AF15" s="102">
        <f>'[2]Т02-09'!$I$6</f>
        <v>831.62506</v>
      </c>
      <c r="AG15" s="16">
        <f>0.6*B15*0.9</f>
        <v>3563.19</v>
      </c>
      <c r="AH15" s="16">
        <f>B15*0.2*0.9153</f>
        <v>1207.9214100000002</v>
      </c>
      <c r="AI15" s="16">
        <f>0.85*B15*0.866</f>
        <v>4857.155849999999</v>
      </c>
      <c r="AJ15" s="16">
        <f t="shared" si="9"/>
        <v>874.2880529999999</v>
      </c>
      <c r="AK15" s="16">
        <f>0.83*B15*0.8684</f>
        <v>4756.014042</v>
      </c>
      <c r="AL15" s="16">
        <f t="shared" si="10"/>
        <v>856.0825275599999</v>
      </c>
      <c r="AM15" s="16">
        <f>(1.91)*B15*0.8684</f>
        <v>10944.562434</v>
      </c>
      <c r="AN15" s="16">
        <f t="shared" si="11"/>
        <v>1970.02123812</v>
      </c>
      <c r="AO15" s="16"/>
      <c r="AP15" s="16">
        <f t="shared" si="12"/>
        <v>0</v>
      </c>
      <c r="AQ15" s="117"/>
      <c r="AR15" s="117">
        <f>AQ15*0.18</f>
        <v>0</v>
      </c>
      <c r="AS15" s="97">
        <v>25490</v>
      </c>
      <c r="AT15" s="97"/>
      <c r="AU15" s="97">
        <f aca="true" t="shared" si="13" ref="AU15:AU25">(AS15+AT15)*0.18</f>
        <v>4588.2</v>
      </c>
      <c r="AV15" s="118">
        <v>407</v>
      </c>
      <c r="AW15" s="119">
        <v>1.625</v>
      </c>
      <c r="AX15" s="16">
        <f>AV15*AW15*1.12*1.18</f>
        <v>874.0732</v>
      </c>
      <c r="AY15" s="121"/>
      <c r="AZ15" s="122"/>
      <c r="BA15" s="122">
        <f>AZ15*0.18</f>
        <v>0</v>
      </c>
      <c r="BB15" s="122">
        <f>SUM(AG15:AU15)</f>
        <v>59107.43555467999</v>
      </c>
      <c r="BC15" s="128">
        <f>'[3]Т02-09'!$O$6</f>
        <v>354.0969846400001</v>
      </c>
      <c r="BD15" s="14">
        <f aca="true" t="shared" si="14" ref="BD15:BD25">AC15+AF15-BB15-BC15</f>
        <v>-10743.87935431999</v>
      </c>
      <c r="BE15" s="30">
        <f aca="true" t="shared" si="15" ref="BE15:BE25">AB15-S15</f>
        <v>-5537.080000000002</v>
      </c>
    </row>
    <row r="16" spans="1:57" ht="12.75">
      <c r="A16" s="11" t="s">
        <v>47</v>
      </c>
      <c r="B16" s="129">
        <v>6598.8</v>
      </c>
      <c r="C16" s="105">
        <f t="shared" si="2"/>
        <v>57079.62</v>
      </c>
      <c r="D16" s="106">
        <f>C16*0.125</f>
        <v>7134.9525</v>
      </c>
      <c r="E16" s="126">
        <v>4651.57</v>
      </c>
      <c r="F16" s="126">
        <v>660.63</v>
      </c>
      <c r="G16" s="126">
        <v>6279.59</v>
      </c>
      <c r="H16" s="126">
        <v>891.9</v>
      </c>
      <c r="I16" s="126">
        <v>15117.47</v>
      </c>
      <c r="J16" s="126">
        <v>2147.1</v>
      </c>
      <c r="K16" s="126">
        <v>10466</v>
      </c>
      <c r="L16" s="126">
        <v>1486.44</v>
      </c>
      <c r="M16" s="126">
        <v>3721.23</v>
      </c>
      <c r="N16" s="126">
        <v>528.51</v>
      </c>
      <c r="O16" s="126">
        <v>0</v>
      </c>
      <c r="P16" s="127">
        <v>0</v>
      </c>
      <c r="Q16" s="126">
        <v>0</v>
      </c>
      <c r="R16" s="127">
        <v>0</v>
      </c>
      <c r="S16" s="91">
        <f t="shared" si="3"/>
        <v>40235.86</v>
      </c>
      <c r="T16" s="108">
        <f t="shared" si="4"/>
        <v>5714.58</v>
      </c>
      <c r="U16" s="92">
        <v>4142.52</v>
      </c>
      <c r="V16" s="92">
        <v>5593.25</v>
      </c>
      <c r="W16" s="92">
        <v>13462.97</v>
      </c>
      <c r="X16" s="92">
        <v>9320.65</v>
      </c>
      <c r="Y16" s="92">
        <v>3314.014</v>
      </c>
      <c r="Z16" s="123">
        <v>0</v>
      </c>
      <c r="AA16" s="123">
        <v>0</v>
      </c>
      <c r="AB16" s="116">
        <f t="shared" si="5"/>
        <v>35833.404</v>
      </c>
      <c r="AC16" s="113">
        <f t="shared" si="6"/>
        <v>48682.9365</v>
      </c>
      <c r="AD16" s="102">
        <f t="shared" si="7"/>
        <v>0</v>
      </c>
      <c r="AE16" s="102">
        <f t="shared" si="8"/>
        <v>0</v>
      </c>
      <c r="AF16" s="102">
        <f>'[2]Т02-09'!$I$6</f>
        <v>831.62506</v>
      </c>
      <c r="AG16" s="16">
        <f>0.6*B16*0.9</f>
        <v>3563.352</v>
      </c>
      <c r="AH16" s="124">
        <f>B16*0.2*0.9082-0.01</f>
        <v>1198.5960320000002</v>
      </c>
      <c r="AI16" s="16">
        <f>0.85*B16*0.8675</f>
        <v>4865.79015</v>
      </c>
      <c r="AJ16" s="16">
        <f t="shared" si="9"/>
        <v>875.842227</v>
      </c>
      <c r="AK16" s="124">
        <f>0.83*B16*0.838</f>
        <v>4589.729351999999</v>
      </c>
      <c r="AL16" s="16">
        <f t="shared" si="10"/>
        <v>826.1512833599999</v>
      </c>
      <c r="AM16" s="16">
        <f>1.91*B16*0.838</f>
        <v>10561.907304</v>
      </c>
      <c r="AN16" s="16">
        <f t="shared" si="11"/>
        <v>1901.14331472</v>
      </c>
      <c r="AO16" s="16"/>
      <c r="AP16" s="16">
        <f t="shared" si="12"/>
        <v>0</v>
      </c>
      <c r="AQ16" s="117"/>
      <c r="AR16" s="117">
        <f>AQ16*0.18</f>
        <v>0</v>
      </c>
      <c r="AS16" s="97">
        <v>3036</v>
      </c>
      <c r="AT16" s="97"/>
      <c r="AU16" s="97">
        <f t="shared" si="13"/>
        <v>546.48</v>
      </c>
      <c r="AV16" s="118">
        <v>383</v>
      </c>
      <c r="AW16" s="119">
        <v>1.625</v>
      </c>
      <c r="AX16" s="16">
        <f>AV16*AW16*1.12*1.18</f>
        <v>822.5308</v>
      </c>
      <c r="AY16" s="121"/>
      <c r="AZ16" s="122"/>
      <c r="BA16" s="122">
        <f>AZ16*0.18</f>
        <v>0</v>
      </c>
      <c r="BB16" s="122">
        <f>SUM(AG16:AU16)</f>
        <v>31964.99166308</v>
      </c>
      <c r="BC16" s="128">
        <f>'[3]Т03-09'!$O$6</f>
        <v>346.66997437000003</v>
      </c>
      <c r="BD16" s="14">
        <f t="shared" si="14"/>
        <v>17202.89992255</v>
      </c>
      <c r="BE16" s="30">
        <f t="shared" si="15"/>
        <v>-4402.455999999998</v>
      </c>
    </row>
    <row r="17" spans="1:57" ht="12.75">
      <c r="A17" s="11" t="s">
        <v>48</v>
      </c>
      <c r="B17" s="125">
        <v>6598.8</v>
      </c>
      <c r="C17" s="105">
        <f t="shared" si="2"/>
        <v>57079.62</v>
      </c>
      <c r="D17" s="106">
        <f>C17*0.125</f>
        <v>7134.9525</v>
      </c>
      <c r="E17" s="126">
        <v>5469.53</v>
      </c>
      <c r="F17" s="126">
        <v>673.36</v>
      </c>
      <c r="G17" s="126">
        <v>7383.93</v>
      </c>
      <c r="H17" s="126">
        <v>909.09</v>
      </c>
      <c r="I17" s="126">
        <v>17775.94</v>
      </c>
      <c r="J17" s="126">
        <v>2188.47</v>
      </c>
      <c r="K17" s="126">
        <v>12306.44</v>
      </c>
      <c r="L17" s="126">
        <v>1515.08</v>
      </c>
      <c r="M17" s="126">
        <v>4375.52</v>
      </c>
      <c r="N17" s="126">
        <v>538.7</v>
      </c>
      <c r="O17" s="126">
        <v>0</v>
      </c>
      <c r="P17" s="127">
        <v>0</v>
      </c>
      <c r="Q17" s="126">
        <v>0</v>
      </c>
      <c r="R17" s="127">
        <v>0</v>
      </c>
      <c r="S17" s="91">
        <f t="shared" si="3"/>
        <v>47311.36</v>
      </c>
      <c r="T17" s="108">
        <f t="shared" si="4"/>
        <v>5824.7</v>
      </c>
      <c r="U17" s="91">
        <v>3823.82</v>
      </c>
      <c r="V17" s="91">
        <v>5163.26</v>
      </c>
      <c r="W17" s="91">
        <v>12427.79</v>
      </c>
      <c r="X17" s="91">
        <v>8603.96</v>
      </c>
      <c r="Y17" s="91">
        <v>3059.22</v>
      </c>
      <c r="Z17" s="91">
        <v>0</v>
      </c>
      <c r="AA17" s="91">
        <v>0</v>
      </c>
      <c r="AB17" s="116">
        <f t="shared" si="5"/>
        <v>33078.05</v>
      </c>
      <c r="AC17" s="113">
        <f t="shared" si="6"/>
        <v>46037.7025</v>
      </c>
      <c r="AD17" s="102">
        <f t="shared" si="7"/>
        <v>0</v>
      </c>
      <c r="AE17" s="102">
        <f t="shared" si="8"/>
        <v>0</v>
      </c>
      <c r="AF17" s="102">
        <f>'[3]Т04-09'!$I$6</f>
        <v>831.62506</v>
      </c>
      <c r="AG17" s="16">
        <f>0.6*B17*0.9</f>
        <v>3563.352</v>
      </c>
      <c r="AH17" s="124">
        <f>B17*0.2*0.9234</f>
        <v>1218.666384</v>
      </c>
      <c r="AI17" s="16">
        <f>0.85*B17*0.8934</f>
        <v>5011.062731999999</v>
      </c>
      <c r="AJ17" s="16">
        <f t="shared" si="9"/>
        <v>901.9912917599999</v>
      </c>
      <c r="AK17" s="16">
        <f>0.83*B17*0.8498</f>
        <v>4654.3579991999995</v>
      </c>
      <c r="AL17" s="16">
        <f t="shared" si="10"/>
        <v>837.7844398559998</v>
      </c>
      <c r="AM17" s="16">
        <f>(1.91)*B17*0.8498-0.01</f>
        <v>10710.6210584</v>
      </c>
      <c r="AN17" s="16">
        <f t="shared" si="11"/>
        <v>1927.911790512</v>
      </c>
      <c r="AO17" s="16"/>
      <c r="AP17" s="16">
        <f t="shared" si="12"/>
        <v>0</v>
      </c>
      <c r="AQ17" s="117">
        <f>1857.53</f>
        <v>1857.53</v>
      </c>
      <c r="AR17" s="117">
        <f t="shared" si="12"/>
        <v>334.3554</v>
      </c>
      <c r="AS17" s="97">
        <v>2617.13</v>
      </c>
      <c r="AT17" s="97"/>
      <c r="AU17" s="97">
        <f t="shared" si="13"/>
        <v>471.0834</v>
      </c>
      <c r="AV17" s="118">
        <v>307</v>
      </c>
      <c r="AW17" s="119">
        <v>1.625</v>
      </c>
      <c r="AX17" s="16">
        <f>AV17*AW17*1.12*1.18+AX14+AX15+AX16</f>
        <v>3446.8979999999997</v>
      </c>
      <c r="AY17" s="121"/>
      <c r="AZ17" s="122"/>
      <c r="BA17" s="122">
        <f>AZ17*0.18</f>
        <v>0</v>
      </c>
      <c r="BB17" s="122">
        <f aca="true" t="shared" si="16" ref="BB17:BB22">SUM(AG17:BA17)-AV17-AW17</f>
        <v>37552.744495728</v>
      </c>
      <c r="BC17" s="128">
        <f>'[3]Т04-09'!$O$6</f>
        <v>356.5605957200001</v>
      </c>
      <c r="BD17" s="14">
        <f t="shared" si="14"/>
        <v>8960.022468551995</v>
      </c>
      <c r="BE17" s="30">
        <f t="shared" si="15"/>
        <v>-14233.309999999998</v>
      </c>
    </row>
    <row r="18" spans="1:57" ht="12.75">
      <c r="A18" s="11" t="s">
        <v>49</v>
      </c>
      <c r="B18" s="129">
        <v>6598.8</v>
      </c>
      <c r="C18" s="105">
        <f t="shared" si="2"/>
        <v>57079.62</v>
      </c>
      <c r="D18" s="130">
        <f>C18-E18-F18-G18-H18-I18-J18-K18-L18-M18-N18</f>
        <v>5827.940000000005</v>
      </c>
      <c r="E18" s="126">
        <v>5179.91</v>
      </c>
      <c r="F18" s="126">
        <v>735.62</v>
      </c>
      <c r="G18" s="126">
        <v>7016.3</v>
      </c>
      <c r="H18" s="126">
        <v>997.1</v>
      </c>
      <c r="I18" s="126">
        <v>16858.21</v>
      </c>
      <c r="J18" s="126">
        <v>2394.74</v>
      </c>
      <c r="K18" s="126">
        <v>11678.25</v>
      </c>
      <c r="L18" s="126">
        <v>1659.17</v>
      </c>
      <c r="M18" s="126">
        <v>4143.93</v>
      </c>
      <c r="N18" s="126">
        <v>588.45</v>
      </c>
      <c r="O18" s="126">
        <v>0</v>
      </c>
      <c r="P18" s="127">
        <v>0</v>
      </c>
      <c r="Q18" s="126">
        <v>0</v>
      </c>
      <c r="R18" s="127">
        <v>0</v>
      </c>
      <c r="S18" s="91">
        <f t="shared" si="3"/>
        <v>44876.6</v>
      </c>
      <c r="T18" s="108">
        <f t="shared" si="4"/>
        <v>6375.08</v>
      </c>
      <c r="U18" s="92">
        <v>4292.26</v>
      </c>
      <c r="V18" s="92">
        <v>5795.24</v>
      </c>
      <c r="W18" s="92">
        <v>13949.39</v>
      </c>
      <c r="X18" s="92">
        <v>9657.16</v>
      </c>
      <c r="Y18" s="92">
        <v>3433.56</v>
      </c>
      <c r="Z18" s="123">
        <v>0</v>
      </c>
      <c r="AA18" s="123">
        <v>0</v>
      </c>
      <c r="AB18" s="116">
        <f t="shared" si="5"/>
        <v>37127.61</v>
      </c>
      <c r="AC18" s="113">
        <f t="shared" si="6"/>
        <v>49330.630000000005</v>
      </c>
      <c r="AD18" s="102">
        <f t="shared" si="7"/>
        <v>0</v>
      </c>
      <c r="AE18" s="102">
        <f t="shared" si="8"/>
        <v>0</v>
      </c>
      <c r="AF18" s="102">
        <f>'[3]Т04-09'!$I$6</f>
        <v>831.62506</v>
      </c>
      <c r="AG18" s="16">
        <f>0.6*B18</f>
        <v>3959.2799999999997</v>
      </c>
      <c r="AH18" s="16">
        <f>B18*0.2*1.01</f>
        <v>1332.9576000000002</v>
      </c>
      <c r="AI18" s="16">
        <f>0.85*B18+0.01</f>
        <v>5608.99</v>
      </c>
      <c r="AJ18" s="16">
        <f t="shared" si="9"/>
        <v>1009.6181999999999</v>
      </c>
      <c r="AK18" s="16">
        <f>0.83*B18</f>
        <v>5477.004</v>
      </c>
      <c r="AL18" s="16">
        <f t="shared" si="10"/>
        <v>985.8607199999999</v>
      </c>
      <c r="AM18" s="16">
        <f>(1.91)*B18-0.01</f>
        <v>12603.698</v>
      </c>
      <c r="AN18" s="16">
        <f t="shared" si="11"/>
        <v>2268.66564</v>
      </c>
      <c r="AO18" s="16"/>
      <c r="AP18" s="16">
        <f t="shared" si="12"/>
        <v>0</v>
      </c>
      <c r="AQ18" s="117"/>
      <c r="AR18" s="117">
        <f t="shared" si="12"/>
        <v>0</v>
      </c>
      <c r="AS18" s="97">
        <v>4448.5</v>
      </c>
      <c r="AT18" s="97"/>
      <c r="AU18" s="97">
        <f t="shared" si="13"/>
        <v>800.73</v>
      </c>
      <c r="AV18" s="118">
        <v>263</v>
      </c>
      <c r="AW18" s="119">
        <v>1.625</v>
      </c>
      <c r="AX18" s="16">
        <f aca="true" t="shared" si="17" ref="AX18:AX25">AV18*AW18*1.12*1.18</f>
        <v>564.8188</v>
      </c>
      <c r="AY18" s="121"/>
      <c r="AZ18" s="122"/>
      <c r="BA18" s="122">
        <f t="shared" si="0"/>
        <v>0</v>
      </c>
      <c r="BB18" s="122">
        <f t="shared" si="16"/>
        <v>39060.12296000001</v>
      </c>
      <c r="BC18" s="128">
        <f>'[3]Т05-09'!$O$6</f>
        <v>397.994541178</v>
      </c>
      <c r="BD18" s="14">
        <f t="shared" si="14"/>
        <v>10704.137558821994</v>
      </c>
      <c r="BE18" s="30">
        <f t="shared" si="15"/>
        <v>-7748.989999999998</v>
      </c>
    </row>
    <row r="19" spans="1:57" ht="12.75">
      <c r="A19" s="11" t="s">
        <v>50</v>
      </c>
      <c r="B19" s="129">
        <v>6598.8</v>
      </c>
      <c r="C19" s="105">
        <f t="shared" si="2"/>
        <v>57079.62</v>
      </c>
      <c r="D19" s="130">
        <f aca="true" t="shared" si="18" ref="D19:D25">C19-E19-F19-G19-H19-I19-J19-K19-L19-M19-N19</f>
        <v>3891.0200000000086</v>
      </c>
      <c r="E19" s="126">
        <v>7030.41</v>
      </c>
      <c r="F19" s="126">
        <v>736.35</v>
      </c>
      <c r="G19" s="126">
        <v>7030.41</v>
      </c>
      <c r="H19" s="126">
        <v>998.08</v>
      </c>
      <c r="I19" s="126">
        <v>16892.22</v>
      </c>
      <c r="J19" s="126">
        <v>2397.11</v>
      </c>
      <c r="K19" s="126">
        <v>11701.83</v>
      </c>
      <c r="L19" s="126">
        <v>1660.8</v>
      </c>
      <c r="M19" s="126">
        <v>4152.35</v>
      </c>
      <c r="N19" s="126">
        <v>589.04</v>
      </c>
      <c r="O19" s="126">
        <v>0</v>
      </c>
      <c r="P19" s="127">
        <v>0</v>
      </c>
      <c r="Q19" s="126">
        <v>0</v>
      </c>
      <c r="R19" s="127">
        <v>0</v>
      </c>
      <c r="S19" s="91">
        <f t="shared" si="3"/>
        <v>46807.22</v>
      </c>
      <c r="T19" s="108">
        <f t="shared" si="4"/>
        <v>6381.380000000001</v>
      </c>
      <c r="U19" s="92">
        <v>4403.8</v>
      </c>
      <c r="V19" s="92">
        <v>5961.17</v>
      </c>
      <c r="W19" s="92">
        <v>14327.69</v>
      </c>
      <c r="X19" s="92">
        <v>9923.45</v>
      </c>
      <c r="Y19" s="92">
        <v>3523.04</v>
      </c>
      <c r="Z19" s="123">
        <v>0</v>
      </c>
      <c r="AA19" s="123">
        <v>0</v>
      </c>
      <c r="AB19" s="116">
        <f t="shared" si="5"/>
        <v>38139.15</v>
      </c>
      <c r="AC19" s="113">
        <f t="shared" si="6"/>
        <v>48411.55000000001</v>
      </c>
      <c r="AD19" s="102">
        <f t="shared" si="7"/>
        <v>0</v>
      </c>
      <c r="AE19" s="102">
        <f t="shared" si="8"/>
        <v>0</v>
      </c>
      <c r="AF19" s="102">
        <f>'[3]Т06-09'!$I$6</f>
        <v>831.62506</v>
      </c>
      <c r="AG19" s="16">
        <f aca="true" t="shared" si="19" ref="AG19:AG25">0.6*B19</f>
        <v>3959.2799999999997</v>
      </c>
      <c r="AH19" s="16">
        <f>B19*0.2*1.01045-0.01</f>
        <v>1333.5414920000003</v>
      </c>
      <c r="AI19" s="16">
        <f>0.85*B19+0.01</f>
        <v>5608.99</v>
      </c>
      <c r="AJ19" s="16">
        <f t="shared" si="9"/>
        <v>1009.6181999999999</v>
      </c>
      <c r="AK19" s="16">
        <f>0.83*B19</f>
        <v>5477.004</v>
      </c>
      <c r="AL19" s="16">
        <f t="shared" si="10"/>
        <v>985.8607199999999</v>
      </c>
      <c r="AM19" s="16">
        <f>(1.91)*B19+0.01</f>
        <v>12603.718</v>
      </c>
      <c r="AN19" s="16">
        <f t="shared" si="11"/>
        <v>2268.66924</v>
      </c>
      <c r="AO19" s="16"/>
      <c r="AP19" s="16">
        <f t="shared" si="12"/>
        <v>0</v>
      </c>
      <c r="AQ19" s="117"/>
      <c r="AR19" s="117">
        <f t="shared" si="12"/>
        <v>0</v>
      </c>
      <c r="AS19" s="97">
        <v>17029.62</v>
      </c>
      <c r="AT19" s="97"/>
      <c r="AU19" s="97">
        <f t="shared" si="13"/>
        <v>3065.3315999999995</v>
      </c>
      <c r="AV19" s="118">
        <v>233</v>
      </c>
      <c r="AW19" s="119">
        <v>1.625</v>
      </c>
      <c r="AX19" s="16">
        <f t="shared" si="17"/>
        <v>500.39080000000007</v>
      </c>
      <c r="AY19" s="121"/>
      <c r="AZ19" s="122"/>
      <c r="BA19" s="122">
        <f t="shared" si="0"/>
        <v>0</v>
      </c>
      <c r="BB19" s="122">
        <f t="shared" si="16"/>
        <v>53842.02405200001</v>
      </c>
      <c r="BC19" s="128">
        <f>'[3]Т06-09'!$O$6</f>
        <v>376.81169318</v>
      </c>
      <c r="BD19" s="14">
        <f t="shared" si="14"/>
        <v>-4975.660685179999</v>
      </c>
      <c r="BE19" s="30">
        <f t="shared" si="15"/>
        <v>-8668.07</v>
      </c>
    </row>
    <row r="20" spans="1:57" ht="12.75">
      <c r="A20" s="11" t="s">
        <v>51</v>
      </c>
      <c r="B20" s="115">
        <v>6598.8</v>
      </c>
      <c r="C20" s="105">
        <f t="shared" si="2"/>
        <v>57079.62</v>
      </c>
      <c r="D20" s="130">
        <f t="shared" si="18"/>
        <v>563.5499999999975</v>
      </c>
      <c r="E20" s="126">
        <v>5786.73</v>
      </c>
      <c r="F20" s="126">
        <v>736.35</v>
      </c>
      <c r="G20" s="126">
        <v>7838.51</v>
      </c>
      <c r="H20" s="126">
        <v>998.08</v>
      </c>
      <c r="I20" s="126">
        <v>18833.39</v>
      </c>
      <c r="J20" s="126">
        <v>2397.11</v>
      </c>
      <c r="K20" s="126">
        <v>13046.66</v>
      </c>
      <c r="L20" s="126">
        <v>1660.81</v>
      </c>
      <c r="M20" s="126">
        <v>4629.39</v>
      </c>
      <c r="N20" s="126">
        <v>589.04</v>
      </c>
      <c r="O20" s="126">
        <v>0</v>
      </c>
      <c r="P20" s="127">
        <v>0</v>
      </c>
      <c r="Q20" s="126">
        <v>0</v>
      </c>
      <c r="R20" s="127">
        <v>0</v>
      </c>
      <c r="S20" s="91">
        <f t="shared" si="3"/>
        <v>50134.67999999999</v>
      </c>
      <c r="T20" s="108">
        <f t="shared" si="4"/>
        <v>6381.39</v>
      </c>
      <c r="U20" s="92">
        <v>5074.38</v>
      </c>
      <c r="V20" s="92">
        <v>6871.03</v>
      </c>
      <c r="W20" s="92">
        <v>16511.64</v>
      </c>
      <c r="X20" s="92">
        <v>11437.15</v>
      </c>
      <c r="Y20" s="92">
        <v>4059.59</v>
      </c>
      <c r="Z20" s="123">
        <v>0</v>
      </c>
      <c r="AA20" s="123">
        <v>0</v>
      </c>
      <c r="AB20" s="116">
        <f t="shared" si="5"/>
        <v>43953.78999999999</v>
      </c>
      <c r="AC20" s="113">
        <f t="shared" si="6"/>
        <v>50898.72999999999</v>
      </c>
      <c r="AD20" s="102">
        <f t="shared" si="7"/>
        <v>0</v>
      </c>
      <c r="AE20" s="102">
        <f t="shared" si="8"/>
        <v>0</v>
      </c>
      <c r="AF20" s="102">
        <f>'[2]Т07-09'!$I$6+'[2]Т07-09'!$I$69</f>
        <v>1322.7250999999999</v>
      </c>
      <c r="AG20" s="16">
        <f t="shared" si="19"/>
        <v>3959.2799999999997</v>
      </c>
      <c r="AH20" s="16">
        <f>B20*0.2*0.99425</f>
        <v>1312.1713800000002</v>
      </c>
      <c r="AI20" s="16">
        <f>0.85*B20*0.9857</f>
        <v>5528.771586</v>
      </c>
      <c r="AJ20" s="16">
        <f t="shared" si="9"/>
        <v>995.17888548</v>
      </c>
      <c r="AK20" s="16">
        <f>0.83*B20*0.9905</f>
        <v>5424.972462</v>
      </c>
      <c r="AL20" s="16">
        <f t="shared" si="10"/>
        <v>976.4950431599999</v>
      </c>
      <c r="AM20" s="16">
        <f>(1.91)*B20*0.9904</f>
        <v>12482.7124032</v>
      </c>
      <c r="AN20" s="16">
        <f t="shared" si="11"/>
        <v>2246.8882325759996</v>
      </c>
      <c r="AO20" s="16"/>
      <c r="AP20" s="16">
        <f t="shared" si="12"/>
        <v>0</v>
      </c>
      <c r="AQ20" s="117"/>
      <c r="AR20" s="117">
        <f t="shared" si="12"/>
        <v>0</v>
      </c>
      <c r="AS20" s="97">
        <f>22957.92</f>
        <v>22957.92</v>
      </c>
      <c r="AT20" s="97">
        <f>183.9*4</f>
        <v>735.6</v>
      </c>
      <c r="AU20" s="97">
        <f t="shared" si="13"/>
        <v>4264.833599999999</v>
      </c>
      <c r="AV20" s="118">
        <v>248</v>
      </c>
      <c r="AW20" s="119">
        <v>1.625</v>
      </c>
      <c r="AX20" s="16">
        <f t="shared" si="17"/>
        <v>532.6048000000001</v>
      </c>
      <c r="AY20" s="121"/>
      <c r="AZ20" s="122"/>
      <c r="BA20" s="122">
        <f t="shared" si="0"/>
        <v>0</v>
      </c>
      <c r="BB20" s="122">
        <f t="shared" si="16"/>
        <v>61417.428392416</v>
      </c>
      <c r="BC20" s="128">
        <f>'[3]Т07-09'!$O$6+'[3]Т07-09'!$O$69</f>
        <v>589.2287351</v>
      </c>
      <c r="BD20" s="14">
        <f t="shared" si="14"/>
        <v>-9785.202027516005</v>
      </c>
      <c r="BE20" s="30">
        <f t="shared" si="15"/>
        <v>-6180.889999999999</v>
      </c>
    </row>
    <row r="21" spans="1:57" ht="12.75">
      <c r="A21" s="11" t="s">
        <v>52</v>
      </c>
      <c r="B21" s="115">
        <v>6598.8</v>
      </c>
      <c r="C21" s="105">
        <f t="shared" si="2"/>
        <v>57079.62</v>
      </c>
      <c r="D21" s="130">
        <f t="shared" si="18"/>
        <v>6274.250000000002</v>
      </c>
      <c r="E21" s="126">
        <v>5200.48</v>
      </c>
      <c r="F21" s="126">
        <v>736.35</v>
      </c>
      <c r="G21" s="126">
        <v>7043.91</v>
      </c>
      <c r="H21" s="126">
        <v>998.08</v>
      </c>
      <c r="I21" s="126">
        <v>16294.86</v>
      </c>
      <c r="J21" s="126">
        <v>2397.11</v>
      </c>
      <c r="K21" s="126">
        <v>11724.35</v>
      </c>
      <c r="L21" s="126">
        <v>1660.81</v>
      </c>
      <c r="M21" s="126">
        <v>4160.38</v>
      </c>
      <c r="N21" s="126">
        <v>589.04</v>
      </c>
      <c r="O21" s="126">
        <v>0</v>
      </c>
      <c r="P21" s="127">
        <v>0</v>
      </c>
      <c r="Q21" s="92">
        <v>0</v>
      </c>
      <c r="R21" s="92">
        <v>0</v>
      </c>
      <c r="S21" s="91">
        <f t="shared" si="3"/>
        <v>44423.979999999996</v>
      </c>
      <c r="T21" s="108">
        <f t="shared" si="4"/>
        <v>6381.39</v>
      </c>
      <c r="U21" s="92">
        <v>3826.04</v>
      </c>
      <c r="V21" s="92">
        <v>5182.33</v>
      </c>
      <c r="W21" s="92">
        <v>12450.91</v>
      </c>
      <c r="X21" s="92">
        <v>8624.8</v>
      </c>
      <c r="Y21" s="92">
        <v>3060.83</v>
      </c>
      <c r="Z21" s="123">
        <v>0</v>
      </c>
      <c r="AA21" s="123">
        <v>0</v>
      </c>
      <c r="AB21" s="116">
        <f t="shared" si="5"/>
        <v>33144.909999999996</v>
      </c>
      <c r="AC21" s="113">
        <f t="shared" si="6"/>
        <v>45800.55</v>
      </c>
      <c r="AD21" s="102">
        <f t="shared" si="7"/>
        <v>0</v>
      </c>
      <c r="AE21" s="102">
        <f t="shared" si="8"/>
        <v>0</v>
      </c>
      <c r="AF21" s="102">
        <f>'[2]Т07-09'!$I$6+'[2]Т07-09'!$I$69</f>
        <v>1322.7250999999999</v>
      </c>
      <c r="AG21" s="16">
        <f t="shared" si="19"/>
        <v>3959.2799999999997</v>
      </c>
      <c r="AH21" s="16">
        <f>B21*0.2*0.99875</f>
        <v>1318.1103000000003</v>
      </c>
      <c r="AI21" s="16">
        <f>0.85*B21*0.98525</f>
        <v>5526.247544999999</v>
      </c>
      <c r="AJ21" s="16">
        <f t="shared" si="9"/>
        <v>994.7245580999999</v>
      </c>
      <c r="AK21" s="16">
        <f>0.83*B21*0.99</f>
        <v>5422.23396</v>
      </c>
      <c r="AL21" s="16">
        <f t="shared" si="10"/>
        <v>976.0021127999998</v>
      </c>
      <c r="AM21" s="16">
        <f>(1.91)*B21*0.9899</f>
        <v>12476.4105492</v>
      </c>
      <c r="AN21" s="16">
        <f t="shared" si="11"/>
        <v>2245.753898856</v>
      </c>
      <c r="AO21" s="16"/>
      <c r="AP21" s="16">
        <f t="shared" si="12"/>
        <v>0</v>
      </c>
      <c r="AQ21" s="117"/>
      <c r="AR21" s="117">
        <f t="shared" si="12"/>
        <v>0</v>
      </c>
      <c r="AS21" s="97">
        <f>16408</f>
        <v>16408</v>
      </c>
      <c r="AT21" s="97">
        <f>641.53*2</f>
        <v>1283.06</v>
      </c>
      <c r="AU21" s="97">
        <f t="shared" si="13"/>
        <v>3184.3908</v>
      </c>
      <c r="AV21" s="118">
        <v>293</v>
      </c>
      <c r="AW21" s="119">
        <v>1.625</v>
      </c>
      <c r="AX21" s="16">
        <f t="shared" si="17"/>
        <v>629.2468000000001</v>
      </c>
      <c r="AY21" s="121"/>
      <c r="AZ21" s="122"/>
      <c r="BA21" s="122">
        <f t="shared" si="0"/>
        <v>0</v>
      </c>
      <c r="BB21" s="122">
        <f t="shared" si="16"/>
        <v>54423.460523956</v>
      </c>
      <c r="BC21" s="128">
        <f>'[3]Т08-09'!$O$6+'[3]Т08-09'!$O$70</f>
        <v>588.96100903</v>
      </c>
      <c r="BD21" s="14">
        <f t="shared" si="14"/>
        <v>-7889.146432985991</v>
      </c>
      <c r="BE21" s="30">
        <f t="shared" si="15"/>
        <v>-11279.07</v>
      </c>
    </row>
    <row r="22" spans="1:57" ht="12.75">
      <c r="A22" s="11" t="s">
        <v>53</v>
      </c>
      <c r="B22" s="104">
        <v>6598.8</v>
      </c>
      <c r="C22" s="105">
        <f t="shared" si="2"/>
        <v>57079.62</v>
      </c>
      <c r="D22" s="130">
        <f t="shared" si="18"/>
        <v>10065.650000000005</v>
      </c>
      <c r="E22" s="107">
        <v>4689.27</v>
      </c>
      <c r="F22" s="107">
        <v>736.35</v>
      </c>
      <c r="G22" s="107">
        <v>6353.89</v>
      </c>
      <c r="H22" s="107">
        <v>998.08</v>
      </c>
      <c r="I22" s="107">
        <v>15263.71</v>
      </c>
      <c r="J22" s="107">
        <v>2397.11</v>
      </c>
      <c r="K22" s="107">
        <v>10574.16</v>
      </c>
      <c r="L22" s="107">
        <v>1660.81</v>
      </c>
      <c r="M22" s="107">
        <v>3751.55</v>
      </c>
      <c r="N22" s="107">
        <v>589.04</v>
      </c>
      <c r="O22" s="107">
        <v>0</v>
      </c>
      <c r="P22" s="114">
        <v>0</v>
      </c>
      <c r="Q22" s="107">
        <v>0</v>
      </c>
      <c r="R22" s="114">
        <v>0</v>
      </c>
      <c r="S22" s="91">
        <f t="shared" si="3"/>
        <v>40632.58</v>
      </c>
      <c r="T22" s="108">
        <f t="shared" si="4"/>
        <v>6381.39</v>
      </c>
      <c r="U22" s="91">
        <v>4613.9</v>
      </c>
      <c r="V22" s="91">
        <v>6248.97</v>
      </c>
      <c r="W22" s="91">
        <v>15014.66</v>
      </c>
      <c r="X22" s="91">
        <v>10400.77</v>
      </c>
      <c r="Y22" s="91">
        <v>3691.13</v>
      </c>
      <c r="Z22" s="109">
        <v>0</v>
      </c>
      <c r="AA22" s="109">
        <v>0</v>
      </c>
      <c r="AB22" s="116">
        <f t="shared" si="5"/>
        <v>39969.43</v>
      </c>
      <c r="AC22" s="113">
        <f t="shared" si="6"/>
        <v>56416.47</v>
      </c>
      <c r="AD22" s="102">
        <f t="shared" si="7"/>
        <v>0</v>
      </c>
      <c r="AE22" s="102">
        <f t="shared" si="8"/>
        <v>0</v>
      </c>
      <c r="AF22" s="102">
        <f>'[2]Т07-09'!$I$6+'[2]Т07-09'!$I$69</f>
        <v>1322.7250999999999</v>
      </c>
      <c r="AG22" s="16">
        <f t="shared" si="19"/>
        <v>3959.2799999999997</v>
      </c>
      <c r="AH22" s="16">
        <f>B22*0.2*0.9997</f>
        <v>1319.3640720000003</v>
      </c>
      <c r="AI22" s="16">
        <f>0.85*B22*0.98508</f>
        <v>5525.294018399999</v>
      </c>
      <c r="AJ22" s="16">
        <f t="shared" si="9"/>
        <v>994.5529233119997</v>
      </c>
      <c r="AK22" s="16">
        <f>0.83*B22*0.98981</f>
        <v>5421.19332924</v>
      </c>
      <c r="AL22" s="16">
        <f t="shared" si="10"/>
        <v>975.8147992631999</v>
      </c>
      <c r="AM22" s="16">
        <f>(1.91)*B22*0.98981</f>
        <v>12475.27621548</v>
      </c>
      <c r="AN22" s="16">
        <f t="shared" si="11"/>
        <v>2245.5497187864</v>
      </c>
      <c r="AO22" s="16"/>
      <c r="AP22" s="16">
        <f t="shared" si="12"/>
        <v>0</v>
      </c>
      <c r="AQ22" s="117"/>
      <c r="AR22" s="117">
        <f t="shared" si="12"/>
        <v>0</v>
      </c>
      <c r="AS22" s="97">
        <v>1435.6</v>
      </c>
      <c r="AT22" s="97"/>
      <c r="AU22" s="97">
        <f t="shared" si="13"/>
        <v>258.40799999999996</v>
      </c>
      <c r="AV22" s="118">
        <v>349</v>
      </c>
      <c r="AW22" s="119">
        <v>1.625</v>
      </c>
      <c r="AX22" s="16">
        <f t="shared" si="17"/>
        <v>749.5124000000001</v>
      </c>
      <c r="AY22" s="121"/>
      <c r="AZ22" s="122"/>
      <c r="BA22" s="122">
        <f t="shared" si="0"/>
        <v>0</v>
      </c>
      <c r="BB22" s="122">
        <f t="shared" si="16"/>
        <v>35359.8454764816</v>
      </c>
      <c r="BC22" s="128">
        <f>'[3]Т09-09'!$O$6+'[3]Т09-09'!$O$70</f>
        <v>588.871932187</v>
      </c>
      <c r="BD22" s="14">
        <f t="shared" si="14"/>
        <v>21790.477691331405</v>
      </c>
      <c r="BE22" s="30">
        <f t="shared" si="15"/>
        <v>-663.1500000000015</v>
      </c>
    </row>
    <row r="23" spans="1:57" ht="12.75">
      <c r="A23" s="11" t="s">
        <v>41</v>
      </c>
      <c r="B23" s="104">
        <v>6600.1</v>
      </c>
      <c r="C23" s="131">
        <f t="shared" si="2"/>
        <v>57090.865000000005</v>
      </c>
      <c r="D23" s="130">
        <f t="shared" si="18"/>
        <v>5703.225000000003</v>
      </c>
      <c r="E23" s="93">
        <v>5199.7</v>
      </c>
      <c r="F23" s="91">
        <v>731.61</v>
      </c>
      <c r="G23" s="91">
        <v>7042.88</v>
      </c>
      <c r="H23" s="91">
        <v>991.66</v>
      </c>
      <c r="I23" s="91">
        <v>16922.33</v>
      </c>
      <c r="J23" s="91">
        <v>2381.68</v>
      </c>
      <c r="K23" s="91">
        <v>11722.62</v>
      </c>
      <c r="L23" s="91">
        <v>1650.12</v>
      </c>
      <c r="M23" s="91">
        <v>4159.79</v>
      </c>
      <c r="N23" s="91">
        <v>585.25</v>
      </c>
      <c r="O23" s="91">
        <v>0</v>
      </c>
      <c r="P23" s="109">
        <v>0</v>
      </c>
      <c r="Q23" s="91">
        <v>0</v>
      </c>
      <c r="R23" s="91">
        <v>0</v>
      </c>
      <c r="S23" s="91">
        <f t="shared" si="3"/>
        <v>45047.32000000001</v>
      </c>
      <c r="T23" s="108">
        <f t="shared" si="4"/>
        <v>6340.319999999999</v>
      </c>
      <c r="U23" s="94">
        <f>5124.66+324.57</f>
        <v>5449.23</v>
      </c>
      <c r="V23" s="91">
        <f>6941.06+439.54</f>
        <v>7380.6</v>
      </c>
      <c r="W23" s="91">
        <f>16677.31+1056.2</f>
        <v>17733.510000000002</v>
      </c>
      <c r="X23" s="91">
        <f>11552.53+731.61</f>
        <v>12284.140000000001</v>
      </c>
      <c r="Y23" s="91">
        <f>4099.28+259.66</f>
        <v>4358.94</v>
      </c>
      <c r="Z23" s="109">
        <v>0</v>
      </c>
      <c r="AA23" s="109">
        <v>0</v>
      </c>
      <c r="AB23" s="109">
        <f>SUM(U23:AA23)</f>
        <v>47206.420000000006</v>
      </c>
      <c r="AC23" s="113">
        <f>AB23+T23+D23</f>
        <v>59249.96500000001</v>
      </c>
      <c r="AD23" s="102">
        <f t="shared" si="7"/>
        <v>0</v>
      </c>
      <c r="AE23" s="102">
        <f t="shared" si="8"/>
        <v>0</v>
      </c>
      <c r="AF23" s="102">
        <f>'[1]Т10'!$I$6+'[1]Т10'!$I$74</f>
        <v>1322.7250999999999</v>
      </c>
      <c r="AG23" s="16">
        <f t="shared" si="19"/>
        <v>3960.06</v>
      </c>
      <c r="AH23" s="16">
        <f>B23*0.2</f>
        <v>1320.0200000000002</v>
      </c>
      <c r="AI23" s="16">
        <f>0.847*B23</f>
        <v>5590.2847</v>
      </c>
      <c r="AJ23" s="16">
        <f t="shared" si="9"/>
        <v>1006.251246</v>
      </c>
      <c r="AK23" s="16">
        <f>0.83*B23</f>
        <v>5478.083</v>
      </c>
      <c r="AL23" s="16">
        <f t="shared" si="10"/>
        <v>986.0549399999999</v>
      </c>
      <c r="AM23" s="16">
        <f>(2.25/1.18)*B23</f>
        <v>12584.936440677968</v>
      </c>
      <c r="AN23" s="16">
        <f t="shared" si="11"/>
        <v>2265.288559322034</v>
      </c>
      <c r="AO23" s="16"/>
      <c r="AP23" s="16">
        <f t="shared" si="12"/>
        <v>0</v>
      </c>
      <c r="AQ23" s="117"/>
      <c r="AR23" s="117">
        <f t="shared" si="12"/>
        <v>0</v>
      </c>
      <c r="AS23" s="97">
        <v>4137.32</v>
      </c>
      <c r="AT23" s="97"/>
      <c r="AU23" s="97">
        <f t="shared" si="13"/>
        <v>744.7176</v>
      </c>
      <c r="AV23" s="118">
        <v>425</v>
      </c>
      <c r="AW23" s="134">
        <v>1.625</v>
      </c>
      <c r="AX23" s="16">
        <f t="shared" si="17"/>
        <v>912.7300000000001</v>
      </c>
      <c r="AY23" s="121"/>
      <c r="AZ23" s="135"/>
      <c r="BA23" s="122">
        <f t="shared" si="0"/>
        <v>0</v>
      </c>
      <c r="BB23" s="122">
        <f>SUM(AG23:AU23)+AX23+AY23+AZ23+BA23</f>
        <v>38985.746486</v>
      </c>
      <c r="BC23" s="128">
        <f>'[4]Т10'!$O$6+'[4]Т10'!$O$74</f>
        <v>593.4847100000001</v>
      </c>
      <c r="BD23" s="14">
        <f t="shared" si="14"/>
        <v>20993.458904000017</v>
      </c>
      <c r="BE23" s="30">
        <f t="shared" si="15"/>
        <v>2159.0999999999985</v>
      </c>
    </row>
    <row r="24" spans="1:57" ht="12.75">
      <c r="A24" s="11" t="s">
        <v>42</v>
      </c>
      <c r="B24" s="115">
        <v>6600.1</v>
      </c>
      <c r="C24" s="131">
        <f t="shared" si="2"/>
        <v>57090.865000000005</v>
      </c>
      <c r="D24" s="130">
        <f t="shared" si="18"/>
        <v>5689.215000000008</v>
      </c>
      <c r="E24" s="107">
        <v>5208.83</v>
      </c>
      <c r="F24" s="107">
        <v>724.11</v>
      </c>
      <c r="G24" s="107">
        <v>7055.2</v>
      </c>
      <c r="H24" s="107">
        <v>981.49</v>
      </c>
      <c r="I24" s="107">
        <v>16952.02</v>
      </c>
      <c r="J24" s="107">
        <v>2357.26</v>
      </c>
      <c r="K24" s="107">
        <v>11743.18</v>
      </c>
      <c r="L24" s="107">
        <v>1633.19</v>
      </c>
      <c r="M24" s="107">
        <v>4167.12</v>
      </c>
      <c r="N24" s="107">
        <v>579.25</v>
      </c>
      <c r="O24" s="107">
        <v>0</v>
      </c>
      <c r="P24" s="114">
        <v>0</v>
      </c>
      <c r="Q24" s="114">
        <v>0</v>
      </c>
      <c r="R24" s="114">
        <v>0</v>
      </c>
      <c r="S24" s="91">
        <f t="shared" si="3"/>
        <v>45126.35</v>
      </c>
      <c r="T24" s="108">
        <f t="shared" si="4"/>
        <v>6275.3</v>
      </c>
      <c r="U24" s="91">
        <v>4368.26</v>
      </c>
      <c r="V24" s="91">
        <v>5915.82</v>
      </c>
      <c r="W24" s="91">
        <v>14215.48</v>
      </c>
      <c r="X24" s="91">
        <v>9847.29</v>
      </c>
      <c r="Y24" s="91">
        <v>3495.03</v>
      </c>
      <c r="Z24" s="109">
        <v>0</v>
      </c>
      <c r="AA24" s="109">
        <v>0</v>
      </c>
      <c r="AB24" s="109">
        <f>SUM(U24:AA24)</f>
        <v>37841.88</v>
      </c>
      <c r="AC24" s="113">
        <f>D24+T24+AB24</f>
        <v>49806.395000000004</v>
      </c>
      <c r="AD24" s="102">
        <f t="shared" si="7"/>
        <v>0</v>
      </c>
      <c r="AE24" s="102">
        <f t="shared" si="8"/>
        <v>0</v>
      </c>
      <c r="AF24" s="102">
        <f>'[1]Т11'!$I$6+'[1]Т11'!$I$74</f>
        <v>1322.7250999999999</v>
      </c>
      <c r="AG24" s="16">
        <f t="shared" si="19"/>
        <v>3960.06</v>
      </c>
      <c r="AH24" s="16">
        <f>B24*0.2</f>
        <v>1320.0200000000002</v>
      </c>
      <c r="AI24" s="16">
        <f>0.85*B24</f>
        <v>5610.085</v>
      </c>
      <c r="AJ24" s="16">
        <f t="shared" si="9"/>
        <v>1009.8153</v>
      </c>
      <c r="AK24" s="16">
        <f>0.83*B24</f>
        <v>5478.083</v>
      </c>
      <c r="AL24" s="16">
        <f t="shared" si="10"/>
        <v>986.0549399999999</v>
      </c>
      <c r="AM24" s="16">
        <f>(1.91)*B24</f>
        <v>12606.191</v>
      </c>
      <c r="AN24" s="16">
        <f t="shared" si="11"/>
        <v>2269.11438</v>
      </c>
      <c r="AO24" s="16"/>
      <c r="AP24" s="16">
        <f t="shared" si="12"/>
        <v>0</v>
      </c>
      <c r="AQ24" s="117"/>
      <c r="AR24" s="117">
        <f t="shared" si="12"/>
        <v>0</v>
      </c>
      <c r="AS24" s="97">
        <v>24229</v>
      </c>
      <c r="AT24" s="97">
        <f>2*375+96+10000</f>
        <v>10846</v>
      </c>
      <c r="AU24" s="97">
        <f t="shared" si="13"/>
        <v>6313.5</v>
      </c>
      <c r="AV24" s="118">
        <v>470</v>
      </c>
      <c r="AW24" s="134">
        <v>1.625</v>
      </c>
      <c r="AX24" s="16">
        <f t="shared" si="17"/>
        <v>1009.3720000000001</v>
      </c>
      <c r="AY24" s="121"/>
      <c r="AZ24" s="122"/>
      <c r="BA24" s="122">
        <f t="shared" si="0"/>
        <v>0</v>
      </c>
      <c r="BB24" s="122">
        <f>SUM(AG24:AU24)+AX24+AY24+AZ24+BA24</f>
        <v>75637.29562</v>
      </c>
      <c r="BC24" s="132">
        <f>'[1]Т11'!$O$6+'[1]Т11'!$O$74</f>
        <v>594.3087</v>
      </c>
      <c r="BD24" s="14">
        <f t="shared" si="14"/>
        <v>-25102.48422</v>
      </c>
      <c r="BE24" s="30">
        <f t="shared" si="15"/>
        <v>-7284.470000000001</v>
      </c>
    </row>
    <row r="25" spans="1:57" ht="12.75">
      <c r="A25" s="11" t="s">
        <v>43</v>
      </c>
      <c r="B25" s="104">
        <v>6572.9</v>
      </c>
      <c r="C25" s="131">
        <f t="shared" si="2"/>
        <v>56855.585</v>
      </c>
      <c r="D25" s="130">
        <f t="shared" si="18"/>
        <v>5973.474999999996</v>
      </c>
      <c r="E25" s="107">
        <v>5146.47</v>
      </c>
      <c r="F25" s="107">
        <v>726.45</v>
      </c>
      <c r="G25" s="107">
        <v>6970.94</v>
      </c>
      <c r="H25" s="107">
        <v>984.64</v>
      </c>
      <c r="I25" s="107">
        <v>16749.27</v>
      </c>
      <c r="J25" s="107">
        <v>2364.81</v>
      </c>
      <c r="K25" s="107">
        <v>11602.78</v>
      </c>
      <c r="L25" s="107">
        <v>1638.43</v>
      </c>
      <c r="M25" s="107">
        <v>4117.22</v>
      </c>
      <c r="N25" s="107">
        <v>581.1</v>
      </c>
      <c r="O25" s="107">
        <v>0</v>
      </c>
      <c r="P25" s="114">
        <v>0</v>
      </c>
      <c r="Q25" s="114"/>
      <c r="R25" s="114"/>
      <c r="S25" s="91">
        <f t="shared" si="3"/>
        <v>44586.68</v>
      </c>
      <c r="T25" s="108">
        <f t="shared" si="4"/>
        <v>6295.43</v>
      </c>
      <c r="U25" s="91">
        <v>7462.3</v>
      </c>
      <c r="V25" s="91">
        <v>10104.85</v>
      </c>
      <c r="W25" s="91">
        <v>24283.24</v>
      </c>
      <c r="X25" s="91">
        <v>16820.82</v>
      </c>
      <c r="Y25" s="91">
        <v>5969.95</v>
      </c>
      <c r="Z25" s="109">
        <v>0</v>
      </c>
      <c r="AA25" s="109">
        <v>0</v>
      </c>
      <c r="AB25" s="109">
        <f>SUM(U25:AA25)</f>
        <v>64641.159999999996</v>
      </c>
      <c r="AC25" s="113">
        <f>D25+T25+AB25</f>
        <v>76910.06499999999</v>
      </c>
      <c r="AD25" s="102">
        <f t="shared" si="7"/>
        <v>0</v>
      </c>
      <c r="AE25" s="102">
        <f t="shared" si="8"/>
        <v>0</v>
      </c>
      <c r="AF25" s="102">
        <f>'[1]Т12'!$I$6+'[1]Т12'!$I$75</f>
        <v>1322.7250999999999</v>
      </c>
      <c r="AG25" s="16">
        <f t="shared" si="19"/>
        <v>3943.74</v>
      </c>
      <c r="AH25" s="16">
        <f>B25*0.2</f>
        <v>1314.58</v>
      </c>
      <c r="AI25" s="16">
        <f>0.85*B25</f>
        <v>5586.964999999999</v>
      </c>
      <c r="AJ25" s="16">
        <f t="shared" si="9"/>
        <v>1005.6536999999998</v>
      </c>
      <c r="AK25" s="16">
        <f>0.83*B25</f>
        <v>5455.507</v>
      </c>
      <c r="AL25" s="16">
        <f t="shared" si="10"/>
        <v>981.9912599999999</v>
      </c>
      <c r="AM25" s="16">
        <f>(1.91)*B25</f>
        <v>12554.239</v>
      </c>
      <c r="AN25" s="16">
        <f t="shared" si="11"/>
        <v>2259.76302</v>
      </c>
      <c r="AO25" s="16"/>
      <c r="AP25" s="16">
        <f t="shared" si="12"/>
        <v>0</v>
      </c>
      <c r="AQ25" s="117"/>
      <c r="AR25" s="117">
        <f t="shared" si="12"/>
        <v>0</v>
      </c>
      <c r="AS25" s="97">
        <v>9811</v>
      </c>
      <c r="AT25" s="97"/>
      <c r="AU25" s="97">
        <f t="shared" si="13"/>
        <v>1765.98</v>
      </c>
      <c r="AV25" s="118">
        <v>514</v>
      </c>
      <c r="AW25" s="134">
        <v>1.625</v>
      </c>
      <c r="AX25" s="16">
        <f t="shared" si="17"/>
        <v>1103.8664</v>
      </c>
      <c r="AY25" s="121"/>
      <c r="AZ25" s="122"/>
      <c r="BA25" s="122">
        <f t="shared" si="0"/>
        <v>0</v>
      </c>
      <c r="BB25" s="122">
        <f>SUM(AG25:BA25)-AV25-AW25</f>
        <v>45783.285379999994</v>
      </c>
      <c r="BC25" s="132">
        <f>'[1]Т12'!$O$6+'[1]Т12'!$O$75</f>
        <v>594.3087</v>
      </c>
      <c r="BD25" s="14">
        <f t="shared" si="14"/>
        <v>31855.19601999999</v>
      </c>
      <c r="BE25" s="30">
        <f t="shared" si="15"/>
        <v>20054.479999999996</v>
      </c>
    </row>
    <row r="26" spans="1:57" s="20" customFormat="1" ht="12.75">
      <c r="A26" s="17" t="s">
        <v>5</v>
      </c>
      <c r="B26" s="60"/>
      <c r="C26" s="60">
        <f aca="true" t="shared" si="20" ref="C26:BC26">SUM(C14:C25)</f>
        <v>684747.84</v>
      </c>
      <c r="D26" s="60">
        <f t="shared" si="20"/>
        <v>72527.37812500002</v>
      </c>
      <c r="E26" s="57">
        <f t="shared" si="20"/>
        <v>62972.630000000005</v>
      </c>
      <c r="F26" s="57">
        <f t="shared" si="20"/>
        <v>8508.660000000002</v>
      </c>
      <c r="G26" s="57">
        <f t="shared" si="20"/>
        <v>82718.71</v>
      </c>
      <c r="H26" s="57">
        <f t="shared" si="20"/>
        <v>11518.81</v>
      </c>
      <c r="I26" s="57">
        <f t="shared" si="20"/>
        <v>198240.81</v>
      </c>
      <c r="J26" s="57">
        <f t="shared" si="20"/>
        <v>27684.930000000004</v>
      </c>
      <c r="K26" s="57">
        <f t="shared" si="20"/>
        <v>137738.11000000002</v>
      </c>
      <c r="L26" s="57">
        <f t="shared" si="20"/>
        <v>19176.549999999996</v>
      </c>
      <c r="M26" s="57">
        <f t="shared" si="20"/>
        <v>48906.18000000001</v>
      </c>
      <c r="N26" s="57">
        <f t="shared" si="20"/>
        <v>6806.62</v>
      </c>
      <c r="O26" s="57">
        <f t="shared" si="20"/>
        <v>0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7">
        <f t="shared" si="20"/>
        <v>530576.4400000001</v>
      </c>
      <c r="T26" s="57">
        <f t="shared" si="20"/>
        <v>73695.57</v>
      </c>
      <c r="U26" s="61">
        <f t="shared" si="20"/>
        <v>54308.87</v>
      </c>
      <c r="V26" s="61">
        <f t="shared" si="20"/>
        <v>73469.53</v>
      </c>
      <c r="W26" s="61">
        <f t="shared" si="20"/>
        <v>176647.44</v>
      </c>
      <c r="X26" s="61">
        <f t="shared" si="20"/>
        <v>122338.09</v>
      </c>
      <c r="Y26" s="61">
        <f t="shared" si="20"/>
        <v>43447.244</v>
      </c>
      <c r="Z26" s="61">
        <f t="shared" si="20"/>
        <v>0</v>
      </c>
      <c r="AA26" s="61">
        <f t="shared" si="20"/>
        <v>0</v>
      </c>
      <c r="AB26" s="61">
        <f t="shared" si="20"/>
        <v>470211.17399999994</v>
      </c>
      <c r="AC26" s="61">
        <f t="shared" si="20"/>
        <v>616434.1221249999</v>
      </c>
      <c r="AD26" s="61">
        <f t="shared" si="20"/>
        <v>0</v>
      </c>
      <c r="AE26" s="100">
        <f t="shared" si="20"/>
        <v>0</v>
      </c>
      <c r="AF26" s="100">
        <f t="shared" si="20"/>
        <v>12926.100959999998</v>
      </c>
      <c r="AG26" s="18">
        <f t="shared" si="20"/>
        <v>45913.289999999986</v>
      </c>
      <c r="AH26" s="18">
        <f t="shared" si="20"/>
        <v>15371.783550000002</v>
      </c>
      <c r="AI26" s="18">
        <f t="shared" si="20"/>
        <v>64182.307461399985</v>
      </c>
      <c r="AJ26" s="18">
        <f t="shared" si="20"/>
        <v>11552.815343052</v>
      </c>
      <c r="AK26" s="18">
        <f t="shared" si="20"/>
        <v>62391.21944363999</v>
      </c>
      <c r="AL26" s="18">
        <f t="shared" si="20"/>
        <v>11230.4194998552</v>
      </c>
      <c r="AM26" s="18">
        <f t="shared" si="20"/>
        <v>143551.18956335797</v>
      </c>
      <c r="AN26" s="18">
        <f t="shared" si="20"/>
        <v>25839.214121404428</v>
      </c>
      <c r="AO26" s="18">
        <f t="shared" si="20"/>
        <v>0</v>
      </c>
      <c r="AP26" s="18">
        <f t="shared" si="20"/>
        <v>0</v>
      </c>
      <c r="AQ26" s="18">
        <f>SUM(AQ14:AQ25)</f>
        <v>1857.53</v>
      </c>
      <c r="AR26" s="18">
        <f>SUM(AR14:AR25)</f>
        <v>334.3554</v>
      </c>
      <c r="AS26" s="18">
        <f>SUM(AS14:AS25)</f>
        <v>137243.09</v>
      </c>
      <c r="AT26" s="18">
        <f>SUM(AT14:AT25)</f>
        <v>12864.66</v>
      </c>
      <c r="AU26" s="18">
        <f>SUM(AU14:AU25)</f>
        <v>27019.405</v>
      </c>
      <c r="AV26" s="18"/>
      <c r="AW26" s="18"/>
      <c r="AX26" s="18">
        <f t="shared" si="20"/>
        <v>12237.0248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568800.7193827096</v>
      </c>
      <c r="BC26" s="18">
        <f t="shared" si="20"/>
        <v>5734.851270345</v>
      </c>
      <c r="BD26" s="18">
        <f>SUM(BD14:BD25)</f>
        <v>54824.65243194542</v>
      </c>
      <c r="BE26" s="19">
        <f>SUM(BE14:BE25)</f>
        <v>-60365.26599999999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101"/>
      <c r="AD27" s="101"/>
      <c r="AE27" s="102"/>
      <c r="AF27" s="102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6"/>
      <c r="AT27" s="96"/>
      <c r="AU27" s="97"/>
      <c r="AV27" s="97"/>
      <c r="AW27" s="97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855927.015</v>
      </c>
      <c r="D28" s="23">
        <f>D12+D26</f>
        <v>113730.77614475002</v>
      </c>
      <c r="E28" s="50">
        <f aca="true" t="shared" si="21" ref="E28:BC28">E12+E26</f>
        <v>77493.88</v>
      </c>
      <c r="F28" s="50">
        <f t="shared" si="21"/>
        <v>10433.560000000001</v>
      </c>
      <c r="G28" s="50">
        <f t="shared" si="21"/>
        <v>102139.29000000001</v>
      </c>
      <c r="H28" s="50">
        <f t="shared" si="21"/>
        <v>14117.55</v>
      </c>
      <c r="I28" s="50">
        <f t="shared" si="21"/>
        <v>244293.36</v>
      </c>
      <c r="J28" s="50">
        <f t="shared" si="21"/>
        <v>33940.950000000004</v>
      </c>
      <c r="K28" s="50">
        <f t="shared" si="21"/>
        <v>169678.30000000002</v>
      </c>
      <c r="L28" s="50">
        <f t="shared" si="21"/>
        <v>23507.589999999997</v>
      </c>
      <c r="M28" s="50">
        <f t="shared" si="21"/>
        <v>60639.8</v>
      </c>
      <c r="N28" s="50">
        <f>N12+N26</f>
        <v>8346.56</v>
      </c>
      <c r="O28" s="50">
        <f t="shared" si="21"/>
        <v>0</v>
      </c>
      <c r="P28" s="50">
        <f t="shared" si="21"/>
        <v>0</v>
      </c>
      <c r="Q28" s="50">
        <f t="shared" si="21"/>
        <v>0</v>
      </c>
      <c r="R28" s="50">
        <f t="shared" si="21"/>
        <v>0</v>
      </c>
      <c r="S28" s="50">
        <f t="shared" si="21"/>
        <v>654244.6300000001</v>
      </c>
      <c r="T28" s="50">
        <f t="shared" si="21"/>
        <v>90346.21</v>
      </c>
      <c r="U28" s="53">
        <f t="shared" si="21"/>
        <v>63096.04</v>
      </c>
      <c r="V28" s="53">
        <f t="shared" si="21"/>
        <v>85127.01</v>
      </c>
      <c r="W28" s="53">
        <f t="shared" si="21"/>
        <v>204064.32</v>
      </c>
      <c r="X28" s="53">
        <f t="shared" si="21"/>
        <v>141376.53</v>
      </c>
      <c r="Y28" s="53">
        <f t="shared" si="21"/>
        <v>50593.584</v>
      </c>
      <c r="Z28" s="53">
        <f t="shared" si="21"/>
        <v>0</v>
      </c>
      <c r="AA28" s="53">
        <f t="shared" si="21"/>
        <v>0</v>
      </c>
      <c r="AB28" s="53">
        <f t="shared" si="21"/>
        <v>544257.4839999999</v>
      </c>
      <c r="AC28" s="53">
        <f t="shared" si="21"/>
        <v>748334.4701447499</v>
      </c>
      <c r="AD28" s="53">
        <f t="shared" si="21"/>
        <v>0</v>
      </c>
      <c r="AE28" s="53">
        <f>AE12+AE26</f>
        <v>0</v>
      </c>
      <c r="AF28" s="53">
        <f t="shared" si="21"/>
        <v>12926.100959999998</v>
      </c>
      <c r="AG28" s="23">
        <f t="shared" si="21"/>
        <v>57786.98999999998</v>
      </c>
      <c r="AH28" s="23">
        <f t="shared" si="21"/>
        <v>19447.431600000004</v>
      </c>
      <c r="AI28" s="23">
        <f t="shared" si="21"/>
        <v>81022.62424139999</v>
      </c>
      <c r="AJ28" s="23">
        <f t="shared" si="21"/>
        <v>14584.072363452</v>
      </c>
      <c r="AK28" s="23">
        <f t="shared" si="21"/>
        <v>81988.04359444</v>
      </c>
      <c r="AL28" s="23">
        <f t="shared" si="21"/>
        <v>14757.8478469992</v>
      </c>
      <c r="AM28" s="23">
        <f t="shared" si="21"/>
        <v>179541.41084030797</v>
      </c>
      <c r="AN28" s="23">
        <f t="shared" si="21"/>
        <v>32317.453951255426</v>
      </c>
      <c r="AO28" s="23">
        <f t="shared" si="21"/>
        <v>0</v>
      </c>
      <c r="AP28" s="23">
        <f t="shared" si="21"/>
        <v>0</v>
      </c>
      <c r="AQ28" s="23">
        <f t="shared" si="21"/>
        <v>1857.53</v>
      </c>
      <c r="AR28" s="23">
        <f t="shared" si="21"/>
        <v>334.3554</v>
      </c>
      <c r="AS28" s="23">
        <f t="shared" si="21"/>
        <v>206494.95</v>
      </c>
      <c r="AT28" s="23">
        <f t="shared" si="21"/>
        <v>12864.66</v>
      </c>
      <c r="AU28" s="23">
        <f t="shared" si="21"/>
        <v>39484.739799999996</v>
      </c>
      <c r="AV28" s="23"/>
      <c r="AW28" s="23"/>
      <c r="AX28" s="23">
        <f t="shared" si="21"/>
        <v>12237.0248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751931.5496378546</v>
      </c>
      <c r="BC28" s="23">
        <f t="shared" si="21"/>
        <v>5734.851270345</v>
      </c>
      <c r="BD28" s="23">
        <f>BD12+BD26</f>
        <v>3594.1701965504326</v>
      </c>
      <c r="BE28" s="24">
        <f>BE12+BE26</f>
        <v>-109987.14599999998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8"/>
      <c r="AD29" s="98"/>
      <c r="AE29" s="99"/>
      <c r="AF29" s="99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5"/>
      <c r="AT29" s="95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4">
        <v>6572.9</v>
      </c>
      <c r="C30" s="131">
        <f aca="true" t="shared" si="22" ref="C30:C41">B30*8.65</f>
        <v>56855.585</v>
      </c>
      <c r="D30" s="130">
        <f aca="true" t="shared" si="23" ref="D30:D41">C30-E30-F30-G30-H30-I30-J30-K30-L30-M30-N30</f>
        <v>5671.665000000003</v>
      </c>
      <c r="E30" s="107">
        <v>5182.97</v>
      </c>
      <c r="F30" s="107">
        <v>724.84</v>
      </c>
      <c r="G30" s="107">
        <v>7020.18</v>
      </c>
      <c r="H30" s="107">
        <v>982.47</v>
      </c>
      <c r="I30" s="107">
        <v>16867.89</v>
      </c>
      <c r="J30" s="107">
        <v>2359.6</v>
      </c>
      <c r="K30" s="107">
        <v>11684.9</v>
      </c>
      <c r="L30" s="107">
        <v>1634.82</v>
      </c>
      <c r="M30" s="107">
        <v>4146.43</v>
      </c>
      <c r="N30" s="107">
        <v>579.82</v>
      </c>
      <c r="O30" s="107">
        <v>0</v>
      </c>
      <c r="P30" s="114">
        <v>0</v>
      </c>
      <c r="Q30" s="114"/>
      <c r="R30" s="114"/>
      <c r="S30" s="91">
        <f aca="true" t="shared" si="24" ref="S30:S41">E30+G30+I30+K30+M30+O30+Q30</f>
        <v>44902.37</v>
      </c>
      <c r="T30" s="108">
        <f aca="true" t="shared" si="25" ref="T30:T41">P30+N30+L30+J30+H30+F30+R30</f>
        <v>6281.55</v>
      </c>
      <c r="U30" s="91">
        <v>3562.69</v>
      </c>
      <c r="V30" s="91">
        <v>4824.89</v>
      </c>
      <c r="W30" s="91">
        <v>11593.99</v>
      </c>
      <c r="X30" s="91">
        <v>8031.36</v>
      </c>
      <c r="Y30" s="91">
        <v>2850.15</v>
      </c>
      <c r="Z30" s="109">
        <v>0</v>
      </c>
      <c r="AA30" s="109">
        <v>0</v>
      </c>
      <c r="AB30" s="109">
        <f>SUM(U30:AA30)</f>
        <v>30863.08</v>
      </c>
      <c r="AC30" s="113">
        <f aca="true" t="shared" si="26" ref="AC30:AC41">D30+T30+AB30</f>
        <v>42816.295000000006</v>
      </c>
      <c r="AD30" s="102">
        <f aca="true" t="shared" si="27" ref="AD30:AD41">P30+Z30</f>
        <v>0</v>
      </c>
      <c r="AE30" s="102">
        <f aca="true" t="shared" si="28" ref="AE30:AE41">R30+AA30</f>
        <v>0</v>
      </c>
      <c r="AF30" s="102">
        <f>'[5]Т01-10'!$I$6+'[5]Т01-10'!$I$72</f>
        <v>1322.7250999999999</v>
      </c>
      <c r="AG30" s="16">
        <f aca="true" t="shared" si="29" ref="AG30:AG41">0.6*B30</f>
        <v>3943.74</v>
      </c>
      <c r="AH30" s="16">
        <f aca="true" t="shared" si="30" ref="AH30:AH41">B30*0.2</f>
        <v>1314.58</v>
      </c>
      <c r="AI30" s="16">
        <f aca="true" t="shared" si="31" ref="AI30:AI41">1*B30</f>
        <v>6572.9</v>
      </c>
      <c r="AJ30" s="16">
        <v>0</v>
      </c>
      <c r="AK30" s="16">
        <f aca="true" t="shared" si="32" ref="AK30:AK41">0.98*B30</f>
        <v>6441.441999999999</v>
      </c>
      <c r="AL30" s="16">
        <v>0</v>
      </c>
      <c r="AM30" s="16">
        <f aca="true" t="shared" si="33" ref="AM30:AM41">2.25*B30</f>
        <v>14789.025</v>
      </c>
      <c r="AN30" s="16">
        <v>0</v>
      </c>
      <c r="AO30" s="16"/>
      <c r="AP30" s="16">
        <v>0</v>
      </c>
      <c r="AQ30" s="117"/>
      <c r="AR30" s="117"/>
      <c r="AS30" s="97">
        <v>929</v>
      </c>
      <c r="AT30" s="97"/>
      <c r="AU30" s="97">
        <f aca="true" t="shared" si="34" ref="AU30:AU35">AT30*0.18</f>
        <v>0</v>
      </c>
      <c r="AV30" s="118">
        <v>508</v>
      </c>
      <c r="AW30" s="134">
        <v>1.625</v>
      </c>
      <c r="AX30" s="16">
        <f aca="true" t="shared" si="35" ref="AX30:AX37">AV30*AW30*1.4</f>
        <v>1155.6999999999998</v>
      </c>
      <c r="AY30" s="121"/>
      <c r="AZ30" s="122"/>
      <c r="BA30" s="122">
        <f aca="true" t="shared" si="36" ref="BA30:BA41">AZ30*0.18</f>
        <v>0</v>
      </c>
      <c r="BB30" s="122">
        <f aca="true" t="shared" si="37" ref="BB30:BB41">SUM(AG30:BA30)-AV30-AW30</f>
        <v>35146.386999999995</v>
      </c>
      <c r="BC30" s="132">
        <f>'[5]Т03-10'!$M$6+'[5]Т03-10'!$M$73</f>
        <v>593.605</v>
      </c>
      <c r="BD30" s="14">
        <f>AC30+AF30-BB30-BC30</f>
        <v>8399.028100000014</v>
      </c>
      <c r="BE30" s="30">
        <f>AB30-S30</f>
        <v>-14039.29</v>
      </c>
    </row>
    <row r="31" spans="1:57" ht="12.75">
      <c r="A31" s="11" t="s">
        <v>46</v>
      </c>
      <c r="B31" s="115">
        <v>6571.7</v>
      </c>
      <c r="C31" s="131">
        <f t="shared" si="22"/>
        <v>56845.205</v>
      </c>
      <c r="D31" s="130">
        <f t="shared" si="23"/>
        <v>5674.245</v>
      </c>
      <c r="E31" s="136">
        <v>5182.2</v>
      </c>
      <c r="F31" s="137">
        <v>724.11</v>
      </c>
      <c r="G31" s="137">
        <v>7019.15</v>
      </c>
      <c r="H31" s="137">
        <v>981.48</v>
      </c>
      <c r="I31" s="137">
        <v>16865.4</v>
      </c>
      <c r="J31" s="137">
        <v>2357.24</v>
      </c>
      <c r="K31" s="137">
        <v>11683.17</v>
      </c>
      <c r="L31" s="137">
        <v>1633.18</v>
      </c>
      <c r="M31" s="137">
        <v>4145.79</v>
      </c>
      <c r="N31" s="137">
        <v>579.24</v>
      </c>
      <c r="O31" s="137">
        <v>0</v>
      </c>
      <c r="P31" s="138">
        <v>0</v>
      </c>
      <c r="Q31" s="137">
        <v>0</v>
      </c>
      <c r="R31" s="138">
        <v>0</v>
      </c>
      <c r="S31" s="91">
        <f t="shared" si="24"/>
        <v>44895.71</v>
      </c>
      <c r="T31" s="108">
        <f t="shared" si="25"/>
        <v>6275.249999999999</v>
      </c>
      <c r="U31" s="91">
        <v>4484.33</v>
      </c>
      <c r="V31" s="91">
        <v>6072.72</v>
      </c>
      <c r="W31" s="91">
        <v>14592.96</v>
      </c>
      <c r="X31" s="91">
        <v>10108.71</v>
      </c>
      <c r="Y31" s="91">
        <v>3587.43</v>
      </c>
      <c r="Z31" s="109">
        <v>0</v>
      </c>
      <c r="AA31" s="109">
        <v>0</v>
      </c>
      <c r="AB31" s="109">
        <f>SUM(U31:AA31)</f>
        <v>38846.15</v>
      </c>
      <c r="AC31" s="113">
        <f t="shared" si="26"/>
        <v>50795.645000000004</v>
      </c>
      <c r="AD31" s="102">
        <f t="shared" si="27"/>
        <v>0</v>
      </c>
      <c r="AE31" s="102">
        <f t="shared" si="28"/>
        <v>0</v>
      </c>
      <c r="AF31" s="102">
        <f>'[5]Т01-10'!$I$6+'[5]Т01-10'!$I$72</f>
        <v>1322.7250999999999</v>
      </c>
      <c r="AG31" s="16">
        <f t="shared" si="29"/>
        <v>3943.0199999999995</v>
      </c>
      <c r="AH31" s="16">
        <f t="shared" si="30"/>
        <v>1314.3400000000001</v>
      </c>
      <c r="AI31" s="16">
        <f t="shared" si="31"/>
        <v>6571.7</v>
      </c>
      <c r="AJ31" s="16">
        <v>0</v>
      </c>
      <c r="AK31" s="16">
        <f t="shared" si="32"/>
        <v>6440.266</v>
      </c>
      <c r="AL31" s="16">
        <v>0</v>
      </c>
      <c r="AM31" s="16">
        <f t="shared" si="33"/>
        <v>14786.324999999999</v>
      </c>
      <c r="AN31" s="16">
        <v>0</v>
      </c>
      <c r="AO31" s="16"/>
      <c r="AP31" s="16"/>
      <c r="AQ31" s="117"/>
      <c r="AR31" s="117"/>
      <c r="AS31" s="97">
        <v>17379</v>
      </c>
      <c r="AT31" s="97"/>
      <c r="AU31" s="97">
        <f t="shared" si="34"/>
        <v>0</v>
      </c>
      <c r="AV31" s="118">
        <v>407</v>
      </c>
      <c r="AW31" s="134">
        <v>1.625</v>
      </c>
      <c r="AX31" s="16">
        <f t="shared" si="35"/>
        <v>925.925</v>
      </c>
      <c r="AY31" s="121"/>
      <c r="AZ31" s="122"/>
      <c r="BA31" s="122">
        <f t="shared" si="36"/>
        <v>0</v>
      </c>
      <c r="BB31" s="122">
        <f t="shared" si="37"/>
        <v>51360.576</v>
      </c>
      <c r="BC31" s="132">
        <f>'[5]Т03-10'!$M$6+'[5]Т03-10'!$M$73</f>
        <v>593.605</v>
      </c>
      <c r="BD31" s="14">
        <f aca="true" t="shared" si="38" ref="BD31:BD41">AC31+AF31-BB31-BC31</f>
        <v>164.18910000000642</v>
      </c>
      <c r="BE31" s="30">
        <f aca="true" t="shared" si="39" ref="BE31:BE41">AB31-S31</f>
        <v>-6049.559999999998</v>
      </c>
    </row>
    <row r="32" spans="1:57" ht="12.75">
      <c r="A32" s="11" t="s">
        <v>47</v>
      </c>
      <c r="B32" s="104">
        <v>6571.7</v>
      </c>
      <c r="C32" s="131">
        <f t="shared" si="22"/>
        <v>56845.205</v>
      </c>
      <c r="D32" s="130">
        <f t="shared" si="23"/>
        <v>5672.884999999998</v>
      </c>
      <c r="E32" s="107">
        <v>5186.9</v>
      </c>
      <c r="F32" s="107">
        <v>719.57</v>
      </c>
      <c r="G32" s="107">
        <v>7025.5</v>
      </c>
      <c r="H32" s="107">
        <v>975.33</v>
      </c>
      <c r="I32" s="107">
        <v>16880.69</v>
      </c>
      <c r="J32" s="107">
        <v>2342.47</v>
      </c>
      <c r="K32" s="107">
        <v>11693.76</v>
      </c>
      <c r="L32" s="107">
        <v>1622.95</v>
      </c>
      <c r="M32" s="107">
        <v>4149.54</v>
      </c>
      <c r="N32" s="107">
        <v>575.61</v>
      </c>
      <c r="O32" s="107">
        <v>0</v>
      </c>
      <c r="P32" s="114">
        <v>0</v>
      </c>
      <c r="Q32" s="114">
        <v>0</v>
      </c>
      <c r="R32" s="114">
        <v>0</v>
      </c>
      <c r="S32" s="91">
        <f t="shared" si="24"/>
        <v>44936.39</v>
      </c>
      <c r="T32" s="108">
        <f t="shared" si="25"/>
        <v>6235.929999999999</v>
      </c>
      <c r="U32" s="91">
        <v>4728.91</v>
      </c>
      <c r="V32" s="91">
        <v>6404.64</v>
      </c>
      <c r="W32" s="91">
        <v>15389.55</v>
      </c>
      <c r="X32" s="91">
        <v>10660.38</v>
      </c>
      <c r="Y32" s="91">
        <v>3783.2</v>
      </c>
      <c r="Z32" s="109">
        <v>0</v>
      </c>
      <c r="AA32" s="109">
        <v>0</v>
      </c>
      <c r="AB32" s="109">
        <f>SUM(U32:AA32)</f>
        <v>40966.67999999999</v>
      </c>
      <c r="AC32" s="113">
        <f t="shared" si="26"/>
        <v>52875.494999999995</v>
      </c>
      <c r="AD32" s="102">
        <f t="shared" si="27"/>
        <v>0</v>
      </c>
      <c r="AE32" s="102">
        <f t="shared" si="28"/>
        <v>0</v>
      </c>
      <c r="AF32" s="102">
        <f>'[5]Т01-10'!$I$6+'[5]Т01-10'!$I$72</f>
        <v>1322.7250999999999</v>
      </c>
      <c r="AG32" s="16">
        <f t="shared" si="29"/>
        <v>3943.0199999999995</v>
      </c>
      <c r="AH32" s="16">
        <f t="shared" si="30"/>
        <v>1314.3400000000001</v>
      </c>
      <c r="AI32" s="16">
        <f t="shared" si="31"/>
        <v>6571.7</v>
      </c>
      <c r="AJ32" s="16">
        <v>0</v>
      </c>
      <c r="AK32" s="16">
        <f t="shared" si="32"/>
        <v>6440.266</v>
      </c>
      <c r="AL32" s="16">
        <v>0</v>
      </c>
      <c r="AM32" s="16">
        <f t="shared" si="33"/>
        <v>14786.324999999999</v>
      </c>
      <c r="AN32" s="16">
        <v>0</v>
      </c>
      <c r="AO32" s="16"/>
      <c r="AP32" s="16"/>
      <c r="AQ32" s="117"/>
      <c r="AR32" s="117"/>
      <c r="AS32" s="97">
        <v>18449</v>
      </c>
      <c r="AT32" s="97">
        <f>20+36+24+128+480+3500+2650+70+75+168+192+284+306+49</f>
        <v>7982</v>
      </c>
      <c r="AU32" s="97">
        <f t="shared" si="34"/>
        <v>1436.76</v>
      </c>
      <c r="AV32" s="118">
        <v>383</v>
      </c>
      <c r="AW32" s="134">
        <v>1.625</v>
      </c>
      <c r="AX32" s="16">
        <f t="shared" si="35"/>
        <v>871.3249999999999</v>
      </c>
      <c r="AY32" s="121"/>
      <c r="AZ32" s="122"/>
      <c r="BA32" s="122">
        <f t="shared" si="36"/>
        <v>0</v>
      </c>
      <c r="BB32" s="122">
        <f t="shared" si="37"/>
        <v>61794.736</v>
      </c>
      <c r="BC32" s="132">
        <f>'[5]Т03-10'!$M$6+'[5]Т03-10'!$M$73</f>
        <v>593.605</v>
      </c>
      <c r="BD32" s="14">
        <f t="shared" si="38"/>
        <v>-8190.120899999998</v>
      </c>
      <c r="BE32" s="30">
        <f t="shared" si="39"/>
        <v>-3969.7100000000064</v>
      </c>
    </row>
    <row r="33" spans="1:57" ht="12.75">
      <c r="A33" s="11" t="s">
        <v>48</v>
      </c>
      <c r="B33" s="104">
        <v>6571.7</v>
      </c>
      <c r="C33" s="131">
        <f t="shared" si="22"/>
        <v>56845.205</v>
      </c>
      <c r="D33" s="130">
        <f t="shared" si="23"/>
        <v>5566.6349999999975</v>
      </c>
      <c r="E33" s="107">
        <v>5236.44</v>
      </c>
      <c r="F33" s="107">
        <v>682.52</v>
      </c>
      <c r="G33" s="107">
        <v>7091.98</v>
      </c>
      <c r="H33" s="107">
        <v>925.12</v>
      </c>
      <c r="I33" s="107">
        <v>17041.23</v>
      </c>
      <c r="J33" s="107">
        <v>2221.9</v>
      </c>
      <c r="K33" s="107">
        <v>11804.8</v>
      </c>
      <c r="L33" s="107">
        <v>1539.4</v>
      </c>
      <c r="M33" s="107">
        <v>4189.19</v>
      </c>
      <c r="N33" s="107">
        <v>545.99</v>
      </c>
      <c r="O33" s="107">
        <v>0</v>
      </c>
      <c r="P33" s="114">
        <v>0</v>
      </c>
      <c r="Q33" s="114"/>
      <c r="R33" s="114"/>
      <c r="S33" s="91">
        <f t="shared" si="24"/>
        <v>45363.64</v>
      </c>
      <c r="T33" s="108">
        <f t="shared" si="25"/>
        <v>5914.93</v>
      </c>
      <c r="U33" s="91">
        <v>3823.82</v>
      </c>
      <c r="V33" s="91">
        <v>5163.26</v>
      </c>
      <c r="W33" s="91">
        <v>12427.79</v>
      </c>
      <c r="X33" s="91">
        <v>8603.96</v>
      </c>
      <c r="Y33" s="91">
        <v>3059.22</v>
      </c>
      <c r="Z33" s="109">
        <v>0</v>
      </c>
      <c r="AA33" s="109">
        <v>0</v>
      </c>
      <c r="AB33" s="109">
        <f>SUM(U33:AA33)</f>
        <v>33078.05</v>
      </c>
      <c r="AC33" s="113">
        <f t="shared" si="26"/>
        <v>44559.615000000005</v>
      </c>
      <c r="AD33" s="102">
        <f t="shared" si="27"/>
        <v>0</v>
      </c>
      <c r="AE33" s="102">
        <f t="shared" si="28"/>
        <v>0</v>
      </c>
      <c r="AF33" s="102">
        <f>'[6]Т04-10'!$I$6+'[6]Т04-10'!$I$73+'[6]Т04-10'!$I$126</f>
        <v>2168.6317</v>
      </c>
      <c r="AG33" s="16">
        <f t="shared" si="29"/>
        <v>3943.0199999999995</v>
      </c>
      <c r="AH33" s="16">
        <f t="shared" si="30"/>
        <v>1314.3400000000001</v>
      </c>
      <c r="AI33" s="16">
        <f t="shared" si="31"/>
        <v>6571.7</v>
      </c>
      <c r="AJ33" s="16">
        <v>0</v>
      </c>
      <c r="AK33" s="16">
        <f t="shared" si="32"/>
        <v>6440.266</v>
      </c>
      <c r="AL33" s="16">
        <v>0</v>
      </c>
      <c r="AM33" s="16">
        <f t="shared" si="33"/>
        <v>14786.324999999999</v>
      </c>
      <c r="AN33" s="16">
        <v>0</v>
      </c>
      <c r="AO33" s="16"/>
      <c r="AP33" s="16"/>
      <c r="AQ33" s="117"/>
      <c r="AR33" s="117"/>
      <c r="AS33" s="97">
        <v>29479</v>
      </c>
      <c r="AT33" s="97"/>
      <c r="AU33" s="97">
        <f t="shared" si="34"/>
        <v>0</v>
      </c>
      <c r="AV33" s="118">
        <v>307</v>
      </c>
      <c r="AW33" s="134">
        <v>1.625</v>
      </c>
      <c r="AX33" s="16">
        <f t="shared" si="35"/>
        <v>698.425</v>
      </c>
      <c r="AY33" s="121"/>
      <c r="AZ33" s="122"/>
      <c r="BA33" s="122">
        <f t="shared" si="36"/>
        <v>0</v>
      </c>
      <c r="BB33" s="122">
        <f t="shared" si="37"/>
        <v>63233.076</v>
      </c>
      <c r="BC33" s="132">
        <f>'[7]Т04-10'!$M$6+'[7]Т04-10'!$M$73+'[7]Т04-10'!$M$127</f>
        <v>794.96</v>
      </c>
      <c r="BD33" s="14">
        <f t="shared" si="38"/>
        <v>-17299.789299999997</v>
      </c>
      <c r="BE33" s="30">
        <f t="shared" si="39"/>
        <v>-12285.589999999997</v>
      </c>
    </row>
    <row r="34" spans="1:57" ht="12.75">
      <c r="A34" s="11" t="s">
        <v>49</v>
      </c>
      <c r="B34" s="104">
        <v>6576.32</v>
      </c>
      <c r="C34" s="131">
        <f t="shared" si="22"/>
        <v>56885.168</v>
      </c>
      <c r="D34" s="130">
        <f t="shared" si="23"/>
        <v>5664.888000000001</v>
      </c>
      <c r="E34" s="107">
        <v>5190.28</v>
      </c>
      <c r="F34" s="107">
        <v>721.77</v>
      </c>
      <c r="G34" s="107">
        <v>7029.96</v>
      </c>
      <c r="H34" s="107">
        <v>978.32</v>
      </c>
      <c r="I34" s="107">
        <v>16891.49</v>
      </c>
      <c r="J34" s="107">
        <v>2349.65</v>
      </c>
      <c r="K34" s="107">
        <v>11701.22</v>
      </c>
      <c r="L34" s="107">
        <v>1627.92</v>
      </c>
      <c r="M34" s="107">
        <v>4152.29</v>
      </c>
      <c r="N34" s="107">
        <v>577.38</v>
      </c>
      <c r="O34" s="107">
        <v>0</v>
      </c>
      <c r="P34" s="114">
        <v>0</v>
      </c>
      <c r="Q34" s="114"/>
      <c r="R34" s="114"/>
      <c r="S34" s="91">
        <f t="shared" si="24"/>
        <v>44965.240000000005</v>
      </c>
      <c r="T34" s="108">
        <f t="shared" si="25"/>
        <v>6255.040000000001</v>
      </c>
      <c r="U34" s="139">
        <v>4822.23</v>
      </c>
      <c r="V34" s="139">
        <v>6530.29</v>
      </c>
      <c r="W34" s="139">
        <v>15691.9</v>
      </c>
      <c r="X34" s="139">
        <v>10869.72</v>
      </c>
      <c r="Y34" s="139">
        <v>3857.8</v>
      </c>
      <c r="Z34" s="140">
        <v>0</v>
      </c>
      <c r="AA34" s="140">
        <v>0</v>
      </c>
      <c r="AB34" s="109">
        <f aca="true" t="shared" si="40" ref="AB34:AB41">SUM(U34:AA34)</f>
        <v>41771.94</v>
      </c>
      <c r="AC34" s="113">
        <f t="shared" si="26"/>
        <v>53691.868</v>
      </c>
      <c r="AD34" s="102">
        <f t="shared" si="27"/>
        <v>0</v>
      </c>
      <c r="AE34" s="102">
        <f t="shared" si="28"/>
        <v>0</v>
      </c>
      <c r="AF34" s="102">
        <f>'[6]Т05-10'!$I$6+'[6]Т05-10'!$I$73+'[6]Т05-10'!$I$127</f>
        <v>1745.6783999999998</v>
      </c>
      <c r="AG34" s="16">
        <f t="shared" si="29"/>
        <v>3945.7919999999995</v>
      </c>
      <c r="AH34" s="16">
        <f t="shared" si="30"/>
        <v>1315.2640000000001</v>
      </c>
      <c r="AI34" s="16">
        <f t="shared" si="31"/>
        <v>6576.32</v>
      </c>
      <c r="AJ34" s="16">
        <v>0</v>
      </c>
      <c r="AK34" s="16">
        <f t="shared" si="32"/>
        <v>6444.7936</v>
      </c>
      <c r="AL34" s="16">
        <v>0</v>
      </c>
      <c r="AM34" s="16">
        <f t="shared" si="33"/>
        <v>14796.72</v>
      </c>
      <c r="AN34" s="16">
        <v>0</v>
      </c>
      <c r="AO34" s="16"/>
      <c r="AP34" s="16"/>
      <c r="AQ34" s="117"/>
      <c r="AR34" s="117"/>
      <c r="AS34" s="97">
        <v>6201</v>
      </c>
      <c r="AT34" s="97"/>
      <c r="AU34" s="97">
        <f t="shared" si="34"/>
        <v>0</v>
      </c>
      <c r="AV34" s="118">
        <v>263</v>
      </c>
      <c r="AW34" s="134">
        <v>1.625</v>
      </c>
      <c r="AX34" s="16">
        <f t="shared" si="35"/>
        <v>598.3249999999999</v>
      </c>
      <c r="AY34" s="121"/>
      <c r="AZ34" s="122"/>
      <c r="BA34" s="122">
        <f t="shared" si="36"/>
        <v>0</v>
      </c>
      <c r="BB34" s="122">
        <f t="shared" si="37"/>
        <v>39878.2146</v>
      </c>
      <c r="BC34" s="132">
        <f>'[6]Т05-10'!$M$6+'[6]Т05-10'!$M$73+'[6]Т05-10'!$M$127</f>
        <v>794.96</v>
      </c>
      <c r="BD34" s="14">
        <f t="shared" si="38"/>
        <v>14764.3718</v>
      </c>
      <c r="BE34" s="30">
        <f t="shared" si="39"/>
        <v>-3193.300000000003</v>
      </c>
    </row>
    <row r="35" spans="1:57" ht="12.75">
      <c r="A35" s="11" t="s">
        <v>50</v>
      </c>
      <c r="B35" s="104">
        <v>6576.32</v>
      </c>
      <c r="C35" s="131">
        <f t="shared" si="22"/>
        <v>56885.168</v>
      </c>
      <c r="D35" s="130">
        <f t="shared" si="23"/>
        <v>5667.608000000001</v>
      </c>
      <c r="E35" s="107">
        <v>5189.95</v>
      </c>
      <c r="F35" s="107">
        <v>721.77</v>
      </c>
      <c r="G35" s="107">
        <v>7029.53</v>
      </c>
      <c r="H35" s="107">
        <v>978.32</v>
      </c>
      <c r="I35" s="107">
        <v>16890.49</v>
      </c>
      <c r="J35" s="107">
        <v>2349.65</v>
      </c>
      <c r="K35" s="107">
        <v>11700.54</v>
      </c>
      <c r="L35" s="107">
        <v>1627.92</v>
      </c>
      <c r="M35" s="107">
        <v>4152.01</v>
      </c>
      <c r="N35" s="107">
        <v>577.38</v>
      </c>
      <c r="O35" s="107">
        <v>0</v>
      </c>
      <c r="P35" s="114">
        <v>0</v>
      </c>
      <c r="Q35" s="107">
        <v>0</v>
      </c>
      <c r="R35" s="114">
        <v>0</v>
      </c>
      <c r="S35" s="91">
        <f t="shared" si="24"/>
        <v>44962.520000000004</v>
      </c>
      <c r="T35" s="108">
        <f t="shared" si="25"/>
        <v>6255.040000000001</v>
      </c>
      <c r="U35" s="91">
        <v>5786.53</v>
      </c>
      <c r="V35" s="91">
        <v>7833.84</v>
      </c>
      <c r="W35" s="91">
        <v>18828.85</v>
      </c>
      <c r="X35" s="91">
        <v>13041.84</v>
      </c>
      <c r="Y35" s="91">
        <v>4629.74</v>
      </c>
      <c r="Z35" s="109">
        <v>0</v>
      </c>
      <c r="AA35" s="109">
        <v>0</v>
      </c>
      <c r="AB35" s="109">
        <f t="shared" si="40"/>
        <v>50120.799999999996</v>
      </c>
      <c r="AC35" s="113">
        <f t="shared" si="26"/>
        <v>62043.448</v>
      </c>
      <c r="AD35" s="102">
        <f t="shared" si="27"/>
        <v>0</v>
      </c>
      <c r="AE35" s="102">
        <f t="shared" si="28"/>
        <v>0</v>
      </c>
      <c r="AF35" s="102">
        <f>'[6]Т05-10'!$I$6+'[6]Т05-10'!$I$73+'[6]Т05-10'!$I$127</f>
        <v>1745.6783999999998</v>
      </c>
      <c r="AG35" s="16">
        <f t="shared" si="29"/>
        <v>3945.7919999999995</v>
      </c>
      <c r="AH35" s="16">
        <f t="shared" si="30"/>
        <v>1315.2640000000001</v>
      </c>
      <c r="AI35" s="16">
        <f t="shared" si="31"/>
        <v>6576.32</v>
      </c>
      <c r="AJ35" s="16">
        <v>0</v>
      </c>
      <c r="AK35" s="16">
        <f t="shared" si="32"/>
        <v>6444.7936</v>
      </c>
      <c r="AL35" s="16">
        <v>0</v>
      </c>
      <c r="AM35" s="16">
        <f t="shared" si="33"/>
        <v>14796.72</v>
      </c>
      <c r="AN35" s="16">
        <v>0</v>
      </c>
      <c r="AO35" s="16"/>
      <c r="AP35" s="16"/>
      <c r="AQ35" s="117"/>
      <c r="AR35" s="117"/>
      <c r="AS35" s="97">
        <v>1422</v>
      </c>
      <c r="AT35" s="97">
        <f>43933.03+766.27</f>
        <v>44699.299999999996</v>
      </c>
      <c r="AU35" s="97">
        <f t="shared" si="34"/>
        <v>8045.873999999999</v>
      </c>
      <c r="AV35" s="118">
        <v>233</v>
      </c>
      <c r="AW35" s="134">
        <v>1.625</v>
      </c>
      <c r="AX35" s="16">
        <f t="shared" si="35"/>
        <v>530.0749999999999</v>
      </c>
      <c r="AY35" s="121"/>
      <c r="AZ35" s="122"/>
      <c r="BA35" s="122">
        <f t="shared" si="36"/>
        <v>0</v>
      </c>
      <c r="BB35" s="122">
        <f t="shared" si="37"/>
        <v>87776.13859999999</v>
      </c>
      <c r="BC35" s="132">
        <f>'[6]Т06-10'!$M$6+'[6]Т06-10'!$M$71+'[6]Т06-10'!$M$124</f>
        <v>794.96</v>
      </c>
      <c r="BD35" s="14">
        <f t="shared" si="38"/>
        <v>-24781.972199999997</v>
      </c>
      <c r="BE35" s="30">
        <f t="shared" si="39"/>
        <v>5158.279999999992</v>
      </c>
    </row>
    <row r="36" spans="1:57" ht="12.75">
      <c r="A36" s="11" t="s">
        <v>51</v>
      </c>
      <c r="B36" s="104">
        <v>6576.32</v>
      </c>
      <c r="C36" s="131">
        <f t="shared" si="22"/>
        <v>56885.168</v>
      </c>
      <c r="D36" s="130">
        <f t="shared" si="23"/>
        <v>5600.137999999999</v>
      </c>
      <c r="E36" s="141">
        <v>5900.77</v>
      </c>
      <c r="F36" s="107">
        <v>18.9</v>
      </c>
      <c r="G36" s="107">
        <v>7992.56</v>
      </c>
      <c r="H36" s="107">
        <v>25.62</v>
      </c>
      <c r="I36" s="107">
        <v>19203.99</v>
      </c>
      <c r="J36" s="107">
        <v>61.53</v>
      </c>
      <c r="K36" s="107">
        <v>13303.29</v>
      </c>
      <c r="L36" s="107">
        <v>42.63</v>
      </c>
      <c r="M36" s="107">
        <v>4720.62</v>
      </c>
      <c r="N36" s="107">
        <v>15.12</v>
      </c>
      <c r="O36" s="107">
        <v>0</v>
      </c>
      <c r="P36" s="114">
        <v>0</v>
      </c>
      <c r="Q36" s="114"/>
      <c r="R36" s="114"/>
      <c r="S36" s="91">
        <f t="shared" si="24"/>
        <v>51121.23000000001</v>
      </c>
      <c r="T36" s="108">
        <f t="shared" si="25"/>
        <v>163.8</v>
      </c>
      <c r="U36" s="93">
        <v>5963.24</v>
      </c>
      <c r="V36" s="91">
        <v>8069.57</v>
      </c>
      <c r="W36" s="91">
        <v>19398.88</v>
      </c>
      <c r="X36" s="91">
        <v>13436.75</v>
      </c>
      <c r="Y36" s="91">
        <v>4769.95</v>
      </c>
      <c r="Z36" s="109">
        <v>0</v>
      </c>
      <c r="AA36" s="109">
        <v>0</v>
      </c>
      <c r="AB36" s="109">
        <f t="shared" si="40"/>
        <v>51638.39</v>
      </c>
      <c r="AC36" s="113">
        <f t="shared" si="26"/>
        <v>57402.328</v>
      </c>
      <c r="AD36" s="102">
        <f t="shared" si="27"/>
        <v>0</v>
      </c>
      <c r="AE36" s="102">
        <f t="shared" si="28"/>
        <v>0</v>
      </c>
      <c r="AF36" s="102">
        <f>'[7]Т07-10'!$I$6+'[7]Т07-10'!$I$70+'[7]Т07-10'!$I$123</f>
        <v>1745.6883999999998</v>
      </c>
      <c r="AG36" s="16">
        <f t="shared" si="29"/>
        <v>3945.7919999999995</v>
      </c>
      <c r="AH36" s="16">
        <f t="shared" si="30"/>
        <v>1315.2640000000001</v>
      </c>
      <c r="AI36" s="16">
        <f t="shared" si="31"/>
        <v>6576.32</v>
      </c>
      <c r="AJ36" s="16">
        <v>0</v>
      </c>
      <c r="AK36" s="16">
        <f t="shared" si="32"/>
        <v>6444.7936</v>
      </c>
      <c r="AL36" s="16">
        <v>0</v>
      </c>
      <c r="AM36" s="16">
        <f t="shared" si="33"/>
        <v>14796.72</v>
      </c>
      <c r="AN36" s="16">
        <v>0</v>
      </c>
      <c r="AO36" s="16"/>
      <c r="AP36" s="16"/>
      <c r="AQ36" s="117"/>
      <c r="AR36" s="117"/>
      <c r="AS36" s="97"/>
      <c r="AT36" s="97">
        <f>1664.13+43.31+410.52+0.01</f>
        <v>2117.9700000000003</v>
      </c>
      <c r="AU36" s="97">
        <f>AT36*0.18-0.41</f>
        <v>380.82460000000003</v>
      </c>
      <c r="AV36" s="118">
        <v>248</v>
      </c>
      <c r="AW36" s="134">
        <v>1.625</v>
      </c>
      <c r="AX36" s="16">
        <f t="shared" si="35"/>
        <v>564.1999999999999</v>
      </c>
      <c r="AY36" s="121"/>
      <c r="AZ36" s="122"/>
      <c r="BA36" s="122">
        <f t="shared" si="36"/>
        <v>0</v>
      </c>
      <c r="BB36" s="122">
        <f t="shared" si="37"/>
        <v>36141.8842</v>
      </c>
      <c r="BC36" s="132">
        <f>'[7]Т07-10'!$M$6+'[7]Т07-10'!$M$70+'[7]Т07-10'!$M$123</f>
        <v>794.96</v>
      </c>
      <c r="BD36" s="14">
        <f t="shared" si="38"/>
        <v>22211.1722</v>
      </c>
      <c r="BE36" s="30">
        <f t="shared" si="39"/>
        <v>517.1599999999889</v>
      </c>
    </row>
    <row r="37" spans="1:57" ht="12.75">
      <c r="A37" s="11" t="s">
        <v>52</v>
      </c>
      <c r="B37" s="104">
        <v>6571.82</v>
      </c>
      <c r="C37" s="131">
        <f t="shared" si="22"/>
        <v>56846.243</v>
      </c>
      <c r="D37" s="130">
        <f t="shared" si="23"/>
        <v>5574.823000000005</v>
      </c>
      <c r="E37" s="141">
        <v>5899.23</v>
      </c>
      <c r="F37" s="107">
        <v>18.9</v>
      </c>
      <c r="G37" s="107">
        <v>7990.35</v>
      </c>
      <c r="H37" s="107">
        <v>25.62</v>
      </c>
      <c r="I37" s="107">
        <v>19198.9</v>
      </c>
      <c r="J37" s="107">
        <v>61.53</v>
      </c>
      <c r="K37" s="107">
        <v>13299.73</v>
      </c>
      <c r="L37" s="107">
        <v>42.63</v>
      </c>
      <c r="M37" s="107">
        <v>4719.41</v>
      </c>
      <c r="N37" s="107">
        <v>15.12</v>
      </c>
      <c r="O37" s="107">
        <v>0</v>
      </c>
      <c r="P37" s="114">
        <v>0</v>
      </c>
      <c r="Q37" s="114"/>
      <c r="R37" s="114"/>
      <c r="S37" s="91">
        <f t="shared" si="24"/>
        <v>51107.62000000001</v>
      </c>
      <c r="T37" s="108">
        <f t="shared" si="25"/>
        <v>163.8</v>
      </c>
      <c r="U37" s="139">
        <v>5875.73</v>
      </c>
      <c r="V37" s="139">
        <v>7958.76</v>
      </c>
      <c r="W37" s="139">
        <v>20722.67</v>
      </c>
      <c r="X37" s="139">
        <v>13246.88</v>
      </c>
      <c r="Y37" s="139">
        <v>4700.62</v>
      </c>
      <c r="Z37" s="140">
        <v>0</v>
      </c>
      <c r="AA37" s="140">
        <v>0</v>
      </c>
      <c r="AB37" s="109">
        <f t="shared" si="40"/>
        <v>52504.659999999996</v>
      </c>
      <c r="AC37" s="113">
        <f t="shared" si="26"/>
        <v>58243.283</v>
      </c>
      <c r="AD37" s="102">
        <f t="shared" si="27"/>
        <v>0</v>
      </c>
      <c r="AE37" s="102">
        <f t="shared" si="28"/>
        <v>0</v>
      </c>
      <c r="AF37" s="102">
        <f>'[7]Т08-10 '!$I$6+'[7]Т08-10 '!$I$70+'[7]Т08-10 '!$I$123</f>
        <v>1745.6883999999998</v>
      </c>
      <c r="AG37" s="16">
        <f t="shared" si="29"/>
        <v>3943.0919999999996</v>
      </c>
      <c r="AH37" s="16">
        <f t="shared" si="30"/>
        <v>1314.364</v>
      </c>
      <c r="AI37" s="16">
        <f t="shared" si="31"/>
        <v>6571.82</v>
      </c>
      <c r="AJ37" s="16">
        <v>0</v>
      </c>
      <c r="AK37" s="16">
        <f t="shared" si="32"/>
        <v>6440.383599999999</v>
      </c>
      <c r="AL37" s="16">
        <v>0</v>
      </c>
      <c r="AM37" s="16">
        <f t="shared" si="33"/>
        <v>14786.595</v>
      </c>
      <c r="AN37" s="16">
        <v>0</v>
      </c>
      <c r="AO37" s="16"/>
      <c r="AP37" s="16"/>
      <c r="AQ37" s="117"/>
      <c r="AR37" s="117"/>
      <c r="AS37" s="97"/>
      <c r="AT37" s="97">
        <f>47.8+84</f>
        <v>131.8</v>
      </c>
      <c r="AU37" s="97">
        <f>AT37*0.18</f>
        <v>23.724</v>
      </c>
      <c r="AV37" s="118">
        <v>293</v>
      </c>
      <c r="AW37" s="134">
        <v>1.625</v>
      </c>
      <c r="AX37" s="16">
        <f t="shared" si="35"/>
        <v>666.5749999999999</v>
      </c>
      <c r="AY37" s="121"/>
      <c r="AZ37" s="122"/>
      <c r="BA37" s="122">
        <f t="shared" si="36"/>
        <v>0</v>
      </c>
      <c r="BB37" s="122">
        <f t="shared" si="37"/>
        <v>33878.3536</v>
      </c>
      <c r="BC37" s="132">
        <f>'[6]Т06-10'!$M$6+'[6]Т06-10'!$M$71+'[6]Т06-10'!$M$124</f>
        <v>794.96</v>
      </c>
      <c r="BD37" s="14">
        <f t="shared" si="38"/>
        <v>25315.6578</v>
      </c>
      <c r="BE37" s="30">
        <f t="shared" si="39"/>
        <v>1397.0399999999863</v>
      </c>
    </row>
    <row r="38" spans="1:57" ht="12.75">
      <c r="A38" s="11" t="s">
        <v>53</v>
      </c>
      <c r="B38" s="142">
        <v>6571.82</v>
      </c>
      <c r="C38" s="131">
        <f t="shared" si="22"/>
        <v>56846.243</v>
      </c>
      <c r="D38" s="130">
        <f t="shared" si="23"/>
        <v>5539.522999999998</v>
      </c>
      <c r="E38" s="107">
        <v>5903.36</v>
      </c>
      <c r="F38" s="107">
        <v>18.9</v>
      </c>
      <c r="G38" s="107">
        <v>7995.76</v>
      </c>
      <c r="H38" s="107">
        <v>25.62</v>
      </c>
      <c r="I38" s="107">
        <v>19212.21</v>
      </c>
      <c r="J38" s="107">
        <v>61.53</v>
      </c>
      <c r="K38" s="107">
        <v>13308.84</v>
      </c>
      <c r="L38" s="107">
        <v>42.63</v>
      </c>
      <c r="M38" s="107">
        <v>4722.75</v>
      </c>
      <c r="N38" s="107">
        <v>15.12</v>
      </c>
      <c r="O38" s="107">
        <v>0</v>
      </c>
      <c r="P38" s="114">
        <v>0</v>
      </c>
      <c r="Q38" s="114"/>
      <c r="R38" s="114"/>
      <c r="S38" s="91">
        <f t="shared" si="24"/>
        <v>51142.92</v>
      </c>
      <c r="T38" s="108">
        <f t="shared" si="25"/>
        <v>163.8</v>
      </c>
      <c r="U38" s="91">
        <v>5600.96</v>
      </c>
      <c r="V38" s="91">
        <v>7586.21</v>
      </c>
      <c r="W38" s="91">
        <v>17990.39</v>
      </c>
      <c r="X38" s="91">
        <v>12627.19</v>
      </c>
      <c r="Y38" s="91">
        <v>4480.75</v>
      </c>
      <c r="Z38" s="109">
        <v>0</v>
      </c>
      <c r="AA38" s="109">
        <v>0</v>
      </c>
      <c r="AB38" s="109">
        <f t="shared" si="40"/>
        <v>48285.5</v>
      </c>
      <c r="AC38" s="113">
        <f t="shared" si="26"/>
        <v>53988.823</v>
      </c>
      <c r="AD38" s="102">
        <f t="shared" si="27"/>
        <v>0</v>
      </c>
      <c r="AE38" s="102">
        <f t="shared" si="28"/>
        <v>0</v>
      </c>
      <c r="AF38" s="102">
        <f>'[7]Т09-10'!$I$6+'[7]Т09-10'!$I$70+'[7]Т09-10'!$I$124</f>
        <v>1745.6883999999998</v>
      </c>
      <c r="AG38" s="16">
        <f t="shared" si="29"/>
        <v>3943.0919999999996</v>
      </c>
      <c r="AH38" s="16">
        <f t="shared" si="30"/>
        <v>1314.364</v>
      </c>
      <c r="AI38" s="16">
        <f t="shared" si="31"/>
        <v>6571.82</v>
      </c>
      <c r="AJ38" s="16">
        <v>0</v>
      </c>
      <c r="AK38" s="16">
        <f t="shared" si="32"/>
        <v>6440.383599999999</v>
      </c>
      <c r="AL38" s="16">
        <v>0</v>
      </c>
      <c r="AM38" s="16">
        <f t="shared" si="33"/>
        <v>14786.595</v>
      </c>
      <c r="AN38" s="16">
        <v>0</v>
      </c>
      <c r="AO38" s="16">
        <v>8823.06</v>
      </c>
      <c r="AP38" s="16"/>
      <c r="AQ38" s="117"/>
      <c r="AR38" s="117"/>
      <c r="AS38" s="97">
        <v>10079</v>
      </c>
      <c r="AT38" s="97">
        <v>4284.38</v>
      </c>
      <c r="AU38" s="143">
        <f>AT38*0.18</f>
        <v>771.1884</v>
      </c>
      <c r="AV38" s="118">
        <v>349</v>
      </c>
      <c r="AW38" s="134">
        <v>1.625</v>
      </c>
      <c r="AX38" s="16">
        <f>AV38*AW38*1.4</f>
        <v>793.9749999999999</v>
      </c>
      <c r="AY38" s="121"/>
      <c r="AZ38" s="122"/>
      <c r="BA38" s="122">
        <f t="shared" si="36"/>
        <v>0</v>
      </c>
      <c r="BB38" s="122">
        <f t="shared" si="37"/>
        <v>57807.85799999999</v>
      </c>
      <c r="BC38" s="132">
        <f>'[6]Т06-10'!$M$6+'[6]Т06-10'!$M$71+'[6]Т06-10'!$M$124</f>
        <v>794.96</v>
      </c>
      <c r="BD38" s="14">
        <f t="shared" si="38"/>
        <v>-2868.306599999997</v>
      </c>
      <c r="BE38" s="30">
        <f t="shared" si="39"/>
        <v>-2857.4199999999983</v>
      </c>
    </row>
    <row r="39" spans="1:57" ht="12.75">
      <c r="A39" s="11" t="s">
        <v>41</v>
      </c>
      <c r="B39" s="104">
        <v>6571.82</v>
      </c>
      <c r="C39" s="131">
        <f t="shared" si="22"/>
        <v>56846.243</v>
      </c>
      <c r="D39" s="130">
        <f t="shared" si="23"/>
        <v>5520.622999999999</v>
      </c>
      <c r="E39" s="126">
        <v>5905.6</v>
      </c>
      <c r="F39" s="126">
        <v>18.9</v>
      </c>
      <c r="G39" s="126">
        <v>7998.66</v>
      </c>
      <c r="H39" s="126">
        <v>25.62</v>
      </c>
      <c r="I39" s="126">
        <v>19219.32</v>
      </c>
      <c r="J39" s="126">
        <v>61.53</v>
      </c>
      <c r="K39" s="126">
        <v>13313.73</v>
      </c>
      <c r="L39" s="126">
        <v>42.63</v>
      </c>
      <c r="M39" s="126">
        <v>4724.51</v>
      </c>
      <c r="N39" s="126">
        <v>15.12</v>
      </c>
      <c r="O39" s="126">
        <v>0</v>
      </c>
      <c r="P39" s="127">
        <v>0</v>
      </c>
      <c r="Q39" s="127"/>
      <c r="R39" s="127"/>
      <c r="S39" s="91">
        <f t="shared" si="24"/>
        <v>51161.82</v>
      </c>
      <c r="T39" s="108">
        <f t="shared" si="25"/>
        <v>163.8</v>
      </c>
      <c r="U39" s="91">
        <v>5678.3</v>
      </c>
      <c r="V39" s="91">
        <v>7690.86</v>
      </c>
      <c r="W39" s="91">
        <v>18479.7</v>
      </c>
      <c r="X39" s="91">
        <v>12801.19</v>
      </c>
      <c r="Y39" s="91">
        <v>4542.56</v>
      </c>
      <c r="Z39" s="109">
        <v>0</v>
      </c>
      <c r="AA39" s="109">
        <v>0</v>
      </c>
      <c r="AB39" s="109">
        <f t="shared" si="40"/>
        <v>49192.61</v>
      </c>
      <c r="AC39" s="113">
        <f t="shared" si="26"/>
        <v>54877.032999999996</v>
      </c>
      <c r="AD39" s="102">
        <f t="shared" si="27"/>
        <v>0</v>
      </c>
      <c r="AE39" s="102">
        <f t="shared" si="28"/>
        <v>0</v>
      </c>
      <c r="AF39" s="102">
        <f>'[7]Т10-10'!$I$6+'[7]Т10-10'!$I$70+'[7]Т10-10'!$I$124+150</f>
        <v>1895.6883999999998</v>
      </c>
      <c r="AG39" s="16">
        <f t="shared" si="29"/>
        <v>3943.0919999999996</v>
      </c>
      <c r="AH39" s="16">
        <f t="shared" si="30"/>
        <v>1314.364</v>
      </c>
      <c r="AI39" s="16">
        <f t="shared" si="31"/>
        <v>6571.82</v>
      </c>
      <c r="AJ39" s="16">
        <v>0</v>
      </c>
      <c r="AK39" s="16">
        <f t="shared" si="32"/>
        <v>6440.383599999999</v>
      </c>
      <c r="AL39" s="16">
        <v>0</v>
      </c>
      <c r="AM39" s="16">
        <f t="shared" si="33"/>
        <v>14786.595</v>
      </c>
      <c r="AN39" s="16">
        <v>0</v>
      </c>
      <c r="AO39" s="16"/>
      <c r="AP39" s="16"/>
      <c r="AQ39" s="117"/>
      <c r="AR39" s="117"/>
      <c r="AS39" s="97">
        <v>15584</v>
      </c>
      <c r="AT39" s="97">
        <f>2140+551.8</f>
        <v>2691.8</v>
      </c>
      <c r="AU39" s="97">
        <f>551.8*0.18</f>
        <v>99.32399999999998</v>
      </c>
      <c r="AV39" s="118">
        <v>425</v>
      </c>
      <c r="AW39" s="134">
        <v>1.625</v>
      </c>
      <c r="AX39" s="16">
        <f>AV39*AW39*1.4</f>
        <v>966.8749999999999</v>
      </c>
      <c r="AY39" s="121"/>
      <c r="AZ39" s="122"/>
      <c r="BA39" s="122">
        <f t="shared" si="36"/>
        <v>0</v>
      </c>
      <c r="BB39" s="122">
        <f>SUM(AG39:BA39)-AV39-AW39</f>
        <v>52398.253600000004</v>
      </c>
      <c r="BC39" s="132">
        <f>'[7]Т10-10'!$M$6+'[7]Т10-10'!$M$70+'[7]Т10-10'!$M$124+37.5</f>
        <v>832.46</v>
      </c>
      <c r="BD39" s="14">
        <f t="shared" si="38"/>
        <v>3542.007799999991</v>
      </c>
      <c r="BE39" s="30">
        <f t="shared" si="39"/>
        <v>-1969.2099999999991</v>
      </c>
    </row>
    <row r="40" spans="1:57" ht="12.75">
      <c r="A40" s="11" t="s">
        <v>42</v>
      </c>
      <c r="B40" s="144">
        <v>6641.62</v>
      </c>
      <c r="C40" s="131">
        <f t="shared" si="22"/>
        <v>57450.013</v>
      </c>
      <c r="D40" s="130">
        <f t="shared" si="23"/>
        <v>4343.253</v>
      </c>
      <c r="E40" s="107">
        <v>6111.52</v>
      </c>
      <c r="F40" s="107">
        <v>18.9</v>
      </c>
      <c r="G40" s="107">
        <v>8276.65</v>
      </c>
      <c r="H40" s="107">
        <v>25.62</v>
      </c>
      <c r="I40" s="107">
        <v>19888.51</v>
      </c>
      <c r="J40" s="107">
        <v>61.53</v>
      </c>
      <c r="K40" s="107">
        <v>13777.04</v>
      </c>
      <c r="L40" s="107">
        <v>42.63</v>
      </c>
      <c r="M40" s="107">
        <v>4889.24</v>
      </c>
      <c r="N40" s="107">
        <v>15.12</v>
      </c>
      <c r="O40" s="107">
        <v>0</v>
      </c>
      <c r="P40" s="114">
        <v>0</v>
      </c>
      <c r="Q40" s="114"/>
      <c r="R40" s="114"/>
      <c r="S40" s="91">
        <f t="shared" si="24"/>
        <v>52942.96</v>
      </c>
      <c r="T40" s="108">
        <f t="shared" si="25"/>
        <v>163.8</v>
      </c>
      <c r="U40" s="93">
        <v>6660.13</v>
      </c>
      <c r="V40" s="91">
        <v>9020.1</v>
      </c>
      <c r="W40" s="91">
        <v>23120.42</v>
      </c>
      <c r="X40" s="91">
        <v>15014.31</v>
      </c>
      <c r="Y40" s="91">
        <v>5328.2</v>
      </c>
      <c r="Z40" s="109">
        <v>0</v>
      </c>
      <c r="AA40" s="109">
        <v>0</v>
      </c>
      <c r="AB40" s="109">
        <f t="shared" si="40"/>
        <v>59143.15999999999</v>
      </c>
      <c r="AC40" s="113">
        <f t="shared" si="26"/>
        <v>63650.21299999999</v>
      </c>
      <c r="AD40" s="102">
        <f t="shared" si="27"/>
        <v>0</v>
      </c>
      <c r="AE40" s="102">
        <f t="shared" si="28"/>
        <v>0</v>
      </c>
      <c r="AF40" s="102">
        <f>'[7]Т11'!$I$6+'[7]Т11'!$I$70+'[7]Т11'!$I$123+150</f>
        <v>1895.6883999999998</v>
      </c>
      <c r="AG40" s="16">
        <f t="shared" si="29"/>
        <v>3984.9719999999998</v>
      </c>
      <c r="AH40" s="16">
        <f t="shared" si="30"/>
        <v>1328.324</v>
      </c>
      <c r="AI40" s="16">
        <f t="shared" si="31"/>
        <v>6641.62</v>
      </c>
      <c r="AJ40" s="16">
        <v>0</v>
      </c>
      <c r="AK40" s="16">
        <f t="shared" si="32"/>
        <v>6508.7876</v>
      </c>
      <c r="AL40" s="16">
        <v>0</v>
      </c>
      <c r="AM40" s="16">
        <f t="shared" si="33"/>
        <v>14943.645</v>
      </c>
      <c r="AN40" s="16">
        <v>0</v>
      </c>
      <c r="AO40" s="16"/>
      <c r="AP40" s="16"/>
      <c r="AQ40" s="117"/>
      <c r="AR40" s="117"/>
      <c r="AS40" s="97">
        <v>7413</v>
      </c>
      <c r="AT40" s="97">
        <f>3351+25</f>
        <v>3376</v>
      </c>
      <c r="AU40" s="97">
        <f>25*0.18</f>
        <v>4.5</v>
      </c>
      <c r="AV40" s="118">
        <v>470</v>
      </c>
      <c r="AW40" s="134">
        <v>1.625</v>
      </c>
      <c r="AX40" s="16">
        <f>AV40*AW40*1.4</f>
        <v>1069.25</v>
      </c>
      <c r="AY40" s="121"/>
      <c r="AZ40" s="122"/>
      <c r="BA40" s="122">
        <f t="shared" si="36"/>
        <v>0</v>
      </c>
      <c r="BB40" s="122">
        <f t="shared" si="37"/>
        <v>45270.0986</v>
      </c>
      <c r="BC40" s="132">
        <f>'[7]Т11'!$M$6+'[7]Т11'!$M$70+'[7]Т11'!$M$123+37.5</f>
        <v>832.46</v>
      </c>
      <c r="BD40" s="14">
        <f t="shared" si="38"/>
        <v>19443.34279999999</v>
      </c>
      <c r="BE40" s="30">
        <f t="shared" si="39"/>
        <v>6200.19999999999</v>
      </c>
    </row>
    <row r="41" spans="1:57" ht="12.75">
      <c r="A41" s="11" t="s">
        <v>43</v>
      </c>
      <c r="B41" s="104">
        <v>6641.62</v>
      </c>
      <c r="C41" s="131">
        <f t="shared" si="22"/>
        <v>57450.013</v>
      </c>
      <c r="D41" s="130">
        <f t="shared" si="23"/>
        <v>5527.702999999997</v>
      </c>
      <c r="E41" s="107">
        <v>5974.63</v>
      </c>
      <c r="F41" s="107">
        <v>18.9</v>
      </c>
      <c r="G41" s="107">
        <v>8091.73</v>
      </c>
      <c r="H41" s="107">
        <v>25.62</v>
      </c>
      <c r="I41" s="107">
        <v>19443.5</v>
      </c>
      <c r="J41" s="107">
        <v>61.53</v>
      </c>
      <c r="K41" s="107">
        <v>13468.91</v>
      </c>
      <c r="L41" s="107">
        <v>42.63</v>
      </c>
      <c r="M41" s="107">
        <v>4779.74</v>
      </c>
      <c r="N41" s="107">
        <v>15.12</v>
      </c>
      <c r="O41" s="107">
        <v>0</v>
      </c>
      <c r="P41" s="114">
        <v>0</v>
      </c>
      <c r="Q41" s="114"/>
      <c r="R41" s="114"/>
      <c r="S41" s="91">
        <f t="shared" si="24"/>
        <v>51758.51</v>
      </c>
      <c r="T41" s="108">
        <f t="shared" si="25"/>
        <v>163.8</v>
      </c>
      <c r="U41" s="91">
        <v>7315.34</v>
      </c>
      <c r="V41" s="91">
        <v>9901.17</v>
      </c>
      <c r="W41" s="91">
        <v>23800.45</v>
      </c>
      <c r="X41" s="91">
        <v>16485.09</v>
      </c>
      <c r="Y41" s="91">
        <v>5852.25</v>
      </c>
      <c r="Z41" s="109">
        <v>0</v>
      </c>
      <c r="AA41" s="109">
        <v>0</v>
      </c>
      <c r="AB41" s="109">
        <f t="shared" si="40"/>
        <v>63354.3</v>
      </c>
      <c r="AC41" s="113">
        <f t="shared" si="26"/>
        <v>69045.803</v>
      </c>
      <c r="AD41" s="102">
        <f t="shared" si="27"/>
        <v>0</v>
      </c>
      <c r="AE41" s="102">
        <f t="shared" si="28"/>
        <v>0</v>
      </c>
      <c r="AF41" s="102">
        <f>'[7]Т11'!$I$6+'[7]Т11'!$I$70+'[7]Т11'!$I$123+150</f>
        <v>1895.6883999999998</v>
      </c>
      <c r="AG41" s="16">
        <f t="shared" si="29"/>
        <v>3984.9719999999998</v>
      </c>
      <c r="AH41" s="16">
        <f t="shared" si="30"/>
        <v>1328.324</v>
      </c>
      <c r="AI41" s="16">
        <f t="shared" si="31"/>
        <v>6641.62</v>
      </c>
      <c r="AJ41" s="16">
        <v>0</v>
      </c>
      <c r="AK41" s="16">
        <f t="shared" si="32"/>
        <v>6508.7876</v>
      </c>
      <c r="AL41" s="16">
        <v>0</v>
      </c>
      <c r="AM41" s="16">
        <f t="shared" si="33"/>
        <v>14943.645</v>
      </c>
      <c r="AN41" s="16">
        <v>0</v>
      </c>
      <c r="AO41" s="16"/>
      <c r="AP41" s="16"/>
      <c r="AQ41" s="117"/>
      <c r="AR41" s="117"/>
      <c r="AS41" s="97">
        <v>8487</v>
      </c>
      <c r="AT41" s="97">
        <f>195+709.76</f>
        <v>904.76</v>
      </c>
      <c r="AU41" s="97">
        <f>AT41*0.18</f>
        <v>162.8568</v>
      </c>
      <c r="AV41" s="118">
        <v>514</v>
      </c>
      <c r="AW41" s="134">
        <v>1.625</v>
      </c>
      <c r="AX41" s="16">
        <f>AV41*AW41*1.4</f>
        <v>1169.35</v>
      </c>
      <c r="AY41" s="121"/>
      <c r="AZ41" s="122"/>
      <c r="BA41" s="122">
        <f t="shared" si="36"/>
        <v>0</v>
      </c>
      <c r="BB41" s="122">
        <f t="shared" si="37"/>
        <v>44131.3154</v>
      </c>
      <c r="BC41" s="132">
        <f>'[7]Т11'!$M$6+'[7]Т11'!$M$70+'[7]Т11'!$M$123+37.5</f>
        <v>832.46</v>
      </c>
      <c r="BD41" s="14">
        <f t="shared" si="38"/>
        <v>25977.716</v>
      </c>
      <c r="BE41" s="30">
        <f t="shared" si="39"/>
        <v>11595.79</v>
      </c>
    </row>
    <row r="42" spans="1:57" s="20" customFormat="1" ht="12.75">
      <c r="A42" s="17" t="s">
        <v>5</v>
      </c>
      <c r="B42" s="60"/>
      <c r="C42" s="60">
        <f aca="true" t="shared" si="41" ref="C42:AU42">SUM(C30:C41)</f>
        <v>683485.4590000001</v>
      </c>
      <c r="D42" s="60">
        <f t="shared" si="41"/>
        <v>66023.989</v>
      </c>
      <c r="E42" s="57">
        <f t="shared" si="41"/>
        <v>66863.84999999999</v>
      </c>
      <c r="F42" s="57">
        <f t="shared" si="41"/>
        <v>4407.979999999998</v>
      </c>
      <c r="G42" s="57">
        <f t="shared" si="41"/>
        <v>90562.01</v>
      </c>
      <c r="H42" s="57">
        <f t="shared" si="41"/>
        <v>5974.759999999999</v>
      </c>
      <c r="I42" s="57">
        <f t="shared" si="41"/>
        <v>217603.62000000002</v>
      </c>
      <c r="J42" s="57">
        <f t="shared" si="41"/>
        <v>14349.690000000002</v>
      </c>
      <c r="K42" s="57">
        <f t="shared" si="41"/>
        <v>150739.93000000002</v>
      </c>
      <c r="L42" s="57">
        <f t="shared" si="41"/>
        <v>9941.969999999996</v>
      </c>
      <c r="M42" s="57">
        <f t="shared" si="41"/>
        <v>53491.52</v>
      </c>
      <c r="N42" s="57">
        <f t="shared" si="41"/>
        <v>3526.1399999999994</v>
      </c>
      <c r="O42" s="57">
        <f t="shared" si="41"/>
        <v>0</v>
      </c>
      <c r="P42" s="57">
        <f t="shared" si="41"/>
        <v>0</v>
      </c>
      <c r="Q42" s="57">
        <f t="shared" si="41"/>
        <v>0</v>
      </c>
      <c r="R42" s="57">
        <f t="shared" si="41"/>
        <v>0</v>
      </c>
      <c r="S42" s="57">
        <f t="shared" si="41"/>
        <v>579260.9299999999</v>
      </c>
      <c r="T42" s="57">
        <f t="shared" si="41"/>
        <v>38200.54000000002</v>
      </c>
      <c r="U42" s="61">
        <f t="shared" si="41"/>
        <v>64302.20999999999</v>
      </c>
      <c r="V42" s="61">
        <f t="shared" si="41"/>
        <v>87056.31</v>
      </c>
      <c r="W42" s="61">
        <f t="shared" si="41"/>
        <v>212037.55000000005</v>
      </c>
      <c r="X42" s="61">
        <f t="shared" si="41"/>
        <v>144927.38</v>
      </c>
      <c r="Y42" s="61">
        <f t="shared" si="41"/>
        <v>51441.869999999995</v>
      </c>
      <c r="Z42" s="61">
        <f t="shared" si="41"/>
        <v>0</v>
      </c>
      <c r="AA42" s="61">
        <f t="shared" si="41"/>
        <v>0</v>
      </c>
      <c r="AB42" s="61">
        <f t="shared" si="41"/>
        <v>559765.32</v>
      </c>
      <c r="AC42" s="61">
        <f t="shared" si="41"/>
        <v>663989.8489999998</v>
      </c>
      <c r="AD42" s="61">
        <f t="shared" si="41"/>
        <v>0</v>
      </c>
      <c r="AE42" s="100">
        <f t="shared" si="41"/>
        <v>0</v>
      </c>
      <c r="AF42" s="100">
        <f t="shared" si="41"/>
        <v>20552.294199999993</v>
      </c>
      <c r="AG42" s="18">
        <f t="shared" si="41"/>
        <v>47409.396</v>
      </c>
      <c r="AH42" s="18">
        <f t="shared" si="41"/>
        <v>15803.132</v>
      </c>
      <c r="AI42" s="18">
        <f t="shared" si="41"/>
        <v>79015.65999999999</v>
      </c>
      <c r="AJ42" s="18">
        <f t="shared" si="41"/>
        <v>0</v>
      </c>
      <c r="AK42" s="18">
        <f t="shared" si="41"/>
        <v>77435.3468</v>
      </c>
      <c r="AL42" s="18">
        <f t="shared" si="41"/>
        <v>0</v>
      </c>
      <c r="AM42" s="18">
        <f t="shared" si="41"/>
        <v>177785.23499999996</v>
      </c>
      <c r="AN42" s="18">
        <f t="shared" si="41"/>
        <v>0</v>
      </c>
      <c r="AO42" s="18">
        <f t="shared" si="41"/>
        <v>8823.06</v>
      </c>
      <c r="AP42" s="18">
        <f t="shared" si="41"/>
        <v>0</v>
      </c>
      <c r="AQ42" s="18">
        <f t="shared" si="41"/>
        <v>0</v>
      </c>
      <c r="AR42" s="18">
        <f t="shared" si="41"/>
        <v>0</v>
      </c>
      <c r="AS42" s="18">
        <f t="shared" si="41"/>
        <v>115422</v>
      </c>
      <c r="AT42" s="18">
        <f t="shared" si="41"/>
        <v>66188.01</v>
      </c>
      <c r="AU42" s="18">
        <f t="shared" si="41"/>
        <v>10925.0518</v>
      </c>
      <c r="AV42" s="18"/>
      <c r="AW42" s="18"/>
      <c r="AX42" s="18">
        <f aca="true" t="shared" si="42" ref="AX42:BE42">SUM(AX30:AX41)</f>
        <v>10010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608816.8916</v>
      </c>
      <c r="BC42" s="18">
        <f t="shared" si="42"/>
        <v>9047.954999999998</v>
      </c>
      <c r="BD42" s="18">
        <f t="shared" si="42"/>
        <v>66677.29660000002</v>
      </c>
      <c r="BE42" s="19">
        <f t="shared" si="42"/>
        <v>-19495.610000000044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101"/>
      <c r="AD43" s="101"/>
      <c r="AE43" s="102"/>
      <c r="AF43" s="102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6"/>
      <c r="AT43" s="96"/>
      <c r="AU43" s="97"/>
      <c r="AV43" s="97"/>
      <c r="AW43" s="97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1539412.4740000002</v>
      </c>
      <c r="D44" s="23">
        <f t="shared" si="43"/>
        <v>179754.76514475</v>
      </c>
      <c r="E44" s="50">
        <f t="shared" si="43"/>
        <v>144357.72999999998</v>
      </c>
      <c r="F44" s="50">
        <f t="shared" si="43"/>
        <v>14841.539999999999</v>
      </c>
      <c r="G44" s="50">
        <f t="shared" si="43"/>
        <v>192701.3</v>
      </c>
      <c r="H44" s="50">
        <f t="shared" si="43"/>
        <v>20092.309999999998</v>
      </c>
      <c r="I44" s="50">
        <f t="shared" si="43"/>
        <v>461896.98</v>
      </c>
      <c r="J44" s="50">
        <f t="shared" si="43"/>
        <v>48290.64000000001</v>
      </c>
      <c r="K44" s="50">
        <f t="shared" si="43"/>
        <v>320418.23000000004</v>
      </c>
      <c r="L44" s="50">
        <f t="shared" si="43"/>
        <v>33449.55999999999</v>
      </c>
      <c r="M44" s="50">
        <f t="shared" si="43"/>
        <v>114131.32</v>
      </c>
      <c r="N44" s="50">
        <f t="shared" si="43"/>
        <v>11872.699999999999</v>
      </c>
      <c r="O44" s="50">
        <f t="shared" si="43"/>
        <v>0</v>
      </c>
      <c r="P44" s="50">
        <f t="shared" si="43"/>
        <v>0</v>
      </c>
      <c r="Q44" s="50">
        <f t="shared" si="43"/>
        <v>0</v>
      </c>
      <c r="R44" s="50">
        <f t="shared" si="43"/>
        <v>0</v>
      </c>
      <c r="S44" s="50">
        <f t="shared" si="43"/>
        <v>1233505.56</v>
      </c>
      <c r="T44" s="50">
        <f t="shared" si="43"/>
        <v>128546.75000000003</v>
      </c>
      <c r="U44" s="53">
        <f t="shared" si="43"/>
        <v>127398.25</v>
      </c>
      <c r="V44" s="53">
        <f t="shared" si="43"/>
        <v>172183.32</v>
      </c>
      <c r="W44" s="53">
        <f t="shared" si="43"/>
        <v>416101.87000000005</v>
      </c>
      <c r="X44" s="53">
        <f t="shared" si="43"/>
        <v>286303.91000000003</v>
      </c>
      <c r="Y44" s="53">
        <f t="shared" si="43"/>
        <v>102035.454</v>
      </c>
      <c r="Z44" s="53">
        <f t="shared" si="43"/>
        <v>0</v>
      </c>
      <c r="AA44" s="53">
        <f t="shared" si="43"/>
        <v>0</v>
      </c>
      <c r="AB44" s="53">
        <f t="shared" si="43"/>
        <v>1104022.804</v>
      </c>
      <c r="AC44" s="53">
        <f t="shared" si="43"/>
        <v>1412324.3191447495</v>
      </c>
      <c r="AD44" s="53">
        <f t="shared" si="43"/>
        <v>0</v>
      </c>
      <c r="AE44" s="53">
        <f t="shared" si="43"/>
        <v>0</v>
      </c>
      <c r="AF44" s="53">
        <f t="shared" si="43"/>
        <v>33478.39515999999</v>
      </c>
      <c r="AG44" s="23">
        <f t="shared" si="43"/>
        <v>105196.38599999998</v>
      </c>
      <c r="AH44" s="23">
        <f t="shared" si="43"/>
        <v>35250.5636</v>
      </c>
      <c r="AI44" s="23">
        <f t="shared" si="43"/>
        <v>160038.28424139996</v>
      </c>
      <c r="AJ44" s="23">
        <f t="shared" si="43"/>
        <v>14584.072363452</v>
      </c>
      <c r="AK44" s="23">
        <f t="shared" si="43"/>
        <v>159423.39039443998</v>
      </c>
      <c r="AL44" s="23">
        <f t="shared" si="43"/>
        <v>14757.8478469992</v>
      </c>
      <c r="AM44" s="23">
        <f t="shared" si="43"/>
        <v>357326.64584030793</v>
      </c>
      <c r="AN44" s="23">
        <f t="shared" si="43"/>
        <v>32317.453951255426</v>
      </c>
      <c r="AO44" s="23">
        <f t="shared" si="43"/>
        <v>8823.06</v>
      </c>
      <c r="AP44" s="23">
        <f t="shared" si="43"/>
        <v>0</v>
      </c>
      <c r="AQ44" s="23">
        <f t="shared" si="43"/>
        <v>1857.53</v>
      </c>
      <c r="AR44" s="23">
        <f t="shared" si="43"/>
        <v>334.3554</v>
      </c>
      <c r="AS44" s="23">
        <f t="shared" si="43"/>
        <v>321916.95</v>
      </c>
      <c r="AT44" s="23">
        <f t="shared" si="43"/>
        <v>79052.67</v>
      </c>
      <c r="AU44" s="23">
        <f t="shared" si="43"/>
        <v>50409.7916</v>
      </c>
      <c r="AV44" s="23"/>
      <c r="AW44" s="23"/>
      <c r="AX44" s="23">
        <f aca="true" t="shared" si="44" ref="AX44:BE44">AX28+AX42</f>
        <v>22247.0248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1360748.4412378545</v>
      </c>
      <c r="BC44" s="23">
        <f t="shared" si="44"/>
        <v>14782.806270344998</v>
      </c>
      <c r="BD44" s="23">
        <f t="shared" si="44"/>
        <v>70271.46679655045</v>
      </c>
      <c r="BE44" s="24">
        <f t="shared" si="44"/>
        <v>-129482.75600000002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C54" sqref="C54:D54"/>
    </sheetView>
  </sheetViews>
  <sheetFormatPr defaultColWidth="9.00390625" defaultRowHeight="12.75"/>
  <cols>
    <col min="1" max="1" width="10.00390625" style="2" customWidth="1"/>
    <col min="2" max="2" width="9.875" style="2" customWidth="1"/>
    <col min="3" max="3" width="11.625" style="2" customWidth="1"/>
    <col min="4" max="4" width="10.00390625" style="2" customWidth="1"/>
    <col min="5" max="5" width="11.875" style="2" customWidth="1"/>
    <col min="6" max="6" width="9.875" style="2" customWidth="1"/>
    <col min="7" max="7" width="12.125" style="2" customWidth="1"/>
    <col min="8" max="8" width="11.375" style="2" customWidth="1"/>
    <col min="9" max="9" width="9.875" style="2" customWidth="1"/>
    <col min="10" max="10" width="11.00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1.75390625" style="2" customWidth="1"/>
    <col min="16" max="16" width="9.375" style="2" customWidth="1"/>
    <col min="17" max="17" width="10.75390625" style="2" customWidth="1"/>
    <col min="18" max="18" width="10.875" style="2" customWidth="1"/>
    <col min="19" max="16384" width="9.125" style="2" customWidth="1"/>
  </cols>
  <sheetData>
    <row r="1" spans="2:8" ht="20.25" customHeight="1">
      <c r="B1" s="234" t="s">
        <v>55</v>
      </c>
      <c r="C1" s="234"/>
      <c r="D1" s="234"/>
      <c r="E1" s="234"/>
      <c r="F1" s="234"/>
      <c r="G1" s="234"/>
      <c r="H1" s="234"/>
    </row>
    <row r="2" spans="2:8" ht="21" customHeight="1">
      <c r="B2" s="234" t="s">
        <v>56</v>
      </c>
      <c r="C2" s="234"/>
      <c r="D2" s="234"/>
      <c r="E2" s="234"/>
      <c r="F2" s="234"/>
      <c r="G2" s="234"/>
      <c r="H2" s="234"/>
    </row>
    <row r="5" spans="1:17" ht="12.75">
      <c r="A5" s="236" t="s">
        <v>90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</row>
    <row r="6" spans="1:17" ht="12.75">
      <c r="A6" s="237" t="s">
        <v>93</v>
      </c>
      <c r="B6" s="237"/>
      <c r="C6" s="237"/>
      <c r="D6" s="237"/>
      <c r="E6" s="237"/>
      <c r="F6" s="237"/>
      <c r="G6" s="237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235" t="s">
        <v>57</v>
      </c>
      <c r="B8" s="235"/>
      <c r="C8" s="235"/>
      <c r="D8" s="235"/>
      <c r="E8" s="235">
        <v>8.65</v>
      </c>
      <c r="F8" s="235"/>
    </row>
    <row r="9" spans="1:18" ht="12.75" customHeight="1">
      <c r="A9" s="186" t="s">
        <v>58</v>
      </c>
      <c r="B9" s="211" t="s">
        <v>1</v>
      </c>
      <c r="C9" s="228" t="s">
        <v>59</v>
      </c>
      <c r="D9" s="231" t="s">
        <v>3</v>
      </c>
      <c r="E9" s="220" t="s">
        <v>60</v>
      </c>
      <c r="F9" s="221"/>
      <c r="G9" s="224" t="s">
        <v>61</v>
      </c>
      <c r="H9" s="225"/>
      <c r="I9" s="200" t="str">
        <f>Лист1!AF3</f>
        <v>Доходы по нежил.помещениям</v>
      </c>
      <c r="J9" s="203" t="s">
        <v>10</v>
      </c>
      <c r="K9" s="166"/>
      <c r="L9" s="166"/>
      <c r="M9" s="166"/>
      <c r="N9" s="166"/>
      <c r="O9" s="204"/>
      <c r="P9" s="182" t="s">
        <v>76</v>
      </c>
      <c r="Q9" s="207" t="s">
        <v>62</v>
      </c>
      <c r="R9" s="207" t="s">
        <v>12</v>
      </c>
    </row>
    <row r="10" spans="1:18" ht="12.75">
      <c r="A10" s="187"/>
      <c r="B10" s="212"/>
      <c r="C10" s="229"/>
      <c r="D10" s="232"/>
      <c r="E10" s="222"/>
      <c r="F10" s="223"/>
      <c r="G10" s="226"/>
      <c r="H10" s="227"/>
      <c r="I10" s="201"/>
      <c r="J10" s="205"/>
      <c r="K10" s="155"/>
      <c r="L10" s="155"/>
      <c r="M10" s="155"/>
      <c r="N10" s="155"/>
      <c r="O10" s="206"/>
      <c r="P10" s="183"/>
      <c r="Q10" s="208"/>
      <c r="R10" s="208"/>
    </row>
    <row r="11" spans="1:18" ht="26.25" customHeight="1">
      <c r="A11" s="187"/>
      <c r="B11" s="212"/>
      <c r="C11" s="229"/>
      <c r="D11" s="232"/>
      <c r="E11" s="214" t="s">
        <v>63</v>
      </c>
      <c r="F11" s="215"/>
      <c r="G11" s="89" t="s">
        <v>64</v>
      </c>
      <c r="H11" s="195" t="s">
        <v>7</v>
      </c>
      <c r="I11" s="201"/>
      <c r="J11" s="216" t="s">
        <v>65</v>
      </c>
      <c r="K11" s="218" t="s">
        <v>32</v>
      </c>
      <c r="L11" s="218" t="s">
        <v>66</v>
      </c>
      <c r="M11" s="218" t="s">
        <v>37</v>
      </c>
      <c r="N11" s="218" t="s">
        <v>67</v>
      </c>
      <c r="O11" s="195" t="s">
        <v>39</v>
      </c>
      <c r="P11" s="183"/>
      <c r="Q11" s="208"/>
      <c r="R11" s="208"/>
    </row>
    <row r="12" spans="1:18" ht="66.75" customHeight="1" thickBot="1">
      <c r="A12" s="210"/>
      <c r="B12" s="213"/>
      <c r="C12" s="230"/>
      <c r="D12" s="233"/>
      <c r="E12" s="63" t="s">
        <v>68</v>
      </c>
      <c r="F12" s="67" t="s">
        <v>21</v>
      </c>
      <c r="G12" s="82" t="s">
        <v>69</v>
      </c>
      <c r="H12" s="196"/>
      <c r="I12" s="202"/>
      <c r="J12" s="217"/>
      <c r="K12" s="219"/>
      <c r="L12" s="219"/>
      <c r="M12" s="219"/>
      <c r="N12" s="219"/>
      <c r="O12" s="196"/>
      <c r="P12" s="184"/>
      <c r="Q12" s="209"/>
      <c r="R12" s="209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>
      <c r="A15" s="11" t="s">
        <v>41</v>
      </c>
      <c r="B15" s="84">
        <f>Лист1!B9</f>
        <v>6596.5</v>
      </c>
      <c r="C15" s="27">
        <f>B15*8.65</f>
        <v>57059.725000000006</v>
      </c>
      <c r="D15" s="28">
        <f>Лист1!D9</f>
        <v>13744.546558000002</v>
      </c>
      <c r="E15" s="14">
        <f>Лист1!S9</f>
        <v>42561.009999999995</v>
      </c>
      <c r="F15" s="30">
        <f>Лист1!T9</f>
        <v>5556.82</v>
      </c>
      <c r="G15" s="29">
        <f>Лист1!AB9</f>
        <v>0</v>
      </c>
      <c r="H15" s="30">
        <f>Лист1!AC9</f>
        <v>19301.366558</v>
      </c>
      <c r="I15" s="87">
        <f>Лист1!AD9</f>
        <v>0</v>
      </c>
      <c r="J15" s="29">
        <f>Лист1!AG9</f>
        <v>3957.8999999999996</v>
      </c>
      <c r="K15" s="14">
        <f>Лист1!AI9+Лист1!AJ9</f>
        <v>6630.2886659999995</v>
      </c>
      <c r="L15" s="14">
        <f>Лист1!AH9+Лист1!AK9+Лист1!AL9+Лист1!AM9+Лист1!AN9+Лист1!AO9+Лист1!AP9</f>
        <v>23281.64158415</v>
      </c>
      <c r="M15" s="31">
        <f>Лист1!AS9+Лист1!AU9</f>
        <v>12825.2548</v>
      </c>
      <c r="N15" s="31">
        <f>Лист1!AX9</f>
        <v>0</v>
      </c>
      <c r="O15" s="30">
        <f>Лист1!BB9</f>
        <v>46695.085050149995</v>
      </c>
      <c r="P15" s="90">
        <f>Лист1!BC9</f>
        <v>0</v>
      </c>
      <c r="Q15" s="75">
        <f>Лист1!BD9</f>
        <v>-27393.718492149994</v>
      </c>
      <c r="R15" s="75">
        <f>Лист1!BE9</f>
        <v>-42561.009999999995</v>
      </c>
    </row>
    <row r="16" spans="1:18" ht="12.75">
      <c r="A16" s="11" t="s">
        <v>42</v>
      </c>
      <c r="B16" s="84">
        <f>Лист1!B10</f>
        <v>6596.5</v>
      </c>
      <c r="C16" s="27">
        <f aca="true" t="shared" si="0" ref="C16:C31">B16*8.65</f>
        <v>57059.725000000006</v>
      </c>
      <c r="D16" s="28">
        <f>Лист1!D10</f>
        <v>13744.546558000002</v>
      </c>
      <c r="E16" s="14">
        <f>Лист1!S10</f>
        <v>40399</v>
      </c>
      <c r="F16" s="30">
        <f>Лист1!T10</f>
        <v>5491.179999999999</v>
      </c>
      <c r="G16" s="29">
        <f>Лист1!AB10</f>
        <v>30019.710000000003</v>
      </c>
      <c r="H16" s="30">
        <f>Лист1!AC10</f>
        <v>49255.436558</v>
      </c>
      <c r="I16" s="87">
        <f>Лист1!AD10</f>
        <v>0</v>
      </c>
      <c r="J16" s="29">
        <f>Лист1!AG10</f>
        <v>3957.8999999999996</v>
      </c>
      <c r="K16" s="14">
        <f>Лист1!AI10+Лист1!AJ10</f>
        <v>6630.2886659999995</v>
      </c>
      <c r="L16" s="14">
        <f>Лист1!AH10+Лист1!AK10+Лист1!AL10+Лист1!AM10+Лист1!AN10+Лист1!AO10+Лист1!AP10</f>
        <v>23212.37566615</v>
      </c>
      <c r="M16" s="31">
        <f>Лист1!AS10+Лист1!AU10</f>
        <v>33259.479999999996</v>
      </c>
      <c r="N16" s="31">
        <f>Лист1!AX10</f>
        <v>0</v>
      </c>
      <c r="O16" s="30">
        <f>Лист1!BB10</f>
        <v>67060.04433214999</v>
      </c>
      <c r="P16" s="90">
        <f>Лист1!BC10</f>
        <v>0</v>
      </c>
      <c r="Q16" s="75">
        <f>Лист1!BD10</f>
        <v>-17804.60777414999</v>
      </c>
      <c r="R16" s="75">
        <f>Лист1!BE10</f>
        <v>-10379.289999999997</v>
      </c>
    </row>
    <row r="17" spans="1:20" ht="13.5" thickBot="1">
      <c r="A17" s="32" t="s">
        <v>43</v>
      </c>
      <c r="B17" s="84">
        <f>Лист1!B11</f>
        <v>6596.5</v>
      </c>
      <c r="C17" s="33">
        <f t="shared" si="0"/>
        <v>57059.725000000006</v>
      </c>
      <c r="D17" s="28">
        <f>Лист1!D11</f>
        <v>13714.304903750002</v>
      </c>
      <c r="E17" s="14">
        <f>Лист1!S11</f>
        <v>40708.18</v>
      </c>
      <c r="F17" s="30">
        <f>Лист1!T11</f>
        <v>5602.639999999999</v>
      </c>
      <c r="G17" s="29">
        <f>Лист1!AB11</f>
        <v>44026.6</v>
      </c>
      <c r="H17" s="30">
        <f>Лист1!AC11</f>
        <v>63343.54490375</v>
      </c>
      <c r="I17" s="87">
        <f>Лист1!AD11</f>
        <v>0</v>
      </c>
      <c r="J17" s="29">
        <f>Лист1!AG11</f>
        <v>3957.8999999999996</v>
      </c>
      <c r="K17" s="14">
        <f>Лист1!AI11+Лист1!AJ11</f>
        <v>6610.996468400001</v>
      </c>
      <c r="L17" s="14">
        <f>Лист1!AH11+Лист1!AK11+Лист1!AL11+Лист1!AM11+Лист1!AN11+Лист1!AO11+Лист1!AP11</f>
        <v>23174.344404444997</v>
      </c>
      <c r="M17" s="31">
        <f>Лист1!AS11+Лист1!AU11</f>
        <v>35632.46</v>
      </c>
      <c r="N17" s="31">
        <f>Лист1!AX11</f>
        <v>0</v>
      </c>
      <c r="O17" s="30">
        <f>Лист1!BB11</f>
        <v>69375.700872845</v>
      </c>
      <c r="P17" s="90">
        <f>Лист1!BC11</f>
        <v>0</v>
      </c>
      <c r="Q17" s="75">
        <f>Лист1!BD11</f>
        <v>-6032.155969095002</v>
      </c>
      <c r="R17" s="75">
        <f>Лист1!BE11</f>
        <v>3318.4199999999983</v>
      </c>
      <c r="S17" s="1"/>
      <c r="T17" s="1"/>
    </row>
    <row r="18" spans="1:20" s="20" customFormat="1" ht="13.5" thickBot="1">
      <c r="A18" s="34" t="s">
        <v>5</v>
      </c>
      <c r="B18" s="35"/>
      <c r="C18" s="36">
        <f>SUM(C15:C17)</f>
        <v>171179.17500000002</v>
      </c>
      <c r="D18" s="68">
        <f aca="true" t="shared" si="1" ref="D18:J18">SUM(D15:D17)</f>
        <v>41203.398019750006</v>
      </c>
      <c r="E18" s="36">
        <f t="shared" si="1"/>
        <v>123668.19</v>
      </c>
      <c r="F18" s="69">
        <f t="shared" si="1"/>
        <v>16650.64</v>
      </c>
      <c r="G18" s="68">
        <f t="shared" si="1"/>
        <v>74046.31</v>
      </c>
      <c r="H18" s="69">
        <f t="shared" si="1"/>
        <v>131900.34801975</v>
      </c>
      <c r="I18" s="69">
        <f t="shared" si="1"/>
        <v>0</v>
      </c>
      <c r="J18" s="68">
        <f t="shared" si="1"/>
        <v>11873.699999999999</v>
      </c>
      <c r="K18" s="36">
        <f aca="true" t="shared" si="2" ref="K18:R18">SUM(K15:K17)</f>
        <v>19871.5738004</v>
      </c>
      <c r="L18" s="36">
        <f t="shared" si="2"/>
        <v>69668.361654745</v>
      </c>
      <c r="M18" s="36">
        <f t="shared" si="2"/>
        <v>81717.1948</v>
      </c>
      <c r="N18" s="36">
        <f t="shared" si="2"/>
        <v>0</v>
      </c>
      <c r="O18" s="69">
        <f t="shared" si="2"/>
        <v>183130.83025514497</v>
      </c>
      <c r="P18" s="69">
        <f t="shared" si="2"/>
        <v>0</v>
      </c>
      <c r="Q18" s="76">
        <f t="shared" si="2"/>
        <v>-51230.482235394986</v>
      </c>
      <c r="R18" s="76">
        <f t="shared" si="2"/>
        <v>-49621.87999999999</v>
      </c>
      <c r="S18" s="71"/>
      <c r="T18" s="72"/>
    </row>
    <row r="19" spans="1:20" ht="12.75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>
      <c r="A20" s="11" t="s">
        <v>45</v>
      </c>
      <c r="B20" s="84">
        <f>Лист1!B14</f>
        <v>6598.4</v>
      </c>
      <c r="C20" s="27">
        <f t="shared" si="0"/>
        <v>57076.159999999996</v>
      </c>
      <c r="D20" s="28">
        <f>Лист1!D14</f>
        <v>7134.5199999999995</v>
      </c>
      <c r="E20" s="14">
        <f>Лист1!S14</f>
        <v>40770.79</v>
      </c>
      <c r="F20" s="30">
        <f>Лист1!T14</f>
        <v>5679.15</v>
      </c>
      <c r="G20" s="29">
        <f>Лист1!AB14</f>
        <v>24189.43</v>
      </c>
      <c r="H20" s="30">
        <f>Лист1!AC14</f>
        <v>37003.1</v>
      </c>
      <c r="I20" s="87">
        <f>Лист1!AF14</f>
        <v>831.62506</v>
      </c>
      <c r="J20" s="29">
        <f>Лист1!AG14</f>
        <v>3563.1359999999995</v>
      </c>
      <c r="K20" s="14">
        <f>Лист1!AI14+Лист1!AJ14</f>
        <v>5737.951638399998</v>
      </c>
      <c r="L20" s="14">
        <f>Лист1!AH14+Лист1!AK14+Лист1!AL14+Лист1!AM14+Лист1!AN14+Лист1!AO14+Лист1!AP14+Лист1!AQ14+Лист1!AR14</f>
        <v>19706.501139967997</v>
      </c>
      <c r="M20" s="31">
        <f>Лист1!AS14+Лист1!AT14+Лист1!AU14+Лист1!AZ14+Лист1!BA14</f>
        <v>6658.75</v>
      </c>
      <c r="N20" s="31">
        <f>Лист1!AX14</f>
        <v>1090.9808</v>
      </c>
      <c r="O20" s="30">
        <f>Лист1!BB14</f>
        <v>35666.338778367994</v>
      </c>
      <c r="P20" s="90">
        <f>Лист1!BC14</f>
        <v>353.55369494000007</v>
      </c>
      <c r="Q20" s="75">
        <f>Лист1!BD14</f>
        <v>1814.8325866920034</v>
      </c>
      <c r="R20" s="75">
        <f>Лист1!BE14</f>
        <v>-16581.36</v>
      </c>
      <c r="S20" s="1"/>
      <c r="T20" s="1"/>
    </row>
    <row r="21" spans="1:20" ht="12.75">
      <c r="A21" s="11" t="s">
        <v>46</v>
      </c>
      <c r="B21" s="84">
        <f>Лист1!B15</f>
        <v>6598.5</v>
      </c>
      <c r="C21" s="27">
        <f t="shared" si="0"/>
        <v>57077.025</v>
      </c>
      <c r="D21" s="28">
        <f>Лист1!D15</f>
        <v>7134.628125</v>
      </c>
      <c r="E21" s="14">
        <f>Лист1!S15</f>
        <v>40623.020000000004</v>
      </c>
      <c r="F21" s="30">
        <f>Лист1!T15</f>
        <v>5665.46</v>
      </c>
      <c r="G21" s="29">
        <f>Лист1!AB15</f>
        <v>35085.94</v>
      </c>
      <c r="H21" s="30">
        <f>Лист1!AC15</f>
        <v>47886.028125000004</v>
      </c>
      <c r="I21" s="87">
        <f>Лист1!AF15</f>
        <v>831.62506</v>
      </c>
      <c r="J21" s="29">
        <f>Лист1!AG15</f>
        <v>3563.19</v>
      </c>
      <c r="K21" s="14">
        <f>Лист1!AI15+Лист1!AJ15</f>
        <v>5731.443902999999</v>
      </c>
      <c r="L21" s="14">
        <f>Лист1!AH15+Лист1!AK15+Лист1!AL15+Лист1!AM15+Лист1!AN15+Лист1!AO15+Лист1!AP15+Лист1!AQ15+Лист1!AR15</f>
        <v>19734.601651679997</v>
      </c>
      <c r="M21" s="31">
        <f>Лист1!AS15+Лист1!AT15+Лист1!AU15+Лист1!AZ15+Лист1!BA15</f>
        <v>30078.2</v>
      </c>
      <c r="N21" s="31">
        <f>Лист1!AX15</f>
        <v>874.0732</v>
      </c>
      <c r="O21" s="30">
        <f>Лист1!BB15</f>
        <v>59107.43555467999</v>
      </c>
      <c r="P21" s="90">
        <f>Лист1!BC15</f>
        <v>354.0969846400001</v>
      </c>
      <c r="Q21" s="75">
        <f>Лист1!BD15</f>
        <v>-10743.87935431999</v>
      </c>
      <c r="R21" s="75">
        <f>Лист1!BE15</f>
        <v>-5537.080000000002</v>
      </c>
      <c r="S21" s="1"/>
      <c r="T21" s="1"/>
    </row>
    <row r="22" spans="1:20" ht="12.75">
      <c r="A22" s="11" t="s">
        <v>47</v>
      </c>
      <c r="B22" s="84">
        <f>Лист1!B16</f>
        <v>6598.8</v>
      </c>
      <c r="C22" s="27">
        <f t="shared" si="0"/>
        <v>57079.62</v>
      </c>
      <c r="D22" s="28">
        <f>Лист1!D16</f>
        <v>7134.9525</v>
      </c>
      <c r="E22" s="14">
        <f>Лист1!S16</f>
        <v>40235.86</v>
      </c>
      <c r="F22" s="30">
        <f>Лист1!T16</f>
        <v>5714.58</v>
      </c>
      <c r="G22" s="29">
        <f>Лист1!AB16</f>
        <v>35833.404</v>
      </c>
      <c r="H22" s="30">
        <f>Лист1!AC16</f>
        <v>48682.9365</v>
      </c>
      <c r="I22" s="87">
        <f>Лист1!AF16</f>
        <v>831.62506</v>
      </c>
      <c r="J22" s="29">
        <f>Лист1!AG16</f>
        <v>3563.352</v>
      </c>
      <c r="K22" s="14">
        <f>Лист1!AI16+Лист1!AJ16</f>
        <v>5741.632377</v>
      </c>
      <c r="L22" s="14">
        <f>Лист1!AH16+Лист1!AK16+Лист1!AL16+Лист1!AM16+Лист1!AN16+Лист1!AO16+Лист1!AP16+Лист1!AQ16+Лист1!AR16</f>
        <v>19077.52728608</v>
      </c>
      <c r="M22" s="31">
        <f>Лист1!AS16+Лист1!AT16+Лист1!AU16+Лист1!AZ16+Лист1!BA16</f>
        <v>3582.48</v>
      </c>
      <c r="N22" s="31">
        <f>Лист1!AX16</f>
        <v>822.5308</v>
      </c>
      <c r="O22" s="30">
        <f>Лист1!BB16</f>
        <v>31964.99166308</v>
      </c>
      <c r="P22" s="90">
        <f>Лист1!BC16</f>
        <v>346.66997437000003</v>
      </c>
      <c r="Q22" s="75">
        <f>Лист1!BD16</f>
        <v>17202.89992255</v>
      </c>
      <c r="R22" s="75">
        <f>Лист1!BE16</f>
        <v>-4402.455999999998</v>
      </c>
      <c r="S22" s="1"/>
      <c r="T22" s="1"/>
    </row>
    <row r="23" spans="1:20" ht="12.75">
      <c r="A23" s="11" t="s">
        <v>48</v>
      </c>
      <c r="B23" s="84">
        <f>Лист1!B17</f>
        <v>6598.8</v>
      </c>
      <c r="C23" s="27">
        <f t="shared" si="0"/>
        <v>57079.62</v>
      </c>
      <c r="D23" s="28">
        <f>Лист1!D17</f>
        <v>7134.9525</v>
      </c>
      <c r="E23" s="14">
        <f>Лист1!S17</f>
        <v>47311.36</v>
      </c>
      <c r="F23" s="30">
        <f>Лист1!T17</f>
        <v>5824.7</v>
      </c>
      <c r="G23" s="29">
        <f>Лист1!AB17</f>
        <v>33078.05</v>
      </c>
      <c r="H23" s="30">
        <f>Лист1!AC17</f>
        <v>46037.7025</v>
      </c>
      <c r="I23" s="87">
        <f>Лист1!AF17</f>
        <v>831.62506</v>
      </c>
      <c r="J23" s="29">
        <f>Лист1!AG17</f>
        <v>3563.352</v>
      </c>
      <c r="K23" s="14">
        <f>Лист1!AI17+Лист1!AJ17</f>
        <v>5913.054023759999</v>
      </c>
      <c r="L23" s="14">
        <f>Лист1!AH17+Лист1!AK17+Лист1!AL17+Лист1!AM17+Лист1!AN17+Лист1!AO17+Лист1!AP17+Лист1!AQ17+Лист1!AR17</f>
        <v>21541.227071968</v>
      </c>
      <c r="M23" s="31">
        <f>Лист1!AS17+Лист1!AT17+Лист1!AU17+Лист1!AY17+Лист1!AZ17</f>
        <v>3088.2134</v>
      </c>
      <c r="N23" s="31">
        <f>Лист1!AX17</f>
        <v>3446.8979999999997</v>
      </c>
      <c r="O23" s="30">
        <f>Лист1!BA17</f>
        <v>0</v>
      </c>
      <c r="P23" s="90">
        <f>Лист1!BB17</f>
        <v>37552.744495728</v>
      </c>
      <c r="Q23" s="75">
        <f>Лист1!BC17</f>
        <v>356.5605957200001</v>
      </c>
      <c r="R23" s="75">
        <f>Лист1!BD17</f>
        <v>8960.022468551995</v>
      </c>
      <c r="S23" s="1"/>
      <c r="T23" s="1"/>
    </row>
    <row r="24" spans="1:20" ht="12.75">
      <c r="A24" s="11" t="s">
        <v>49</v>
      </c>
      <c r="B24" s="84">
        <f>Лист1!B18</f>
        <v>6598.8</v>
      </c>
      <c r="C24" s="27">
        <f t="shared" si="0"/>
        <v>57079.62</v>
      </c>
      <c r="D24" s="28">
        <f>Лист1!D18</f>
        <v>5827.940000000005</v>
      </c>
      <c r="E24" s="14">
        <f>Лист1!S18</f>
        <v>44876.6</v>
      </c>
      <c r="F24" s="30">
        <f>Лист1!T18</f>
        <v>6375.08</v>
      </c>
      <c r="G24" s="29">
        <f>Лист1!AB18</f>
        <v>37127.61</v>
      </c>
      <c r="H24" s="30">
        <f>Лист1!AC18</f>
        <v>49330.630000000005</v>
      </c>
      <c r="I24" s="87">
        <f>Лист1!AF18</f>
        <v>831.62506</v>
      </c>
      <c r="J24" s="29">
        <f>Лист1!AG18</f>
        <v>3959.2799999999997</v>
      </c>
      <c r="K24" s="14">
        <f>Лист1!AI18+Лист1!AJ18</f>
        <v>6618.6082</v>
      </c>
      <c r="L24" s="14">
        <f>Лист1!AH18+Лист1!AK18+Лист1!AL18+Лист1!AM18+Лист1!AN18+Лист1!AO18+Лист1!AP18+Лист1!AQ18+Лист1!AR18</f>
        <v>22668.18596</v>
      </c>
      <c r="M24" s="31">
        <f>Лист1!AS18+Лист1!AT18+Лист1!AU18+Лист1!AZ18+Лист1!BA18</f>
        <v>5249.23</v>
      </c>
      <c r="N24" s="31">
        <f>Лист1!AX18</f>
        <v>564.8188</v>
      </c>
      <c r="O24" s="30">
        <f>Лист1!BB18</f>
        <v>39060.12296000001</v>
      </c>
      <c r="P24" s="90">
        <f>Лист1!BC18</f>
        <v>397.994541178</v>
      </c>
      <c r="Q24" s="75">
        <f>Лист1!BD18</f>
        <v>10704.137558821994</v>
      </c>
      <c r="R24" s="75">
        <f>Лист1!BE18</f>
        <v>-7748.989999999998</v>
      </c>
      <c r="S24" s="1"/>
      <c r="T24" s="1"/>
    </row>
    <row r="25" spans="1:20" ht="12.75">
      <c r="A25" s="11" t="s">
        <v>50</v>
      </c>
      <c r="B25" s="84">
        <f>Лист1!B19</f>
        <v>6598.8</v>
      </c>
      <c r="C25" s="27">
        <f t="shared" si="0"/>
        <v>57079.62</v>
      </c>
      <c r="D25" s="28">
        <f>Лист1!D19</f>
        <v>3891.0200000000086</v>
      </c>
      <c r="E25" s="14">
        <f>Лист1!S19</f>
        <v>46807.22</v>
      </c>
      <c r="F25" s="30">
        <f>Лист1!T19</f>
        <v>6381.380000000001</v>
      </c>
      <c r="G25" s="29">
        <f>Лист1!AB19</f>
        <v>38139.15</v>
      </c>
      <c r="H25" s="30">
        <f>Лист1!AC19</f>
        <v>48411.55000000001</v>
      </c>
      <c r="I25" s="87">
        <f>Лист1!AF19</f>
        <v>831.62506</v>
      </c>
      <c r="J25" s="29">
        <f>Лист1!AG19</f>
        <v>3959.2799999999997</v>
      </c>
      <c r="K25" s="14">
        <f>Лист1!AI19+Лист1!AJ19</f>
        <v>6618.6082</v>
      </c>
      <c r="L25" s="14">
        <f>Лист1!AH19+Лист1!AK19+Лист1!AL19+Лист1!AM19+Лист1!AN19+Лист1!AO19+Лист1!AP19+Лист1!AQ19+Лист1!AR19</f>
        <v>22668.793452</v>
      </c>
      <c r="M25" s="31">
        <f>Лист1!AS19+Лист1!AT19+Лист1!AU19+Лист1!AZ19+Лист1!BA19</f>
        <v>20094.9516</v>
      </c>
      <c r="N25" s="31">
        <f>Лист1!AX19</f>
        <v>500.39080000000007</v>
      </c>
      <c r="O25" s="30">
        <f>Лист1!BB19</f>
        <v>53842.02405200001</v>
      </c>
      <c r="P25" s="90">
        <f>Лист1!BC19</f>
        <v>376.81169318</v>
      </c>
      <c r="Q25" s="75">
        <f>Лист1!BD19</f>
        <v>-4975.660685179999</v>
      </c>
      <c r="R25" s="75">
        <f>Лист1!BE19</f>
        <v>-8668.07</v>
      </c>
      <c r="S25" s="1"/>
      <c r="T25" s="1"/>
    </row>
    <row r="26" spans="1:20" ht="12.75">
      <c r="A26" s="11" t="s">
        <v>51</v>
      </c>
      <c r="B26" s="84">
        <f>Лист1!B20</f>
        <v>6598.8</v>
      </c>
      <c r="C26" s="27">
        <f t="shared" si="0"/>
        <v>57079.62</v>
      </c>
      <c r="D26" s="28">
        <f>Лист1!D20</f>
        <v>563.5499999999975</v>
      </c>
      <c r="E26" s="14">
        <f>Лист1!S20</f>
        <v>50134.67999999999</v>
      </c>
      <c r="F26" s="30">
        <f>Лист1!T20</f>
        <v>6381.39</v>
      </c>
      <c r="G26" s="29">
        <f>Лист1!AB20</f>
        <v>43953.78999999999</v>
      </c>
      <c r="H26" s="30">
        <f>Лист1!AC20</f>
        <v>50898.72999999999</v>
      </c>
      <c r="I26" s="87">
        <f>Лист1!AF20</f>
        <v>1322.7250999999999</v>
      </c>
      <c r="J26" s="29">
        <f>Лист1!AG20</f>
        <v>3959.2799999999997</v>
      </c>
      <c r="K26" s="14">
        <f>Лист1!AI20+Лист1!AJ20</f>
        <v>6523.95047148</v>
      </c>
      <c r="L26" s="14">
        <f>Лист1!AH20+Лист1!AK20+Лист1!AL20+Лист1!AM20+Лист1!AN20+Лист1!AO20+Лист1!AP20+Лист1!AQ20+Лист1!AR20</f>
        <v>22443.239520935997</v>
      </c>
      <c r="M26" s="31">
        <f>Лист1!AS20+Лист1!AT20+Лист1!AU20+Лист1!AZ20+Лист1!BA20</f>
        <v>27958.353599999995</v>
      </c>
      <c r="N26" s="31">
        <f>Лист1!AX20</f>
        <v>532.6048000000001</v>
      </c>
      <c r="O26" s="30">
        <f>Лист1!BB20</f>
        <v>61417.428392416</v>
      </c>
      <c r="P26" s="90">
        <f>Лист1!BC20</f>
        <v>589.2287351</v>
      </c>
      <c r="Q26" s="75">
        <f>Лист1!BD20</f>
        <v>-9785.202027516005</v>
      </c>
      <c r="R26" s="75">
        <f>Лист1!BE20</f>
        <v>-6180.889999999999</v>
      </c>
      <c r="S26" s="1"/>
      <c r="T26" s="1"/>
    </row>
    <row r="27" spans="1:20" ht="12.75">
      <c r="A27" s="11" t="s">
        <v>52</v>
      </c>
      <c r="B27" s="84">
        <f>Лист1!B21</f>
        <v>6598.8</v>
      </c>
      <c r="C27" s="27">
        <f t="shared" si="0"/>
        <v>57079.62</v>
      </c>
      <c r="D27" s="28">
        <f>Лист1!D21</f>
        <v>6274.250000000002</v>
      </c>
      <c r="E27" s="14">
        <f>Лист1!S21</f>
        <v>44423.979999999996</v>
      </c>
      <c r="F27" s="30">
        <f>Лист1!T21</f>
        <v>6381.39</v>
      </c>
      <c r="G27" s="29">
        <f>Лист1!AB21</f>
        <v>33144.909999999996</v>
      </c>
      <c r="H27" s="30">
        <f>Лист1!AC21</f>
        <v>45800.55</v>
      </c>
      <c r="I27" s="87">
        <f>Лист1!AF21</f>
        <v>1322.7250999999999</v>
      </c>
      <c r="J27" s="29">
        <f>Лист1!AG21</f>
        <v>3959.2799999999997</v>
      </c>
      <c r="K27" s="14">
        <f>Лист1!AI21+Лист1!AJ21</f>
        <v>6520.972103099999</v>
      </c>
      <c r="L27" s="14">
        <f>Лист1!AH21+Лист1!AK21+Лист1!AL21+Лист1!AM21+Лист1!AN21+Лист1!AO21+Лист1!AP21+Лист1!AQ21+Лист1!AR21</f>
        <v>22438.510820856</v>
      </c>
      <c r="M27" s="31">
        <f>Лист1!AS21+Лист1!AT21+Лист1!AU21+Лист1!AZ21+Лист1!BA21</f>
        <v>20875.450800000002</v>
      </c>
      <c r="N27" s="31">
        <f>Лист1!AX21</f>
        <v>629.2468000000001</v>
      </c>
      <c r="O27" s="30">
        <f>Лист1!BB21</f>
        <v>54423.460523956</v>
      </c>
      <c r="P27" s="90">
        <f>Лист1!BC21</f>
        <v>588.96100903</v>
      </c>
      <c r="Q27" s="75">
        <f>Лист1!BD21</f>
        <v>-7889.146432985991</v>
      </c>
      <c r="R27" s="75">
        <f>Лист1!BE21</f>
        <v>-11279.07</v>
      </c>
      <c r="S27" s="1"/>
      <c r="T27" s="1"/>
    </row>
    <row r="28" spans="1:20" ht="12.75">
      <c r="A28" s="11" t="s">
        <v>53</v>
      </c>
      <c r="B28" s="84">
        <f>Лист1!B22</f>
        <v>6598.8</v>
      </c>
      <c r="C28" s="27">
        <f t="shared" si="0"/>
        <v>57079.62</v>
      </c>
      <c r="D28" s="28">
        <f>Лист1!D22</f>
        <v>10065.650000000005</v>
      </c>
      <c r="E28" s="14">
        <f>Лист1!S22</f>
        <v>40632.58</v>
      </c>
      <c r="F28" s="30">
        <f>Лист1!T22</f>
        <v>6381.39</v>
      </c>
      <c r="G28" s="29">
        <f>Лист1!AB22</f>
        <v>39969.43</v>
      </c>
      <c r="H28" s="30">
        <f>Лист1!AC22</f>
        <v>56416.47</v>
      </c>
      <c r="I28" s="87">
        <f>Лист1!AF22</f>
        <v>1322.7250999999999</v>
      </c>
      <c r="J28" s="29">
        <f>Лист1!AG22</f>
        <v>3959.2799999999997</v>
      </c>
      <c r="K28" s="14">
        <f>Лист1!AI22+Лист1!AJ22</f>
        <v>6519.846941711999</v>
      </c>
      <c r="L28" s="14">
        <f>Лист1!AH22+Лист1!AK22+Лист1!AL22+Лист1!AM22+Лист1!AN22+Лист1!AO22+Лист1!AP22+Лист1!AQ22+Лист1!AR22</f>
        <v>22437.1981347696</v>
      </c>
      <c r="M28" s="31">
        <f>Лист1!AS22+Лист1!AT22+Лист1!AU22+Лист1!AZ22+Лист1!BA22</f>
        <v>1694.0079999999998</v>
      </c>
      <c r="N28" s="31">
        <f>Лист1!AX22</f>
        <v>749.5124000000001</v>
      </c>
      <c r="O28" s="30">
        <f>Лист1!BB22</f>
        <v>35359.8454764816</v>
      </c>
      <c r="P28" s="90">
        <f>Лист1!BC22</f>
        <v>588.871932187</v>
      </c>
      <c r="Q28" s="75">
        <f>Лист1!BD22</f>
        <v>21790.477691331405</v>
      </c>
      <c r="R28" s="75">
        <f>Лист1!BE22</f>
        <v>-663.1500000000015</v>
      </c>
      <c r="S28" s="1"/>
      <c r="T28" s="1"/>
    </row>
    <row r="29" spans="1:20" ht="12.75">
      <c r="A29" s="11" t="s">
        <v>41</v>
      </c>
      <c r="B29" s="84">
        <f>Лист1!B23</f>
        <v>6600.1</v>
      </c>
      <c r="C29" s="27">
        <f>B29*8.65</f>
        <v>57090.865000000005</v>
      </c>
      <c r="D29" s="28">
        <f>Лист1!D23</f>
        <v>5703.225000000003</v>
      </c>
      <c r="E29" s="14">
        <f>Лист1!S23</f>
        <v>45047.32000000001</v>
      </c>
      <c r="F29" s="30">
        <f>Лист1!T23</f>
        <v>6340.319999999999</v>
      </c>
      <c r="G29" s="29">
        <f>Лист1!AB23</f>
        <v>47206.420000000006</v>
      </c>
      <c r="H29" s="30">
        <f>Лист1!AC23</f>
        <v>59249.96500000001</v>
      </c>
      <c r="I29" s="87">
        <f>Лист1!AF23</f>
        <v>1322.7250999999999</v>
      </c>
      <c r="J29" s="29">
        <f>Лист1!AG23</f>
        <v>3960.06</v>
      </c>
      <c r="K29" s="14">
        <f>Лист1!AI23+Лист1!AJ23</f>
        <v>6596.535946</v>
      </c>
      <c r="L29" s="14">
        <f>Лист1!AH23+Лист1!AK23+Лист1!AL23+Лист1!AM23+Лист1!AN23+Лист1!AO23+Лист1!AP23+Лист1!AQ23+Лист1!AR23</f>
        <v>22634.382940000003</v>
      </c>
      <c r="M29" s="31">
        <f>Лист1!AS23+Лист1!AT23+Лист1!AU23+Лист1!AZ23+Лист1!BA23</f>
        <v>4882.0376</v>
      </c>
      <c r="N29" s="31">
        <f>Лист1!AX23</f>
        <v>912.7300000000001</v>
      </c>
      <c r="O29" s="30">
        <f>Лист1!BB23</f>
        <v>38985.746486</v>
      </c>
      <c r="P29" s="90">
        <f>Лист1!BC23</f>
        <v>593.4847100000001</v>
      </c>
      <c r="Q29" s="75">
        <f>Лист1!BD23</f>
        <v>20993.458904000017</v>
      </c>
      <c r="R29" s="75">
        <f>Лист1!BE23</f>
        <v>2159.0999999999985</v>
      </c>
      <c r="S29" s="1"/>
      <c r="T29" s="1"/>
    </row>
    <row r="30" spans="1:20" ht="12.75">
      <c r="A30" s="11" t="s">
        <v>42</v>
      </c>
      <c r="B30" s="84">
        <f>Лист1!B24</f>
        <v>6600.1</v>
      </c>
      <c r="C30" s="27">
        <f t="shared" si="0"/>
        <v>57090.865000000005</v>
      </c>
      <c r="D30" s="28">
        <f>Лист1!D24</f>
        <v>5689.215000000008</v>
      </c>
      <c r="E30" s="14">
        <f>Лист1!S24</f>
        <v>45126.35</v>
      </c>
      <c r="F30" s="30">
        <f>Лист1!T24</f>
        <v>6275.3</v>
      </c>
      <c r="G30" s="29">
        <f>Лист1!AB24</f>
        <v>37841.88</v>
      </c>
      <c r="H30" s="30">
        <f>Лист1!AC24</f>
        <v>49806.395000000004</v>
      </c>
      <c r="I30" s="87">
        <f>Лист1!AF24</f>
        <v>1322.7250999999999</v>
      </c>
      <c r="J30" s="29">
        <f>Лист1!AG24</f>
        <v>3960.06</v>
      </c>
      <c r="K30" s="14">
        <f>Лист1!AI24+Лист1!AJ24</f>
        <v>6619.9003</v>
      </c>
      <c r="L30" s="14">
        <f>Лист1!AH24+Лист1!AK24+Лист1!AL24+Лист1!AM24+Лист1!AN24+Лист1!AO24+Лист1!AP24+Лист1!AQ24+Лист1!AR24</f>
        <v>22659.46332</v>
      </c>
      <c r="M30" s="31">
        <f>Лист1!AS24+Лист1!AT24+Лист1!AU24+Лист1!AZ24+Лист1!BA24</f>
        <v>41388.5</v>
      </c>
      <c r="N30" s="31">
        <f>Лист1!AX24</f>
        <v>1009.3720000000001</v>
      </c>
      <c r="O30" s="30">
        <f>Лист1!BB24</f>
        <v>75637.29562</v>
      </c>
      <c r="P30" s="90">
        <f>Лист1!BC24</f>
        <v>594.3087</v>
      </c>
      <c r="Q30" s="75">
        <f>Лист1!BD24</f>
        <v>-25102.48422</v>
      </c>
      <c r="R30" s="75">
        <f>Лист1!BE24</f>
        <v>-7284.470000000001</v>
      </c>
      <c r="S30" s="1"/>
      <c r="T30" s="1"/>
    </row>
    <row r="31" spans="1:20" ht="13.5" thickBot="1">
      <c r="A31" s="32" t="s">
        <v>43</v>
      </c>
      <c r="B31" s="84">
        <f>Лист1!B25</f>
        <v>6572.9</v>
      </c>
      <c r="C31" s="33">
        <f t="shared" si="0"/>
        <v>56855.585</v>
      </c>
      <c r="D31" s="28">
        <f>Лист1!D25</f>
        <v>5973.474999999996</v>
      </c>
      <c r="E31" s="14">
        <f>Лист1!S25</f>
        <v>44586.68</v>
      </c>
      <c r="F31" s="30">
        <f>Лист1!T25</f>
        <v>6295.43</v>
      </c>
      <c r="G31" s="29">
        <f>Лист1!AB25</f>
        <v>64641.159999999996</v>
      </c>
      <c r="H31" s="30">
        <f>Лист1!AC25</f>
        <v>76910.06499999999</v>
      </c>
      <c r="I31" s="87">
        <f>Лист1!AF25</f>
        <v>1322.7250999999999</v>
      </c>
      <c r="J31" s="29">
        <f>Лист1!AG25</f>
        <v>3943.74</v>
      </c>
      <c r="K31" s="14">
        <f>Лист1!AI25+Лист1!AJ25</f>
        <v>6592.618699999999</v>
      </c>
      <c r="L31" s="14">
        <f>Лист1!AH25+Лист1!AK25+Лист1!AL25+Лист1!AM25+Лист1!AN25+Лист1!AO25+Лист1!AP25+Лист1!AQ25+Лист1!AR25</f>
        <v>22566.08028</v>
      </c>
      <c r="M31" s="31">
        <f>Лист1!AS25+Лист1!AT25+Лист1!AU25+Лист1!AZ25+Лист1!BA25</f>
        <v>11576.98</v>
      </c>
      <c r="N31" s="31">
        <f>Лист1!AX25</f>
        <v>1103.8664</v>
      </c>
      <c r="O31" s="30">
        <f>Лист1!BB25</f>
        <v>45783.285379999994</v>
      </c>
      <c r="P31" s="90">
        <f>Лист1!BC25</f>
        <v>594.3087</v>
      </c>
      <c r="Q31" s="75">
        <f>Лист1!BD25</f>
        <v>31855.19601999999</v>
      </c>
      <c r="R31" s="75">
        <f>Лист1!BE25</f>
        <v>20054.479999999996</v>
      </c>
      <c r="S31" s="1"/>
      <c r="T31" s="1"/>
    </row>
    <row r="32" spans="1:20" s="20" customFormat="1" ht="13.5" thickBot="1">
      <c r="A32" s="34" t="s">
        <v>5</v>
      </c>
      <c r="B32" s="35"/>
      <c r="C32" s="36">
        <f aca="true" t="shared" si="3" ref="C32:R32">SUM(C20:C31)</f>
        <v>684747.84</v>
      </c>
      <c r="D32" s="68">
        <f t="shared" si="3"/>
        <v>72527.37812500002</v>
      </c>
      <c r="E32" s="36">
        <f t="shared" si="3"/>
        <v>530576.4400000001</v>
      </c>
      <c r="F32" s="69">
        <f t="shared" si="3"/>
        <v>73695.57</v>
      </c>
      <c r="G32" s="68">
        <f t="shared" si="3"/>
        <v>470211.17399999994</v>
      </c>
      <c r="H32" s="69">
        <f t="shared" si="3"/>
        <v>616434.1221249999</v>
      </c>
      <c r="I32" s="69">
        <f t="shared" si="3"/>
        <v>12926.100959999998</v>
      </c>
      <c r="J32" s="68">
        <f t="shared" si="3"/>
        <v>45913.289999999986</v>
      </c>
      <c r="K32" s="36">
        <f t="shared" si="3"/>
        <v>75735.122804452</v>
      </c>
      <c r="L32" s="36">
        <f t="shared" si="3"/>
        <v>260575.71157825761</v>
      </c>
      <c r="M32" s="36">
        <f>SUM(M20:M31)</f>
        <v>177127.155</v>
      </c>
      <c r="N32" s="36">
        <f t="shared" si="3"/>
        <v>12237.0248</v>
      </c>
      <c r="O32" s="69">
        <f t="shared" si="3"/>
        <v>531247.9748869815</v>
      </c>
      <c r="P32" s="69">
        <f t="shared" si="3"/>
        <v>42931.035170353</v>
      </c>
      <c r="Q32" s="76">
        <f>SUM(Q20:Q31)</f>
        <v>46221.19055911343</v>
      </c>
      <c r="R32" s="76">
        <f t="shared" si="3"/>
        <v>-37171.93353144801</v>
      </c>
      <c r="S32" s="72"/>
      <c r="T32" s="72"/>
    </row>
    <row r="33" spans="1:20" ht="13.5" thickBot="1">
      <c r="A33" s="197" t="s">
        <v>70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855927.015</v>
      </c>
      <c r="D34" s="37">
        <f aca="true" t="shared" si="4" ref="D34:R34">D18+D32</f>
        <v>113730.77614475002</v>
      </c>
      <c r="E34" s="38">
        <f t="shared" si="4"/>
        <v>654244.6300000001</v>
      </c>
      <c r="F34" s="39">
        <f t="shared" si="4"/>
        <v>90346.21</v>
      </c>
      <c r="G34" s="37">
        <f t="shared" si="4"/>
        <v>544257.4839999999</v>
      </c>
      <c r="H34" s="39">
        <f t="shared" si="4"/>
        <v>748334.4701447499</v>
      </c>
      <c r="I34" s="39">
        <f t="shared" si="4"/>
        <v>12926.100959999998</v>
      </c>
      <c r="J34" s="37">
        <f t="shared" si="4"/>
        <v>57786.98999999998</v>
      </c>
      <c r="K34" s="38">
        <f t="shared" si="4"/>
        <v>95606.696604852</v>
      </c>
      <c r="L34" s="38">
        <f t="shared" si="4"/>
        <v>330244.0732330026</v>
      </c>
      <c r="M34" s="38">
        <f t="shared" si="4"/>
        <v>258844.3498</v>
      </c>
      <c r="N34" s="38">
        <f t="shared" si="4"/>
        <v>12237.0248</v>
      </c>
      <c r="O34" s="79">
        <f t="shared" si="4"/>
        <v>714378.8051421265</v>
      </c>
      <c r="P34" s="79">
        <f>P18+P32</f>
        <v>42931.035170353</v>
      </c>
      <c r="Q34" s="78">
        <f>Q18+Q32</f>
        <v>-5009.2916762815585</v>
      </c>
      <c r="R34" s="78">
        <f t="shared" si="4"/>
        <v>-86793.813531448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6572.9</v>
      </c>
      <c r="C36" s="27">
        <f aca="true" t="shared" si="5" ref="C36:C47">B36*8.65</f>
        <v>56855.585</v>
      </c>
      <c r="D36" s="28">
        <f>Лист1!D30</f>
        <v>5671.665000000003</v>
      </c>
      <c r="E36" s="14">
        <f>Лист1!S30</f>
        <v>44902.37</v>
      </c>
      <c r="F36" s="30">
        <f>Лист1!T30</f>
        <v>6281.55</v>
      </c>
      <c r="G36" s="29">
        <f>Лист1!AB30</f>
        <v>30863.08</v>
      </c>
      <c r="H36" s="30">
        <f>Лист1!AC30</f>
        <v>42816.295000000006</v>
      </c>
      <c r="I36" s="87">
        <f>Лист1!AF30</f>
        <v>1322.7250999999999</v>
      </c>
      <c r="J36" s="29">
        <f>Лист1!AG30</f>
        <v>3943.74</v>
      </c>
      <c r="K36" s="14">
        <f>Лист1!AI30+Лист1!AJ30</f>
        <v>6572.9</v>
      </c>
      <c r="L36" s="14">
        <f>Лист1!AH30+Лист1!AK30+Лист1!AL30+Лист1!AM30+Лист1!AN30+Лист1!AO30+Лист1!AP30+Лист1!AQ30+Лист1!AR30</f>
        <v>22545.047</v>
      </c>
      <c r="M36" s="31">
        <f>Лист1!AS30+Лист1!AT30+Лист1!AU30+Лист1!AZ30+Лист1!BA30</f>
        <v>929</v>
      </c>
      <c r="N36" s="31">
        <f>Лист1!AX30</f>
        <v>1155.6999999999998</v>
      </c>
      <c r="O36" s="30">
        <f>Лист1!BB30</f>
        <v>35146.386999999995</v>
      </c>
      <c r="P36" s="90">
        <f>Лист1!BC30</f>
        <v>593.605</v>
      </c>
      <c r="Q36" s="75">
        <f>Лист1!BD30</f>
        <v>8399.028100000014</v>
      </c>
      <c r="R36" s="75">
        <f>Лист1!BE30</f>
        <v>-14039.29</v>
      </c>
      <c r="S36" s="1"/>
      <c r="T36" s="1"/>
    </row>
    <row r="37" spans="1:20" ht="12.75">
      <c r="A37" s="11" t="s">
        <v>46</v>
      </c>
      <c r="B37" s="84">
        <f>Лист1!B31</f>
        <v>6571.7</v>
      </c>
      <c r="C37" s="27">
        <f t="shared" si="5"/>
        <v>56845.205</v>
      </c>
      <c r="D37" s="28">
        <f>Лист1!D31</f>
        <v>5674.245</v>
      </c>
      <c r="E37" s="14">
        <f>Лист1!S31</f>
        <v>44895.71</v>
      </c>
      <c r="F37" s="30">
        <f>Лист1!T31</f>
        <v>6275.249999999999</v>
      </c>
      <c r="G37" s="29">
        <f>Лист1!AB31</f>
        <v>38846.15</v>
      </c>
      <c r="H37" s="30">
        <f>Лист1!AC31</f>
        <v>50795.645000000004</v>
      </c>
      <c r="I37" s="87">
        <f>Лист1!AF31</f>
        <v>1322.7250999999999</v>
      </c>
      <c r="J37" s="29">
        <f>Лист1!AG31</f>
        <v>3943.0199999999995</v>
      </c>
      <c r="K37" s="14">
        <f>Лист1!AI31+Лист1!AJ31</f>
        <v>6571.7</v>
      </c>
      <c r="L37" s="14">
        <f>Лист1!AH31+Лист1!AK31+Лист1!AL31+Лист1!AM31+Лист1!AN31+Лист1!AO31+Лист1!AP31+Лист1!AQ31+Лист1!AR31</f>
        <v>22540.930999999997</v>
      </c>
      <c r="M37" s="31">
        <f>Лист1!AS31+Лист1!AT31+Лист1!AU31+Лист1!AZ31+Лист1!BA31</f>
        <v>17379</v>
      </c>
      <c r="N37" s="31">
        <f>Лист1!AX31</f>
        <v>925.925</v>
      </c>
      <c r="O37" s="30">
        <f>Лист1!BB31</f>
        <v>51360.576</v>
      </c>
      <c r="P37" s="90">
        <f>Лист1!BC31</f>
        <v>593.605</v>
      </c>
      <c r="Q37" s="75">
        <f>Лист1!BD31</f>
        <v>164.18910000000642</v>
      </c>
      <c r="R37" s="75">
        <f>Лист1!BE31</f>
        <v>-6049.559999999998</v>
      </c>
      <c r="S37" s="1"/>
      <c r="T37" s="1"/>
    </row>
    <row r="38" spans="1:20" ht="12.75">
      <c r="A38" s="11" t="s">
        <v>47</v>
      </c>
      <c r="B38" s="84">
        <f>Лист1!B32</f>
        <v>6571.7</v>
      </c>
      <c r="C38" s="27">
        <f t="shared" si="5"/>
        <v>56845.205</v>
      </c>
      <c r="D38" s="28">
        <f>Лист1!D32</f>
        <v>5672.884999999998</v>
      </c>
      <c r="E38" s="14">
        <f>Лист1!S32</f>
        <v>44936.39</v>
      </c>
      <c r="F38" s="30">
        <f>Лист1!T32</f>
        <v>6235.929999999999</v>
      </c>
      <c r="G38" s="29">
        <f>Лист1!AB32</f>
        <v>40966.67999999999</v>
      </c>
      <c r="H38" s="30">
        <f>Лист1!AC32</f>
        <v>52875.494999999995</v>
      </c>
      <c r="I38" s="87">
        <f>Лист1!AF32</f>
        <v>1322.7250999999999</v>
      </c>
      <c r="J38" s="29">
        <f>Лист1!AG32</f>
        <v>3943.0199999999995</v>
      </c>
      <c r="K38" s="14">
        <f>Лист1!AI32+Лист1!AJ32</f>
        <v>6571.7</v>
      </c>
      <c r="L38" s="14">
        <f>Лист1!AH32+Лист1!AK32+Лист1!AL32+Лист1!AM32+Лист1!AN32+Лист1!AO32+Лист1!AP32+Лист1!AQ32+Лист1!AR32</f>
        <v>22540.930999999997</v>
      </c>
      <c r="M38" s="31">
        <f>Лист1!AS32+Лист1!AT32+Лист1!AU32+Лист1!AZ32+Лист1!BA32</f>
        <v>27867.76</v>
      </c>
      <c r="N38" s="31">
        <f>Лист1!AX32</f>
        <v>871.3249999999999</v>
      </c>
      <c r="O38" s="30">
        <f>Лист1!BB32</f>
        <v>61794.736</v>
      </c>
      <c r="P38" s="90">
        <f>Лист1!BC32</f>
        <v>593.605</v>
      </c>
      <c r="Q38" s="75">
        <f>Лист1!BD32</f>
        <v>-8190.120899999998</v>
      </c>
      <c r="R38" s="75">
        <f>Лист1!BE32</f>
        <v>-3969.7100000000064</v>
      </c>
      <c r="S38" s="1"/>
      <c r="T38" s="1"/>
    </row>
    <row r="39" spans="1:20" ht="12.75">
      <c r="A39" s="11" t="s">
        <v>48</v>
      </c>
      <c r="B39" s="84">
        <f>Лист1!B33</f>
        <v>6571.7</v>
      </c>
      <c r="C39" s="27">
        <f t="shared" si="5"/>
        <v>56845.205</v>
      </c>
      <c r="D39" s="28">
        <f>Лист1!D33</f>
        <v>5566.6349999999975</v>
      </c>
      <c r="E39" s="14">
        <f>Лист1!S33</f>
        <v>45363.64</v>
      </c>
      <c r="F39" s="30">
        <f>Лист1!T33</f>
        <v>5914.93</v>
      </c>
      <c r="G39" s="29">
        <f>Лист1!AB33</f>
        <v>33078.05</v>
      </c>
      <c r="H39" s="30">
        <f>Лист1!AC33</f>
        <v>44559.615000000005</v>
      </c>
      <c r="I39" s="87">
        <f>Лист1!AF33</f>
        <v>2168.6317</v>
      </c>
      <c r="J39" s="29">
        <f>Лист1!AG33</f>
        <v>3943.0199999999995</v>
      </c>
      <c r="K39" s="14">
        <f>Лист1!AI33+Лист1!AJ33</f>
        <v>6571.7</v>
      </c>
      <c r="L39" s="14">
        <f>Лист1!AH33+Лист1!AK33+Лист1!AL33+Лист1!AM33+Лист1!AN33+Лист1!AO33+Лист1!AP33+Лист1!AQ33+Лист1!AR33</f>
        <v>22540.930999999997</v>
      </c>
      <c r="M39" s="31">
        <f>Лист1!AS33+Лист1!AT33+Лист1!AU33+Лист1!AZ33+Лист1!BA33</f>
        <v>29479</v>
      </c>
      <c r="N39" s="31">
        <f>Лист1!AX33</f>
        <v>698.425</v>
      </c>
      <c r="O39" s="30">
        <f>Лист1!BB33</f>
        <v>63233.076</v>
      </c>
      <c r="P39" s="90">
        <f>Лист1!BC33</f>
        <v>794.96</v>
      </c>
      <c r="Q39" s="75">
        <f>Лист1!BD33</f>
        <v>-17299.789299999997</v>
      </c>
      <c r="R39" s="75">
        <f>Лист1!BE33</f>
        <v>-12285.589999999997</v>
      </c>
      <c r="S39" s="1"/>
      <c r="T39" s="1"/>
    </row>
    <row r="40" spans="1:20" ht="12.75">
      <c r="A40" s="11" t="s">
        <v>49</v>
      </c>
      <c r="B40" s="84">
        <f>Лист1!B34</f>
        <v>6576.32</v>
      </c>
      <c r="C40" s="27">
        <f t="shared" si="5"/>
        <v>56885.168</v>
      </c>
      <c r="D40" s="28">
        <f>Лист1!D34</f>
        <v>5664.888000000001</v>
      </c>
      <c r="E40" s="14">
        <f>Лист1!S34</f>
        <v>44965.240000000005</v>
      </c>
      <c r="F40" s="30">
        <f>Лист1!T34</f>
        <v>6255.040000000001</v>
      </c>
      <c r="G40" s="29">
        <f>Лист1!AB34</f>
        <v>41771.94</v>
      </c>
      <c r="H40" s="30">
        <f>Лист1!AC34</f>
        <v>53691.868</v>
      </c>
      <c r="I40" s="87">
        <f>Лист1!AF34</f>
        <v>1745.6783999999998</v>
      </c>
      <c r="J40" s="29">
        <f>Лист1!AG34</f>
        <v>3945.7919999999995</v>
      </c>
      <c r="K40" s="14">
        <f>Лист1!AI34+Лист1!AJ34</f>
        <v>6576.32</v>
      </c>
      <c r="L40" s="14">
        <f>Лист1!AH34+Лист1!AK34+Лист1!AL34+Лист1!AM34+Лист1!AN34+Лист1!AO34+Лист1!AP34+Лист1!AQ34+Лист1!AR34</f>
        <v>22556.7776</v>
      </c>
      <c r="M40" s="31">
        <f>Лист1!AS34+Лист1!AT34+Лист1!AU34+Лист1!AZ34+Лист1!BA34</f>
        <v>6201</v>
      </c>
      <c r="N40" s="31">
        <f>Лист1!AX34</f>
        <v>598.3249999999999</v>
      </c>
      <c r="O40" s="30">
        <f>Лист1!BB34</f>
        <v>39878.2146</v>
      </c>
      <c r="P40" s="90">
        <f>Лист1!BC34</f>
        <v>794.96</v>
      </c>
      <c r="Q40" s="75">
        <f>Лист1!BD34</f>
        <v>14764.3718</v>
      </c>
      <c r="R40" s="75">
        <f>Лист1!BE34</f>
        <v>-3193.300000000003</v>
      </c>
      <c r="S40" s="1"/>
      <c r="T40" s="1"/>
    </row>
    <row r="41" spans="1:20" ht="12.75">
      <c r="A41" s="11" t="s">
        <v>50</v>
      </c>
      <c r="B41" s="84">
        <f>Лист1!B35</f>
        <v>6576.32</v>
      </c>
      <c r="C41" s="27">
        <f t="shared" si="5"/>
        <v>56885.168</v>
      </c>
      <c r="D41" s="28">
        <f>Лист1!D35</f>
        <v>5667.608000000001</v>
      </c>
      <c r="E41" s="14">
        <f>Лист1!S35</f>
        <v>44962.520000000004</v>
      </c>
      <c r="F41" s="30">
        <f>Лист1!T35</f>
        <v>6255.040000000001</v>
      </c>
      <c r="G41" s="29">
        <f>Лист1!AB35</f>
        <v>50120.799999999996</v>
      </c>
      <c r="H41" s="30">
        <f>Лист1!AC35</f>
        <v>62043.448</v>
      </c>
      <c r="I41" s="87">
        <f>Лист1!AF35</f>
        <v>1745.6783999999998</v>
      </c>
      <c r="J41" s="29">
        <f>Лист1!AG35</f>
        <v>3945.7919999999995</v>
      </c>
      <c r="K41" s="14">
        <f>Лист1!AI35+Лист1!AJ35</f>
        <v>6576.32</v>
      </c>
      <c r="L41" s="14">
        <f>Лист1!AH35+Лист1!AK35+Лист1!AL35+Лист1!AM35+Лист1!AN35+Лист1!AO35+Лист1!AP35+Лист1!AQ35+Лист1!AR35</f>
        <v>22556.7776</v>
      </c>
      <c r="M41" s="31">
        <f>Лист1!AS35+Лист1!AT35+Лист1!AU35+Лист1!AZ35+Лист1!BA35</f>
        <v>54167.17399999999</v>
      </c>
      <c r="N41" s="31">
        <f>Лист1!AX35</f>
        <v>530.0749999999999</v>
      </c>
      <c r="O41" s="30">
        <f>Лист1!BB35</f>
        <v>87776.13859999999</v>
      </c>
      <c r="P41" s="90">
        <f>Лист1!BC35</f>
        <v>794.96</v>
      </c>
      <c r="Q41" s="75">
        <f>Лист1!BD35</f>
        <v>-24781.972199999997</v>
      </c>
      <c r="R41" s="75">
        <f>Лист1!BE35</f>
        <v>5158.279999999992</v>
      </c>
      <c r="S41" s="1"/>
      <c r="T41" s="1"/>
    </row>
    <row r="42" spans="1:20" ht="12.75">
      <c r="A42" s="11" t="s">
        <v>51</v>
      </c>
      <c r="B42" s="84">
        <f>Лист1!B36</f>
        <v>6576.32</v>
      </c>
      <c r="C42" s="27">
        <f t="shared" si="5"/>
        <v>56885.168</v>
      </c>
      <c r="D42" s="28">
        <f>Лист1!D36</f>
        <v>5600.137999999999</v>
      </c>
      <c r="E42" s="14">
        <f>Лист1!S36</f>
        <v>51121.23000000001</v>
      </c>
      <c r="F42" s="30">
        <f>Лист1!T36</f>
        <v>163.8</v>
      </c>
      <c r="G42" s="29">
        <f>Лист1!AB36</f>
        <v>51638.39</v>
      </c>
      <c r="H42" s="30">
        <f>Лист1!AC36</f>
        <v>57402.328</v>
      </c>
      <c r="I42" s="87">
        <f>Лист1!AF36</f>
        <v>1745.6883999999998</v>
      </c>
      <c r="J42" s="29">
        <f>Лист1!AG36</f>
        <v>3945.7919999999995</v>
      </c>
      <c r="K42" s="14">
        <f>Лист1!AI36+Лист1!AJ36</f>
        <v>6576.32</v>
      </c>
      <c r="L42" s="14">
        <f>Лист1!AH36+Лист1!AK36+Лист1!AL36+Лист1!AM36+Лист1!AN36+Лист1!AO36+Лист1!AP36+Лист1!AQ36+Лист1!AR36</f>
        <v>22556.7776</v>
      </c>
      <c r="M42" s="31">
        <f>Лист1!AS36+Лист1!AT36+Лист1!AU36+Лист1!AZ36+Лист1!BA36</f>
        <v>2498.7946</v>
      </c>
      <c r="N42" s="31">
        <f>Лист1!AX36</f>
        <v>564.1999999999999</v>
      </c>
      <c r="O42" s="30">
        <f>Лист1!BB36</f>
        <v>36141.8842</v>
      </c>
      <c r="P42" s="90">
        <f>Лист1!BC36</f>
        <v>794.96</v>
      </c>
      <c r="Q42" s="75">
        <f>Лист1!BD36</f>
        <v>22211.1722</v>
      </c>
      <c r="R42" s="75">
        <f>Лист1!BE36</f>
        <v>517.1599999999889</v>
      </c>
      <c r="S42" s="1"/>
      <c r="T42" s="1"/>
    </row>
    <row r="43" spans="1:20" ht="12.75">
      <c r="A43" s="11" t="s">
        <v>52</v>
      </c>
      <c r="B43" s="84">
        <f>Лист1!B37</f>
        <v>6571.82</v>
      </c>
      <c r="C43" s="27">
        <f t="shared" si="5"/>
        <v>56846.243</v>
      </c>
      <c r="D43" s="28">
        <f>Лист1!D37</f>
        <v>5574.823000000005</v>
      </c>
      <c r="E43" s="14">
        <f>Лист1!S37</f>
        <v>51107.62000000001</v>
      </c>
      <c r="F43" s="30">
        <f>Лист1!T37</f>
        <v>163.8</v>
      </c>
      <c r="G43" s="29">
        <f>Лист1!AB37</f>
        <v>52504.659999999996</v>
      </c>
      <c r="H43" s="30">
        <f>Лист1!AC37</f>
        <v>58243.283</v>
      </c>
      <c r="I43" s="87">
        <f>Лист1!AF37</f>
        <v>1745.6883999999998</v>
      </c>
      <c r="J43" s="29">
        <f>Лист1!AG37</f>
        <v>3943.0919999999996</v>
      </c>
      <c r="K43" s="14">
        <f>Лист1!AI37+Лист1!AJ37</f>
        <v>6571.82</v>
      </c>
      <c r="L43" s="14">
        <f>Лист1!AH37+Лист1!AK37+Лист1!AL37+Лист1!AM37+Лист1!AN37+Лист1!AO37+Лист1!AP37+Лист1!AQ37+Лист1!AR37</f>
        <v>22541.342599999996</v>
      </c>
      <c r="M43" s="31">
        <f>Лист1!AS37+Лист1!AT37+Лист1!AU37+Лист1!AZ37+Лист1!BA37</f>
        <v>155.524</v>
      </c>
      <c r="N43" s="31">
        <f>Лист1!AX37</f>
        <v>666.5749999999999</v>
      </c>
      <c r="O43" s="30">
        <f>Лист1!BB37</f>
        <v>33878.3536</v>
      </c>
      <c r="P43" s="90">
        <f>Лист1!BC37</f>
        <v>794.96</v>
      </c>
      <c r="Q43" s="75">
        <f>Лист1!BD37</f>
        <v>25315.6578</v>
      </c>
      <c r="R43" s="75">
        <f>Лист1!BE37</f>
        <v>1397.0399999999863</v>
      </c>
      <c r="S43" s="1"/>
      <c r="T43" s="1"/>
    </row>
    <row r="44" spans="1:20" ht="12.75">
      <c r="A44" s="11" t="s">
        <v>53</v>
      </c>
      <c r="B44" s="84">
        <f>Лист1!B38</f>
        <v>6571.82</v>
      </c>
      <c r="C44" s="27">
        <f t="shared" si="5"/>
        <v>56846.243</v>
      </c>
      <c r="D44" s="28">
        <f>Лист1!D38</f>
        <v>5539.522999999998</v>
      </c>
      <c r="E44" s="14">
        <f>Лист1!S38</f>
        <v>51142.92</v>
      </c>
      <c r="F44" s="30">
        <f>Лист1!T38</f>
        <v>163.8</v>
      </c>
      <c r="G44" s="29">
        <f>Лист1!AB38</f>
        <v>48285.5</v>
      </c>
      <c r="H44" s="30">
        <f>Лист1!AC38</f>
        <v>53988.823</v>
      </c>
      <c r="I44" s="87">
        <f>Лист1!AF38</f>
        <v>1745.6883999999998</v>
      </c>
      <c r="J44" s="29">
        <f>Лист1!AG38</f>
        <v>3943.0919999999996</v>
      </c>
      <c r="K44" s="14">
        <f>Лист1!AI38+Лист1!AJ38</f>
        <v>6571.82</v>
      </c>
      <c r="L44" s="14">
        <f>Лист1!AH38+Лист1!AK38+Лист1!AL38+Лист1!AM38+Лист1!AN38+Лист1!AO38+Лист1!AP38+Лист1!AQ38+Лист1!AR38</f>
        <v>31364.402599999994</v>
      </c>
      <c r="M44" s="31">
        <f>Лист1!AS38+Лист1!AT38+Лист1!AU38+Лист1!AZ38+Лист1!BA38</f>
        <v>15134.5684</v>
      </c>
      <c r="N44" s="31">
        <f>Лист1!AX38</f>
        <v>793.9749999999999</v>
      </c>
      <c r="O44" s="30">
        <f>Лист1!BB38</f>
        <v>57807.85799999999</v>
      </c>
      <c r="P44" s="90">
        <f>Лист1!BC38</f>
        <v>794.96</v>
      </c>
      <c r="Q44" s="75">
        <f>Лист1!BD38</f>
        <v>-2868.306599999997</v>
      </c>
      <c r="R44" s="75">
        <f>Лист1!BE38</f>
        <v>-2857.4199999999983</v>
      </c>
      <c r="S44" s="1"/>
      <c r="T44" s="1"/>
    </row>
    <row r="45" spans="1:20" ht="12.75">
      <c r="A45" s="11" t="s">
        <v>41</v>
      </c>
      <c r="B45" s="84">
        <f>Лист1!B39</f>
        <v>6571.82</v>
      </c>
      <c r="C45" s="27">
        <f>B45*8.65</f>
        <v>56846.243</v>
      </c>
      <c r="D45" s="28">
        <f>Лист1!D39</f>
        <v>5520.622999999999</v>
      </c>
      <c r="E45" s="14">
        <f>Лист1!S39</f>
        <v>51161.82</v>
      </c>
      <c r="F45" s="30">
        <f>Лист1!T39</f>
        <v>163.8</v>
      </c>
      <c r="G45" s="29">
        <f>Лист1!AB39</f>
        <v>49192.61</v>
      </c>
      <c r="H45" s="30">
        <f>Лист1!AC39</f>
        <v>54877.032999999996</v>
      </c>
      <c r="I45" s="87">
        <f>Лист1!AF39</f>
        <v>1895.6883999999998</v>
      </c>
      <c r="J45" s="29">
        <f>Лист1!AG39</f>
        <v>3943.0919999999996</v>
      </c>
      <c r="K45" s="14">
        <f>Лист1!AI39+Лист1!AJ39</f>
        <v>6571.82</v>
      </c>
      <c r="L45" s="14">
        <f>Лист1!AH39+Лист1!AK39+Лист1!AL39+Лист1!AM39+Лист1!AN39+Лист1!AO39+Лист1!AP39+Лист1!AQ39+Лист1!AR39</f>
        <v>22541.342599999996</v>
      </c>
      <c r="M45" s="31">
        <f>Лист1!AS39+Лист1!AT39+Лист1!AU39+Лист1!AZ39+Лист1!BA39</f>
        <v>18375.124</v>
      </c>
      <c r="N45" s="31">
        <f>Лист1!AX39</f>
        <v>966.8749999999999</v>
      </c>
      <c r="O45" s="30">
        <f>Лист1!BB39</f>
        <v>52398.253600000004</v>
      </c>
      <c r="P45" s="90">
        <f>Лист1!BC39</f>
        <v>832.46</v>
      </c>
      <c r="Q45" s="75">
        <f>Лист1!BD39</f>
        <v>3542.007799999991</v>
      </c>
      <c r="R45" s="75">
        <f>Лист1!BE39</f>
        <v>-1969.2099999999991</v>
      </c>
      <c r="S45" s="1"/>
      <c r="T45" s="1"/>
    </row>
    <row r="46" spans="1:20" ht="12.75">
      <c r="A46" s="11" t="s">
        <v>42</v>
      </c>
      <c r="B46" s="84">
        <f>Лист1!B40</f>
        <v>6641.62</v>
      </c>
      <c r="C46" s="27">
        <f t="shared" si="5"/>
        <v>57450.013</v>
      </c>
      <c r="D46" s="28">
        <f>Лист1!D40</f>
        <v>4343.253</v>
      </c>
      <c r="E46" s="14">
        <f>Лист1!S40</f>
        <v>52942.96</v>
      </c>
      <c r="F46" s="30">
        <f>Лист1!T40</f>
        <v>163.8</v>
      </c>
      <c r="G46" s="29">
        <f>Лист1!AB40</f>
        <v>59143.15999999999</v>
      </c>
      <c r="H46" s="30">
        <f>Лист1!AC40</f>
        <v>63650.21299999999</v>
      </c>
      <c r="I46" s="87">
        <f>Лист1!AF40</f>
        <v>1895.6883999999998</v>
      </c>
      <c r="J46" s="29">
        <f>Лист1!AG40</f>
        <v>3984.9719999999998</v>
      </c>
      <c r="K46" s="14">
        <f>Лист1!AI40+Лист1!AJ40</f>
        <v>6641.62</v>
      </c>
      <c r="L46" s="14">
        <f>Лист1!AH40+Лист1!AK40+Лист1!AL40+Лист1!AM40+Лист1!AN40+Лист1!AO40+Лист1!AP40+Лист1!AQ40+Лист1!AR40</f>
        <v>22780.7566</v>
      </c>
      <c r="M46" s="31">
        <f>Лист1!AS40+Лист1!AT40+Лист1!AU40+Лист1!AZ40+Лист1!BA40</f>
        <v>10793.5</v>
      </c>
      <c r="N46" s="31">
        <f>Лист1!AX40</f>
        <v>1069.25</v>
      </c>
      <c r="O46" s="30">
        <f>Лист1!BB40</f>
        <v>45270.0986</v>
      </c>
      <c r="P46" s="90">
        <f>Лист1!BC40</f>
        <v>832.46</v>
      </c>
      <c r="Q46" s="75">
        <f>Лист1!BD40</f>
        <v>19443.34279999999</v>
      </c>
      <c r="R46" s="75">
        <f>Лист1!BE40</f>
        <v>6200.19999999999</v>
      </c>
      <c r="S46" s="1"/>
      <c r="T46" s="1"/>
    </row>
    <row r="47" spans="1:20" ht="13.5" thickBot="1">
      <c r="A47" s="32" t="s">
        <v>43</v>
      </c>
      <c r="B47" s="84">
        <f>Лист1!B41</f>
        <v>6641.62</v>
      </c>
      <c r="C47" s="33">
        <f t="shared" si="5"/>
        <v>57450.013</v>
      </c>
      <c r="D47" s="28">
        <f>Лист1!D41</f>
        <v>5527.702999999997</v>
      </c>
      <c r="E47" s="14">
        <f>Лист1!S41</f>
        <v>51758.51</v>
      </c>
      <c r="F47" s="30">
        <f>Лист1!T41</f>
        <v>163.8</v>
      </c>
      <c r="G47" s="29">
        <f>Лист1!AB41</f>
        <v>63354.3</v>
      </c>
      <c r="H47" s="30">
        <f>Лист1!AC41</f>
        <v>69045.803</v>
      </c>
      <c r="I47" s="87">
        <f>Лист1!AF41</f>
        <v>1895.6883999999998</v>
      </c>
      <c r="J47" s="29">
        <f>Лист1!AG41</f>
        <v>3984.9719999999998</v>
      </c>
      <c r="K47" s="14">
        <f>Лист1!AI41+Лист1!AJ41</f>
        <v>6641.62</v>
      </c>
      <c r="L47" s="14">
        <f>Лист1!AH41+Лист1!AK41+Лист1!AL41+Лист1!AM41+Лист1!AN41+Лист1!AO41+Лист1!AP41+Лист1!AQ41+Лист1!AR41</f>
        <v>22780.7566</v>
      </c>
      <c r="M47" s="31">
        <f>Лист1!AS41+Лист1!AT41+Лист1!AU41+Лист1!AZ41+Лист1!BA41</f>
        <v>9554.6168</v>
      </c>
      <c r="N47" s="31">
        <f>Лист1!AX41</f>
        <v>1169.35</v>
      </c>
      <c r="O47" s="30">
        <f>Лист1!BB41</f>
        <v>44131.3154</v>
      </c>
      <c r="P47" s="90">
        <f>Лист1!BC41</f>
        <v>832.46</v>
      </c>
      <c r="Q47" s="75">
        <f>Лист1!BD41</f>
        <v>25977.716</v>
      </c>
      <c r="R47" s="75">
        <f>Лист1!BE41</f>
        <v>11595.79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683485.4590000001</v>
      </c>
      <c r="D48" s="68">
        <f t="shared" si="6"/>
        <v>66023.989</v>
      </c>
      <c r="E48" s="36">
        <f t="shared" si="6"/>
        <v>579260.9299999999</v>
      </c>
      <c r="F48" s="69">
        <f t="shared" si="6"/>
        <v>38200.54000000002</v>
      </c>
      <c r="G48" s="68">
        <f t="shared" si="6"/>
        <v>559765.32</v>
      </c>
      <c r="H48" s="69">
        <f t="shared" si="6"/>
        <v>663989.8489999998</v>
      </c>
      <c r="I48" s="69">
        <f t="shared" si="6"/>
        <v>20552.294199999993</v>
      </c>
      <c r="J48" s="68">
        <f t="shared" si="6"/>
        <v>47409.396</v>
      </c>
      <c r="K48" s="36">
        <f t="shared" si="6"/>
        <v>79015.65999999999</v>
      </c>
      <c r="L48" s="36">
        <f t="shared" si="6"/>
        <v>279846.77379999997</v>
      </c>
      <c r="M48" s="36">
        <f t="shared" si="6"/>
        <v>192535.06179999997</v>
      </c>
      <c r="N48" s="36">
        <f t="shared" si="6"/>
        <v>10010</v>
      </c>
      <c r="O48" s="69">
        <f t="shared" si="6"/>
        <v>608816.8916</v>
      </c>
      <c r="P48" s="69">
        <f t="shared" si="6"/>
        <v>9047.954999999998</v>
      </c>
      <c r="Q48" s="76">
        <f t="shared" si="6"/>
        <v>66677.29660000002</v>
      </c>
      <c r="R48" s="76">
        <f t="shared" si="6"/>
        <v>-19495.610000000044</v>
      </c>
      <c r="S48" s="72"/>
      <c r="T48" s="72"/>
    </row>
    <row r="49" spans="1:20" ht="13.5" thickBot="1">
      <c r="A49" s="197" t="s">
        <v>70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1539412.4740000002</v>
      </c>
      <c r="D50" s="37">
        <f aca="true" t="shared" si="7" ref="D50:O50">D34+D48</f>
        <v>179754.76514475</v>
      </c>
      <c r="E50" s="38">
        <f t="shared" si="7"/>
        <v>1233505.56</v>
      </c>
      <c r="F50" s="39">
        <f t="shared" si="7"/>
        <v>128546.75000000003</v>
      </c>
      <c r="G50" s="37">
        <f t="shared" si="7"/>
        <v>1104022.804</v>
      </c>
      <c r="H50" s="39">
        <f t="shared" si="7"/>
        <v>1412324.3191447495</v>
      </c>
      <c r="I50" s="39">
        <f t="shared" si="7"/>
        <v>33478.39515999999</v>
      </c>
      <c r="J50" s="37">
        <f t="shared" si="7"/>
        <v>105196.38599999998</v>
      </c>
      <c r="K50" s="38">
        <f t="shared" si="7"/>
        <v>174622.356604852</v>
      </c>
      <c r="L50" s="38">
        <f t="shared" si="7"/>
        <v>610090.8470330026</v>
      </c>
      <c r="M50" s="38">
        <f t="shared" si="7"/>
        <v>451379.4116</v>
      </c>
      <c r="N50" s="38">
        <f t="shared" si="7"/>
        <v>22247.0248</v>
      </c>
      <c r="O50" s="79">
        <f t="shared" si="7"/>
        <v>1323195.6967421265</v>
      </c>
      <c r="P50" s="79">
        <f>P34+P48</f>
        <v>51978.990170353005</v>
      </c>
      <c r="Q50" s="78">
        <f>Q34+Q48</f>
        <v>61668.00492371846</v>
      </c>
      <c r="R50" s="78">
        <f>R34+R48</f>
        <v>-106289.42353144805</v>
      </c>
      <c r="S50" s="73"/>
      <c r="T50" s="72"/>
    </row>
    <row r="52" spans="1:20" ht="12.75">
      <c r="A52" s="20" t="s">
        <v>71</v>
      </c>
      <c r="D52" s="85" t="s">
        <v>92</v>
      </c>
      <c r="S52" s="1"/>
      <c r="T52" s="1"/>
    </row>
    <row r="53" spans="1:20" ht="12.75">
      <c r="A53" s="21" t="s">
        <v>72</v>
      </c>
      <c r="B53" s="21" t="s">
        <v>73</v>
      </c>
      <c r="C53" s="199" t="s">
        <v>74</v>
      </c>
      <c r="D53" s="199"/>
      <c r="S53" s="1"/>
      <c r="T53" s="1"/>
    </row>
    <row r="54" spans="1:20" ht="12.75">
      <c r="A54" s="133">
        <v>407697.83</v>
      </c>
      <c r="B54" s="133">
        <v>262535.12</v>
      </c>
      <c r="C54" s="193">
        <f>A54-B54</f>
        <v>145162.71000000002</v>
      </c>
      <c r="D54" s="194"/>
      <c r="S54" s="1"/>
      <c r="T54" s="1"/>
    </row>
    <row r="55" spans="1:20" ht="12.75">
      <c r="A55" s="46"/>
      <c r="S55" s="1"/>
      <c r="T55" s="1"/>
    </row>
    <row r="56" spans="1:20" ht="12.75">
      <c r="A56" s="2" t="s">
        <v>77</v>
      </c>
      <c r="G56" s="2" t="s">
        <v>78</v>
      </c>
      <c r="S56" s="1"/>
      <c r="T56" s="1"/>
    </row>
    <row r="57" ht="12.75">
      <c r="A57" s="1"/>
    </row>
    <row r="58" ht="12.75">
      <c r="A58" s="1"/>
    </row>
    <row r="59" ht="12.75">
      <c r="A59" s="2" t="s">
        <v>88</v>
      </c>
    </row>
    <row r="60" ht="12.75">
      <c r="A60" s="2" t="s">
        <v>79</v>
      </c>
    </row>
  </sheetData>
  <sheetProtection/>
  <mergeCells count="29">
    <mergeCell ref="A49:Q49"/>
    <mergeCell ref="C9:C12"/>
    <mergeCell ref="D9:D12"/>
    <mergeCell ref="B1:H1"/>
    <mergeCell ref="B2:H2"/>
    <mergeCell ref="A8:D8"/>
    <mergeCell ref="E8:F8"/>
    <mergeCell ref="A5:Q5"/>
    <mergeCell ref="A6:G6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54:D54"/>
    <mergeCell ref="O11:O12"/>
    <mergeCell ref="A33:Q33"/>
    <mergeCell ref="C53:D53"/>
    <mergeCell ref="I9:I12"/>
    <mergeCell ref="P9:P12"/>
    <mergeCell ref="J9:O10"/>
    <mergeCell ref="Q9:Q12"/>
    <mergeCell ref="A9:A12"/>
    <mergeCell ref="B9:B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2011-04-12T03:19:21Z</dcterms:modified>
  <cp:category/>
  <cp:version/>
  <cp:contentType/>
  <cp:contentStatus/>
</cp:coreProperties>
</file>