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0"/>
  </bookViews>
  <sheets>
    <sheet name="2011 печать" sheetId="1" r:id="rId1"/>
    <sheet name="2011 полн" sheetId="2" r:id="rId2"/>
    <sheet name="Лист1" sheetId="3" r:id="rId3"/>
    <sheet name="Лист2" sheetId="4" r:id="rId4"/>
    <sheet name="Лист3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<sst xmlns="http://schemas.openxmlformats.org/spreadsheetml/2006/main" count="306" uniqueCount="129">
  <si>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</si>
  <si>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</si>
  <si>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</si>
  <si>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</si>
  <si>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</si>
  <si>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</si>
  <si>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</si>
  <si>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</si>
  <si>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</si>
  <si>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</si>
  <si>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</si>
  <si>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</si>
  <si>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</si>
  <si>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</si>
  <si>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</si>
  <si>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</si>
  <si>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</si>
  <si>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</si>
  <si>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</si>
  <si>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</si>
  <si>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</si>
  <si>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</si>
  <si>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</si>
  <si>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</si>
  <si>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</si>
  <si>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</si>
  <si>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</si>
  <si>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</si>
  <si>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</si>
  <si>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</si>
  <si>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</si>
  <si>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</si>
  <si>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</si>
  <si>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</si>
  <si>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</si>
  <si>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</si>
  <si>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</si>
  <si>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</si>
  <si>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</si>
  <si>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</si>
  <si>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</si>
  <si>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</si>
  <si>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</si>
  <si>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</si>
  <si>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</si>
  <si>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</si>
  <si>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</si>
  <si>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</si>
  <si>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</si>
  <si>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</si>
  <si>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</si>
  <si>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</si>
  <si>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</si>
  <si>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</si>
  <si>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</si>
  <si>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</si>
  <si>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</si>
  <si>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</si>
  <si>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</si>
  <si>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</si>
  <si>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</si>
  <si>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</si>
  <si>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</si>
  <si>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</si>
  <si>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</si>
  <si>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</si>
  <si>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</si>
  <si>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</si>
  <si>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</si>
  <si>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</si>
  <si>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</si>
  <si>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</si>
  <si>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</si>
  <si>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</si>
  <si>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</si>
  <si>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</si>
  <si>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Поспелова, д. 18</t>
  </si>
  <si>
    <t>Выписка по лицевому счету по адресу г. Таштагол, ул. Поспелова, д. 18</t>
  </si>
  <si>
    <t>Собрано всего по жил.услугам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</si>
  <si>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</si>
  <si>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</si>
  <si>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</si>
  <si>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</si>
  <si>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</si>
  <si>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</si>
  <si>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</si>
  <si>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</si>
  <si>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</si>
  <si>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</si>
  <si>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</si>
  <si>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</si>
  <si>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№п/п</t>
  </si>
  <si>
    <t>на 01.01.2011 г.</t>
  </si>
  <si>
    <t>на начало отчетного периода</t>
  </si>
  <si>
    <t>Исп. Ю.С. Дмитриева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</si>
  <si>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</si>
  <si>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</si>
  <si>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</si>
  <si>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</si>
  <si>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</si>
  <si>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</si>
  <si>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</si>
  <si>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</si>
  <si>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</si>
  <si>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</si>
  <si>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</si>
  <si>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</si>
  <si>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</si>
  <si>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</si>
  <si>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</si>
  <si>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</si>
  <si>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</si>
  <si>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</si>
  <si>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</si>
  <si>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</si>
  <si>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</si>
  <si>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</si>
  <si>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</si>
  <si>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</si>
  <si>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месяц</t>
  </si>
  <si>
    <t>Собрано квартплаты от населения</t>
  </si>
  <si>
    <t xml:space="preserve">Доходы от нежилых помещений </t>
  </si>
  <si>
    <t>Услуга начисления</t>
  </si>
  <si>
    <t>Расходы по нежилым помещениям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</si>
  <si>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</si>
  <si>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</si>
  <si>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</si>
  <si>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Поспелова, д.18</t>
  </si>
  <si>
    <t>Тариф по содержанию и тек.ремонту 100 % (8,55руб.*площадь)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</si>
</sst>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 wrapText="1"/>
    </xf>
    <xf numFmtId="4" fontId="0" fillId="0" borderId="15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35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0" fillId="38" borderId="28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 wrapText="1"/>
    </xf>
    <xf numFmtId="4" fontId="1" fillId="33" borderId="23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8" borderId="4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8" borderId="17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39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1" fillId="33" borderId="15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1" fillId="33" borderId="14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 wrapText="1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0" fillId="36" borderId="29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28" xfId="0" applyNumberFormat="1" applyFont="1" applyFill="1" applyBorder="1" applyAlignment="1">
      <alignment horizontal="center"/>
    </xf>
    <xf numFmtId="4" fontId="0" fillId="36" borderId="4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4" fontId="2" fillId="39" borderId="11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4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9" xfId="0" applyNumberFormat="1" applyFont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8" borderId="28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0" fontId="1" fillId="40" borderId="25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2" fontId="7" fillId="40" borderId="38" xfId="0" applyNumberFormat="1" applyFont="1" applyFill="1" applyBorder="1" applyAlignment="1">
      <alignment vertical="center" wrapText="1"/>
    </xf>
    <xf numFmtId="4" fontId="1" fillId="40" borderId="29" xfId="0" applyNumberFormat="1" applyFont="1" applyFill="1" applyBorder="1" applyAlignment="1">
      <alignment horizontal="right"/>
    </xf>
    <xf numFmtId="4" fontId="1" fillId="40" borderId="24" xfId="0" applyNumberFormat="1" applyFont="1" applyFill="1" applyBorder="1" applyAlignment="1">
      <alignment horizontal="right" wrapText="1"/>
    </xf>
    <xf numFmtId="4" fontId="1" fillId="40" borderId="26" xfId="0" applyNumberFormat="1" applyFont="1" applyFill="1" applyBorder="1" applyAlignment="1">
      <alignment horizontal="right"/>
    </xf>
    <xf numFmtId="0" fontId="1" fillId="40" borderId="33" xfId="0" applyFont="1" applyFill="1" applyBorder="1" applyAlignment="1">
      <alignment/>
    </xf>
    <xf numFmtId="4" fontId="1" fillId="40" borderId="2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4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4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28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36" borderId="30" xfId="0" applyNumberFormat="1" applyFont="1" applyFill="1" applyBorder="1" applyAlignment="1">
      <alignment horizontal="center"/>
    </xf>
    <xf numFmtId="4" fontId="0" fillId="0" borderId="5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36" borderId="30" xfId="0" applyFont="1" applyFill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1" fillId="0" borderId="52" xfId="0" applyNumberFormat="1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36" borderId="30" xfId="0" applyFont="1" applyFill="1" applyBorder="1" applyAlignment="1">
      <alignment/>
    </xf>
    <xf numFmtId="0" fontId="11" fillId="0" borderId="29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4" fontId="0" fillId="34" borderId="51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5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28" xfId="0" applyNumberFormat="1" applyFont="1" applyFill="1" applyBorder="1" applyAlignment="1">
      <alignment horizontal="right"/>
    </xf>
    <xf numFmtId="2" fontId="0" fillId="0" borderId="29" xfId="0" applyNumberFormat="1" applyFont="1" applyFill="1" applyBorder="1" applyAlignment="1">
      <alignment horizontal="right"/>
    </xf>
    <xf numFmtId="4" fontId="2" fillId="36" borderId="15" xfId="0" applyNumberFormat="1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center" textRotation="90" wrapText="1"/>
    </xf>
    <xf numFmtId="0" fontId="1" fillId="0" borderId="37" xfId="0" applyFont="1" applyFill="1" applyBorder="1" applyAlignment="1">
      <alignment horizontal="center" textRotation="90" wrapText="1"/>
    </xf>
    <xf numFmtId="0" fontId="1" fillId="0" borderId="38" xfId="0" applyFont="1" applyFill="1" applyBorder="1" applyAlignment="1">
      <alignment horizontal="center" textRotation="90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37" borderId="48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1" fillId="0" borderId="5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38" borderId="47" xfId="0" applyFont="1" applyFill="1" applyBorder="1" applyAlignment="1">
      <alignment horizontal="center" vertical="center" wrapText="1"/>
    </xf>
    <xf numFmtId="0" fontId="1" fillId="38" borderId="67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textRotation="90"/>
    </xf>
    <xf numFmtId="0" fontId="1" fillId="36" borderId="38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 wrapText="1"/>
    </xf>
    <xf numFmtId="2" fontId="1" fillId="35" borderId="54" xfId="0" applyNumberFormat="1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7" fillId="34" borderId="48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6" borderId="37" xfId="0" applyFont="1" applyFill="1" applyBorder="1" applyAlignment="1">
      <alignment horizontal="center" textRotation="90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0" fontId="1" fillId="0" borderId="71" xfId="0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71" xfId="0" applyFont="1" applyBorder="1" applyAlignment="1">
      <alignment/>
    </xf>
    <xf numFmtId="0" fontId="1" fillId="38" borderId="48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2" fontId="7" fillId="40" borderId="48" xfId="0" applyNumberFormat="1" applyFont="1" applyFill="1" applyBorder="1" applyAlignment="1">
      <alignment horizontal="center" vertical="center" wrapText="1"/>
    </xf>
    <xf numFmtId="2" fontId="7" fillId="40" borderId="37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3" fontId="0" fillId="0" borderId="28" xfId="61" applyFont="1" applyFill="1" applyBorder="1" applyAlignment="1">
      <alignment horizontal="center"/>
    </xf>
    <xf numFmtId="43" fontId="0" fillId="0" borderId="29" xfId="61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40" borderId="28" xfId="0" applyNumberFormat="1" applyFont="1" applyFill="1" applyBorder="1" applyAlignment="1">
      <alignment horizontal="center" vertical="center" textRotation="90" wrapText="1"/>
    </xf>
    <xf numFmtId="2" fontId="1" fillId="40" borderId="44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%2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Users\&#1071;\Desktop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Users\&#1071;\Desktop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33%20&#1089;%202011%20&#1075;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2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3&#1082;&#1074;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51;&#1048;&#1062;%20&#1057;&#1063;&#1045;&#1058;&#1040;%202%20&#1082;&#1074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3">
        <row r="3">
          <cell r="I3">
            <v>1061.22828</v>
          </cell>
          <cell r="O3">
            <v>455.00334936</v>
          </cell>
        </row>
        <row r="28">
          <cell r="I28">
            <v>315.30246</v>
          </cell>
          <cell r="O28">
            <v>135.18215452</v>
          </cell>
        </row>
      </sheetData>
      <sheetData sheetId="4">
        <row r="3">
          <cell r="O3">
            <v>507.880043564</v>
          </cell>
        </row>
        <row r="28">
          <cell r="O28">
            <v>150.90468208200002</v>
          </cell>
        </row>
      </sheetData>
      <sheetData sheetId="5">
        <row r="3">
          <cell r="I3">
            <v>1061.22828</v>
          </cell>
          <cell r="O3">
            <v>480.84556884000006</v>
          </cell>
        </row>
        <row r="28">
          <cell r="I28">
            <v>315.30246</v>
          </cell>
          <cell r="O28">
            <v>142.85991538000002</v>
          </cell>
        </row>
      </sheetData>
      <sheetData sheetId="6">
        <row r="3">
          <cell r="O3">
            <v>501.49335516</v>
          </cell>
        </row>
        <row r="29">
          <cell r="O29">
            <v>148.99440262000002</v>
          </cell>
        </row>
        <row r="51">
          <cell r="O51">
            <v>106.94371756000002</v>
          </cell>
        </row>
        <row r="55">
          <cell r="O55">
            <v>103.828852</v>
          </cell>
        </row>
        <row r="61">
          <cell r="O61">
            <v>1247.5036567800003</v>
          </cell>
        </row>
        <row r="86">
          <cell r="O86">
            <v>182.73877952000004</v>
          </cell>
        </row>
      </sheetData>
      <sheetData sheetId="7">
        <row r="3">
          <cell r="O3">
            <v>501.265493148</v>
          </cell>
        </row>
        <row r="29">
          <cell r="O29">
            <v>148.926704486</v>
          </cell>
        </row>
        <row r="51">
          <cell r="O51">
            <v>106.89512586800002</v>
          </cell>
        </row>
        <row r="56">
          <cell r="O56">
            <v>103.78167560000001</v>
          </cell>
        </row>
        <row r="62">
          <cell r="O62">
            <v>1246.9368323340002</v>
          </cell>
        </row>
        <row r="87">
          <cell r="O87">
            <v>182.65574905600005</v>
          </cell>
        </row>
      </sheetData>
      <sheetData sheetId="8">
        <row r="3">
          <cell r="O3">
            <v>501.1896797292</v>
          </cell>
        </row>
        <row r="29">
          <cell r="O29">
            <v>148.9041802094</v>
          </cell>
        </row>
        <row r="51">
          <cell r="O51">
            <v>106.87895861720001</v>
          </cell>
        </row>
        <row r="56">
          <cell r="O56">
            <v>103.76597924</v>
          </cell>
        </row>
        <row r="62">
          <cell r="O62">
            <v>1246.7482405686</v>
          </cell>
        </row>
        <row r="87">
          <cell r="O87">
            <v>182.62812346240003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3">
          <cell r="I3">
            <v>1061.22828</v>
          </cell>
        </row>
        <row r="29">
          <cell r="I29">
            <v>315.30246</v>
          </cell>
        </row>
        <row r="51">
          <cell r="I51">
            <v>267.63108</v>
          </cell>
        </row>
        <row r="56">
          <cell r="I56">
            <v>219.716</v>
          </cell>
        </row>
        <row r="61">
          <cell r="I61">
            <v>2639.87774</v>
          </cell>
        </row>
        <row r="90">
          <cell r="I90">
            <v>457.31136000000004</v>
          </cell>
        </row>
        <row r="116">
          <cell r="I116">
            <v>1145.87676</v>
          </cell>
        </row>
        <row r="121">
          <cell r="I121">
            <v>964.56324</v>
          </cell>
        </row>
      </sheetData>
      <sheetData sheetId="7">
        <row r="3">
          <cell r="I3">
            <v>1061.22828</v>
          </cell>
        </row>
        <row r="29">
          <cell r="I29">
            <v>315.30246</v>
          </cell>
        </row>
        <row r="51">
          <cell r="I51">
            <v>267.63108</v>
          </cell>
        </row>
        <row r="56">
          <cell r="I56">
            <v>219.716</v>
          </cell>
        </row>
        <row r="61">
          <cell r="I61">
            <v>2639.87774</v>
          </cell>
        </row>
        <row r="90">
          <cell r="I90">
            <v>457.31136000000004</v>
          </cell>
        </row>
        <row r="116">
          <cell r="I116">
            <v>1145.87676</v>
          </cell>
        </row>
        <row r="121">
          <cell r="I121">
            <v>964.56324</v>
          </cell>
        </row>
      </sheetData>
      <sheetData sheetId="8">
        <row r="3">
          <cell r="I3">
            <v>1061.22828</v>
          </cell>
          <cell r="M3">
            <v>505.21799999999996</v>
          </cell>
        </row>
        <row r="29">
          <cell r="I29">
            <v>315.30246</v>
          </cell>
          <cell r="M29">
            <v>150.101</v>
          </cell>
        </row>
        <row r="51">
          <cell r="I51">
            <v>267.63108</v>
          </cell>
          <cell r="M51">
            <v>107.73800000000001</v>
          </cell>
        </row>
        <row r="56">
          <cell r="I56">
            <v>219.716</v>
          </cell>
          <cell r="M56">
            <v>104.6</v>
          </cell>
        </row>
        <row r="61">
          <cell r="I61">
            <v>2639.87774</v>
          </cell>
          <cell r="M61">
            <v>1256.769</v>
          </cell>
        </row>
        <row r="90">
          <cell r="I90">
            <v>457.31136000000004</v>
          </cell>
          <cell r="M90">
            <v>184.096</v>
          </cell>
        </row>
        <row r="117">
          <cell r="I117">
            <v>1145.87676</v>
          </cell>
          <cell r="M117">
            <v>461.28600000000006</v>
          </cell>
        </row>
        <row r="122">
          <cell r="I122">
            <v>964.56324</v>
          </cell>
          <cell r="M122">
            <v>459.19399999999996</v>
          </cell>
        </row>
      </sheetData>
      <sheetData sheetId="9">
        <row r="3">
          <cell r="I3">
            <v>1061.22828</v>
          </cell>
          <cell r="M3">
            <v>505.21799999999996</v>
          </cell>
        </row>
        <row r="29">
          <cell r="I29">
            <v>315.30246</v>
          </cell>
          <cell r="M29">
            <v>150.101</v>
          </cell>
        </row>
        <row r="51">
          <cell r="I51">
            <v>267.63108</v>
          </cell>
          <cell r="M51">
            <v>107.73800000000001</v>
          </cell>
        </row>
        <row r="56">
          <cell r="I56">
            <v>219.716</v>
          </cell>
          <cell r="M56">
            <v>104.6</v>
          </cell>
        </row>
        <row r="61">
          <cell r="I61">
            <v>2639.87774</v>
          </cell>
          <cell r="M61">
            <v>1256.769</v>
          </cell>
        </row>
        <row r="90">
          <cell r="I90">
            <v>457.31136000000004</v>
          </cell>
          <cell r="M90">
            <v>184.096</v>
          </cell>
        </row>
        <row r="117">
          <cell r="I117">
            <v>1145.87676</v>
          </cell>
          <cell r="M117">
            <v>461.28600000000006</v>
          </cell>
        </row>
        <row r="122">
          <cell r="I122">
            <v>964.56324</v>
          </cell>
          <cell r="M122">
            <v>459.19399999999996</v>
          </cell>
        </row>
      </sheetData>
      <sheetData sheetId="10">
        <row r="3">
          <cell r="I3">
            <v>1061.22828</v>
          </cell>
          <cell r="M3">
            <v>505.21799999999996</v>
          </cell>
        </row>
        <row r="29">
          <cell r="I29">
            <v>315.30246</v>
          </cell>
          <cell r="M29">
            <v>150.101</v>
          </cell>
        </row>
        <row r="51">
          <cell r="I51">
            <v>267.63108</v>
          </cell>
          <cell r="M51">
            <v>107.73800000000001</v>
          </cell>
        </row>
        <row r="56">
          <cell r="I56">
            <v>219.716</v>
          </cell>
          <cell r="M56">
            <v>104.6</v>
          </cell>
        </row>
        <row r="61">
          <cell r="I61">
            <v>2639.87774</v>
          </cell>
          <cell r="M61">
            <v>1256.769</v>
          </cell>
        </row>
        <row r="90">
          <cell r="I90">
            <v>457.31136000000004</v>
          </cell>
          <cell r="M90">
            <v>184.096</v>
          </cell>
        </row>
        <row r="116">
          <cell r="I116">
            <v>1145.87676</v>
          </cell>
          <cell r="M116">
            <v>461.28600000000006</v>
          </cell>
        </row>
        <row r="121">
          <cell r="I121">
            <v>964.56324</v>
          </cell>
          <cell r="M121">
            <v>459.19399999999996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5">
        <row r="3">
          <cell r="M3">
            <v>505.21799999999996</v>
          </cell>
        </row>
        <row r="30">
          <cell r="M30">
            <v>150.101</v>
          </cell>
        </row>
        <row r="51">
          <cell r="M51">
            <v>107.73800000000001</v>
          </cell>
        </row>
        <row r="56">
          <cell r="M56">
            <v>104.6</v>
          </cell>
        </row>
        <row r="61">
          <cell r="M61">
            <v>1256.769</v>
          </cell>
        </row>
        <row r="91">
          <cell r="M91">
            <v>184.096</v>
          </cell>
        </row>
        <row r="117">
          <cell r="M117">
            <v>461.28600000000006</v>
          </cell>
        </row>
        <row r="122">
          <cell r="M122">
            <v>459.19399999999996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3">
          <cell r="I3">
            <v>1061.22828</v>
          </cell>
        </row>
        <row r="28">
          <cell r="I28">
            <v>315.30246</v>
          </cell>
        </row>
      </sheetData>
      <sheetData sheetId="1">
        <row r="3">
          <cell r="I3">
            <v>1061.22828</v>
          </cell>
        </row>
        <row r="28">
          <cell r="I28">
            <v>315.30246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3">
          <cell r="O3">
            <v>451.16953172</v>
          </cell>
        </row>
        <row r="28">
          <cell r="O28">
            <v>134.04662754</v>
          </cell>
        </row>
      </sheetData>
      <sheetData sheetId="1">
        <row r="3">
          <cell r="O3">
            <v>451.85956032</v>
          </cell>
        </row>
        <row r="28">
          <cell r="O28">
            <v>134.24813024</v>
          </cell>
        </row>
      </sheetData>
      <sheetData sheetId="2">
        <row r="3">
          <cell r="O3">
            <v>442.38202806</v>
          </cell>
        </row>
        <row r="28">
          <cell r="O28">
            <v>131.43234167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Y44">
            <v>98034.76999999999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3">
          <cell r="I3">
            <v>1060.668</v>
          </cell>
          <cell r="R3">
            <v>764.1059999999999</v>
          </cell>
        </row>
        <row r="29">
          <cell r="I29">
            <v>315.126</v>
          </cell>
          <cell r="R29">
            <v>227.017</v>
          </cell>
        </row>
        <row r="51">
          <cell r="I51">
            <v>267.38800000000003</v>
          </cell>
          <cell r="R51">
            <v>162.946</v>
          </cell>
        </row>
        <row r="56">
          <cell r="I56">
            <v>219.60000000000002</v>
          </cell>
          <cell r="R56">
            <v>158.2</v>
          </cell>
        </row>
        <row r="61">
          <cell r="I61">
            <v>2638.494</v>
          </cell>
          <cell r="R61">
            <v>1900.773</v>
          </cell>
        </row>
        <row r="88">
          <cell r="I88">
            <v>456.8960000000001</v>
          </cell>
          <cell r="R88">
            <v>278.432</v>
          </cell>
        </row>
        <row r="116">
          <cell r="I116">
            <v>1144.836</v>
          </cell>
          <cell r="R116">
            <v>697.6619999999999</v>
          </cell>
        </row>
        <row r="121">
          <cell r="I121">
            <v>964.044</v>
          </cell>
          <cell r="R121">
            <v>694.498</v>
          </cell>
        </row>
        <row r="187">
          <cell r="I187">
            <v>114</v>
          </cell>
          <cell r="R187">
            <v>28.5</v>
          </cell>
        </row>
      </sheetData>
      <sheetData sheetId="1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8">
          <cell r="J88">
            <v>456.8960000000001</v>
          </cell>
          <cell r="S88">
            <v>278.432</v>
          </cell>
        </row>
        <row r="116">
          <cell r="J116">
            <v>1144.836</v>
          </cell>
          <cell r="S116">
            <v>697.6619999999999</v>
          </cell>
        </row>
        <row r="121">
          <cell r="J121">
            <v>964.044</v>
          </cell>
          <cell r="S121">
            <v>694.498</v>
          </cell>
        </row>
        <row r="188">
          <cell r="S188">
            <v>28.5</v>
          </cell>
        </row>
        <row r="189">
          <cell r="J189">
            <v>114</v>
          </cell>
        </row>
      </sheetData>
      <sheetData sheetId="2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8">
          <cell r="J88">
            <v>456.8960000000001</v>
          </cell>
          <cell r="S88">
            <v>278.432</v>
          </cell>
        </row>
        <row r="116">
          <cell r="J116">
            <v>1144.836</v>
          </cell>
          <cell r="S116">
            <v>697.6619999999999</v>
          </cell>
        </row>
        <row r="121">
          <cell r="J121">
            <v>964.044</v>
          </cell>
          <cell r="S121">
            <v>694.498</v>
          </cell>
        </row>
        <row r="189">
          <cell r="J189">
            <v>114</v>
          </cell>
          <cell r="S189">
            <v>28.5</v>
          </cell>
        </row>
      </sheetData>
      <sheetData sheetId="3">
        <row r="3">
          <cell r="S3">
            <v>764.1059999999999</v>
          </cell>
        </row>
        <row r="29">
          <cell r="S29">
            <v>227.017</v>
          </cell>
        </row>
        <row r="51">
          <cell r="S51">
            <v>162.946</v>
          </cell>
        </row>
        <row r="56">
          <cell r="S56">
            <v>158.2</v>
          </cell>
        </row>
        <row r="61">
          <cell r="S61">
            <v>1900.773</v>
          </cell>
        </row>
        <row r="89">
          <cell r="S89">
            <v>278.432</v>
          </cell>
        </row>
        <row r="117">
          <cell r="S117">
            <v>697.6619999999999</v>
          </cell>
        </row>
        <row r="122">
          <cell r="S122">
            <v>694.498</v>
          </cell>
        </row>
        <row r="191">
          <cell r="S191">
            <v>28.5</v>
          </cell>
        </row>
      </sheetData>
      <sheetData sheetId="4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89">
          <cell r="J189">
            <v>114</v>
          </cell>
          <cell r="S189">
            <v>28.5</v>
          </cell>
        </row>
      </sheetData>
      <sheetData sheetId="5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89">
          <cell r="J189">
            <v>114</v>
          </cell>
          <cell r="S189">
            <v>28.5</v>
          </cell>
        </row>
      </sheetData>
      <sheetData sheetId="6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93">
          <cell r="J193">
            <v>114</v>
          </cell>
          <cell r="S193">
            <v>28.5</v>
          </cell>
        </row>
      </sheetData>
      <sheetData sheetId="7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97">
          <cell r="J197">
            <v>114</v>
          </cell>
          <cell r="S197">
            <v>28.5</v>
          </cell>
        </row>
      </sheetData>
      <sheetData sheetId="8">
        <row r="3">
          <cell r="J3">
            <v>1060.668</v>
          </cell>
        </row>
        <row r="29">
          <cell r="J29">
            <v>315.126</v>
          </cell>
        </row>
        <row r="51">
          <cell r="J51">
            <v>267.38800000000003</v>
          </cell>
        </row>
        <row r="56">
          <cell r="J56">
            <v>219.60000000000002</v>
          </cell>
        </row>
        <row r="61">
          <cell r="J61">
            <v>2638.494</v>
          </cell>
        </row>
        <row r="87">
          <cell r="J87">
            <v>456.8960000000001</v>
          </cell>
        </row>
        <row r="115">
          <cell r="J115">
            <v>1144.836</v>
          </cell>
        </row>
        <row r="120">
          <cell r="J120">
            <v>964.044</v>
          </cell>
        </row>
        <row r="197">
          <cell r="J197">
            <v>114</v>
          </cell>
        </row>
      </sheetData>
      <sheetData sheetId="9">
        <row r="3">
          <cell r="S3">
            <v>764.1059999999999</v>
          </cell>
        </row>
        <row r="29">
          <cell r="S29">
            <v>227.017</v>
          </cell>
        </row>
        <row r="51">
          <cell r="S51">
            <v>162.946</v>
          </cell>
        </row>
        <row r="56">
          <cell r="S56">
            <v>158.2</v>
          </cell>
        </row>
        <row r="61">
          <cell r="S61">
            <v>1900.773</v>
          </cell>
        </row>
        <row r="87">
          <cell r="S87">
            <v>278.432</v>
          </cell>
        </row>
        <row r="115">
          <cell r="S115">
            <v>697.6619999999999</v>
          </cell>
        </row>
        <row r="120">
          <cell r="S120">
            <v>694.498</v>
          </cell>
        </row>
        <row r="197">
          <cell r="S197">
            <v>28.5</v>
          </cell>
        </row>
      </sheetData>
      <sheetData sheetId="10">
        <row r="3">
          <cell r="J3">
            <v>1060.668</v>
          </cell>
          <cell r="S3">
            <v>764.1059999999999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97">
          <cell r="J197">
            <v>114</v>
          </cell>
          <cell r="S197">
            <v>28.5</v>
          </cell>
        </row>
      </sheetData>
      <sheetData sheetId="11">
        <row r="3">
          <cell r="J3">
            <v>1060.668</v>
          </cell>
        </row>
        <row r="29">
          <cell r="J29">
            <v>315.126</v>
          </cell>
          <cell r="S29">
            <v>227.017</v>
          </cell>
        </row>
        <row r="51">
          <cell r="J51">
            <v>267.38800000000003</v>
          </cell>
          <cell r="S51">
            <v>162.946</v>
          </cell>
        </row>
        <row r="56">
          <cell r="J56">
            <v>219.60000000000002</v>
          </cell>
          <cell r="S56">
            <v>158.2</v>
          </cell>
        </row>
        <row r="61">
          <cell r="J61">
            <v>2638.494</v>
          </cell>
          <cell r="S61">
            <v>1900.773</v>
          </cell>
        </row>
        <row r="87">
          <cell r="J87">
            <v>456.8960000000001</v>
          </cell>
          <cell r="S87">
            <v>278.432</v>
          </cell>
        </row>
        <row r="115">
          <cell r="J115">
            <v>1144.836</v>
          </cell>
          <cell r="S115">
            <v>697.6619999999999</v>
          </cell>
        </row>
        <row r="120">
          <cell r="J120">
            <v>964.044</v>
          </cell>
          <cell r="S120">
            <v>694.498</v>
          </cell>
        </row>
        <row r="152">
          <cell r="J152">
            <v>1200</v>
          </cell>
          <cell r="S152">
            <v>300</v>
          </cell>
        </row>
        <row r="161">
          <cell r="J161">
            <v>401.6129025</v>
          </cell>
        </row>
        <row r="162">
          <cell r="S162">
            <v>100.403225625</v>
          </cell>
        </row>
        <row r="217">
          <cell r="J217">
            <v>114</v>
          </cell>
          <cell r="S217">
            <v>28.5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3">
          <cell r="J3">
            <v>1060.668</v>
          </cell>
        </row>
        <row r="29">
          <cell r="J29">
            <v>315.126</v>
          </cell>
        </row>
        <row r="51">
          <cell r="J51">
            <v>267.38800000000003</v>
          </cell>
        </row>
        <row r="56">
          <cell r="J56">
            <v>219.60000000000002</v>
          </cell>
        </row>
        <row r="61">
          <cell r="J61">
            <v>2638.494</v>
          </cell>
        </row>
        <row r="89">
          <cell r="J89">
            <v>456.8960000000001</v>
          </cell>
        </row>
        <row r="117">
          <cell r="J117">
            <v>1144.836</v>
          </cell>
        </row>
        <row r="122">
          <cell r="J122">
            <v>964.044</v>
          </cell>
        </row>
        <row r="191">
          <cell r="J191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3">
          <cell r="J3">
            <v>1060.668</v>
          </cell>
        </row>
        <row r="29">
          <cell r="J29">
            <v>315.126</v>
          </cell>
        </row>
        <row r="51">
          <cell r="J51">
            <v>267.38800000000003</v>
          </cell>
        </row>
        <row r="56">
          <cell r="J56">
            <v>219.60000000000002</v>
          </cell>
        </row>
        <row r="61">
          <cell r="J61">
            <v>2638.494</v>
          </cell>
        </row>
        <row r="87">
          <cell r="J87">
            <v>456.8960000000001</v>
          </cell>
        </row>
        <row r="115">
          <cell r="J115">
            <v>1144.836</v>
          </cell>
        </row>
        <row r="120">
          <cell r="J120">
            <v>964.044</v>
          </cell>
        </row>
        <row r="197">
          <cell r="J197">
            <v>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3">
          <cell r="I3">
            <v>1061.22828</v>
          </cell>
        </row>
        <row r="29">
          <cell r="I29">
            <v>315.30246</v>
          </cell>
        </row>
        <row r="51">
          <cell r="I51">
            <v>267.63108</v>
          </cell>
        </row>
        <row r="55">
          <cell r="I55">
            <v>219.716</v>
          </cell>
        </row>
        <row r="61">
          <cell r="I61">
            <v>2639.87774</v>
          </cell>
        </row>
        <row r="86">
          <cell r="I86">
            <v>457.31136000000004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">
          <cell r="I3">
            <v>1061.22828</v>
          </cell>
        </row>
        <row r="30">
          <cell r="I30">
            <v>315.30246</v>
          </cell>
        </row>
        <row r="52">
          <cell r="I52">
            <v>267.63108</v>
          </cell>
        </row>
        <row r="58">
          <cell r="I58">
            <v>219.716</v>
          </cell>
        </row>
        <row r="64">
          <cell r="I64">
            <v>2639.87774</v>
          </cell>
        </row>
        <row r="94">
          <cell r="I94">
            <v>457.31136000000004</v>
          </cell>
        </row>
        <row r="120">
          <cell r="I120">
            <v>1145.87676</v>
          </cell>
        </row>
      </sheetData>
      <sheetData sheetId="1">
        <row r="3">
          <cell r="I3">
            <v>1061.22828</v>
          </cell>
        </row>
        <row r="30">
          <cell r="I30">
            <v>315.30246</v>
          </cell>
        </row>
        <row r="52">
          <cell r="I52">
            <v>267.63108</v>
          </cell>
        </row>
        <row r="58">
          <cell r="I58">
            <v>219.716</v>
          </cell>
        </row>
        <row r="64">
          <cell r="I64">
            <v>2639.87774</v>
          </cell>
        </row>
        <row r="120">
          <cell r="I120">
            <v>1145.87676</v>
          </cell>
        </row>
      </sheetData>
      <sheetData sheetId="2">
        <row r="3">
          <cell r="I3">
            <v>1061.22828</v>
          </cell>
          <cell r="O3">
            <v>505.81692000000004</v>
          </cell>
        </row>
        <row r="30">
          <cell r="I30">
            <v>315.30246</v>
          </cell>
          <cell r="O30">
            <v>150.27894</v>
          </cell>
        </row>
        <row r="53">
          <cell r="I53">
            <v>267.63108</v>
          </cell>
          <cell r="O53">
            <v>107.86572000000001</v>
          </cell>
        </row>
        <row r="59">
          <cell r="I59">
            <v>219.716</v>
          </cell>
          <cell r="O59">
            <v>104.72400000000002</v>
          </cell>
        </row>
        <row r="65">
          <cell r="I65">
            <v>2639.87774</v>
          </cell>
          <cell r="O65">
            <v>1258.2588600000001</v>
          </cell>
        </row>
        <row r="95">
          <cell r="I95">
            <v>457.31136000000004</v>
          </cell>
          <cell r="O95">
            <v>184.31424000000004</v>
          </cell>
        </row>
        <row r="122">
          <cell r="I122">
            <v>1145.87676</v>
          </cell>
          <cell r="O122">
            <v>461.8328400000001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3">
          <cell r="O3">
            <v>505.10683599999993</v>
          </cell>
        </row>
        <row r="30">
          <cell r="O30">
            <v>150.061902</v>
          </cell>
        </row>
        <row r="52">
          <cell r="O52">
            <v>107.70327600000002</v>
          </cell>
        </row>
        <row r="58">
          <cell r="O58">
            <v>104.56559999999999</v>
          </cell>
        </row>
        <row r="64">
          <cell r="O64">
            <v>1256.5212380000003</v>
          </cell>
        </row>
        <row r="94">
          <cell r="O94">
            <v>184.05339200000003</v>
          </cell>
        </row>
        <row r="120">
          <cell r="O120">
            <v>88.2</v>
          </cell>
        </row>
      </sheetData>
      <sheetData sheetId="1">
        <row r="3">
          <cell r="O3">
            <v>505.81692000000004</v>
          </cell>
        </row>
        <row r="30">
          <cell r="O30">
            <v>150.27894</v>
          </cell>
        </row>
        <row r="52">
          <cell r="O52">
            <v>107.86572000000001</v>
          </cell>
        </row>
        <row r="58">
          <cell r="O58">
            <v>104.72400000000002</v>
          </cell>
        </row>
        <row r="64">
          <cell r="O64">
            <v>1258.2588600000001</v>
          </cell>
        </row>
        <row r="94">
          <cell r="O94">
            <v>149.11424</v>
          </cell>
        </row>
        <row r="120">
          <cell r="O120">
            <v>461.8328400000001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04"/>
      <sheetName val="Таштагол 05"/>
      <sheetName val="Таштагол 06"/>
      <sheetName val="Шерегеш 04"/>
      <sheetName val="Шерегеш 05"/>
      <sheetName val="Шерегеш 06"/>
      <sheetName val="Шалым 04"/>
      <sheetName val="Шалым 05"/>
      <sheetName val="Шалым 06"/>
    </sheetNames>
    <sheetDataSet>
      <sheetData sheetId="1">
        <row r="91">
          <cell r="BB91">
            <v>11852.22729705232</v>
          </cell>
        </row>
      </sheetData>
      <sheetData sheetId="2">
        <row r="91">
          <cell r="AZ91">
            <v>11849.387246784096</v>
          </cell>
        </row>
      </sheetData>
      <sheetData sheetId="3">
        <row r="91">
          <cell r="AZ91">
            <v>11849.387246784096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07"/>
      <sheetName val="Таштагол 08"/>
      <sheetName val="Таштагол 09"/>
      <sheetName val="Шерегеш 07"/>
      <sheetName val="Шерегеш 08"/>
      <sheetName val="Шерегеш 09"/>
      <sheetName val="Шалым 07"/>
      <sheetName val="Шалым 08"/>
      <sheetName val="Шалым 09"/>
    </sheetNames>
    <sheetDataSet>
      <sheetData sheetId="1">
        <row r="91">
          <cell r="BA91">
            <v>11850.705547612448</v>
          </cell>
        </row>
      </sheetData>
      <sheetData sheetId="2">
        <row r="91">
          <cell r="AZ91">
            <v>11851.459175640603</v>
          </cell>
        </row>
      </sheetData>
      <sheetData sheetId="3">
        <row r="91">
          <cell r="AZ91">
            <v>11830.736793944448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3">
          <cell r="I3">
            <v>1061.22828</v>
          </cell>
        </row>
        <row r="30">
          <cell r="I30">
            <v>315.30246</v>
          </cell>
        </row>
        <row r="50">
          <cell r="I50">
            <v>267.63108</v>
          </cell>
        </row>
        <row r="56">
          <cell r="I56">
            <v>219.716</v>
          </cell>
        </row>
        <row r="62">
          <cell r="I62">
            <v>2639.87774</v>
          </cell>
        </row>
        <row r="92">
          <cell r="I92">
            <v>457.31136000000004</v>
          </cell>
        </row>
        <row r="119">
          <cell r="I119">
            <v>1145.87676</v>
          </cell>
        </row>
        <row r="124">
          <cell r="I124">
            <v>964.55324</v>
          </cell>
        </row>
      </sheetData>
      <sheetData sheetId="2">
        <row r="3">
          <cell r="M3">
            <v>505.21799999999996</v>
          </cell>
        </row>
        <row r="30">
          <cell r="M30">
            <v>150.101</v>
          </cell>
        </row>
        <row r="51">
          <cell r="M51">
            <v>107.73800000000001</v>
          </cell>
        </row>
        <row r="57">
          <cell r="M57">
            <v>104.6</v>
          </cell>
        </row>
        <row r="63">
          <cell r="M63">
            <v>1256.769</v>
          </cell>
        </row>
        <row r="93">
          <cell r="M93">
            <v>184.096</v>
          </cell>
        </row>
        <row r="120">
          <cell r="M120">
            <v>461.28600000000006</v>
          </cell>
        </row>
        <row r="125">
          <cell r="M125">
            <v>459.19399999999996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3">
          <cell r="I3">
            <v>1061.22828</v>
          </cell>
          <cell r="M3">
            <v>505.21799999999996</v>
          </cell>
        </row>
        <row r="30">
          <cell r="I30">
            <v>315.30246</v>
          </cell>
          <cell r="M30">
            <v>150.101</v>
          </cell>
        </row>
        <row r="51">
          <cell r="I51">
            <v>267.63108</v>
          </cell>
          <cell r="M51">
            <v>107.73800000000001</v>
          </cell>
        </row>
        <row r="57">
          <cell r="I57">
            <v>219.716</v>
          </cell>
          <cell r="M57">
            <v>104.6</v>
          </cell>
        </row>
        <row r="63">
          <cell r="I63">
            <v>2639.87774</v>
          </cell>
          <cell r="M63">
            <v>1256.769</v>
          </cell>
        </row>
        <row r="93">
          <cell r="I93">
            <v>457.31136000000004</v>
          </cell>
          <cell r="M93">
            <v>184.096</v>
          </cell>
        </row>
        <row r="120">
          <cell r="I120">
            <v>1145.87676</v>
          </cell>
          <cell r="M120">
            <v>461.28600000000006</v>
          </cell>
        </row>
        <row r="125">
          <cell r="I125">
            <v>964.55324</v>
          </cell>
          <cell r="M125">
            <v>459.19399999999996</v>
          </cell>
        </row>
      </sheetData>
      <sheetData sheetId="5">
        <row r="3">
          <cell r="M3">
            <v>505.21799999999996</v>
          </cell>
        </row>
        <row r="30">
          <cell r="M30">
            <v>150.101</v>
          </cell>
        </row>
        <row r="51">
          <cell r="M51">
            <v>107.73800000000001</v>
          </cell>
        </row>
        <row r="56">
          <cell r="M56">
            <v>104.6</v>
          </cell>
        </row>
        <row r="61">
          <cell r="M61">
            <v>1256.769</v>
          </cell>
        </row>
        <row r="91">
          <cell r="M91">
            <v>184.096</v>
          </cell>
        </row>
        <row r="117">
          <cell r="M117">
            <v>461.28600000000006</v>
          </cell>
        </row>
        <row r="122">
          <cell r="M122">
            <v>459.19399999999996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аштагол 04"/>
      <sheetName val="Таштагол 05"/>
      <sheetName val="Таштагол 06"/>
      <sheetName val="Шерегеш 04"/>
      <sheetName val="Шерегеш 05"/>
      <sheetName val="Шалым 04"/>
      <sheetName val="Шалым 05"/>
      <sheetName val="Шалым 06"/>
    </sheetNames>
    <sheetDataSet>
      <sheetData sheetId="3">
        <row r="91">
          <cell r="AZ91">
            <v>11817.758454617942</v>
          </cell>
        </row>
      </sheetData>
      <sheetData sheetId="4">
        <row r="91">
          <cell r="AZ91">
            <v>11818.705566204195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B4">
      <selection activeCell="F20" sqref="F20"/>
    </sheetView>
  </sheetViews>
  <sheetFormatPr defaultColWidth="9.00390625" defaultRowHeight="12.75"/>
  <cols>
    <col min="1" max="1" width="10.00390625" style="222" customWidth="1"/>
    <col min="2" max="2" width="11.125" style="222" customWidth="1"/>
    <col min="3" max="3" width="11.875" style="222" customWidth="1"/>
    <col min="4" max="4" width="10.75390625" style="222" customWidth="1"/>
    <col min="5" max="5" width="11.625" style="222" customWidth="1"/>
    <col min="6" max="6" width="9.875" style="222" customWidth="1"/>
    <col min="7" max="7" width="12.75390625" style="222" customWidth="1"/>
    <col min="8" max="9" width="11.375" style="222" customWidth="1"/>
    <col min="10" max="10" width="11.00390625" style="222" customWidth="1"/>
    <col min="11" max="11" width="9.875" style="222" customWidth="1"/>
    <col min="12" max="12" width="12.00390625" style="222" customWidth="1"/>
    <col min="13" max="13" width="10.125" style="222" customWidth="1"/>
    <col min="14" max="14" width="11.625" style="222" customWidth="1"/>
    <col min="15" max="15" width="11.375" style="222" customWidth="1"/>
    <col min="16" max="16" width="12.625" style="222" customWidth="1"/>
    <col min="17" max="17" width="13.375" style="222" customWidth="1"/>
    <col min="18" max="18" width="10.75390625" style="222" customWidth="1"/>
    <col min="19" max="16384" width="9.125" style="222" customWidth="1"/>
  </cols>
  <sheetData>
    <row r="1" spans="2:9" ht="20.25" customHeight="1">
      <c r="B1" s="373" t="s">
        <v>53</v>
      </c>
      <c r="C1" s="373"/>
      <c r="D1" s="373"/>
      <c r="E1" s="373"/>
      <c r="F1" s="373"/>
      <c r="G1" s="373"/>
      <c r="H1" s="373"/>
      <c r="I1" s="28"/>
    </row>
    <row r="2" spans="2:12" ht="21" customHeight="1">
      <c r="B2" s="373" t="s">
        <v>54</v>
      </c>
      <c r="C2" s="373"/>
      <c r="D2" s="373"/>
      <c r="E2" s="373"/>
      <c r="F2" s="373"/>
      <c r="G2" s="373"/>
      <c r="H2" s="373"/>
      <c r="I2" s="28"/>
      <c r="K2" s="221"/>
      <c r="L2" s="221"/>
    </row>
    <row r="5" spans="1:15" ht="12.75">
      <c r="A5" s="374" t="s">
        <v>127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</row>
    <row r="6" spans="1:15" ht="12.75">
      <c r="A6" s="375" t="s">
        <v>118</v>
      </c>
      <c r="B6" s="375"/>
      <c r="C6" s="375"/>
      <c r="D6" s="375"/>
      <c r="E6" s="375"/>
      <c r="F6" s="375"/>
      <c r="G6" s="375"/>
      <c r="H6" s="85"/>
      <c r="I6" s="85"/>
      <c r="J6" s="85"/>
      <c r="K6" s="85"/>
      <c r="L6" s="85"/>
      <c r="M6" s="85"/>
      <c r="N6" s="85"/>
      <c r="O6" s="85"/>
    </row>
    <row r="7" spans="1:16" ht="13.5" thickBot="1">
      <c r="A7" s="376" t="s">
        <v>55</v>
      </c>
      <c r="B7" s="376"/>
      <c r="C7" s="376"/>
      <c r="D7" s="376"/>
      <c r="E7" s="376">
        <v>8.55</v>
      </c>
      <c r="F7" s="376"/>
      <c r="J7" s="301"/>
      <c r="K7" s="301"/>
      <c r="L7" s="301"/>
      <c r="M7" s="301"/>
      <c r="N7" s="301"/>
      <c r="O7" s="301"/>
      <c r="P7" s="301"/>
    </row>
    <row r="8" spans="1:18" ht="12.75" customHeight="1">
      <c r="A8" s="353" t="s">
        <v>119</v>
      </c>
      <c r="B8" s="356" t="s">
        <v>0</v>
      </c>
      <c r="C8" s="359" t="s">
        <v>128</v>
      </c>
      <c r="D8" s="362" t="s">
        <v>2</v>
      </c>
      <c r="E8" s="365" t="s">
        <v>57</v>
      </c>
      <c r="F8" s="366"/>
      <c r="G8" s="369" t="s">
        <v>120</v>
      </c>
      <c r="H8" s="370"/>
      <c r="I8" s="335" t="s">
        <v>121</v>
      </c>
      <c r="J8" s="338" t="s">
        <v>8</v>
      </c>
      <c r="K8" s="339"/>
      <c r="L8" s="339"/>
      <c r="M8" s="339"/>
      <c r="N8" s="339"/>
      <c r="O8" s="339"/>
      <c r="P8" s="340"/>
      <c r="Q8" s="344" t="s">
        <v>58</v>
      </c>
      <c r="R8" s="344" t="s">
        <v>10</v>
      </c>
    </row>
    <row r="9" spans="1:18" ht="12.75">
      <c r="A9" s="354"/>
      <c r="B9" s="357"/>
      <c r="C9" s="360"/>
      <c r="D9" s="363"/>
      <c r="E9" s="367"/>
      <c r="F9" s="368"/>
      <c r="G9" s="371"/>
      <c r="H9" s="372"/>
      <c r="I9" s="336"/>
      <c r="J9" s="341"/>
      <c r="K9" s="342"/>
      <c r="L9" s="342"/>
      <c r="M9" s="342"/>
      <c r="N9" s="342"/>
      <c r="O9" s="342"/>
      <c r="P9" s="343"/>
      <c r="Q9" s="345"/>
      <c r="R9" s="345"/>
    </row>
    <row r="10" spans="1:18" ht="26.25" customHeight="1">
      <c r="A10" s="354"/>
      <c r="B10" s="357"/>
      <c r="C10" s="360"/>
      <c r="D10" s="363"/>
      <c r="E10" s="347" t="s">
        <v>59</v>
      </c>
      <c r="F10" s="348"/>
      <c r="G10" s="302" t="s">
        <v>60</v>
      </c>
      <c r="H10" s="349" t="s">
        <v>5</v>
      </c>
      <c r="I10" s="336"/>
      <c r="J10" s="350" t="s">
        <v>61</v>
      </c>
      <c r="K10" s="352" t="s">
        <v>122</v>
      </c>
      <c r="L10" s="352" t="s">
        <v>62</v>
      </c>
      <c r="M10" s="352" t="s">
        <v>35</v>
      </c>
      <c r="N10" s="329" t="s">
        <v>17</v>
      </c>
      <c r="O10" s="329" t="s">
        <v>123</v>
      </c>
      <c r="P10" s="331" t="s">
        <v>37</v>
      </c>
      <c r="Q10" s="345"/>
      <c r="R10" s="345"/>
    </row>
    <row r="11" spans="1:18" ht="66.75" customHeight="1" thickBot="1">
      <c r="A11" s="355"/>
      <c r="B11" s="358"/>
      <c r="C11" s="361"/>
      <c r="D11" s="364"/>
      <c r="E11" s="154" t="s">
        <v>64</v>
      </c>
      <c r="F11" s="32" t="s">
        <v>19</v>
      </c>
      <c r="G11" s="183" t="s">
        <v>124</v>
      </c>
      <c r="H11" s="331"/>
      <c r="I11" s="337"/>
      <c r="J11" s="351"/>
      <c r="K11" s="329"/>
      <c r="L11" s="329"/>
      <c r="M11" s="329"/>
      <c r="N11" s="330"/>
      <c r="O11" s="330"/>
      <c r="P11" s="332"/>
      <c r="Q11" s="346"/>
      <c r="R11" s="346"/>
    </row>
    <row r="12" spans="1:18" ht="13.5" thickBot="1">
      <c r="A12" s="34">
        <v>1</v>
      </c>
      <c r="B12" s="35">
        <v>2</v>
      </c>
      <c r="C12" s="34">
        <v>3</v>
      </c>
      <c r="D12" s="35">
        <v>4</v>
      </c>
      <c r="E12" s="303">
        <v>5</v>
      </c>
      <c r="F12" s="227">
        <v>6</v>
      </c>
      <c r="G12" s="303">
        <v>7</v>
      </c>
      <c r="H12" s="227">
        <v>8</v>
      </c>
      <c r="I12" s="34">
        <v>9</v>
      </c>
      <c r="J12" s="303">
        <v>10</v>
      </c>
      <c r="K12" s="90">
        <v>11</v>
      </c>
      <c r="L12" s="303">
        <v>12</v>
      </c>
      <c r="M12" s="90">
        <v>13</v>
      </c>
      <c r="N12" s="303">
        <v>14</v>
      </c>
      <c r="O12" s="90">
        <v>15</v>
      </c>
      <c r="P12" s="303">
        <v>16</v>
      </c>
      <c r="Q12" s="90">
        <v>17</v>
      </c>
      <c r="R12" s="227">
        <v>18</v>
      </c>
    </row>
    <row r="13" spans="1:18" ht="13.5" thickBot="1">
      <c r="A13" s="333" t="s">
        <v>93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04"/>
      <c r="Q13" s="305"/>
      <c r="R13" s="305"/>
    </row>
    <row r="14" spans="1:20" s="23" customFormat="1" ht="13.5" thickBot="1">
      <c r="A14" s="59" t="s">
        <v>52</v>
      </c>
      <c r="B14" s="60"/>
      <c r="C14" s="61">
        <f>'2011 полн'!C8</f>
        <v>1654712.8220000002</v>
      </c>
      <c r="D14" s="61">
        <f>'2011 полн'!D8</f>
        <v>297003.61688980006</v>
      </c>
      <c r="E14" s="61">
        <f>'2011 полн'!U8</f>
        <v>1678055.55</v>
      </c>
      <c r="F14" s="61">
        <f>'2011 полн'!V8</f>
        <v>79323.82999999999</v>
      </c>
      <c r="G14" s="61">
        <f>'2011 полн'!AF8+'2011 полн'!AI8</f>
        <v>1749187.7560370401</v>
      </c>
      <c r="H14" s="61">
        <f>'2011 полн'!AG8+'2011 полн'!AI8</f>
        <v>2125515.20292684</v>
      </c>
      <c r="I14" s="61">
        <f>'2011 полн'!AJ8</f>
        <v>126313.92791999999</v>
      </c>
      <c r="J14" s="61">
        <f>'2011 полн'!AK8</f>
        <v>113076.372</v>
      </c>
      <c r="K14" s="61">
        <f>'2011 полн'!AL8</f>
        <v>37891.012451200004</v>
      </c>
      <c r="L14" s="61">
        <f>'2011 полн'!AM8+'2011 полн'!AN8+'2011 полн'!AO8+'2011 полн'!AP8+'2011 полн'!AQ8+'2011 полн'!AR8+'2011 полн'!AS8+'2011 полн'!AT8+'2011 полн'!AX8+'2011 полн'!AY8-35805</f>
        <v>1110420.149444486</v>
      </c>
      <c r="M14" s="61">
        <f>'2011 полн'!AU8+'2011 полн'!AW8</f>
        <v>278316.9298</v>
      </c>
      <c r="N14" s="61">
        <f>'2011 полн'!AZ8</f>
        <v>265397.6760370402</v>
      </c>
      <c r="O14" s="61">
        <f>'2011 полн'!BD8</f>
        <v>57257.6127232548</v>
      </c>
      <c r="P14" s="61">
        <f>SUM(J14:O14)</f>
        <v>1862359.7524559812</v>
      </c>
      <c r="Q14" s="61">
        <f>'2011 полн'!BF8+35805</f>
        <v>124071.70235381914</v>
      </c>
      <c r="R14" s="61">
        <f>'2011 полн'!BG8</f>
        <v>-194265.46999999997</v>
      </c>
      <c r="S14" s="64"/>
      <c r="T14" s="52"/>
    </row>
    <row r="15" spans="1:20" ht="12.75">
      <c r="A15" s="8" t="s">
        <v>117</v>
      </c>
      <c r="B15" s="306"/>
      <c r="C15" s="53"/>
      <c r="D15" s="160"/>
      <c r="E15" s="307"/>
      <c r="F15" s="308"/>
      <c r="G15" s="309"/>
      <c r="H15" s="308"/>
      <c r="I15" s="310"/>
      <c r="J15" s="309"/>
      <c r="K15" s="311"/>
      <c r="L15" s="311"/>
      <c r="M15" s="312"/>
      <c r="N15" s="313"/>
      <c r="O15" s="313"/>
      <c r="P15" s="314"/>
      <c r="Q15" s="315"/>
      <c r="R15" s="315"/>
      <c r="S15" s="221"/>
      <c r="T15" s="221"/>
    </row>
    <row r="16" spans="1:20" ht="12.75">
      <c r="A16" s="235" t="s">
        <v>43</v>
      </c>
      <c r="B16" s="316">
        <f>'2011 полн'!B10</f>
        <v>7116.98</v>
      </c>
      <c r="C16" s="40">
        <f>'2011 полн'!C10</f>
        <v>60850.179000000004</v>
      </c>
      <c r="D16" s="157">
        <f>'2011 полн'!D10</f>
        <v>2225.9435000000008</v>
      </c>
      <c r="E16" s="311">
        <f>'2011 полн'!U10</f>
        <v>87500.68</v>
      </c>
      <c r="F16" s="311">
        <f>'2011 полн'!V10</f>
        <v>-7.62</v>
      </c>
      <c r="G16" s="317">
        <f>'2011 полн'!AF10</f>
        <v>38593.020000000004</v>
      </c>
      <c r="H16" s="317">
        <f>'2011 полн'!AG10</f>
        <v>40811.3435</v>
      </c>
      <c r="I16" s="317">
        <f>'2011 полн'!AJ10</f>
        <v>7181.052</v>
      </c>
      <c r="J16" s="317">
        <f>'2011 полн'!AK10</f>
        <v>4768.3766</v>
      </c>
      <c r="K16" s="311">
        <f>'2011 полн'!AL10</f>
        <v>1423.396</v>
      </c>
      <c r="L16" s="311">
        <f>'2011 полн'!AM10+'2011 полн'!AN10+'2011 полн'!AO10+'2011 полн'!AP10+'2011 полн'!AQ10+'2011 полн'!AR10+'2011 полн'!AS10+'2011 полн'!AT10+'2011 полн'!AX10</f>
        <v>51721.1768</v>
      </c>
      <c r="M16" s="312">
        <f>'2011 полн'!AU10+'2011 полн'!AV10+'2011 полн'!AW10</f>
        <v>11523</v>
      </c>
      <c r="N16" s="318">
        <f>'2011 полн'!AZ10</f>
        <v>24263.719688570323</v>
      </c>
      <c r="O16" s="318">
        <f>'2011 полн'!BD10</f>
        <v>4912.134</v>
      </c>
      <c r="P16" s="314">
        <f>SUM(J16:O16)</f>
        <v>98611.80308857032</v>
      </c>
      <c r="Q16" s="315">
        <f>H16+I16-P16</f>
        <v>-50619.40758857032</v>
      </c>
      <c r="R16" s="315">
        <f>'2011 полн'!BG10</f>
        <v>-48907.65999999999</v>
      </c>
      <c r="S16" s="221"/>
      <c r="T16" s="221"/>
    </row>
    <row r="17" spans="1:20" ht="12.75">
      <c r="A17" s="235" t="s">
        <v>44</v>
      </c>
      <c r="B17" s="316">
        <f>'2011 полн'!B11</f>
        <v>7113.18</v>
      </c>
      <c r="C17" s="40">
        <f>'2011 полн'!C11</f>
        <v>60817.689000000006</v>
      </c>
      <c r="D17" s="157">
        <f>'2011 полн'!D11</f>
        <v>2154.12186</v>
      </c>
      <c r="E17" s="311">
        <f>'2011 полн'!U11</f>
        <v>95401.87</v>
      </c>
      <c r="F17" s="311">
        <f>'2011 полн'!V11</f>
        <v>0</v>
      </c>
      <c r="G17" s="317">
        <f>'2011 полн'!AF11</f>
        <v>71729.61</v>
      </c>
      <c r="H17" s="317">
        <f>'2011 полн'!AG11</f>
        <v>73883.73186</v>
      </c>
      <c r="I17" s="317">
        <f>'2011 полн'!AJ11</f>
        <v>7181.052</v>
      </c>
      <c r="J17" s="317">
        <f>'2011 полн'!AK11</f>
        <v>4765.8306</v>
      </c>
      <c r="K17" s="311">
        <f>'2011 полн'!AL11</f>
        <v>1422.6360000000002</v>
      </c>
      <c r="L17" s="311">
        <f>'2011 полн'!AM11+'2011 полн'!AN11+'2011 полн'!AO11+'2011 полн'!AP11+'2011 полн'!AQ11+'2011 полн'!AR11+'2011 полн'!AS11+'2011 полн'!AT11+'2011 полн'!AX11</f>
        <v>51981.75880000001</v>
      </c>
      <c r="M17" s="312">
        <f>'2011 полн'!AU11+'2011 полн'!AV11+'2011 полн'!AW11</f>
        <v>22727</v>
      </c>
      <c r="N17" s="318">
        <f>'2011 полн'!AZ11</f>
        <v>23115.629534883425</v>
      </c>
      <c r="O17" s="318">
        <f>'2011 полн'!BD11</f>
        <v>4912.134</v>
      </c>
      <c r="P17" s="314">
        <f aca="true" t="shared" si="0" ref="P17:P27">SUM(J17:O17)</f>
        <v>108924.98893488344</v>
      </c>
      <c r="Q17" s="315">
        <f aca="true" t="shared" si="1" ref="Q17:Q27">H17+I17-P17</f>
        <v>-27860.205074883444</v>
      </c>
      <c r="R17" s="315">
        <f>'2011 полн'!BG11</f>
        <v>-23672.259999999995</v>
      </c>
      <c r="S17" s="221"/>
      <c r="T17" s="221"/>
    </row>
    <row r="18" spans="1:20" ht="12.75">
      <c r="A18" s="235" t="s">
        <v>45</v>
      </c>
      <c r="B18" s="316">
        <f>'2011 полн'!B12</f>
        <v>7113.18</v>
      </c>
      <c r="C18" s="40">
        <f>'2011 полн'!C12</f>
        <v>60817.689000000006</v>
      </c>
      <c r="D18" s="157">
        <f>'2011 полн'!D12</f>
        <v>2154.12186</v>
      </c>
      <c r="E18" s="311">
        <f>'2011 полн'!U12</f>
        <v>67289.47</v>
      </c>
      <c r="F18" s="311">
        <f>'2011 полн'!V12</f>
        <v>0</v>
      </c>
      <c r="G18" s="317">
        <f>'2011 полн'!AF12</f>
        <v>77608.2</v>
      </c>
      <c r="H18" s="317">
        <f>'2011 полн'!AG12</f>
        <v>79762.32186</v>
      </c>
      <c r="I18" s="317">
        <f>'2011 полн'!AJ12</f>
        <v>7181.052</v>
      </c>
      <c r="J18" s="317">
        <f>'2011 полн'!AK12</f>
        <v>4765.8306</v>
      </c>
      <c r="K18" s="311">
        <f>'2011 полн'!AL12</f>
        <v>1422.6360000000002</v>
      </c>
      <c r="L18" s="311">
        <f>'2011 полн'!AM12+'2011 полн'!AN12+'2011 полн'!AO12+'2011 полн'!AP12+'2011 полн'!AQ12+'2011 полн'!AR12+'2011 полн'!AS12+'2011 полн'!AT12+'2011 полн'!AX12</f>
        <v>49152.073800000006</v>
      </c>
      <c r="M18" s="312">
        <f>'2011 полн'!AU12+'2011 полн'!AV12+'2011 полн'!AW12</f>
        <v>320</v>
      </c>
      <c r="N18" s="318">
        <f>'2011 полн'!AZ12</f>
        <v>23990.17866040529</v>
      </c>
      <c r="O18" s="318">
        <f>'2011 полн'!BD12</f>
        <v>4912.134</v>
      </c>
      <c r="P18" s="314">
        <f t="shared" si="0"/>
        <v>84562.85306040531</v>
      </c>
      <c r="Q18" s="315">
        <f t="shared" si="1"/>
        <v>2380.520799594684</v>
      </c>
      <c r="R18" s="315">
        <f>'2011 полн'!BG12</f>
        <v>10318.729999999996</v>
      </c>
      <c r="S18" s="221"/>
      <c r="T18" s="221"/>
    </row>
    <row r="19" spans="1:20" ht="12.75">
      <c r="A19" s="235" t="s">
        <v>46</v>
      </c>
      <c r="B19" s="316">
        <f>'2011 полн'!B13</f>
        <v>7113.18</v>
      </c>
      <c r="C19" s="40">
        <f>'2011 полн'!C13</f>
        <v>60817.689000000006</v>
      </c>
      <c r="D19" s="157">
        <f>'2011 полн'!D13</f>
        <v>2154.12186</v>
      </c>
      <c r="E19" s="311">
        <f>'2011 полн'!U13</f>
        <v>80890.87</v>
      </c>
      <c r="F19" s="311">
        <f>'2011 полн'!V13</f>
        <v>0</v>
      </c>
      <c r="G19" s="317">
        <f>'2011 полн'!AF13</f>
        <v>57035.119999999995</v>
      </c>
      <c r="H19" s="317">
        <f>'2011 полн'!AG13</f>
        <v>59189.241859999995</v>
      </c>
      <c r="I19" s="317">
        <f>'2011 полн'!AJ13</f>
        <v>7181.052</v>
      </c>
      <c r="J19" s="317">
        <f>'2011 полн'!AK13</f>
        <v>4765.8306</v>
      </c>
      <c r="K19" s="311">
        <f>'2011 полн'!AL13</f>
        <v>1422.6360000000002</v>
      </c>
      <c r="L19" s="311">
        <f>'2011 полн'!AM13+'2011 полн'!AN13+'2011 полн'!AO13+'2011 полн'!AP13+'2011 полн'!AQ13+'2011 полн'!AR13+'2011 полн'!AS13+'2011 полн'!AT13+'2011 полн'!AX13</f>
        <v>60880.37180000001</v>
      </c>
      <c r="M19" s="312">
        <f>'2011 полн'!AU13+'2011 полн'!AV13+'2011 полн'!AW13</f>
        <v>27320</v>
      </c>
      <c r="N19" s="318">
        <f>'2011 полн'!AZ13</f>
        <v>17585.470311262656</v>
      </c>
      <c r="O19" s="318">
        <f>'2011 полн'!BD13</f>
        <v>4912.134</v>
      </c>
      <c r="P19" s="314">
        <f t="shared" si="0"/>
        <v>116886.44271126267</v>
      </c>
      <c r="Q19" s="315">
        <f t="shared" si="1"/>
        <v>-50516.14885126268</v>
      </c>
      <c r="R19" s="315">
        <f>'2011 полн'!BG13</f>
        <v>-23855.75</v>
      </c>
      <c r="S19" s="221"/>
      <c r="T19" s="221"/>
    </row>
    <row r="20" spans="1:20" ht="12.75">
      <c r="A20" s="235" t="s">
        <v>47</v>
      </c>
      <c r="B20" s="316">
        <f>'2011 полн'!B14</f>
        <v>7113.09</v>
      </c>
      <c r="C20" s="40">
        <f>'2011 полн'!C14</f>
        <v>60816.9195</v>
      </c>
      <c r="D20" s="157">
        <f>'2011 полн'!D14</f>
        <v>2154.12186</v>
      </c>
      <c r="E20" s="311">
        <f>'2011 полн'!U14</f>
        <v>91635.62999999999</v>
      </c>
      <c r="F20" s="311">
        <f>'2011 полн'!V14</f>
        <v>0</v>
      </c>
      <c r="G20" s="317">
        <f>'2011 полн'!AF14</f>
        <v>63227.409999999996</v>
      </c>
      <c r="H20" s="317">
        <f>'2011 полн'!AG14</f>
        <v>65381.531859999996</v>
      </c>
      <c r="I20" s="317">
        <f>'2011 полн'!AJ14</f>
        <v>7181.052</v>
      </c>
      <c r="J20" s="317">
        <f>'2011 полн'!AK14</f>
        <v>4765.7703</v>
      </c>
      <c r="K20" s="311">
        <f>'2011 полн'!AL14</f>
        <v>1422.6180000000002</v>
      </c>
      <c r="L20" s="311">
        <f>'2011 полн'!AM14+'2011 полн'!AN14+'2011 полн'!AO14+'2011 полн'!AP14+'2011 полн'!AQ14+'2011 полн'!AR14+'2011 полн'!AS14+'2011 полн'!AT14+'2011 полн'!AX14</f>
        <v>45740.7284</v>
      </c>
      <c r="M20" s="312">
        <f>'2011 полн'!AU14+'2011 полн'!AV14+'2011 полн'!AW14</f>
        <v>633</v>
      </c>
      <c r="N20" s="318">
        <f>'2011 полн'!AZ14</f>
        <v>25934.510246884445</v>
      </c>
      <c r="O20" s="318">
        <f>'2011 полн'!BD14</f>
        <v>4912.134</v>
      </c>
      <c r="P20" s="314">
        <f t="shared" si="0"/>
        <v>83408.76094688445</v>
      </c>
      <c r="Q20" s="315">
        <f t="shared" si="1"/>
        <v>-10846.177086884447</v>
      </c>
      <c r="R20" s="315">
        <f>'2011 полн'!BG14</f>
        <v>-28408.219999999994</v>
      </c>
      <c r="S20" s="221"/>
      <c r="T20" s="221"/>
    </row>
    <row r="21" spans="1:20" ht="12.75">
      <c r="A21" s="235" t="s">
        <v>48</v>
      </c>
      <c r="B21" s="316">
        <f>'2011 полн'!B15</f>
        <v>7113.09</v>
      </c>
      <c r="C21" s="40">
        <f>'2011 полн'!C15</f>
        <v>60816.9195</v>
      </c>
      <c r="D21" s="157">
        <f>'2011 полн'!D15</f>
        <v>2111.14882</v>
      </c>
      <c r="E21" s="311">
        <f>'2011 полн'!U15</f>
        <v>85271.20000000001</v>
      </c>
      <c r="F21" s="311">
        <f>'2011 полн'!V15</f>
        <v>0</v>
      </c>
      <c r="G21" s="317">
        <f>'2011 полн'!AF15</f>
        <v>75790.54</v>
      </c>
      <c r="H21" s="317">
        <f>'2011 полн'!AG15</f>
        <v>77901.68882</v>
      </c>
      <c r="I21" s="317">
        <f>'2011 полн'!AJ15</f>
        <v>7181.052</v>
      </c>
      <c r="J21" s="317">
        <f>'2011 полн'!AK15</f>
        <v>4765.7703</v>
      </c>
      <c r="K21" s="311">
        <f>'2011 полн'!AL15</f>
        <v>1422.6180000000002</v>
      </c>
      <c r="L21" s="311">
        <f>'2011 полн'!AM15+'2011 полн'!AN15+'2011 полн'!AO15+'2011 полн'!AP15+'2011 полн'!AQ15+'2011 полн'!AR15+'2011 полн'!AS15+'2011 полн'!AT15+'2011 полн'!AX15</f>
        <v>41714.6934</v>
      </c>
      <c r="M21" s="312">
        <f>'2011 полн'!AU15+'2011 полн'!AV15+'2011 полн'!AW15</f>
        <v>1903</v>
      </c>
      <c r="N21" s="318">
        <f>'2011 полн'!AZ15</f>
        <v>24311.57718833424</v>
      </c>
      <c r="O21" s="318">
        <f>'2011 полн'!BD15</f>
        <v>4912.134</v>
      </c>
      <c r="P21" s="314">
        <f t="shared" si="0"/>
        <v>79029.79288833424</v>
      </c>
      <c r="Q21" s="315">
        <f t="shared" si="1"/>
        <v>6052.947931665753</v>
      </c>
      <c r="R21" s="315">
        <f>'2011 полн'!BG15</f>
        <v>-9480.660000000018</v>
      </c>
      <c r="S21" s="221"/>
      <c r="T21" s="221"/>
    </row>
    <row r="22" spans="1:18" ht="12.75">
      <c r="A22" s="235" t="s">
        <v>49</v>
      </c>
      <c r="B22" s="316">
        <f>'2011 полн'!B16</f>
        <v>7113.09</v>
      </c>
      <c r="C22" s="40">
        <f>'2011 полн'!C16</f>
        <v>60816.9195</v>
      </c>
      <c r="D22" s="157">
        <f>'2011 полн'!D16</f>
        <v>2111.14882</v>
      </c>
      <c r="E22" s="311">
        <f>'2011 полн'!U16</f>
        <v>60734.03</v>
      </c>
      <c r="F22" s="311">
        <f>'2011 полн'!V16</f>
        <v>0</v>
      </c>
      <c r="G22" s="317">
        <f>'2011 полн'!AF16</f>
        <v>73632.24</v>
      </c>
      <c r="H22" s="317">
        <f>'2011 полн'!AG16</f>
        <v>75743.38882000001</v>
      </c>
      <c r="I22" s="317">
        <f>'2011 полн'!AJ16</f>
        <v>7181.052</v>
      </c>
      <c r="J22" s="317">
        <f>'2011 полн'!AK16</f>
        <v>4765.7703</v>
      </c>
      <c r="K22" s="311">
        <f>'2011 полн'!AL16</f>
        <v>1422.6180000000002</v>
      </c>
      <c r="L22" s="311">
        <f>'2011 полн'!AM16+'2011 полн'!AN16+'2011 полн'!AO16+'2011 полн'!AP16+'2011 полн'!AQ16+'2011 полн'!AR16+'2011 полн'!AS16+'2011 полн'!AT16+'2011 полн'!AX16</f>
        <v>52411.7434</v>
      </c>
      <c r="M22" s="312">
        <f>'2011 полн'!AU16+'2011 полн'!AV16+'2011 полн'!AW16</f>
        <v>50929</v>
      </c>
      <c r="N22" s="318">
        <f>'2011 полн'!AZ16</f>
        <v>26427.741281024766</v>
      </c>
      <c r="O22" s="318">
        <f>'2011 полн'!BD16</f>
        <v>4912.134</v>
      </c>
      <c r="P22" s="314">
        <f t="shared" si="0"/>
        <v>140869.00698102475</v>
      </c>
      <c r="Q22" s="315">
        <f t="shared" si="1"/>
        <v>-57944.56616102475</v>
      </c>
      <c r="R22" s="315">
        <f>'2011 полн'!BG16</f>
        <v>12898.210000000006</v>
      </c>
    </row>
    <row r="23" spans="1:18" ht="12.75">
      <c r="A23" s="235" t="s">
        <v>50</v>
      </c>
      <c r="B23" s="316">
        <f>'2011 полн'!B17</f>
        <v>7113.09</v>
      </c>
      <c r="C23" s="40">
        <f>'2011 полн'!C17</f>
        <v>60816.9195</v>
      </c>
      <c r="D23" s="157">
        <f>'2011 полн'!D17</f>
        <v>2111.14882</v>
      </c>
      <c r="E23" s="311">
        <f>'2011 полн'!U17</f>
        <v>89814.85</v>
      </c>
      <c r="F23" s="311">
        <f>'2011 полн'!V17</f>
        <v>0</v>
      </c>
      <c r="G23" s="317">
        <f>'2011 полн'!AF17</f>
        <v>96094.12000000001</v>
      </c>
      <c r="H23" s="317">
        <f>'2011 полн'!AG17</f>
        <v>98205.26882000001</v>
      </c>
      <c r="I23" s="317">
        <f>'2011 полн'!AJ17</f>
        <v>7181.052</v>
      </c>
      <c r="J23" s="317">
        <f>'2011 полн'!AK17</f>
        <v>4765.7703</v>
      </c>
      <c r="K23" s="311">
        <f>'2011 полн'!AL17</f>
        <v>1422.6180000000002</v>
      </c>
      <c r="L23" s="311">
        <f>'2011 полн'!AM17+'2011 полн'!AN17+'2011 полн'!AO17+'2011 полн'!AP17+'2011 полн'!AQ17+'2011 полн'!AR17+'2011 полн'!AS17+'2011 полн'!AT17+'2011 полн'!AX17</f>
        <v>41730.6534</v>
      </c>
      <c r="M23" s="312">
        <f>'2011 полн'!AU17+'2011 полн'!AV17+'2011 полн'!AW17</f>
        <v>10767</v>
      </c>
      <c r="N23" s="318">
        <f>'2011 полн'!AZ17</f>
        <v>26441.893925334243</v>
      </c>
      <c r="O23" s="318">
        <f>'2011 полн'!BD17</f>
        <v>4912.134</v>
      </c>
      <c r="P23" s="314">
        <f t="shared" si="0"/>
        <v>90040.06962533425</v>
      </c>
      <c r="Q23" s="315">
        <f t="shared" si="1"/>
        <v>15346.251194665761</v>
      </c>
      <c r="R23" s="315">
        <f>'2011 полн'!BG17</f>
        <v>6279.270000000004</v>
      </c>
    </row>
    <row r="24" spans="1:18" ht="12.75">
      <c r="A24" s="235" t="s">
        <v>51</v>
      </c>
      <c r="B24" s="316">
        <f>'2011 полн'!B18</f>
        <v>7113.09</v>
      </c>
      <c r="C24" s="40">
        <f>'2011 полн'!C18</f>
        <v>60816.9195</v>
      </c>
      <c r="D24" s="157">
        <f>'2011 полн'!D18</f>
        <v>2111.1488200000003</v>
      </c>
      <c r="E24" s="311">
        <f>'2011 полн'!U18</f>
        <v>96060.18</v>
      </c>
      <c r="F24" s="311">
        <f>'2011 полн'!V18</f>
        <v>0</v>
      </c>
      <c r="G24" s="317">
        <f>'2011 полн'!AF18</f>
        <v>70770.53000000001</v>
      </c>
      <c r="H24" s="317">
        <f>'2011 полн'!AG18</f>
        <v>72881.67882000002</v>
      </c>
      <c r="I24" s="317">
        <f>'2011 полн'!AJ18</f>
        <v>7181.052</v>
      </c>
      <c r="J24" s="317">
        <f>'2011 полн'!AK18</f>
        <v>4765.7703</v>
      </c>
      <c r="K24" s="311">
        <f>'2011 полн'!AL18</f>
        <v>1422.6180000000002</v>
      </c>
      <c r="L24" s="311">
        <f>'2011 полн'!AM18+'2011 полн'!AN18+'2011 полн'!AO18+'2011 полн'!AP18+'2011 полн'!AQ18+'2011 полн'!AR18+'2011 полн'!AS18+'2011 полн'!AT18+'2011 полн'!AX18</f>
        <v>41677.5534</v>
      </c>
      <c r="M24" s="312">
        <f>'2011 полн'!AU18+'2011 полн'!AV18+'2011 полн'!AW18</f>
        <v>14223</v>
      </c>
      <c r="N24" s="318">
        <f>'2011 полн'!AZ18</f>
        <v>23924.057701341782</v>
      </c>
      <c r="O24" s="318">
        <f>'2011 полн'!BD18</f>
        <v>4912.134</v>
      </c>
      <c r="P24" s="314">
        <f t="shared" si="0"/>
        <v>90925.13340134178</v>
      </c>
      <c r="Q24" s="315">
        <f t="shared" si="1"/>
        <v>-10862.402581341768</v>
      </c>
      <c r="R24" s="315">
        <f>'2011 полн'!BG18</f>
        <v>-25289.64999999998</v>
      </c>
    </row>
    <row r="25" spans="1:18" ht="12.75">
      <c r="A25" s="235" t="s">
        <v>39</v>
      </c>
      <c r="B25" s="316">
        <f>'2011 полн'!B19</f>
        <v>7113.09</v>
      </c>
      <c r="C25" s="40">
        <f>'2011 полн'!C19</f>
        <v>60816.9195</v>
      </c>
      <c r="D25" s="157">
        <f>'2011 полн'!D19</f>
        <v>2111.1488200000003</v>
      </c>
      <c r="E25" s="311">
        <f>'2011 полн'!U19</f>
        <v>93260.23999999999</v>
      </c>
      <c r="F25" s="311">
        <f>'2011 полн'!V19</f>
        <v>0</v>
      </c>
      <c r="G25" s="317">
        <f>'2011 полн'!AF19</f>
        <v>82788.62</v>
      </c>
      <c r="H25" s="317">
        <f>'2011 полн'!AG19</f>
        <v>84899.76882</v>
      </c>
      <c r="I25" s="317">
        <f>'2011 полн'!AJ19</f>
        <v>7181.052</v>
      </c>
      <c r="J25" s="317">
        <f>'2011 полн'!AK19</f>
        <v>4765.7703</v>
      </c>
      <c r="K25" s="311">
        <f>'2011 полн'!AL19</f>
        <v>1422.6180000000002</v>
      </c>
      <c r="L25" s="311">
        <f>'2011 полн'!AM19+'2011 полн'!AN19+'2011 полн'!AO19+'2011 полн'!AP19+'2011 полн'!AQ19+'2011 полн'!AR19+'2011 полн'!AS19+'2011 полн'!AT19+'2011 полн'!AX19</f>
        <v>50012.1069</v>
      </c>
      <c r="M25" s="312">
        <f>'2011 полн'!AU19+'2011 полн'!AV19+'2011 полн'!AW19</f>
        <v>7869</v>
      </c>
      <c r="N25" s="318">
        <f>'2011 полн'!AZ19</f>
        <v>28837.6128721398</v>
      </c>
      <c r="O25" s="318">
        <f>'2011 полн'!BD19</f>
        <v>4912.134</v>
      </c>
      <c r="P25" s="314">
        <f t="shared" si="0"/>
        <v>97819.24207213981</v>
      </c>
      <c r="Q25" s="315">
        <f t="shared" si="1"/>
        <v>-5738.421252139815</v>
      </c>
      <c r="R25" s="315">
        <f>'2011 полн'!BG19</f>
        <v>-10471.619999999995</v>
      </c>
    </row>
    <row r="26" spans="1:18" ht="12.75">
      <c r="A26" s="235" t="s">
        <v>40</v>
      </c>
      <c r="B26" s="316">
        <f>'2011 полн'!B20</f>
        <v>7113.09</v>
      </c>
      <c r="C26" s="40">
        <f>'2011 полн'!C20</f>
        <v>60816.9195</v>
      </c>
      <c r="D26" s="157">
        <f>'2011 полн'!D20</f>
        <v>2111.1488200000003</v>
      </c>
      <c r="E26" s="311">
        <f>'2011 полн'!U20</f>
        <v>94089.17</v>
      </c>
      <c r="F26" s="311">
        <f>'2011 полн'!V20</f>
        <v>0</v>
      </c>
      <c r="G26" s="317">
        <f>'2011 полн'!AF20</f>
        <v>95005.75</v>
      </c>
      <c r="H26" s="317">
        <f>'2011 полн'!AG20</f>
        <v>97116.89882</v>
      </c>
      <c r="I26" s="317">
        <f>'2011 полн'!AJ20</f>
        <v>7181.052</v>
      </c>
      <c r="J26" s="317">
        <f>'2011 полн'!AK20</f>
        <v>4765.7703</v>
      </c>
      <c r="K26" s="311">
        <f>'2011 полн'!AL20</f>
        <v>1422.6180000000002</v>
      </c>
      <c r="L26" s="311">
        <f>'2011 полн'!AM20+'2011 полн'!AN20+'2011 полн'!AO20+'2011 полн'!AP20+'2011 полн'!AQ20+'2011 полн'!AR20+'2011 полн'!AS20+'2011 полн'!AT20+'2011 полн'!AX20</f>
        <v>49779.916900000004</v>
      </c>
      <c r="M26" s="312">
        <f>'2011 полн'!AU20+'2011 полн'!AV20+'2011 полн'!AW20</f>
        <v>1020</v>
      </c>
      <c r="N26" s="318">
        <f>'2011 полн'!AZ20</f>
        <v>25260.49556917193</v>
      </c>
      <c r="O26" s="318">
        <f>'2011 полн'!BD20</f>
        <v>4912.134</v>
      </c>
      <c r="P26" s="314">
        <f t="shared" si="0"/>
        <v>87160.93476917194</v>
      </c>
      <c r="Q26" s="315">
        <f t="shared" si="1"/>
        <v>17137.016050828053</v>
      </c>
      <c r="R26" s="315">
        <f>'2011 полн'!BG20</f>
        <v>916.5800000000017</v>
      </c>
    </row>
    <row r="27" spans="1:18" ht="13.5" thickBot="1">
      <c r="A27" s="319" t="s">
        <v>41</v>
      </c>
      <c r="B27" s="316">
        <f>'2011 полн'!B21</f>
        <v>7113.09</v>
      </c>
      <c r="C27" s="40">
        <f>'2011 полн'!C21</f>
        <v>60816.9195</v>
      </c>
      <c r="D27" s="157">
        <f>'2011 полн'!D21</f>
        <v>2111.1488200000003</v>
      </c>
      <c r="E27" s="311">
        <f>'2011 полн'!U21</f>
        <v>88596.09</v>
      </c>
      <c r="F27" s="311">
        <f>'2011 полн'!V21</f>
        <v>0</v>
      </c>
      <c r="G27" s="317">
        <f>'2011 полн'!AF21</f>
        <v>109586.78</v>
      </c>
      <c r="H27" s="317">
        <f>'2011 полн'!AG21</f>
        <v>111697.92882</v>
      </c>
      <c r="I27" s="317">
        <f>'2011 полн'!AJ21</f>
        <v>8782.6649025</v>
      </c>
      <c r="J27" s="317">
        <f>'2011 полн'!AK21</f>
        <v>4765.7703</v>
      </c>
      <c r="K27" s="311">
        <f>'2011 полн'!AL21</f>
        <v>1422.6180000000002</v>
      </c>
      <c r="L27" s="311">
        <f>'2011 полн'!AM21+'2011 полн'!AN21+'2011 полн'!AO21+'2011 полн'!AP21+'2011 полн'!AQ21+'2011 полн'!AR21+'2011 полн'!AS21+'2011 полн'!AT21+'2011 полн'!AX21</f>
        <v>51568.9069</v>
      </c>
      <c r="M27" s="312">
        <f>'2011 полн'!AU21+'2011 полн'!AV21+'2011 полн'!AW21</f>
        <v>339</v>
      </c>
      <c r="N27" s="318">
        <f>'2011 полн'!AZ21</f>
        <v>24809.640541530403</v>
      </c>
      <c r="O27" s="318">
        <f>'2011 полн'!BD21</f>
        <v>4548.431225625</v>
      </c>
      <c r="P27" s="314">
        <f t="shared" si="0"/>
        <v>87454.36696715541</v>
      </c>
      <c r="Q27" s="315">
        <f t="shared" si="1"/>
        <v>33026.226755344585</v>
      </c>
      <c r="R27" s="315">
        <f>'2011 полн'!BG21</f>
        <v>20990.690000000002</v>
      </c>
    </row>
    <row r="28" spans="1:20" s="23" customFormat="1" ht="13.5" thickBot="1">
      <c r="A28" s="45" t="s">
        <v>3</v>
      </c>
      <c r="B28" s="46"/>
      <c r="C28" s="51">
        <f aca="true" t="shared" si="2" ref="C28:Q28">SUM(C16:C27)</f>
        <v>729838.602</v>
      </c>
      <c r="D28" s="51">
        <f t="shared" si="2"/>
        <v>25620.472680000006</v>
      </c>
      <c r="E28" s="51">
        <f t="shared" si="2"/>
        <v>1030544.28</v>
      </c>
      <c r="F28" s="51">
        <f t="shared" si="2"/>
        <v>-7.62</v>
      </c>
      <c r="G28" s="51">
        <f t="shared" si="2"/>
        <v>911861.9400000001</v>
      </c>
      <c r="H28" s="51">
        <f t="shared" si="2"/>
        <v>937474.7926800001</v>
      </c>
      <c r="I28" s="51">
        <f t="shared" si="2"/>
        <v>87774.23690249998</v>
      </c>
      <c r="J28" s="51">
        <f t="shared" si="2"/>
        <v>57192.03080000002</v>
      </c>
      <c r="K28" s="51">
        <f t="shared" si="2"/>
        <v>17072.248000000003</v>
      </c>
      <c r="L28" s="51">
        <f t="shared" si="2"/>
        <v>588371.6839000001</v>
      </c>
      <c r="M28" s="51">
        <f t="shared" si="2"/>
        <v>149573</v>
      </c>
      <c r="N28" s="51">
        <f t="shared" si="2"/>
        <v>294902.5275208833</v>
      </c>
      <c r="O28" s="51">
        <f t="shared" si="2"/>
        <v>58581.905225624985</v>
      </c>
      <c r="P28" s="51">
        <f t="shared" si="2"/>
        <v>1165693.3954465082</v>
      </c>
      <c r="Q28" s="51">
        <f t="shared" si="2"/>
        <v>-140444.36586400837</v>
      </c>
      <c r="R28" s="51">
        <f>SUM(R16:R27)</f>
        <v>-118682.33999999997</v>
      </c>
      <c r="S28" s="52"/>
      <c r="T28" s="52"/>
    </row>
    <row r="29" spans="1:18" ht="13.5" thickBot="1">
      <c r="A29" s="333" t="s">
        <v>65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04"/>
      <c r="Q29" s="305"/>
      <c r="R29" s="305"/>
    </row>
    <row r="30" spans="1:20" s="23" customFormat="1" ht="13.5" thickBot="1">
      <c r="A30" s="59" t="s">
        <v>52</v>
      </c>
      <c r="B30" s="60"/>
      <c r="C30" s="61">
        <f aca="true" t="shared" si="3" ref="C30:R30">C28+C14</f>
        <v>2384551.424</v>
      </c>
      <c r="D30" s="61">
        <f t="shared" si="3"/>
        <v>322624.08956980007</v>
      </c>
      <c r="E30" s="61">
        <f t="shared" si="3"/>
        <v>2708599.83</v>
      </c>
      <c r="F30" s="61">
        <f t="shared" si="3"/>
        <v>79316.20999999999</v>
      </c>
      <c r="G30" s="61">
        <f>G28+G14</f>
        <v>2661049.69603704</v>
      </c>
      <c r="H30" s="61">
        <f>H28+H14</f>
        <v>3062989.99560684</v>
      </c>
      <c r="I30" s="61">
        <f>I28+I14</f>
        <v>214088.16482249997</v>
      </c>
      <c r="J30" s="61">
        <f t="shared" si="3"/>
        <v>170268.40280000004</v>
      </c>
      <c r="K30" s="61">
        <f t="shared" si="3"/>
        <v>54963.26045120001</v>
      </c>
      <c r="L30" s="61">
        <f t="shared" si="3"/>
        <v>1698791.833344486</v>
      </c>
      <c r="M30" s="61">
        <f t="shared" si="3"/>
        <v>427889.9298</v>
      </c>
      <c r="N30" s="61">
        <f t="shared" si="3"/>
        <v>560300.2035579234</v>
      </c>
      <c r="O30" s="61">
        <f t="shared" si="3"/>
        <v>115839.51794887979</v>
      </c>
      <c r="P30" s="61">
        <f t="shared" si="3"/>
        <v>3028053.1479024896</v>
      </c>
      <c r="Q30" s="61">
        <f t="shared" si="3"/>
        <v>-16372.663510189232</v>
      </c>
      <c r="R30" s="61">
        <f t="shared" si="3"/>
        <v>-312947.80999999994</v>
      </c>
      <c r="S30" s="64"/>
      <c r="T30" s="52"/>
    </row>
    <row r="32" spans="1:4" ht="12.75">
      <c r="A32" s="23" t="s">
        <v>66</v>
      </c>
      <c r="D32" s="320" t="s">
        <v>125</v>
      </c>
    </row>
    <row r="33" spans="1:4" ht="12.75">
      <c r="A33" s="233" t="s">
        <v>67</v>
      </c>
      <c r="B33" s="233" t="s">
        <v>68</v>
      </c>
      <c r="C33" s="327" t="s">
        <v>69</v>
      </c>
      <c r="D33" s="328"/>
    </row>
    <row r="34" spans="1:4" ht="12.75">
      <c r="A34" s="321">
        <v>420592.09</v>
      </c>
      <c r="B34" s="322">
        <v>286284.75</v>
      </c>
      <c r="C34" s="323">
        <f>A34-B34</f>
        <v>134307.34000000003</v>
      </c>
      <c r="D34" s="324"/>
    </row>
    <row r="35" ht="12.75">
      <c r="A35" s="65"/>
    </row>
    <row r="36" spans="1:7" ht="12.75">
      <c r="A36" s="222" t="s">
        <v>70</v>
      </c>
      <c r="G36" s="222" t="s">
        <v>71</v>
      </c>
    </row>
    <row r="37" ht="12.75">
      <c r="A37" s="221"/>
    </row>
    <row r="38" ht="12.75">
      <c r="A38" s="222" t="s">
        <v>126</v>
      </c>
    </row>
    <row r="39" ht="12.75">
      <c r="A39" s="222" t="s">
        <v>72</v>
      </c>
    </row>
  </sheetData>
  <sheetProtection/>
  <mergeCells count="28">
    <mergeCell ref="C8:C11"/>
    <mergeCell ref="D8:D11"/>
    <mergeCell ref="E8:F9"/>
    <mergeCell ref="G8:H9"/>
    <mergeCell ref="B1:H1"/>
    <mergeCell ref="B2:H2"/>
    <mergeCell ref="A5:O5"/>
    <mergeCell ref="A6:G6"/>
    <mergeCell ref="A7:D7"/>
    <mergeCell ref="E7:F7"/>
    <mergeCell ref="Q8:Q11"/>
    <mergeCell ref="R8:R11"/>
    <mergeCell ref="E10:F10"/>
    <mergeCell ref="H10:H11"/>
    <mergeCell ref="J10:J11"/>
    <mergeCell ref="K10:K11"/>
    <mergeCell ref="L10:L11"/>
    <mergeCell ref="M10:M11"/>
    <mergeCell ref="C33:D33"/>
    <mergeCell ref="N10:N11"/>
    <mergeCell ref="O10:O11"/>
    <mergeCell ref="P10:P11"/>
    <mergeCell ref="A13:O13"/>
    <mergeCell ref="A29:O29"/>
    <mergeCell ref="I8:I11"/>
    <mergeCell ref="J8:P9"/>
    <mergeCell ref="A8:A11"/>
    <mergeCell ref="B8:B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"/>
  <sheetViews>
    <sheetView zoomScalePageLayoutView="0" workbookViewId="0" topLeftCell="A1">
      <pane xSplit="2" ySplit="7" topLeftCell="A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10" sqref="BF10:BF21"/>
    </sheetView>
  </sheetViews>
  <sheetFormatPr defaultColWidth="9.00390625" defaultRowHeight="12.75"/>
  <cols>
    <col min="1" max="1" width="8.75390625" style="222" bestFit="1" customWidth="1"/>
    <col min="2" max="2" width="9.125" style="222" customWidth="1"/>
    <col min="3" max="3" width="11.375" style="222" customWidth="1"/>
    <col min="4" max="4" width="10.375" style="222" customWidth="1"/>
    <col min="5" max="5" width="10.125" style="222" bestFit="1" customWidth="1"/>
    <col min="6" max="6" width="9.125" style="222" customWidth="1"/>
    <col min="7" max="7" width="10.25390625" style="222" customWidth="1"/>
    <col min="8" max="8" width="9.125" style="222" customWidth="1"/>
    <col min="9" max="9" width="9.875" style="222" customWidth="1"/>
    <col min="10" max="10" width="9.125" style="222" customWidth="1"/>
    <col min="11" max="11" width="10.375" style="222" customWidth="1"/>
    <col min="12" max="12" width="9.125" style="222" customWidth="1"/>
    <col min="13" max="13" width="10.125" style="222" bestFit="1" customWidth="1"/>
    <col min="14" max="14" width="9.125" style="222" customWidth="1"/>
    <col min="15" max="15" width="10.125" style="222" bestFit="1" customWidth="1"/>
    <col min="16" max="18" width="9.125" style="222" customWidth="1"/>
    <col min="19" max="19" width="10.125" style="222" bestFit="1" customWidth="1"/>
    <col min="20" max="20" width="10.125" style="222" customWidth="1"/>
    <col min="21" max="21" width="11.75390625" style="222" bestFit="1" customWidth="1"/>
    <col min="22" max="22" width="10.25390625" style="222" customWidth="1"/>
    <col min="23" max="23" width="10.625" style="222" customWidth="1"/>
    <col min="24" max="24" width="10.125" style="222" customWidth="1"/>
    <col min="25" max="28" width="10.125" style="222" bestFit="1" customWidth="1"/>
    <col min="29" max="30" width="11.375" style="222" customWidth="1"/>
    <col min="31" max="31" width="9.25390625" style="222" bestFit="1" customWidth="1"/>
    <col min="32" max="32" width="11.75390625" style="222" bestFit="1" customWidth="1"/>
    <col min="33" max="33" width="13.625" style="222" customWidth="1"/>
    <col min="34" max="34" width="9.25390625" style="222" bestFit="1" customWidth="1"/>
    <col min="35" max="35" width="11.625" style="222" customWidth="1"/>
    <col min="36" max="36" width="10.875" style="222" customWidth="1"/>
    <col min="37" max="37" width="10.125" style="222" bestFit="1" customWidth="1"/>
    <col min="38" max="38" width="9.25390625" style="222" bestFit="1" customWidth="1"/>
    <col min="39" max="39" width="10.125" style="222" bestFit="1" customWidth="1"/>
    <col min="40" max="40" width="9.25390625" style="222" bestFit="1" customWidth="1"/>
    <col min="41" max="42" width="10.125" style="222" bestFit="1" customWidth="1"/>
    <col min="43" max="44" width="9.25390625" style="222" customWidth="1"/>
    <col min="45" max="45" width="10.125" style="222" bestFit="1" customWidth="1"/>
    <col min="46" max="46" width="11.625" style="222" customWidth="1"/>
    <col min="47" max="47" width="10.875" style="222" customWidth="1"/>
    <col min="48" max="48" width="10.625" style="222" customWidth="1"/>
    <col min="49" max="49" width="10.25390625" style="222" customWidth="1"/>
    <col min="50" max="50" width="10.625" style="222" customWidth="1"/>
    <col min="51" max="53" width="10.125" style="222" bestFit="1" customWidth="1"/>
    <col min="54" max="54" width="11.625" style="222" customWidth="1"/>
    <col min="55" max="55" width="11.75390625" style="222" customWidth="1"/>
    <col min="56" max="56" width="11.375" style="222" customWidth="1"/>
    <col min="57" max="57" width="14.00390625" style="222" customWidth="1"/>
    <col min="58" max="58" width="11.00390625" style="222" customWidth="1"/>
    <col min="59" max="59" width="10.625" style="222" customWidth="1"/>
    <col min="60" max="16384" width="9.125" style="222" customWidth="1"/>
  </cols>
  <sheetData>
    <row r="1" spans="1:18" ht="21" customHeight="1">
      <c r="A1" s="443" t="s">
        <v>95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221"/>
      <c r="P1" s="221"/>
      <c r="Q1" s="221"/>
      <c r="R1" s="221"/>
    </row>
    <row r="2" spans="1:18" ht="13.5" thickBot="1">
      <c r="A2" s="221"/>
      <c r="B2" s="223"/>
      <c r="C2" s="224"/>
      <c r="D2" s="224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59" ht="29.25" customHeight="1" thickBot="1">
      <c r="A3" s="419" t="s">
        <v>96</v>
      </c>
      <c r="B3" s="445" t="s">
        <v>0</v>
      </c>
      <c r="C3" s="447" t="s">
        <v>1</v>
      </c>
      <c r="D3" s="449" t="s">
        <v>2</v>
      </c>
      <c r="E3" s="419" t="s">
        <v>97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366"/>
      <c r="S3" s="419"/>
      <c r="T3" s="420"/>
      <c r="U3" s="419" t="s">
        <v>3</v>
      </c>
      <c r="V3" s="420"/>
      <c r="W3" s="423" t="s">
        <v>4</v>
      </c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5"/>
      <c r="AJ3" s="429" t="s">
        <v>75</v>
      </c>
      <c r="AK3" s="432" t="s">
        <v>8</v>
      </c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4"/>
      <c r="BF3" s="438" t="s">
        <v>9</v>
      </c>
      <c r="BG3" s="407" t="s">
        <v>10</v>
      </c>
    </row>
    <row r="4" spans="1:59" ht="51.75" customHeight="1" hidden="1" thickBot="1">
      <c r="A4" s="444"/>
      <c r="B4" s="446"/>
      <c r="C4" s="448"/>
      <c r="D4" s="450"/>
      <c r="E4" s="444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348"/>
      <c r="S4" s="421"/>
      <c r="T4" s="422"/>
      <c r="U4" s="421"/>
      <c r="V4" s="422"/>
      <c r="W4" s="426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8"/>
      <c r="AJ4" s="430"/>
      <c r="AK4" s="435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6"/>
      <c r="BD4" s="436"/>
      <c r="BE4" s="437"/>
      <c r="BF4" s="439"/>
      <c r="BG4" s="408"/>
    </row>
    <row r="5" spans="1:61" ht="19.5" customHeight="1">
      <c r="A5" s="444"/>
      <c r="B5" s="446"/>
      <c r="C5" s="448"/>
      <c r="D5" s="450"/>
      <c r="E5" s="410" t="s">
        <v>11</v>
      </c>
      <c r="F5" s="411"/>
      <c r="G5" s="410" t="s">
        <v>98</v>
      </c>
      <c r="H5" s="411"/>
      <c r="I5" s="410" t="s">
        <v>12</v>
      </c>
      <c r="J5" s="411"/>
      <c r="K5" s="410" t="s">
        <v>14</v>
      </c>
      <c r="L5" s="411"/>
      <c r="M5" s="410" t="s">
        <v>13</v>
      </c>
      <c r="N5" s="411"/>
      <c r="O5" s="414" t="s">
        <v>15</v>
      </c>
      <c r="P5" s="414"/>
      <c r="Q5" s="410" t="s">
        <v>99</v>
      </c>
      <c r="R5" s="411"/>
      <c r="S5" s="414" t="s">
        <v>100</v>
      </c>
      <c r="T5" s="411"/>
      <c r="U5" s="417" t="s">
        <v>18</v>
      </c>
      <c r="V5" s="441" t="s">
        <v>19</v>
      </c>
      <c r="W5" s="403" t="s">
        <v>20</v>
      </c>
      <c r="X5" s="403" t="s">
        <v>101</v>
      </c>
      <c r="Y5" s="403" t="s">
        <v>21</v>
      </c>
      <c r="Z5" s="403" t="s">
        <v>23</v>
      </c>
      <c r="AA5" s="403" t="s">
        <v>22</v>
      </c>
      <c r="AB5" s="403" t="s">
        <v>24</v>
      </c>
      <c r="AC5" s="403" t="s">
        <v>25</v>
      </c>
      <c r="AD5" s="405" t="s">
        <v>26</v>
      </c>
      <c r="AE5" s="405" t="s">
        <v>102</v>
      </c>
      <c r="AF5" s="393" t="s">
        <v>27</v>
      </c>
      <c r="AG5" s="395" t="s">
        <v>78</v>
      </c>
      <c r="AH5" s="397" t="s">
        <v>6</v>
      </c>
      <c r="AI5" s="399" t="s">
        <v>7</v>
      </c>
      <c r="AJ5" s="430"/>
      <c r="AK5" s="401" t="s">
        <v>103</v>
      </c>
      <c r="AL5" s="391" t="s">
        <v>104</v>
      </c>
      <c r="AM5" s="391" t="s">
        <v>105</v>
      </c>
      <c r="AN5" s="379" t="s">
        <v>106</v>
      </c>
      <c r="AO5" s="391" t="s">
        <v>107</v>
      </c>
      <c r="AP5" s="379" t="s">
        <v>108</v>
      </c>
      <c r="AQ5" s="379" t="s">
        <v>109</v>
      </c>
      <c r="AR5" s="379" t="s">
        <v>110</v>
      </c>
      <c r="AS5" s="379" t="s">
        <v>111</v>
      </c>
      <c r="AT5" s="379" t="s">
        <v>34</v>
      </c>
      <c r="AU5" s="385" t="s">
        <v>112</v>
      </c>
      <c r="AV5" s="387" t="s">
        <v>113</v>
      </c>
      <c r="AW5" s="385" t="s">
        <v>114</v>
      </c>
      <c r="AX5" s="389" t="s">
        <v>115</v>
      </c>
      <c r="AY5" s="225"/>
      <c r="AZ5" s="377" t="s">
        <v>17</v>
      </c>
      <c r="BA5" s="379" t="s">
        <v>36</v>
      </c>
      <c r="BB5" s="379" t="s">
        <v>31</v>
      </c>
      <c r="BC5" s="381" t="s">
        <v>37</v>
      </c>
      <c r="BD5" s="383" t="s">
        <v>80</v>
      </c>
      <c r="BE5" s="379" t="s">
        <v>81</v>
      </c>
      <c r="BF5" s="439"/>
      <c r="BG5" s="408"/>
      <c r="BH5" s="182"/>
      <c r="BI5" s="181"/>
    </row>
    <row r="6" spans="1:61" ht="56.25" customHeight="1" thickBot="1">
      <c r="A6" s="444"/>
      <c r="B6" s="446"/>
      <c r="C6" s="448"/>
      <c r="D6" s="450"/>
      <c r="E6" s="412"/>
      <c r="F6" s="413"/>
      <c r="G6" s="412"/>
      <c r="H6" s="413"/>
      <c r="I6" s="412"/>
      <c r="J6" s="413"/>
      <c r="K6" s="412"/>
      <c r="L6" s="413"/>
      <c r="M6" s="412"/>
      <c r="N6" s="413"/>
      <c r="O6" s="415"/>
      <c r="P6" s="415"/>
      <c r="Q6" s="412"/>
      <c r="R6" s="413"/>
      <c r="S6" s="416"/>
      <c r="T6" s="413"/>
      <c r="U6" s="418"/>
      <c r="V6" s="442"/>
      <c r="W6" s="404"/>
      <c r="X6" s="404"/>
      <c r="Y6" s="404"/>
      <c r="Z6" s="404"/>
      <c r="AA6" s="404"/>
      <c r="AB6" s="404"/>
      <c r="AC6" s="404"/>
      <c r="AD6" s="406"/>
      <c r="AE6" s="406"/>
      <c r="AF6" s="394"/>
      <c r="AG6" s="396"/>
      <c r="AH6" s="398"/>
      <c r="AI6" s="400"/>
      <c r="AJ6" s="431"/>
      <c r="AK6" s="402"/>
      <c r="AL6" s="392"/>
      <c r="AM6" s="392"/>
      <c r="AN6" s="380"/>
      <c r="AO6" s="392"/>
      <c r="AP6" s="380"/>
      <c r="AQ6" s="380"/>
      <c r="AR6" s="380"/>
      <c r="AS6" s="380"/>
      <c r="AT6" s="380"/>
      <c r="AU6" s="386"/>
      <c r="AV6" s="388"/>
      <c r="AW6" s="386"/>
      <c r="AX6" s="390"/>
      <c r="AY6" s="93" t="s">
        <v>116</v>
      </c>
      <c r="AZ6" s="378"/>
      <c r="BA6" s="380"/>
      <c r="BB6" s="380"/>
      <c r="BC6" s="382"/>
      <c r="BD6" s="384"/>
      <c r="BE6" s="380"/>
      <c r="BF6" s="440"/>
      <c r="BG6" s="409"/>
      <c r="BH6" s="182"/>
      <c r="BI6" s="181"/>
    </row>
    <row r="7" spans="1:61" ht="19.5" customHeight="1" thickBot="1">
      <c r="A7" s="226">
        <v>1</v>
      </c>
      <c r="B7" s="227">
        <v>2</v>
      </c>
      <c r="C7" s="227">
        <v>3</v>
      </c>
      <c r="D7" s="226">
        <v>4</v>
      </c>
      <c r="E7" s="227">
        <v>5</v>
      </c>
      <c r="F7" s="227">
        <v>6</v>
      </c>
      <c r="G7" s="226">
        <v>7</v>
      </c>
      <c r="H7" s="227">
        <v>8</v>
      </c>
      <c r="I7" s="227">
        <v>9</v>
      </c>
      <c r="J7" s="226">
        <v>10</v>
      </c>
      <c r="K7" s="227">
        <v>11</v>
      </c>
      <c r="L7" s="227">
        <v>12</v>
      </c>
      <c r="M7" s="226">
        <v>13</v>
      </c>
      <c r="N7" s="227">
        <v>14</v>
      </c>
      <c r="O7" s="227">
        <v>15</v>
      </c>
      <c r="P7" s="226">
        <v>16</v>
      </c>
      <c r="Q7" s="227">
        <v>17</v>
      </c>
      <c r="R7" s="227">
        <v>18</v>
      </c>
      <c r="S7" s="226">
        <v>19</v>
      </c>
      <c r="T7" s="227">
        <v>20</v>
      </c>
      <c r="U7" s="227">
        <v>21</v>
      </c>
      <c r="V7" s="226">
        <v>22</v>
      </c>
      <c r="W7" s="227">
        <v>23</v>
      </c>
      <c r="X7" s="226">
        <v>24</v>
      </c>
      <c r="Y7" s="227">
        <v>25</v>
      </c>
      <c r="Z7" s="226">
        <v>26</v>
      </c>
      <c r="AA7" s="227">
        <v>27</v>
      </c>
      <c r="AB7" s="226">
        <v>28</v>
      </c>
      <c r="AC7" s="227">
        <v>29</v>
      </c>
      <c r="AD7" s="226">
        <v>30</v>
      </c>
      <c r="AE7" s="226">
        <v>31</v>
      </c>
      <c r="AF7" s="227">
        <v>32</v>
      </c>
      <c r="AG7" s="226">
        <v>33</v>
      </c>
      <c r="AH7" s="227">
        <v>34</v>
      </c>
      <c r="AI7" s="226">
        <v>35</v>
      </c>
      <c r="AJ7" s="227">
        <v>36</v>
      </c>
      <c r="AK7" s="226">
        <v>37</v>
      </c>
      <c r="AL7" s="227">
        <v>38</v>
      </c>
      <c r="AM7" s="226">
        <v>39</v>
      </c>
      <c r="AN7" s="226">
        <v>40</v>
      </c>
      <c r="AO7" s="227">
        <v>41</v>
      </c>
      <c r="AP7" s="226">
        <v>42</v>
      </c>
      <c r="AQ7" s="227">
        <v>43</v>
      </c>
      <c r="AR7" s="226"/>
      <c r="AS7" s="226">
        <v>44</v>
      </c>
      <c r="AT7" s="227">
        <v>45</v>
      </c>
      <c r="AU7" s="226">
        <v>46</v>
      </c>
      <c r="AV7" s="227">
        <v>47</v>
      </c>
      <c r="AW7" s="226">
        <v>48</v>
      </c>
      <c r="AX7" s="226">
        <v>49</v>
      </c>
      <c r="AY7" s="227"/>
      <c r="AZ7" s="227">
        <v>50</v>
      </c>
      <c r="BA7" s="227">
        <v>51</v>
      </c>
      <c r="BB7" s="227">
        <v>52</v>
      </c>
      <c r="BC7" s="227">
        <v>53</v>
      </c>
      <c r="BD7" s="227">
        <v>54</v>
      </c>
      <c r="BE7" s="227"/>
      <c r="BF7" s="227">
        <v>55</v>
      </c>
      <c r="BG7" s="227">
        <v>56</v>
      </c>
      <c r="BH7" s="181"/>
      <c r="BI7" s="181"/>
    </row>
    <row r="8" spans="1:59" s="23" customFormat="1" ht="13.5" thickBot="1">
      <c r="A8" s="26" t="s">
        <v>52</v>
      </c>
      <c r="B8" s="228"/>
      <c r="C8" s="228">
        <f>Лист1!C44</f>
        <v>1654712.8220000002</v>
      </c>
      <c r="D8" s="228">
        <f>Лист1!D44</f>
        <v>297003.61688980006</v>
      </c>
      <c r="E8" s="228">
        <f>Лист1!E44</f>
        <v>159637.80999999997</v>
      </c>
      <c r="F8" s="228">
        <f>Лист1!F44</f>
        <v>8196.93</v>
      </c>
      <c r="G8" s="228">
        <f>0</f>
        <v>0</v>
      </c>
      <c r="H8" s="228">
        <f>0</f>
        <v>0</v>
      </c>
      <c r="I8" s="228">
        <f>Лист1!G44</f>
        <v>215912.84</v>
      </c>
      <c r="J8" s="228">
        <f>Лист1!H44</f>
        <v>11031.79</v>
      </c>
      <c r="K8" s="228">
        <f>Лист1!K44</f>
        <v>365430.12</v>
      </c>
      <c r="L8" s="228">
        <f>Лист1!L44</f>
        <v>18746.86</v>
      </c>
      <c r="M8" s="228">
        <f>Лист1!I44</f>
        <v>513022.23000000004</v>
      </c>
      <c r="N8" s="228">
        <f>Лист1!J44</f>
        <v>26132.25</v>
      </c>
      <c r="O8" s="228">
        <f>Лист1!M44</f>
        <v>127597.77</v>
      </c>
      <c r="P8" s="228">
        <f>Лист1!N44</f>
        <v>6399.299999999999</v>
      </c>
      <c r="Q8" s="228">
        <f>'[15]Лист1'!O44</f>
        <v>0</v>
      </c>
      <c r="R8" s="228">
        <f>'[15]Лист1'!P44</f>
        <v>0</v>
      </c>
      <c r="S8" s="228">
        <f>'[15]Лист1'!Q44</f>
        <v>0</v>
      </c>
      <c r="T8" s="228">
        <f>'[15]Лист1'!R44</f>
        <v>0</v>
      </c>
      <c r="U8" s="228">
        <f>Лист1!S44</f>
        <v>1678055.55</v>
      </c>
      <c r="V8" s="228">
        <f>Лист1!T44</f>
        <v>79323.82999999999</v>
      </c>
      <c r="W8" s="228">
        <f>Лист1!U44</f>
        <v>135307.86</v>
      </c>
      <c r="X8" s="228">
        <v>0</v>
      </c>
      <c r="Y8" s="228">
        <f>Лист1!V44</f>
        <v>183225.75</v>
      </c>
      <c r="Z8" s="228">
        <f>Лист1!X44</f>
        <v>305087.63</v>
      </c>
      <c r="AA8" s="228">
        <f>Лист1!W44</f>
        <v>440437.12</v>
      </c>
      <c r="AB8" s="228">
        <f>'[14]Лист1'!Y44</f>
        <v>98034.76999999999</v>
      </c>
      <c r="AC8" s="228">
        <f>'[16]Лист1'!Z42</f>
        <v>0</v>
      </c>
      <c r="AD8" s="228">
        <f>'[16]Лист1'!AA42</f>
        <v>0</v>
      </c>
      <c r="AE8" s="228">
        <f>0</f>
        <v>0</v>
      </c>
      <c r="AF8" s="228">
        <f>Лист1!AB44</f>
        <v>1483790.08</v>
      </c>
      <c r="AG8" s="228">
        <f>Лист1!AC44</f>
        <v>1860117.5268898</v>
      </c>
      <c r="AH8" s="228">
        <f>'[16]Лист1'!AD42</f>
        <v>0</v>
      </c>
      <c r="AI8" s="228">
        <f>Лист1!AY44</f>
        <v>265397.6760370402</v>
      </c>
      <c r="AJ8" s="228">
        <f>Лист1!AF44</f>
        <v>126313.92791999999</v>
      </c>
      <c r="AK8" s="228">
        <f>Лист1!AG44</f>
        <v>113076.372</v>
      </c>
      <c r="AL8" s="228">
        <f>Лист1!AH44</f>
        <v>37891.012451200004</v>
      </c>
      <c r="AM8" s="228">
        <f>Лист1!AI44+Лист1!AJ44</f>
        <v>187703.4206378722</v>
      </c>
      <c r="AN8" s="228">
        <v>0</v>
      </c>
      <c r="AO8" s="228">
        <f>Лист1!AK44+Лист1!AL44</f>
        <v>187231.1755810221</v>
      </c>
      <c r="AP8" s="228">
        <f>Лист1!AM44+Лист1!AN44</f>
        <v>418834.17622559157</v>
      </c>
      <c r="AQ8" s="228">
        <v>0</v>
      </c>
      <c r="AR8" s="228">
        <v>0</v>
      </c>
      <c r="AS8" s="228">
        <v>0</v>
      </c>
      <c r="AT8" s="228">
        <f>Лист1!AO44</f>
        <v>6425.46</v>
      </c>
      <c r="AU8" s="228">
        <f>Лист1!AS44</f>
        <v>200571.93</v>
      </c>
      <c r="AV8" s="228">
        <v>0</v>
      </c>
      <c r="AW8" s="228">
        <f>Лист1!AT44+Лист1!AU44</f>
        <v>77744.99979999999</v>
      </c>
      <c r="AX8" s="228">
        <f>Лист1!AQ44+Лист1!AR44</f>
        <v>117782.8242</v>
      </c>
      <c r="AY8" s="229">
        <f>Лист1!AX44</f>
        <v>228248.09280000004</v>
      </c>
      <c r="AZ8" s="229">
        <f>Лист1!AY44</f>
        <v>265397.6760370402</v>
      </c>
      <c r="BA8" s="229">
        <v>0</v>
      </c>
      <c r="BB8" s="229">
        <v>0</v>
      </c>
      <c r="BC8" s="229">
        <f>Лист1!BB44</f>
        <v>1840907.1397327264</v>
      </c>
      <c r="BD8" s="228">
        <f>Лист1!BC44</f>
        <v>57257.6127232548</v>
      </c>
      <c r="BE8" s="230">
        <f>BC8+BD8</f>
        <v>1898164.7524559812</v>
      </c>
      <c r="BF8" s="231">
        <f>Лист1!BE44</f>
        <v>88266.70235381914</v>
      </c>
      <c r="BG8" s="231">
        <f>Лист1!BF44</f>
        <v>-194265.46999999997</v>
      </c>
    </row>
    <row r="9" spans="1:59" ht="12.75">
      <c r="A9" s="5" t="s">
        <v>117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4"/>
      <c r="BF9" s="231"/>
      <c r="BG9" s="232"/>
    </row>
    <row r="10" spans="1:69" ht="12.75">
      <c r="A10" s="235" t="s">
        <v>43</v>
      </c>
      <c r="B10" s="201">
        <v>7116.98</v>
      </c>
      <c r="C10" s="142">
        <f aca="true" t="shared" si="0" ref="C10:C21">B10*8.55</f>
        <v>60850.179000000004</v>
      </c>
      <c r="D10" s="102">
        <v>2225.9435000000008</v>
      </c>
      <c r="E10" s="185">
        <v>-0.01</v>
      </c>
      <c r="F10" s="186">
        <v>0</v>
      </c>
      <c r="G10" s="185">
        <v>34506.54</v>
      </c>
      <c r="H10" s="185">
        <v>0</v>
      </c>
      <c r="I10" s="185">
        <v>-0.01</v>
      </c>
      <c r="J10" s="185">
        <v>0</v>
      </c>
      <c r="K10" s="185">
        <v>-0.01</v>
      </c>
      <c r="L10" s="185">
        <v>0</v>
      </c>
      <c r="M10" s="185">
        <v>16831.85</v>
      </c>
      <c r="N10" s="185">
        <v>-0.01</v>
      </c>
      <c r="O10" s="185">
        <v>5848.59</v>
      </c>
      <c r="P10" s="186">
        <v>0</v>
      </c>
      <c r="Q10" s="236">
        <v>30313.73</v>
      </c>
      <c r="R10" s="237">
        <v>-7.61</v>
      </c>
      <c r="S10" s="238">
        <v>0</v>
      </c>
      <c r="T10" s="237">
        <v>0</v>
      </c>
      <c r="U10" s="239">
        <f aca="true" t="shared" si="1" ref="U10:V21">E10+G10+I10+K10+M10+O10+Q10+S10</f>
        <v>87500.68</v>
      </c>
      <c r="V10" s="240">
        <f t="shared" si="1"/>
        <v>-7.62</v>
      </c>
      <c r="W10" s="187">
        <v>3788.42</v>
      </c>
      <c r="X10" s="187"/>
      <c r="Y10" s="187">
        <v>5132.38</v>
      </c>
      <c r="Z10" s="187">
        <v>8542.14</v>
      </c>
      <c r="AA10" s="187">
        <v>12330.84</v>
      </c>
      <c r="AB10" s="187">
        <v>3029.83</v>
      </c>
      <c r="AC10" s="189">
        <v>0</v>
      </c>
      <c r="AD10" s="189">
        <v>5769.41</v>
      </c>
      <c r="AE10" s="241">
        <v>0</v>
      </c>
      <c r="AF10" s="241">
        <f>SUM(W10:AE10)</f>
        <v>38593.020000000004</v>
      </c>
      <c r="AG10" s="242">
        <f>AF10+V10+D10</f>
        <v>40811.3435</v>
      </c>
      <c r="AH10" s="243">
        <f aca="true" t="shared" si="2" ref="AH10:AI21">AC10</f>
        <v>0</v>
      </c>
      <c r="AI10" s="243">
        <f t="shared" si="2"/>
        <v>5769.41</v>
      </c>
      <c r="AJ10" s="191">
        <f>'[17]Т01'!$I$3+'[17]Т01'!$I$29+'[17]Т01'!$I$51+'[17]Т01'!$I$56+'[17]Т01'!$I$61+'[17]Т01'!$I$88+'[17]Т01'!$I$116+'[17]Т01'!$I$121+'[17]Т01'!$I$187</f>
        <v>7181.052</v>
      </c>
      <c r="AK10" s="192">
        <f aca="true" t="shared" si="3" ref="AK10:AK21">0.67*B10</f>
        <v>4768.3766</v>
      </c>
      <c r="AL10" s="192">
        <f aca="true" t="shared" si="4" ref="AL10:AL21">B10*0.2</f>
        <v>1423.396</v>
      </c>
      <c r="AM10" s="192">
        <f aca="true" t="shared" si="5" ref="AM10:AM21">B10*1</f>
        <v>7116.98</v>
      </c>
      <c r="AN10" s="192">
        <f aca="true" t="shared" si="6" ref="AN10:AN21">B10*0.21</f>
        <v>1494.5657999999999</v>
      </c>
      <c r="AO10" s="192">
        <f aca="true" t="shared" si="7" ref="AO10:AO21">2.02*B10</f>
        <v>14376.299599999998</v>
      </c>
      <c r="AP10" s="192">
        <f aca="true" t="shared" si="8" ref="AP10:AP21">B10*1.03</f>
        <v>7330.4893999999995</v>
      </c>
      <c r="AQ10" s="192">
        <f aca="true" t="shared" si="9" ref="AQ10:AQ21">B10*0.75</f>
        <v>5337.735</v>
      </c>
      <c r="AR10" s="192">
        <f aca="true" t="shared" si="10" ref="AR10:AR21">B10*0.75</f>
        <v>5337.735</v>
      </c>
      <c r="AS10" s="192">
        <f>B10*1.15</f>
        <v>8184.526999999999</v>
      </c>
      <c r="AT10" s="311">
        <f>1189.9*0.45</f>
        <v>535.455</v>
      </c>
      <c r="AU10" s="194">
        <v>8116</v>
      </c>
      <c r="AV10" s="193">
        <v>3407</v>
      </c>
      <c r="AW10" s="194"/>
      <c r="AX10" s="194">
        <f>1.85+6.04+10+38.8+7.9+21.3+1921.5</f>
        <v>2007.39</v>
      </c>
      <c r="AY10" s="194"/>
      <c r="AZ10" s="109">
        <v>24263.719688570323</v>
      </c>
      <c r="BA10" s="198"/>
      <c r="BB10" s="198">
        <f>BA10*0.18</f>
        <v>0</v>
      </c>
      <c r="BC10" s="198">
        <f>SUM(AK10:BB10)</f>
        <v>93699.66908857031</v>
      </c>
      <c r="BD10" s="199">
        <f>'[17]Т01'!$R$3+'[17]Т01'!$R$29+'[17]Т01'!$R$51+'[17]Т01'!$R$56+'[17]Т01'!$R$61+'[17]Т01'!$R$88+'[17]Т01'!$R$116+'[17]Т01'!$R$121+'[17]Т01'!$R$187</f>
        <v>4912.134</v>
      </c>
      <c r="BE10" s="199">
        <f>BC10+BD10</f>
        <v>98611.80308857032</v>
      </c>
      <c r="BF10" s="199">
        <f>AG10+AJ10-BE10</f>
        <v>-50619.40758857032</v>
      </c>
      <c r="BG10" s="199">
        <f>AF10-U10</f>
        <v>-48907.65999999999</v>
      </c>
      <c r="BH10" s="199"/>
      <c r="BI10" s="198"/>
      <c r="BJ10" s="198"/>
      <c r="BK10" s="231"/>
      <c r="BL10" s="231"/>
      <c r="BM10" s="232"/>
      <c r="BN10" s="244"/>
      <c r="BO10" s="245"/>
      <c r="BP10" s="246"/>
      <c r="BQ10" s="247"/>
    </row>
    <row r="11" spans="1:67" ht="12.75">
      <c r="A11" s="235" t="s">
        <v>44</v>
      </c>
      <c r="B11" s="201">
        <v>7113.18</v>
      </c>
      <c r="C11" s="142">
        <f t="shared" si="0"/>
        <v>60817.689000000006</v>
      </c>
      <c r="D11" s="102">
        <v>2154.12186</v>
      </c>
      <c r="E11" s="185">
        <v>-19.67</v>
      </c>
      <c r="F11" s="186">
        <v>0</v>
      </c>
      <c r="G11" s="185">
        <v>41489.88</v>
      </c>
      <c r="H11" s="185">
        <v>0</v>
      </c>
      <c r="I11" s="185">
        <v>-26.62</v>
      </c>
      <c r="J11" s="185">
        <v>0</v>
      </c>
      <c r="K11" s="185">
        <v>-44.36</v>
      </c>
      <c r="L11" s="185">
        <v>0</v>
      </c>
      <c r="M11" s="185">
        <v>16757.2</v>
      </c>
      <c r="N11" s="185">
        <v>0</v>
      </c>
      <c r="O11" s="185">
        <v>5829.18</v>
      </c>
      <c r="P11" s="185">
        <v>0</v>
      </c>
      <c r="Q11" s="186">
        <v>31416.26</v>
      </c>
      <c r="R11" s="186">
        <v>0</v>
      </c>
      <c r="S11" s="189">
        <v>0</v>
      </c>
      <c r="T11" s="187">
        <v>0</v>
      </c>
      <c r="U11" s="248">
        <f t="shared" si="1"/>
        <v>95401.87</v>
      </c>
      <c r="V11" s="240">
        <f t="shared" si="1"/>
        <v>0</v>
      </c>
      <c r="W11" s="187">
        <v>1424.25</v>
      </c>
      <c r="X11" s="189">
        <v>22813.15</v>
      </c>
      <c r="Y11" s="187">
        <v>1929.64</v>
      </c>
      <c r="Z11" s="187">
        <v>3211.94</v>
      </c>
      <c r="AA11" s="187">
        <v>15117.81</v>
      </c>
      <c r="AB11" s="187">
        <v>4800.52</v>
      </c>
      <c r="AC11" s="189">
        <v>0</v>
      </c>
      <c r="AD11" s="189">
        <v>22432.3</v>
      </c>
      <c r="AE11" s="189">
        <v>0</v>
      </c>
      <c r="AF11" s="241">
        <f>SUM(W11:AE11)</f>
        <v>71729.61</v>
      </c>
      <c r="AG11" s="242">
        <f>AF11+V11+D11</f>
        <v>73883.73186</v>
      </c>
      <c r="AH11" s="243">
        <f t="shared" si="2"/>
        <v>0</v>
      </c>
      <c r="AI11" s="243">
        <f t="shared" si="2"/>
        <v>22432.3</v>
      </c>
      <c r="AJ11" s="191">
        <f>'[17]Т02'!$J$3+'[17]Т02'!$J$29+'[17]Т02'!$J$51+'[17]Т02'!$J$56+'[17]Т02'!$J$61+'[17]Т02'!$J$88+'[17]Т02'!$J$116+'[17]Т02'!$J$121+'[17]Т02'!$J$189</f>
        <v>7181.052</v>
      </c>
      <c r="AK11" s="192">
        <f t="shared" si="3"/>
        <v>4765.8306</v>
      </c>
      <c r="AL11" s="192">
        <f t="shared" si="4"/>
        <v>1422.6360000000002</v>
      </c>
      <c r="AM11" s="192">
        <f t="shared" si="5"/>
        <v>7113.18</v>
      </c>
      <c r="AN11" s="192">
        <f t="shared" si="6"/>
        <v>1493.7678</v>
      </c>
      <c r="AO11" s="192">
        <f t="shared" si="7"/>
        <v>14368.6236</v>
      </c>
      <c r="AP11" s="192">
        <f t="shared" si="8"/>
        <v>7326.575400000001</v>
      </c>
      <c r="AQ11" s="192">
        <f t="shared" si="9"/>
        <v>5334.885</v>
      </c>
      <c r="AR11" s="192">
        <f t="shared" si="10"/>
        <v>5334.885</v>
      </c>
      <c r="AS11" s="192">
        <f>B11*1.15</f>
        <v>8180.157</v>
      </c>
      <c r="AT11" s="311">
        <f>1189.9*0.45</f>
        <v>535.455</v>
      </c>
      <c r="AU11" s="194">
        <v>22207</v>
      </c>
      <c r="AV11" s="193"/>
      <c r="AW11" s="194">
        <v>520</v>
      </c>
      <c r="AX11" s="194">
        <f>94+232+258+33.84+150.39+57+87+10+945+25+160+37+25+180</f>
        <v>2294.23</v>
      </c>
      <c r="AY11" s="194"/>
      <c r="AZ11" s="109">
        <v>23115.629534883425</v>
      </c>
      <c r="BA11" s="198"/>
      <c r="BB11" s="198">
        <f>BA11*0.18</f>
        <v>0</v>
      </c>
      <c r="BC11" s="198">
        <f aca="true" t="shared" si="11" ref="BC11:BC21">SUM(AK11:BB11)</f>
        <v>104012.85493488343</v>
      </c>
      <c r="BD11" s="199">
        <f>'[17]Т02'!$S$3+'[17]Т02'!$S$29+'[17]Т02'!$S$51+'[17]Т02'!$S$56+'[17]Т02'!$S$61+'[17]Т02'!$S$88+'[17]Т02'!$S$116+'[17]Т02'!$S$121+'[17]Т02'!$S$188</f>
        <v>4912.134</v>
      </c>
      <c r="BE11" s="199">
        <f aca="true" t="shared" si="12" ref="BE11:BE21">BC11+BD11</f>
        <v>108924.98893488344</v>
      </c>
      <c r="BF11" s="199">
        <f aca="true" t="shared" si="13" ref="BF11:BF21">AG11+AJ11-BE11</f>
        <v>-27860.205074883444</v>
      </c>
      <c r="BG11" s="199">
        <f aca="true" t="shared" si="14" ref="BG11:BG21">AF11-U11</f>
        <v>-23672.259999999995</v>
      </c>
      <c r="BH11" s="199"/>
      <c r="BI11" s="198"/>
      <c r="BJ11" s="198"/>
      <c r="BK11" s="231"/>
      <c r="BL11" s="231"/>
      <c r="BM11" s="232"/>
      <c r="BN11" s="245"/>
      <c r="BO11" s="249"/>
    </row>
    <row r="12" spans="1:65" ht="12.75">
      <c r="A12" s="235" t="s">
        <v>45</v>
      </c>
      <c r="B12" s="201">
        <v>7113.18</v>
      </c>
      <c r="C12" s="142">
        <f t="shared" si="0"/>
        <v>60817.689000000006</v>
      </c>
      <c r="D12" s="102">
        <v>2154.12186</v>
      </c>
      <c r="E12" s="185">
        <v>-2.3</v>
      </c>
      <c r="F12" s="186">
        <v>0</v>
      </c>
      <c r="G12" s="185">
        <v>37990.58</v>
      </c>
      <c r="H12" s="185">
        <v>0</v>
      </c>
      <c r="I12" s="185">
        <v>-3.13</v>
      </c>
      <c r="J12" s="185">
        <v>0</v>
      </c>
      <c r="K12" s="185">
        <v>-5.19</v>
      </c>
      <c r="L12" s="185">
        <v>0</v>
      </c>
      <c r="M12" s="185">
        <v>16814.44</v>
      </c>
      <c r="N12" s="185">
        <v>0</v>
      </c>
      <c r="O12" s="185">
        <v>5843.33</v>
      </c>
      <c r="P12" s="185">
        <v>0</v>
      </c>
      <c r="Q12" s="185">
        <v>6651.74</v>
      </c>
      <c r="R12" s="185">
        <v>0</v>
      </c>
      <c r="S12" s="185">
        <v>0</v>
      </c>
      <c r="T12" s="187">
        <v>0</v>
      </c>
      <c r="U12" s="187">
        <f t="shared" si="1"/>
        <v>67289.47</v>
      </c>
      <c r="V12" s="188">
        <f t="shared" si="1"/>
        <v>0</v>
      </c>
      <c r="W12" s="203">
        <v>965.99</v>
      </c>
      <c r="X12" s="189">
        <v>29022.73</v>
      </c>
      <c r="Y12" s="187">
        <v>1308.73</v>
      </c>
      <c r="Z12" s="187">
        <v>2178.09</v>
      </c>
      <c r="AA12" s="187">
        <v>15416.92</v>
      </c>
      <c r="AB12" s="187">
        <v>5061.86</v>
      </c>
      <c r="AC12" s="189">
        <v>0</v>
      </c>
      <c r="AD12" s="189">
        <v>23653.88</v>
      </c>
      <c r="AE12" s="187">
        <v>0</v>
      </c>
      <c r="AF12" s="250">
        <f>SUM(W12:AE12)</f>
        <v>77608.2</v>
      </c>
      <c r="AG12" s="242">
        <f>AF12+V12+D12</f>
        <v>79762.32186</v>
      </c>
      <c r="AH12" s="243">
        <f t="shared" si="2"/>
        <v>0</v>
      </c>
      <c r="AI12" s="243">
        <f t="shared" si="2"/>
        <v>23653.88</v>
      </c>
      <c r="AJ12" s="191">
        <f>'[17]Т03'!$J$3+'[17]Т03'!$J$29+'[17]Т03'!$J$51+'[17]Т03'!$J$56+'[17]Т03'!$J$61+'[17]Т03'!$J$88+'[17]Т03'!$J$116+'[17]Т03'!$J$121+'[17]Т03'!$J$189</f>
        <v>7181.052</v>
      </c>
      <c r="AK12" s="192">
        <f t="shared" si="3"/>
        <v>4765.8306</v>
      </c>
      <c r="AL12" s="192">
        <f t="shared" si="4"/>
        <v>1422.6360000000002</v>
      </c>
      <c r="AM12" s="192">
        <f t="shared" si="5"/>
        <v>7113.18</v>
      </c>
      <c r="AN12" s="192">
        <f t="shared" si="6"/>
        <v>1493.7678</v>
      </c>
      <c r="AO12" s="192">
        <f t="shared" si="7"/>
        <v>14368.6236</v>
      </c>
      <c r="AP12" s="192">
        <f t="shared" si="8"/>
        <v>7326.575400000001</v>
      </c>
      <c r="AQ12" s="192">
        <f t="shared" si="9"/>
        <v>5334.885</v>
      </c>
      <c r="AR12" s="192">
        <f t="shared" si="10"/>
        <v>5334.885</v>
      </c>
      <c r="AS12" s="192">
        <f>B12*1.15</f>
        <v>8180.157</v>
      </c>
      <c r="AT12" s="311"/>
      <c r="AU12" s="194"/>
      <c r="AV12" s="193">
        <v>320</v>
      </c>
      <c r="AW12" s="194"/>
      <c r="AX12" s="194"/>
      <c r="AY12" s="194"/>
      <c r="AZ12" s="109">
        <v>23990.17866040529</v>
      </c>
      <c r="BA12" s="198"/>
      <c r="BB12" s="198">
        <f>BA12*0.18</f>
        <v>0</v>
      </c>
      <c r="BC12" s="198">
        <f t="shared" si="11"/>
        <v>79650.7190604053</v>
      </c>
      <c r="BD12" s="199">
        <f>'[17]Т03'!$S$3+'[17]Т03'!$S$29+'[17]Т03'!$S$51+'[17]Т03'!$S$56+'[17]Т03'!$S$61+'[17]Т03'!$S$88+'[17]Т03'!$S$116+'[17]Т03'!$S$121+'[17]Т03'!$S$189</f>
        <v>4912.134</v>
      </c>
      <c r="BE12" s="199">
        <f t="shared" si="12"/>
        <v>84562.85306040531</v>
      </c>
      <c r="BF12" s="199">
        <f t="shared" si="13"/>
        <v>2380.520799594684</v>
      </c>
      <c r="BG12" s="199">
        <f t="shared" si="14"/>
        <v>10318.729999999996</v>
      </c>
      <c r="BH12" s="199"/>
      <c r="BI12" s="198"/>
      <c r="BJ12" s="231"/>
      <c r="BK12" s="231"/>
      <c r="BL12" s="245"/>
      <c r="BM12" s="249"/>
    </row>
    <row r="13" spans="1:67" ht="12.75">
      <c r="A13" s="235" t="s">
        <v>46</v>
      </c>
      <c r="B13" s="201">
        <v>7113.18</v>
      </c>
      <c r="C13" s="142">
        <f t="shared" si="0"/>
        <v>60817.689000000006</v>
      </c>
      <c r="D13" s="251">
        <v>2154.12186</v>
      </c>
      <c r="E13" s="238">
        <v>-0.86</v>
      </c>
      <c r="F13" s="186">
        <v>0</v>
      </c>
      <c r="G13" s="202">
        <v>37990.57</v>
      </c>
      <c r="H13" s="185">
        <v>0</v>
      </c>
      <c r="I13" s="185">
        <v>-1.16</v>
      </c>
      <c r="J13" s="185">
        <v>0</v>
      </c>
      <c r="K13" s="185">
        <v>-1.94</v>
      </c>
      <c r="L13" s="185">
        <v>0</v>
      </c>
      <c r="M13" s="185">
        <v>16819.13</v>
      </c>
      <c r="N13" s="185">
        <v>0</v>
      </c>
      <c r="O13" s="185">
        <v>5844.49</v>
      </c>
      <c r="P13" s="185">
        <v>0</v>
      </c>
      <c r="Q13" s="186">
        <v>20240.64</v>
      </c>
      <c r="R13" s="186">
        <v>0</v>
      </c>
      <c r="S13" s="236">
        <v>0</v>
      </c>
      <c r="T13" s="207">
        <v>0</v>
      </c>
      <c r="U13" s="248">
        <f t="shared" si="1"/>
        <v>80890.87</v>
      </c>
      <c r="V13" s="188">
        <f t="shared" si="1"/>
        <v>0</v>
      </c>
      <c r="W13" s="187">
        <v>281.87</v>
      </c>
      <c r="X13" s="189">
        <v>27555.66</v>
      </c>
      <c r="Y13" s="187">
        <v>381.96</v>
      </c>
      <c r="Z13" s="187">
        <v>635.86</v>
      </c>
      <c r="AA13" s="187">
        <v>12891.88</v>
      </c>
      <c r="AB13" s="189">
        <v>4382.56</v>
      </c>
      <c r="AC13" s="187">
        <v>0</v>
      </c>
      <c r="AD13" s="189">
        <v>10905.33</v>
      </c>
      <c r="AE13" s="189">
        <v>0</v>
      </c>
      <c r="AF13" s="241">
        <f>SUM(W13:AD13)</f>
        <v>57035.119999999995</v>
      </c>
      <c r="AG13" s="252">
        <f>AF13+V13+D13</f>
        <v>59189.241859999995</v>
      </c>
      <c r="AH13" s="253">
        <f t="shared" si="2"/>
        <v>0</v>
      </c>
      <c r="AI13" s="253">
        <f t="shared" si="2"/>
        <v>10905.33</v>
      </c>
      <c r="AJ13" s="254">
        <f>'[18]Т04'!$J$3+'[18]Т04'!$J$29+'[18]Т04'!$J$51+'[18]Т04'!$J$56+'[18]Т04'!$J$61+'[18]Т04'!$J$89+'[18]Т04'!$J$117+'[18]Т04'!$J$122+'[18]Т04'!$J$191</f>
        <v>7181.052</v>
      </c>
      <c r="AK13" s="192">
        <f t="shared" si="3"/>
        <v>4765.8306</v>
      </c>
      <c r="AL13" s="192">
        <f t="shared" si="4"/>
        <v>1422.6360000000002</v>
      </c>
      <c r="AM13" s="192">
        <f t="shared" si="5"/>
        <v>7113.18</v>
      </c>
      <c r="AN13" s="192">
        <f t="shared" si="6"/>
        <v>1493.7678</v>
      </c>
      <c r="AO13" s="192">
        <f t="shared" si="7"/>
        <v>14368.6236</v>
      </c>
      <c r="AP13" s="192">
        <f t="shared" si="8"/>
        <v>7326.575400000001</v>
      </c>
      <c r="AQ13" s="192">
        <f t="shared" si="9"/>
        <v>5334.885</v>
      </c>
      <c r="AR13" s="192">
        <f t="shared" si="10"/>
        <v>5334.885</v>
      </c>
      <c r="AS13" s="192"/>
      <c r="AT13" s="326">
        <f aca="true" t="shared" si="15" ref="AT13:AT21">0.45*1189.9</f>
        <v>535.455</v>
      </c>
      <c r="AU13" s="256">
        <v>26820</v>
      </c>
      <c r="AV13" s="256">
        <v>500</v>
      </c>
      <c r="AW13" s="256"/>
      <c r="AX13" s="256">
        <f>6413+960+12000</f>
        <v>19373</v>
      </c>
      <c r="AY13" s="256"/>
      <c r="AZ13" s="109">
        <v>17585.470311262656</v>
      </c>
      <c r="BA13" s="255"/>
      <c r="BB13" s="255"/>
      <c r="BC13" s="198">
        <f t="shared" si="11"/>
        <v>111974.30871126267</v>
      </c>
      <c r="BD13" s="257">
        <f>'[17]Т04'!$S$3+'[17]Т04'!$S$29+'[17]Т04'!$S$51+'[17]Т04'!$S$56+'[17]Т04'!$S$61+'[17]Т04'!$S$89+'[17]Т04'!$S$117+'[17]Т04'!$S$122+'[17]Т04'!$S$191</f>
        <v>4912.134</v>
      </c>
      <c r="BE13" s="199">
        <f t="shared" si="12"/>
        <v>116886.44271126267</v>
      </c>
      <c r="BF13" s="199">
        <f t="shared" si="13"/>
        <v>-50516.14885126268</v>
      </c>
      <c r="BG13" s="199">
        <f t="shared" si="14"/>
        <v>-23855.75</v>
      </c>
      <c r="BH13" s="199"/>
      <c r="BI13" s="198"/>
      <c r="BJ13" s="231"/>
      <c r="BK13" s="231"/>
      <c r="BL13" s="231"/>
      <c r="BM13" s="232"/>
      <c r="BN13" s="245"/>
      <c r="BO13" s="249"/>
    </row>
    <row r="14" spans="1:66" ht="12.75">
      <c r="A14" s="235" t="s">
        <v>47</v>
      </c>
      <c r="B14" s="325">
        <v>7113.09</v>
      </c>
      <c r="C14" s="142">
        <f t="shared" si="0"/>
        <v>60816.9195</v>
      </c>
      <c r="D14" s="251">
        <v>2154.12186</v>
      </c>
      <c r="E14" s="202">
        <v>11.22</v>
      </c>
      <c r="F14" s="186">
        <v>0</v>
      </c>
      <c r="G14" s="185">
        <v>37990.1</v>
      </c>
      <c r="H14" s="185">
        <v>0</v>
      </c>
      <c r="I14" s="185">
        <v>14.47</v>
      </c>
      <c r="J14" s="185">
        <v>0</v>
      </c>
      <c r="K14" s="185">
        <v>24.57</v>
      </c>
      <c r="L14" s="185">
        <v>0</v>
      </c>
      <c r="M14" s="185">
        <v>16857.48</v>
      </c>
      <c r="N14" s="185">
        <v>0</v>
      </c>
      <c r="O14" s="185">
        <v>5853.99</v>
      </c>
      <c r="P14" s="185">
        <v>0</v>
      </c>
      <c r="Q14" s="186">
        <v>30883.8</v>
      </c>
      <c r="R14" s="186">
        <v>0</v>
      </c>
      <c r="S14" s="185">
        <v>0</v>
      </c>
      <c r="T14" s="189">
        <v>0</v>
      </c>
      <c r="U14" s="258">
        <f t="shared" si="1"/>
        <v>91635.62999999999</v>
      </c>
      <c r="V14" s="259">
        <f>F14+H14+J14+L14+N14++R14+T14</f>
        <v>0</v>
      </c>
      <c r="W14" s="187">
        <v>241.34</v>
      </c>
      <c r="X14" s="189">
        <v>29558.53</v>
      </c>
      <c r="Y14" s="187">
        <v>327.02</v>
      </c>
      <c r="Z14" s="187">
        <v>544.28</v>
      </c>
      <c r="AA14" s="187">
        <v>13585.74</v>
      </c>
      <c r="AB14" s="187">
        <v>4678.01</v>
      </c>
      <c r="AC14" s="189">
        <v>0</v>
      </c>
      <c r="AD14" s="189">
        <v>14292.49</v>
      </c>
      <c r="AE14" s="241">
        <v>0</v>
      </c>
      <c r="AF14" s="260">
        <f>SUM(W14:AE14)</f>
        <v>63227.409999999996</v>
      </c>
      <c r="AG14" s="252">
        <f aca="true" t="shared" si="16" ref="AG14:AG21">D14+V14+AF14</f>
        <v>65381.531859999996</v>
      </c>
      <c r="AH14" s="253">
        <f t="shared" si="2"/>
        <v>0</v>
      </c>
      <c r="AI14" s="253">
        <f t="shared" si="2"/>
        <v>14292.49</v>
      </c>
      <c r="AJ14" s="254">
        <f>'[17]Т05'!$J$3+'[17]Т05'!$J$29+'[17]Т05'!$J$51+'[17]Т05'!$J$56+'[17]Т05'!$J$61+'[17]Т05'!$J$87+'[17]Т05'!$J$115+'[17]Т05'!$J$120+'[17]Т05'!$J$189</f>
        <v>7181.052</v>
      </c>
      <c r="AK14" s="192">
        <f t="shared" si="3"/>
        <v>4765.7703</v>
      </c>
      <c r="AL14" s="192">
        <f t="shared" si="4"/>
        <v>1422.6180000000002</v>
      </c>
      <c r="AM14" s="192">
        <f t="shared" si="5"/>
        <v>7113.09</v>
      </c>
      <c r="AN14" s="192">
        <f t="shared" si="6"/>
        <v>1493.7489</v>
      </c>
      <c r="AO14" s="192">
        <f t="shared" si="7"/>
        <v>14368.4418</v>
      </c>
      <c r="AP14" s="192">
        <f t="shared" si="8"/>
        <v>7326.4827000000005</v>
      </c>
      <c r="AQ14" s="192">
        <f t="shared" si="9"/>
        <v>5334.8175</v>
      </c>
      <c r="AR14" s="192">
        <f t="shared" si="10"/>
        <v>5334.8175</v>
      </c>
      <c r="AS14" s="192"/>
      <c r="AT14" s="326">
        <f t="shared" si="15"/>
        <v>535.455</v>
      </c>
      <c r="AU14" s="256">
        <v>491</v>
      </c>
      <c r="AV14" s="256">
        <v>142</v>
      </c>
      <c r="AW14" s="256"/>
      <c r="AX14" s="256">
        <f>68+89.5+13+312+126+11+718.875+2688+207.5</f>
        <v>4233.875</v>
      </c>
      <c r="AY14" s="256"/>
      <c r="AZ14" s="109">
        <v>25934.510246884445</v>
      </c>
      <c r="BA14" s="255"/>
      <c r="BB14" s="255"/>
      <c r="BC14" s="198">
        <f t="shared" si="11"/>
        <v>78496.62694688444</v>
      </c>
      <c r="BD14" s="257">
        <f>'[17]Т05'!$S$3+'[17]Т05'!$S$29+'[17]Т05'!$S$51+'[17]Т05'!$S$56+'[17]Т05'!$S$61+'[17]Т05'!$S$87+'[17]Т05'!$S$115+'[17]Т05'!$S$120+'[17]Т05'!$S$189</f>
        <v>4912.134</v>
      </c>
      <c r="BE14" s="199">
        <f t="shared" si="12"/>
        <v>83408.76094688445</v>
      </c>
      <c r="BF14" s="199">
        <f t="shared" si="13"/>
        <v>-10846.177086884447</v>
      </c>
      <c r="BG14" s="199">
        <f t="shared" si="14"/>
        <v>-28408.219999999994</v>
      </c>
      <c r="BH14" s="199"/>
      <c r="BI14" s="198"/>
      <c r="BJ14" s="231"/>
      <c r="BK14" s="231"/>
      <c r="BL14" s="232"/>
      <c r="BM14" s="245"/>
      <c r="BN14" s="249"/>
    </row>
    <row r="15" spans="1:66" ht="13.5" thickBot="1">
      <c r="A15" s="235" t="s">
        <v>48</v>
      </c>
      <c r="B15" s="201">
        <v>7113.09</v>
      </c>
      <c r="C15" s="142">
        <f t="shared" si="0"/>
        <v>60816.9195</v>
      </c>
      <c r="D15" s="251">
        <v>2111.14882</v>
      </c>
      <c r="E15" s="261">
        <v>0</v>
      </c>
      <c r="F15" s="261"/>
      <c r="G15" s="261">
        <v>37961.3</v>
      </c>
      <c r="H15" s="261"/>
      <c r="I15" s="262">
        <v>0</v>
      </c>
      <c r="J15" s="262"/>
      <c r="K15" s="262">
        <v>0</v>
      </c>
      <c r="L15" s="262"/>
      <c r="M15" s="262">
        <v>16807.28</v>
      </c>
      <c r="N15" s="262"/>
      <c r="O15" s="262">
        <v>5840.12</v>
      </c>
      <c r="P15" s="262"/>
      <c r="Q15" s="262">
        <v>24562.5</v>
      </c>
      <c r="R15" s="263"/>
      <c r="S15" s="263">
        <v>100</v>
      </c>
      <c r="T15" s="262"/>
      <c r="U15" s="264">
        <f t="shared" si="1"/>
        <v>85271.20000000001</v>
      </c>
      <c r="V15" s="265">
        <f t="shared" si="1"/>
        <v>0</v>
      </c>
      <c r="W15" s="266">
        <v>802.01</v>
      </c>
      <c r="X15" s="261">
        <v>30688.71</v>
      </c>
      <c r="Y15" s="261">
        <v>1086.93</v>
      </c>
      <c r="Z15" s="261">
        <v>1808.83</v>
      </c>
      <c r="AA15" s="261">
        <v>16274.21</v>
      </c>
      <c r="AB15" s="261">
        <v>5411.65</v>
      </c>
      <c r="AC15" s="261">
        <v>0</v>
      </c>
      <c r="AD15" s="261">
        <v>19718.2</v>
      </c>
      <c r="AE15" s="267">
        <v>0</v>
      </c>
      <c r="AF15" s="268">
        <f aca="true" t="shared" si="17" ref="AF15:AF21">SUM(W15:AE15)</f>
        <v>75790.54</v>
      </c>
      <c r="AG15" s="252">
        <f t="shared" si="16"/>
        <v>77901.68882</v>
      </c>
      <c r="AH15" s="253">
        <f t="shared" si="2"/>
        <v>0</v>
      </c>
      <c r="AI15" s="253">
        <f t="shared" si="2"/>
        <v>19718.2</v>
      </c>
      <c r="AJ15" s="254">
        <f>'[17]Т06'!$J$3+'[17]Т06'!$J$29+'[17]Т06'!$J$51+'[17]Т06'!$J$56+'[17]Т06'!$J$61+'[17]Т06'!$J$87+'[17]Т06'!$J$115+'[17]Т06'!$J$120+'[17]Т06'!$J$189</f>
        <v>7181.052</v>
      </c>
      <c r="AK15" s="192">
        <f t="shared" si="3"/>
        <v>4765.7703</v>
      </c>
      <c r="AL15" s="192">
        <f t="shared" si="4"/>
        <v>1422.6180000000002</v>
      </c>
      <c r="AM15" s="192">
        <f t="shared" si="5"/>
        <v>7113.09</v>
      </c>
      <c r="AN15" s="192">
        <f t="shared" si="6"/>
        <v>1493.7489</v>
      </c>
      <c r="AO15" s="192">
        <f t="shared" si="7"/>
        <v>14368.4418</v>
      </c>
      <c r="AP15" s="192">
        <f t="shared" si="8"/>
        <v>7326.4827000000005</v>
      </c>
      <c r="AQ15" s="192">
        <f t="shared" si="9"/>
        <v>5334.8175</v>
      </c>
      <c r="AR15" s="192">
        <f t="shared" si="10"/>
        <v>5334.8175</v>
      </c>
      <c r="AS15" s="192"/>
      <c r="AT15" s="326">
        <f t="shared" si="15"/>
        <v>535.455</v>
      </c>
      <c r="AU15" s="256">
        <v>995</v>
      </c>
      <c r="AV15" s="256">
        <v>908</v>
      </c>
      <c r="AW15" s="256"/>
      <c r="AX15" s="256">
        <f>76.5+71.34+60</f>
        <v>207.84</v>
      </c>
      <c r="AY15" s="256"/>
      <c r="AZ15" s="192">
        <v>24311.57718833424</v>
      </c>
      <c r="BA15" s="255"/>
      <c r="BB15" s="255"/>
      <c r="BC15" s="198">
        <f t="shared" si="11"/>
        <v>74117.65888833423</v>
      </c>
      <c r="BD15" s="257">
        <f>'[17]Т06'!$S$3+'[17]Т06'!$S$29+'[17]Т06'!$S$51+'[17]Т06'!$S$56+'[17]Т06'!$S$61+'[17]Т06'!$S$87+'[17]Т06'!$S$115+'[17]Т06'!$S$120+'[17]Т06'!$S$189</f>
        <v>4912.134</v>
      </c>
      <c r="BE15" s="199">
        <f t="shared" si="12"/>
        <v>79029.79288833424</v>
      </c>
      <c r="BF15" s="199">
        <f t="shared" si="13"/>
        <v>6052.947931665753</v>
      </c>
      <c r="BG15" s="199">
        <f t="shared" si="14"/>
        <v>-9480.660000000018</v>
      </c>
      <c r="BH15" s="199"/>
      <c r="BI15" s="198"/>
      <c r="BJ15" s="231"/>
      <c r="BK15" s="231"/>
      <c r="BL15" s="232"/>
      <c r="BM15" s="269"/>
      <c r="BN15" s="249"/>
    </row>
    <row r="16" spans="1:63" ht="12.75">
      <c r="A16" s="235" t="s">
        <v>49</v>
      </c>
      <c r="B16" s="201">
        <v>7113.09</v>
      </c>
      <c r="C16" s="142">
        <f t="shared" si="0"/>
        <v>60816.9195</v>
      </c>
      <c r="D16" s="251">
        <v>2111.14882</v>
      </c>
      <c r="E16" s="270"/>
      <c r="F16" s="270"/>
      <c r="G16" s="270">
        <v>37977.39</v>
      </c>
      <c r="H16" s="270"/>
      <c r="I16" s="270"/>
      <c r="J16" s="270"/>
      <c r="K16" s="270"/>
      <c r="L16" s="270"/>
      <c r="M16" s="270">
        <v>16814.16</v>
      </c>
      <c r="N16" s="270"/>
      <c r="O16" s="270">
        <v>5842.48</v>
      </c>
      <c r="P16" s="270"/>
      <c r="Q16" s="270"/>
      <c r="R16" s="270"/>
      <c r="S16" s="271">
        <v>100</v>
      </c>
      <c r="T16" s="266"/>
      <c r="U16" s="272">
        <f t="shared" si="1"/>
        <v>60734.03</v>
      </c>
      <c r="V16" s="273">
        <f t="shared" si="1"/>
        <v>0</v>
      </c>
      <c r="W16" s="274">
        <v>358.64</v>
      </c>
      <c r="X16" s="270">
        <v>29725.01</v>
      </c>
      <c r="Y16" s="270">
        <v>486.03</v>
      </c>
      <c r="Z16" s="270">
        <v>808.75</v>
      </c>
      <c r="AA16" s="270">
        <v>14473.47</v>
      </c>
      <c r="AB16" s="270">
        <v>4918.77</v>
      </c>
      <c r="AC16" s="261"/>
      <c r="AD16" s="270">
        <v>22761.55</v>
      </c>
      <c r="AE16" s="271">
        <v>100.02</v>
      </c>
      <c r="AF16" s="268">
        <f t="shared" si="17"/>
        <v>73632.24</v>
      </c>
      <c r="AG16" s="275">
        <f t="shared" si="16"/>
        <v>75743.38882000001</v>
      </c>
      <c r="AH16" s="253">
        <f t="shared" si="2"/>
        <v>0</v>
      </c>
      <c r="AI16" s="253">
        <f t="shared" si="2"/>
        <v>22761.55</v>
      </c>
      <c r="AJ16" s="254">
        <f>'[17]Т07'!$J$3+'[17]Т07'!$J$29+'[17]Т07'!$J$51+'[17]Т07'!$J$56+'[17]Т07'!$J$61+'[17]Т07'!$J$87+'[17]Т07'!$J$115+'[17]Т07'!$J$120+'[17]Т07'!$J$193</f>
        <v>7181.052</v>
      </c>
      <c r="AK16" s="192">
        <f t="shared" si="3"/>
        <v>4765.7703</v>
      </c>
      <c r="AL16" s="192">
        <f t="shared" si="4"/>
        <v>1422.6180000000002</v>
      </c>
      <c r="AM16" s="192">
        <f t="shared" si="5"/>
        <v>7113.09</v>
      </c>
      <c r="AN16" s="192">
        <f t="shared" si="6"/>
        <v>1493.7489</v>
      </c>
      <c r="AO16" s="192">
        <f t="shared" si="7"/>
        <v>14368.4418</v>
      </c>
      <c r="AP16" s="192">
        <f t="shared" si="8"/>
        <v>7326.4827000000005</v>
      </c>
      <c r="AQ16" s="192">
        <f t="shared" si="9"/>
        <v>5334.8175</v>
      </c>
      <c r="AR16" s="192">
        <f t="shared" si="10"/>
        <v>5334.8175</v>
      </c>
      <c r="AS16" s="192"/>
      <c r="AT16" s="326">
        <f t="shared" si="15"/>
        <v>535.455</v>
      </c>
      <c r="AU16" s="256">
        <v>50929</v>
      </c>
      <c r="AV16" s="256"/>
      <c r="AW16" s="256"/>
      <c r="AX16" s="256">
        <f>132+189+3230+875+2640+144+434+427.8+411.6+48+511.5+546+74.43+18.86+40.7+1182</f>
        <v>10904.890000000001</v>
      </c>
      <c r="AY16" s="256"/>
      <c r="AZ16" s="109">
        <v>26427.741281024766</v>
      </c>
      <c r="BA16" s="255">
        <v>-35805</v>
      </c>
      <c r="BB16" s="255"/>
      <c r="BC16" s="198">
        <f t="shared" si="11"/>
        <v>100151.87298102476</v>
      </c>
      <c r="BD16" s="257">
        <f>'[17]Т07'!$S$3+'[17]Т07'!$S$29+'[17]Т07'!$S$51+'[17]Т07'!$S$56+'[17]Т07'!$S$61+'[17]Т07'!$S$87+'[17]Т07'!$S$115+'[17]Т07'!$S$120+'[17]Т07'!$S$193</f>
        <v>4912.134</v>
      </c>
      <c r="BE16" s="199">
        <f t="shared" si="12"/>
        <v>105064.00698102477</v>
      </c>
      <c r="BF16" s="199">
        <f t="shared" si="13"/>
        <v>-22139.566161024763</v>
      </c>
      <c r="BG16" s="199">
        <f t="shared" si="14"/>
        <v>12898.210000000006</v>
      </c>
      <c r="BH16" s="199"/>
      <c r="BI16" s="198"/>
      <c r="BJ16" s="231"/>
      <c r="BK16" s="231"/>
    </row>
    <row r="17" spans="1:63" ht="12.75">
      <c r="A17" s="235" t="s">
        <v>50</v>
      </c>
      <c r="B17" s="201">
        <v>7113.09</v>
      </c>
      <c r="C17" s="142">
        <f t="shared" si="0"/>
        <v>60816.9195</v>
      </c>
      <c r="D17" s="251">
        <v>2111.14882</v>
      </c>
      <c r="E17" s="276"/>
      <c r="F17" s="276"/>
      <c r="G17" s="276">
        <v>37995.11</v>
      </c>
      <c r="H17" s="276"/>
      <c r="I17" s="276"/>
      <c r="J17" s="276"/>
      <c r="K17" s="276"/>
      <c r="L17" s="276"/>
      <c r="M17" s="276">
        <v>16822.58</v>
      </c>
      <c r="N17" s="276"/>
      <c r="O17" s="276">
        <v>5845.39</v>
      </c>
      <c r="P17" s="276"/>
      <c r="Q17" s="276">
        <v>29051.77</v>
      </c>
      <c r="R17" s="276"/>
      <c r="S17" s="277">
        <v>100</v>
      </c>
      <c r="T17" s="267"/>
      <c r="U17" s="278">
        <f t="shared" si="1"/>
        <v>89814.85</v>
      </c>
      <c r="V17" s="279">
        <f t="shared" si="1"/>
        <v>0</v>
      </c>
      <c r="W17" s="270">
        <v>1172.17</v>
      </c>
      <c r="X17" s="270">
        <v>36577.12</v>
      </c>
      <c r="Y17" s="270">
        <v>1587.21</v>
      </c>
      <c r="Z17" s="270">
        <v>2642.36</v>
      </c>
      <c r="AA17" s="270">
        <v>20123.16</v>
      </c>
      <c r="AB17" s="270">
        <v>6605.11</v>
      </c>
      <c r="AC17" s="270"/>
      <c r="AD17" s="270">
        <v>27287</v>
      </c>
      <c r="AE17" s="271">
        <v>99.99</v>
      </c>
      <c r="AF17" s="268">
        <f t="shared" si="17"/>
        <v>96094.12000000001</v>
      </c>
      <c r="AG17" s="275">
        <f t="shared" si="16"/>
        <v>98205.26882000001</v>
      </c>
      <c r="AH17" s="253">
        <f t="shared" si="2"/>
        <v>0</v>
      </c>
      <c r="AI17" s="253">
        <f t="shared" si="2"/>
        <v>27287</v>
      </c>
      <c r="AJ17" s="254">
        <f>'[17]Т08'!$J$3+'[17]Т08'!$J$29+'[17]Т08'!$J$51+'[17]Т08'!$J$56+'[17]Т08'!$J$61+'[17]Т08'!$J$87+'[17]Т08'!$J$115+'[17]Т08'!$J$120+'[17]Т08'!$J$197</f>
        <v>7181.052</v>
      </c>
      <c r="AK17" s="192">
        <f t="shared" si="3"/>
        <v>4765.7703</v>
      </c>
      <c r="AL17" s="192">
        <f t="shared" si="4"/>
        <v>1422.6180000000002</v>
      </c>
      <c r="AM17" s="192">
        <f t="shared" si="5"/>
        <v>7113.09</v>
      </c>
      <c r="AN17" s="192">
        <f t="shared" si="6"/>
        <v>1493.7489</v>
      </c>
      <c r="AO17" s="192">
        <f t="shared" si="7"/>
        <v>14368.4418</v>
      </c>
      <c r="AP17" s="192">
        <f t="shared" si="8"/>
        <v>7326.4827000000005</v>
      </c>
      <c r="AQ17" s="192">
        <f t="shared" si="9"/>
        <v>5334.8175</v>
      </c>
      <c r="AR17" s="192">
        <f t="shared" si="10"/>
        <v>5334.8175</v>
      </c>
      <c r="AS17" s="192"/>
      <c r="AT17" s="326">
        <f t="shared" si="15"/>
        <v>535.455</v>
      </c>
      <c r="AU17" s="256"/>
      <c r="AV17" s="256"/>
      <c r="AW17" s="256">
        <f>8925+1842</f>
        <v>10767</v>
      </c>
      <c r="AX17" s="256">
        <f>106.6+64+53.2</f>
        <v>223.8</v>
      </c>
      <c r="AY17" s="256"/>
      <c r="AZ17" s="109">
        <v>26441.893925334243</v>
      </c>
      <c r="BA17" s="255"/>
      <c r="BB17" s="255"/>
      <c r="BC17" s="198">
        <f t="shared" si="11"/>
        <v>85127.93562533424</v>
      </c>
      <c r="BD17" s="257">
        <f>'[17]Т08'!$S$3+'[17]Т08'!$S$29+'[17]Т08'!$S$51+'[17]Т08'!$S$56+'[17]Т08'!$S$61+'[17]Т08'!$S$87+'[17]Т08'!$S$115+'[17]Т08'!$S$120+'[17]Т08'!$S$197</f>
        <v>4912.134</v>
      </c>
      <c r="BE17" s="199">
        <f t="shared" si="12"/>
        <v>90040.06962533425</v>
      </c>
      <c r="BF17" s="199">
        <f t="shared" si="13"/>
        <v>15346.251194665761</v>
      </c>
      <c r="BG17" s="199">
        <f t="shared" si="14"/>
        <v>6279.270000000004</v>
      </c>
      <c r="BH17" s="199"/>
      <c r="BI17" s="198"/>
      <c r="BJ17" s="231"/>
      <c r="BK17" s="231"/>
    </row>
    <row r="18" spans="1:63" ht="12.75">
      <c r="A18" s="235" t="s">
        <v>51</v>
      </c>
      <c r="B18" s="201">
        <v>7113.09</v>
      </c>
      <c r="C18" s="142">
        <f t="shared" si="0"/>
        <v>60816.9195</v>
      </c>
      <c r="D18" s="251">
        <v>2111.1488200000003</v>
      </c>
      <c r="E18" s="270"/>
      <c r="F18" s="270"/>
      <c r="G18" s="270">
        <v>38022.18</v>
      </c>
      <c r="H18" s="270"/>
      <c r="I18" s="270"/>
      <c r="J18" s="270"/>
      <c r="K18" s="270"/>
      <c r="L18" s="270"/>
      <c r="M18" s="270">
        <v>18547.08</v>
      </c>
      <c r="N18" s="270"/>
      <c r="O18" s="270">
        <v>6444.25</v>
      </c>
      <c r="P18" s="270"/>
      <c r="Q18" s="270">
        <v>32946.67</v>
      </c>
      <c r="R18" s="270"/>
      <c r="S18" s="271">
        <v>100</v>
      </c>
      <c r="T18" s="280"/>
      <c r="U18" s="280">
        <f t="shared" si="1"/>
        <v>96060.18</v>
      </c>
      <c r="V18" s="281">
        <f t="shared" si="1"/>
        <v>0</v>
      </c>
      <c r="W18" s="270">
        <v>404.36</v>
      </c>
      <c r="X18" s="270">
        <v>28296.26</v>
      </c>
      <c r="Y18" s="270">
        <v>548.07</v>
      </c>
      <c r="Z18" s="270">
        <v>912.04</v>
      </c>
      <c r="AA18" s="270">
        <v>14149.54</v>
      </c>
      <c r="AB18" s="270">
        <v>4762.84</v>
      </c>
      <c r="AC18" s="270"/>
      <c r="AD18" s="270">
        <v>21597.43</v>
      </c>
      <c r="AE18" s="271">
        <v>99.99</v>
      </c>
      <c r="AF18" s="268">
        <f t="shared" si="17"/>
        <v>70770.53000000001</v>
      </c>
      <c r="AG18" s="275">
        <f t="shared" si="16"/>
        <v>72881.67882000002</v>
      </c>
      <c r="AH18" s="253">
        <f t="shared" si="2"/>
        <v>0</v>
      </c>
      <c r="AI18" s="253">
        <f t="shared" si="2"/>
        <v>21597.43</v>
      </c>
      <c r="AJ18" s="254">
        <f>'[17]Т09'!$J$3+'[17]Т09'!$J$29+'[17]Т09'!$J$51+'[17]Т09'!$J$56+'[17]Т09'!$J$61+'[17]Т09'!$J$87+'[17]Т09'!$J$115+'[17]Т09'!$J$120+'[17]Т09'!$J$197</f>
        <v>7181.052</v>
      </c>
      <c r="AK18" s="192">
        <f t="shared" si="3"/>
        <v>4765.7703</v>
      </c>
      <c r="AL18" s="192">
        <f t="shared" si="4"/>
        <v>1422.6180000000002</v>
      </c>
      <c r="AM18" s="192">
        <f t="shared" si="5"/>
        <v>7113.09</v>
      </c>
      <c r="AN18" s="192">
        <f t="shared" si="6"/>
        <v>1493.7489</v>
      </c>
      <c r="AO18" s="192">
        <f t="shared" si="7"/>
        <v>14368.4418</v>
      </c>
      <c r="AP18" s="192">
        <f t="shared" si="8"/>
        <v>7326.4827000000005</v>
      </c>
      <c r="AQ18" s="192">
        <f t="shared" si="9"/>
        <v>5334.8175</v>
      </c>
      <c r="AR18" s="192">
        <f t="shared" si="10"/>
        <v>5334.8175</v>
      </c>
      <c r="AS18" s="192"/>
      <c r="AT18" s="326">
        <f t="shared" si="15"/>
        <v>535.455</v>
      </c>
      <c r="AU18" s="256"/>
      <c r="AV18" s="256"/>
      <c r="AW18" s="256">
        <v>14223</v>
      </c>
      <c r="AX18" s="256">
        <f>170.7</f>
        <v>170.7</v>
      </c>
      <c r="AY18" s="256"/>
      <c r="AZ18" s="109">
        <v>23924.057701341782</v>
      </c>
      <c r="BA18" s="255"/>
      <c r="BB18" s="255"/>
      <c r="BC18" s="198">
        <f t="shared" si="11"/>
        <v>86012.99940134177</v>
      </c>
      <c r="BD18" s="257">
        <f>'[17]Т08'!$S$3+'[17]Т08'!$S$29+'[17]Т08'!$S$51+'[17]Т08'!$S$56+'[17]Т08'!$S$61+'[17]Т08'!$S$87+'[17]Т08'!$S$115+'[17]Т08'!$S$120+'[17]Т08'!$S$197</f>
        <v>4912.134</v>
      </c>
      <c r="BE18" s="199">
        <f t="shared" si="12"/>
        <v>90925.13340134178</v>
      </c>
      <c r="BF18" s="199">
        <f t="shared" si="13"/>
        <v>-10862.402581341768</v>
      </c>
      <c r="BG18" s="199">
        <f t="shared" si="14"/>
        <v>-25289.64999999998</v>
      </c>
      <c r="BH18" s="199"/>
      <c r="BI18" s="198"/>
      <c r="BJ18" s="230"/>
      <c r="BK18" s="64"/>
    </row>
    <row r="19" spans="1:63" ht="12.75">
      <c r="A19" s="235" t="s">
        <v>39</v>
      </c>
      <c r="B19" s="201">
        <v>7113.09</v>
      </c>
      <c r="C19" s="142">
        <f t="shared" si="0"/>
        <v>60816.9195</v>
      </c>
      <c r="D19" s="282">
        <v>2111.1488200000003</v>
      </c>
      <c r="E19" s="261"/>
      <c r="F19" s="261"/>
      <c r="G19" s="261">
        <v>38232.22</v>
      </c>
      <c r="H19" s="261"/>
      <c r="I19" s="261"/>
      <c r="J19" s="261"/>
      <c r="K19" s="261"/>
      <c r="L19" s="261"/>
      <c r="M19" s="261">
        <v>18649.53</v>
      </c>
      <c r="N19" s="261"/>
      <c r="O19" s="261">
        <v>6479.85</v>
      </c>
      <c r="P19" s="261"/>
      <c r="Q19" s="261">
        <v>29798.64</v>
      </c>
      <c r="R19" s="261"/>
      <c r="S19" s="267">
        <v>100</v>
      </c>
      <c r="T19" s="283"/>
      <c r="U19" s="284">
        <f t="shared" si="1"/>
        <v>93260.23999999999</v>
      </c>
      <c r="V19" s="285">
        <f t="shared" si="1"/>
        <v>0</v>
      </c>
      <c r="W19" s="261">
        <v>0</v>
      </c>
      <c r="X19" s="261">
        <v>32493.37</v>
      </c>
      <c r="Y19" s="261">
        <v>0</v>
      </c>
      <c r="Z19" s="261">
        <v>0</v>
      </c>
      <c r="AA19" s="261">
        <v>16023.3</v>
      </c>
      <c r="AB19" s="261">
        <v>5789.35</v>
      </c>
      <c r="AC19" s="261"/>
      <c r="AD19" s="261">
        <v>28382.87</v>
      </c>
      <c r="AE19" s="267">
        <v>99.73</v>
      </c>
      <c r="AF19" s="268">
        <f t="shared" si="17"/>
        <v>82788.62</v>
      </c>
      <c r="AG19" s="275">
        <f t="shared" si="16"/>
        <v>84899.76882</v>
      </c>
      <c r="AH19" s="253">
        <f t="shared" si="2"/>
        <v>0</v>
      </c>
      <c r="AI19" s="253">
        <f t="shared" si="2"/>
        <v>28382.87</v>
      </c>
      <c r="AJ19" s="254">
        <f>'[19]Т10'!$J$3+'[19]Т10'!$J$29+'[19]Т10'!$J$51+'[19]Т10'!$J$56+'[19]Т10'!$J$61+'[19]Т10'!$J$87+'[19]Т10'!$J$115+'[19]Т10'!$J$120+'[19]Т10'!$J$197</f>
        <v>7181.052</v>
      </c>
      <c r="AK19" s="192">
        <f t="shared" si="3"/>
        <v>4765.7703</v>
      </c>
      <c r="AL19" s="192">
        <f t="shared" si="4"/>
        <v>1422.6180000000002</v>
      </c>
      <c r="AM19" s="192">
        <f t="shared" si="5"/>
        <v>7113.09</v>
      </c>
      <c r="AN19" s="192">
        <f t="shared" si="6"/>
        <v>1493.7489</v>
      </c>
      <c r="AO19" s="192">
        <f t="shared" si="7"/>
        <v>14368.4418</v>
      </c>
      <c r="AP19" s="192">
        <f t="shared" si="8"/>
        <v>7326.4827000000005</v>
      </c>
      <c r="AQ19" s="192">
        <f t="shared" si="9"/>
        <v>5334.8175</v>
      </c>
      <c r="AR19" s="192">
        <f t="shared" si="10"/>
        <v>5334.8175</v>
      </c>
      <c r="AS19" s="286">
        <f>B19*1.15</f>
        <v>8180.0535</v>
      </c>
      <c r="AT19" s="326">
        <f t="shared" si="15"/>
        <v>535.455</v>
      </c>
      <c r="AU19" s="256">
        <v>4451</v>
      </c>
      <c r="AV19" s="256"/>
      <c r="AW19" s="256">
        <v>3418</v>
      </c>
      <c r="AX19" s="256">
        <f>114.95+12+12+26+27+133.25</f>
        <v>325.2</v>
      </c>
      <c r="AY19" s="256"/>
      <c r="AZ19" s="109">
        <v>28837.6128721398</v>
      </c>
      <c r="BA19" s="255"/>
      <c r="BB19" s="255"/>
      <c r="BC19" s="198">
        <f t="shared" si="11"/>
        <v>92907.1080721398</v>
      </c>
      <c r="BD19" s="257">
        <f>'[17]Т10'!$S$3+'[17]Т10'!$S$29+'[17]Т10'!$S$51+'[17]Т10'!$S$56+'[17]Т10'!$S$61+'[17]Т10'!$S$87+'[17]Т10'!$S$115+'[17]Т10'!$S$120+'[17]Т10'!$S$197</f>
        <v>4912.134</v>
      </c>
      <c r="BE19" s="199">
        <f t="shared" si="12"/>
        <v>97819.24207213981</v>
      </c>
      <c r="BF19" s="199">
        <f t="shared" si="13"/>
        <v>-5738.421252139815</v>
      </c>
      <c r="BG19" s="199">
        <f t="shared" si="14"/>
        <v>-10471.619999999995</v>
      </c>
      <c r="BH19" s="199"/>
      <c r="BI19" s="198"/>
      <c r="BJ19" s="230"/>
      <c r="BK19" s="64"/>
    </row>
    <row r="20" spans="1:63" ht="12.75">
      <c r="A20" s="235" t="s">
        <v>40</v>
      </c>
      <c r="B20" s="201">
        <v>7113.09</v>
      </c>
      <c r="C20" s="142">
        <f t="shared" si="0"/>
        <v>60816.9195</v>
      </c>
      <c r="D20" s="287">
        <v>2111.1488200000003</v>
      </c>
      <c r="E20" s="261"/>
      <c r="F20" s="261"/>
      <c r="G20" s="261">
        <v>38123.87</v>
      </c>
      <c r="H20" s="261"/>
      <c r="I20" s="261"/>
      <c r="J20" s="261"/>
      <c r="K20" s="261"/>
      <c r="L20" s="261"/>
      <c r="M20" s="261">
        <v>18596.66</v>
      </c>
      <c r="N20" s="261"/>
      <c r="O20" s="261">
        <v>6461.5</v>
      </c>
      <c r="P20" s="261"/>
      <c r="Q20" s="261">
        <v>30407.14</v>
      </c>
      <c r="R20" s="261"/>
      <c r="S20" s="267">
        <v>500</v>
      </c>
      <c r="T20" s="283"/>
      <c r="U20" s="284">
        <f t="shared" si="1"/>
        <v>94089.17</v>
      </c>
      <c r="V20" s="285">
        <f t="shared" si="1"/>
        <v>0</v>
      </c>
      <c r="W20" s="261">
        <v>0</v>
      </c>
      <c r="X20" s="261">
        <v>38962.15</v>
      </c>
      <c r="Y20" s="261">
        <v>0</v>
      </c>
      <c r="Z20" s="261">
        <v>0</v>
      </c>
      <c r="AA20" s="261">
        <v>18992.95</v>
      </c>
      <c r="AB20" s="261">
        <v>6594.37</v>
      </c>
      <c r="AC20" s="261"/>
      <c r="AD20" s="261">
        <v>30956.22</v>
      </c>
      <c r="AE20" s="267">
        <v>-499.94</v>
      </c>
      <c r="AF20" s="268">
        <f t="shared" si="17"/>
        <v>95005.75</v>
      </c>
      <c r="AG20" s="275">
        <f t="shared" si="16"/>
        <v>97116.89882</v>
      </c>
      <c r="AH20" s="253">
        <f t="shared" si="2"/>
        <v>0</v>
      </c>
      <c r="AI20" s="253">
        <f t="shared" si="2"/>
        <v>30956.22</v>
      </c>
      <c r="AJ20" s="254">
        <f>'[17]Т11'!$J$3+'[17]Т11'!$J$29+'[17]Т11'!$J$51+'[17]Т11'!$J$56+'[17]Т11'!$J$61+'[17]Т11'!$J$87+'[17]Т11'!$J$115+'[17]Т11'!$J$120+'[17]Т11'!$J$197</f>
        <v>7181.052</v>
      </c>
      <c r="AK20" s="192">
        <f t="shared" si="3"/>
        <v>4765.7703</v>
      </c>
      <c r="AL20" s="192">
        <f t="shared" si="4"/>
        <v>1422.6180000000002</v>
      </c>
      <c r="AM20" s="192">
        <f t="shared" si="5"/>
        <v>7113.09</v>
      </c>
      <c r="AN20" s="192">
        <f t="shared" si="6"/>
        <v>1493.7489</v>
      </c>
      <c r="AO20" s="192">
        <f t="shared" si="7"/>
        <v>14368.4418</v>
      </c>
      <c r="AP20" s="192">
        <f t="shared" si="8"/>
        <v>7326.4827000000005</v>
      </c>
      <c r="AQ20" s="192">
        <f t="shared" si="9"/>
        <v>5334.8175</v>
      </c>
      <c r="AR20" s="192">
        <f t="shared" si="10"/>
        <v>5334.8175</v>
      </c>
      <c r="AS20" s="286">
        <f>B20*1.15</f>
        <v>8180.0535</v>
      </c>
      <c r="AT20" s="326">
        <f t="shared" si="15"/>
        <v>535.455</v>
      </c>
      <c r="AU20" s="256"/>
      <c r="AV20" s="256"/>
      <c r="AW20" s="256">
        <v>1020</v>
      </c>
      <c r="AX20" s="256">
        <f>93.01</f>
        <v>93.01</v>
      </c>
      <c r="AY20" s="256"/>
      <c r="AZ20" s="109">
        <v>25260.49556917193</v>
      </c>
      <c r="BA20" s="255"/>
      <c r="BB20" s="255"/>
      <c r="BC20" s="198">
        <f t="shared" si="11"/>
        <v>82248.80076917194</v>
      </c>
      <c r="BD20" s="257">
        <f>'[17]Т11'!$S$3+'[17]Т11'!$S$29+'[17]Т11'!$S$51+'[17]Т11'!$S$56+'[17]Т11'!$S$61+'[17]Т11'!$S$87+'[17]Т11'!$S$115+'[17]Т11'!$S$120+'[17]Т11'!$S$197</f>
        <v>4912.134</v>
      </c>
      <c r="BE20" s="199">
        <f t="shared" si="12"/>
        <v>87160.93476917194</v>
      </c>
      <c r="BF20" s="199">
        <f t="shared" si="13"/>
        <v>17137.016050828053</v>
      </c>
      <c r="BG20" s="199">
        <f t="shared" si="14"/>
        <v>916.5800000000017</v>
      </c>
      <c r="BH20" s="199"/>
      <c r="BI20" s="198"/>
      <c r="BJ20" s="230"/>
      <c r="BK20" s="64"/>
    </row>
    <row r="21" spans="1:63" ht="13.5" thickBot="1">
      <c r="A21" s="235" t="s">
        <v>41</v>
      </c>
      <c r="B21" s="201">
        <v>7113.09</v>
      </c>
      <c r="C21" s="142">
        <f t="shared" si="0"/>
        <v>60816.9195</v>
      </c>
      <c r="D21" s="287">
        <v>2111.1488200000003</v>
      </c>
      <c r="E21" s="288"/>
      <c r="F21" s="288"/>
      <c r="G21" s="288">
        <v>38173.42</v>
      </c>
      <c r="H21" s="288"/>
      <c r="I21" s="288"/>
      <c r="J21" s="288"/>
      <c r="K21" s="288"/>
      <c r="L21" s="288"/>
      <c r="M21" s="288">
        <v>18621.01</v>
      </c>
      <c r="N21" s="288"/>
      <c r="O21" s="288">
        <v>6469.92</v>
      </c>
      <c r="P21" s="288"/>
      <c r="Q21" s="288">
        <v>25131.74</v>
      </c>
      <c r="R21" s="288"/>
      <c r="S21" s="289">
        <v>200</v>
      </c>
      <c r="T21" s="290"/>
      <c r="U21" s="284">
        <f t="shared" si="1"/>
        <v>88596.09</v>
      </c>
      <c r="V21" s="285">
        <f t="shared" si="1"/>
        <v>0</v>
      </c>
      <c r="W21" s="261">
        <v>0</v>
      </c>
      <c r="X21" s="261">
        <v>44239.32</v>
      </c>
      <c r="Y21" s="261">
        <v>0</v>
      </c>
      <c r="Z21" s="261">
        <v>0</v>
      </c>
      <c r="AA21" s="261">
        <v>22121.26</v>
      </c>
      <c r="AB21" s="261">
        <v>8374.48</v>
      </c>
      <c r="AC21" s="261"/>
      <c r="AD21" s="261">
        <v>34651.5</v>
      </c>
      <c r="AE21" s="267">
        <v>200.22</v>
      </c>
      <c r="AF21" s="268">
        <f t="shared" si="17"/>
        <v>109586.78</v>
      </c>
      <c r="AG21" s="275">
        <f t="shared" si="16"/>
        <v>111697.92882</v>
      </c>
      <c r="AH21" s="253">
        <f t="shared" si="2"/>
        <v>0</v>
      </c>
      <c r="AI21" s="253">
        <f t="shared" si="2"/>
        <v>34651.5</v>
      </c>
      <c r="AJ21" s="254">
        <f>'[17]Т12'!$J$161+'[17]Т12'!$J$3+'[17]Т12'!$J$29+'[17]Т12'!$J$51+'[17]Т12'!$J$56+'[17]Т12'!$J$61+'[17]Т12'!$J$87+'[17]Т12'!$J$115+'[17]Т12'!$J$120+'[17]Т12'!$J$152+'[17]Т12'!$J$217</f>
        <v>8782.6649025</v>
      </c>
      <c r="AK21" s="192">
        <f t="shared" si="3"/>
        <v>4765.7703</v>
      </c>
      <c r="AL21" s="192">
        <f t="shared" si="4"/>
        <v>1422.6180000000002</v>
      </c>
      <c r="AM21" s="192">
        <f t="shared" si="5"/>
        <v>7113.09</v>
      </c>
      <c r="AN21" s="192">
        <f t="shared" si="6"/>
        <v>1493.7489</v>
      </c>
      <c r="AO21" s="192">
        <f t="shared" si="7"/>
        <v>14368.4418</v>
      </c>
      <c r="AP21" s="192">
        <f t="shared" si="8"/>
        <v>7326.4827000000005</v>
      </c>
      <c r="AQ21" s="192">
        <f t="shared" si="9"/>
        <v>5334.8175</v>
      </c>
      <c r="AR21" s="192">
        <f t="shared" si="10"/>
        <v>5334.8175</v>
      </c>
      <c r="AS21" s="286">
        <f>B21*1.15</f>
        <v>8180.0535</v>
      </c>
      <c r="AT21" s="326">
        <f t="shared" si="15"/>
        <v>535.455</v>
      </c>
      <c r="AU21" s="256"/>
      <c r="AV21" s="256">
        <v>339</v>
      </c>
      <c r="AW21" s="256"/>
      <c r="AX21" s="256">
        <f>1182+230+260+50+160</f>
        <v>1882</v>
      </c>
      <c r="AY21" s="256"/>
      <c r="AZ21" s="109">
        <v>24809.640541530403</v>
      </c>
      <c r="BA21" s="255"/>
      <c r="BB21" s="255"/>
      <c r="BC21" s="198">
        <f t="shared" si="11"/>
        <v>82905.93574153041</v>
      </c>
      <c r="BD21" s="257">
        <f>'[17]Т12'!$S$162+'[17]Т12'!$S$29+'[17]Т12'!$S$51+'[17]Т12'!$S$56+'[17]Т12'!$S$61+'[17]Т12'!$S$87+'[17]Т12'!$S$115+'[17]Т12'!$S$120+'[17]Т12'!$S$152+'[17]Т12'!$S$217</f>
        <v>4548.431225625</v>
      </c>
      <c r="BE21" s="199">
        <f t="shared" si="12"/>
        <v>87454.36696715541</v>
      </c>
      <c r="BF21" s="199">
        <f t="shared" si="13"/>
        <v>33026.226755344585</v>
      </c>
      <c r="BG21" s="199">
        <f t="shared" si="14"/>
        <v>20990.690000000002</v>
      </c>
      <c r="BH21" s="199"/>
      <c r="BI21" s="198"/>
      <c r="BJ21" s="230"/>
      <c r="BK21" s="64"/>
    </row>
    <row r="22" spans="1:61" s="23" customFormat="1" ht="13.5" thickBot="1">
      <c r="A22" s="291" t="s">
        <v>3</v>
      </c>
      <c r="B22" s="292"/>
      <c r="C22" s="293">
        <f aca="true" t="shared" si="18" ref="C22:BE22">SUM(C10:C21)</f>
        <v>729838.602</v>
      </c>
      <c r="D22" s="293">
        <f t="shared" si="18"/>
        <v>25620.472680000006</v>
      </c>
      <c r="E22" s="293">
        <f t="shared" si="18"/>
        <v>-11.620000000000003</v>
      </c>
      <c r="F22" s="293">
        <f t="shared" si="18"/>
        <v>0</v>
      </c>
      <c r="G22" s="293">
        <f t="shared" si="18"/>
        <v>456453.16</v>
      </c>
      <c r="H22" s="293">
        <f t="shared" si="18"/>
        <v>0</v>
      </c>
      <c r="I22" s="293">
        <f t="shared" si="18"/>
        <v>-16.450000000000003</v>
      </c>
      <c r="J22" s="293">
        <f t="shared" si="18"/>
        <v>0</v>
      </c>
      <c r="K22" s="293">
        <f t="shared" si="18"/>
        <v>-26.929999999999993</v>
      </c>
      <c r="L22" s="293">
        <f t="shared" si="18"/>
        <v>0</v>
      </c>
      <c r="M22" s="293">
        <f t="shared" si="18"/>
        <v>208938.40000000002</v>
      </c>
      <c r="N22" s="293">
        <f t="shared" si="18"/>
        <v>-0.01</v>
      </c>
      <c r="O22" s="293">
        <f t="shared" si="18"/>
        <v>72603.08999999998</v>
      </c>
      <c r="P22" s="293">
        <f t="shared" si="18"/>
        <v>0</v>
      </c>
      <c r="Q22" s="293">
        <f t="shared" si="18"/>
        <v>291404.63</v>
      </c>
      <c r="R22" s="293">
        <f t="shared" si="18"/>
        <v>-7.61</v>
      </c>
      <c r="S22" s="293">
        <f t="shared" si="18"/>
        <v>1200</v>
      </c>
      <c r="T22" s="293">
        <f t="shared" si="18"/>
        <v>0</v>
      </c>
      <c r="U22" s="293">
        <f t="shared" si="18"/>
        <v>1030544.28</v>
      </c>
      <c r="V22" s="293">
        <f t="shared" si="18"/>
        <v>-7.62</v>
      </c>
      <c r="W22" s="293">
        <f t="shared" si="18"/>
        <v>9439.050000000001</v>
      </c>
      <c r="X22" s="293">
        <f t="shared" si="18"/>
        <v>349932.01000000007</v>
      </c>
      <c r="Y22" s="293">
        <f t="shared" si="18"/>
        <v>12787.970000000001</v>
      </c>
      <c r="Z22" s="293">
        <f t="shared" si="18"/>
        <v>21284.29</v>
      </c>
      <c r="AA22" s="293">
        <f t="shared" si="18"/>
        <v>191501.08000000002</v>
      </c>
      <c r="AB22" s="293">
        <f t="shared" si="18"/>
        <v>64409.34999999999</v>
      </c>
      <c r="AC22" s="293">
        <f t="shared" si="18"/>
        <v>0</v>
      </c>
      <c r="AD22" s="293">
        <f t="shared" si="18"/>
        <v>262408.18</v>
      </c>
      <c r="AE22" s="293">
        <f t="shared" si="18"/>
        <v>100.01000000000002</v>
      </c>
      <c r="AF22" s="293">
        <f t="shared" si="18"/>
        <v>911861.9400000001</v>
      </c>
      <c r="AG22" s="293">
        <f t="shared" si="18"/>
        <v>937474.7926800001</v>
      </c>
      <c r="AH22" s="293">
        <f t="shared" si="18"/>
        <v>0</v>
      </c>
      <c r="AI22" s="293">
        <f t="shared" si="18"/>
        <v>262408.18</v>
      </c>
      <c r="AJ22" s="293">
        <f t="shared" si="18"/>
        <v>87774.23690249998</v>
      </c>
      <c r="AK22" s="293">
        <f t="shared" si="18"/>
        <v>57192.03080000002</v>
      </c>
      <c r="AL22" s="293">
        <f t="shared" si="18"/>
        <v>17072.248000000003</v>
      </c>
      <c r="AM22" s="293">
        <f t="shared" si="18"/>
        <v>85361.23999999998</v>
      </c>
      <c r="AN22" s="293">
        <f t="shared" si="18"/>
        <v>17925.8604</v>
      </c>
      <c r="AO22" s="293">
        <f t="shared" si="18"/>
        <v>172429.7048</v>
      </c>
      <c r="AP22" s="293">
        <f t="shared" si="18"/>
        <v>87922.0772</v>
      </c>
      <c r="AQ22" s="293">
        <f t="shared" si="18"/>
        <v>64020.929999999986</v>
      </c>
      <c r="AR22" s="293">
        <f t="shared" si="18"/>
        <v>64020.929999999986</v>
      </c>
      <c r="AS22" s="293">
        <f t="shared" si="18"/>
        <v>49085.001500000006</v>
      </c>
      <c r="AT22" s="293">
        <f t="shared" si="18"/>
        <v>5890.005</v>
      </c>
      <c r="AU22" s="293">
        <f t="shared" si="18"/>
        <v>114009</v>
      </c>
      <c r="AV22" s="293">
        <f t="shared" si="18"/>
        <v>5616</v>
      </c>
      <c r="AW22" s="293">
        <f t="shared" si="18"/>
        <v>29948</v>
      </c>
      <c r="AX22" s="293">
        <f t="shared" si="18"/>
        <v>41715.935</v>
      </c>
      <c r="AY22" s="293">
        <f t="shared" si="18"/>
        <v>0</v>
      </c>
      <c r="AZ22" s="293">
        <f t="shared" si="18"/>
        <v>294902.5275208833</v>
      </c>
      <c r="BA22" s="293">
        <f t="shared" si="18"/>
        <v>-35805</v>
      </c>
      <c r="BB22" s="293">
        <f t="shared" si="18"/>
        <v>0</v>
      </c>
      <c r="BC22" s="293">
        <f t="shared" si="18"/>
        <v>1071306.4902208834</v>
      </c>
      <c r="BD22" s="293">
        <f t="shared" si="18"/>
        <v>58581.905225624985</v>
      </c>
      <c r="BE22" s="293">
        <f t="shared" si="18"/>
        <v>1129888.3954465082</v>
      </c>
      <c r="BF22" s="293">
        <f>SUM(BF10:BF21)</f>
        <v>-104639.36586400839</v>
      </c>
      <c r="BG22" s="293">
        <f>SUM(BG10:BG21)</f>
        <v>-118682.33999999997</v>
      </c>
      <c r="BI22" s="52"/>
    </row>
    <row r="23" spans="1:61" s="23" customFormat="1" ht="13.5" thickBot="1">
      <c r="A23" s="294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6"/>
      <c r="BF23" s="295"/>
      <c r="BG23" s="297"/>
      <c r="BI23" s="52"/>
    </row>
    <row r="24" spans="1:59" s="23" customFormat="1" ht="13.5" thickBot="1">
      <c r="A24" s="26" t="s">
        <v>52</v>
      </c>
      <c r="B24" s="295"/>
      <c r="C24" s="298">
        <f aca="true" t="shared" si="19" ref="C24:BG24">C22+C8</f>
        <v>2384551.424</v>
      </c>
      <c r="D24" s="298">
        <f t="shared" si="19"/>
        <v>322624.08956980007</v>
      </c>
      <c r="E24" s="298">
        <f t="shared" si="19"/>
        <v>159626.18999999997</v>
      </c>
      <c r="F24" s="298">
        <f t="shared" si="19"/>
        <v>8196.93</v>
      </c>
      <c r="G24" s="298">
        <f t="shared" si="19"/>
        <v>456453.16</v>
      </c>
      <c r="H24" s="298">
        <f t="shared" si="19"/>
        <v>0</v>
      </c>
      <c r="I24" s="298">
        <f t="shared" si="19"/>
        <v>215896.38999999998</v>
      </c>
      <c r="J24" s="298">
        <f t="shared" si="19"/>
        <v>11031.79</v>
      </c>
      <c r="K24" s="298">
        <f t="shared" si="19"/>
        <v>365403.19</v>
      </c>
      <c r="L24" s="298">
        <f t="shared" si="19"/>
        <v>18746.86</v>
      </c>
      <c r="M24" s="298">
        <f t="shared" si="19"/>
        <v>721960.6300000001</v>
      </c>
      <c r="N24" s="298">
        <f t="shared" si="19"/>
        <v>26132.24</v>
      </c>
      <c r="O24" s="298">
        <f t="shared" si="19"/>
        <v>200200.86</v>
      </c>
      <c r="P24" s="298">
        <f t="shared" si="19"/>
        <v>6399.299999999999</v>
      </c>
      <c r="Q24" s="298">
        <f t="shared" si="19"/>
        <v>291404.63</v>
      </c>
      <c r="R24" s="298">
        <f t="shared" si="19"/>
        <v>-7.61</v>
      </c>
      <c r="S24" s="298">
        <f t="shared" si="19"/>
        <v>1200</v>
      </c>
      <c r="T24" s="298">
        <f t="shared" si="19"/>
        <v>0</v>
      </c>
      <c r="U24" s="298">
        <f t="shared" si="19"/>
        <v>2708599.83</v>
      </c>
      <c r="V24" s="298">
        <f t="shared" si="19"/>
        <v>79316.20999999999</v>
      </c>
      <c r="W24" s="298">
        <f t="shared" si="19"/>
        <v>144746.90999999997</v>
      </c>
      <c r="X24" s="298">
        <f t="shared" si="19"/>
        <v>349932.01000000007</v>
      </c>
      <c r="Y24" s="298">
        <f t="shared" si="19"/>
        <v>196013.72</v>
      </c>
      <c r="Z24" s="298">
        <f t="shared" si="19"/>
        <v>326371.92</v>
      </c>
      <c r="AA24" s="298">
        <f t="shared" si="19"/>
        <v>631938.2</v>
      </c>
      <c r="AB24" s="298">
        <f t="shared" si="19"/>
        <v>162444.12</v>
      </c>
      <c r="AC24" s="298">
        <f t="shared" si="19"/>
        <v>0</v>
      </c>
      <c r="AD24" s="298">
        <f t="shared" si="19"/>
        <v>262408.18</v>
      </c>
      <c r="AE24" s="298">
        <f t="shared" si="19"/>
        <v>100.01000000000002</v>
      </c>
      <c r="AF24" s="298">
        <f t="shared" si="19"/>
        <v>2395652.02</v>
      </c>
      <c r="AG24" s="298">
        <f t="shared" si="19"/>
        <v>2797592.3195698</v>
      </c>
      <c r="AH24" s="298">
        <f t="shared" si="19"/>
        <v>0</v>
      </c>
      <c r="AI24" s="298">
        <f t="shared" si="19"/>
        <v>527805.8560370402</v>
      </c>
      <c r="AJ24" s="298">
        <f t="shared" si="19"/>
        <v>214088.16482249997</v>
      </c>
      <c r="AK24" s="298">
        <f t="shared" si="19"/>
        <v>170268.40280000004</v>
      </c>
      <c r="AL24" s="298">
        <f t="shared" si="19"/>
        <v>54963.26045120001</v>
      </c>
      <c r="AM24" s="298">
        <f t="shared" si="19"/>
        <v>273064.6606378722</v>
      </c>
      <c r="AN24" s="298">
        <f t="shared" si="19"/>
        <v>17925.8604</v>
      </c>
      <c r="AO24" s="298">
        <f t="shared" si="19"/>
        <v>359660.8803810221</v>
      </c>
      <c r="AP24" s="298">
        <f t="shared" si="19"/>
        <v>506756.25342559157</v>
      </c>
      <c r="AQ24" s="298">
        <f t="shared" si="19"/>
        <v>64020.929999999986</v>
      </c>
      <c r="AR24" s="298">
        <f t="shared" si="19"/>
        <v>64020.929999999986</v>
      </c>
      <c r="AS24" s="298">
        <f t="shared" si="19"/>
        <v>49085.001500000006</v>
      </c>
      <c r="AT24" s="298">
        <f t="shared" si="19"/>
        <v>12315.465</v>
      </c>
      <c r="AU24" s="298">
        <f t="shared" si="19"/>
        <v>314580.93</v>
      </c>
      <c r="AV24" s="298">
        <f t="shared" si="19"/>
        <v>5616</v>
      </c>
      <c r="AW24" s="298">
        <f t="shared" si="19"/>
        <v>107692.99979999999</v>
      </c>
      <c r="AX24" s="298">
        <f t="shared" si="19"/>
        <v>159498.7592</v>
      </c>
      <c r="AY24" s="298">
        <f t="shared" si="19"/>
        <v>228248.09280000004</v>
      </c>
      <c r="AZ24" s="298">
        <f t="shared" si="19"/>
        <v>560300.2035579234</v>
      </c>
      <c r="BA24" s="298">
        <f t="shared" si="19"/>
        <v>-35805</v>
      </c>
      <c r="BB24" s="298">
        <f t="shared" si="19"/>
        <v>0</v>
      </c>
      <c r="BC24" s="298">
        <f t="shared" si="19"/>
        <v>2912213.62995361</v>
      </c>
      <c r="BD24" s="298">
        <f t="shared" si="19"/>
        <v>115839.51794887979</v>
      </c>
      <c r="BE24" s="299">
        <f>BE22+BE8-20791.12</f>
        <v>3007262.0279024895</v>
      </c>
      <c r="BF24" s="298">
        <f>BF22+BF8</f>
        <v>-16372.663510189246</v>
      </c>
      <c r="BG24" s="300">
        <f t="shared" si="19"/>
        <v>-312947.80999999994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25">
      <selection activeCell="AG44" sqref="AG44:BA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1.75390625" style="2" customWidth="1"/>
    <col min="4" max="5" width="10.3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11.25390625" style="2" customWidth="1"/>
    <col min="14" max="14" width="9.375" style="2" customWidth="1"/>
    <col min="15" max="15" width="7.625" style="2" customWidth="1"/>
    <col min="16" max="16" width="6.25390625" style="2" customWidth="1"/>
    <col min="17" max="17" width="10.375" style="2" customWidth="1"/>
    <col min="18" max="18" width="7.875" style="2" customWidth="1"/>
    <col min="19" max="19" width="11.375" style="2" customWidth="1"/>
    <col min="20" max="20" width="10.125" style="2" customWidth="1"/>
    <col min="21" max="21" width="11.00390625" style="2" customWidth="1"/>
    <col min="22" max="22" width="13.25390625" style="2" customWidth="1"/>
    <col min="23" max="23" width="10.00390625" style="2" customWidth="1"/>
    <col min="24" max="24" width="10.125" style="2" customWidth="1"/>
    <col min="25" max="25" width="11.125" style="2" customWidth="1"/>
    <col min="26" max="26" width="4.75390625" style="2" customWidth="1"/>
    <col min="27" max="27" width="10.00390625" style="2" customWidth="1"/>
    <col min="28" max="28" width="12.375" style="2" customWidth="1"/>
    <col min="29" max="29" width="13.125" style="2" customWidth="1"/>
    <col min="30" max="30" width="1.12109375" style="2" hidden="1" customWidth="1"/>
    <col min="31" max="31" width="10.625" style="2" customWidth="1"/>
    <col min="32" max="32" width="11.375" style="2" customWidth="1"/>
    <col min="33" max="33" width="10.25390625" style="2" customWidth="1"/>
    <col min="34" max="34" width="9.25390625" style="2" bestFit="1" customWidth="1"/>
    <col min="35" max="35" width="11.25390625" style="2" customWidth="1"/>
    <col min="36" max="36" width="9.25390625" style="2" bestFit="1" customWidth="1"/>
    <col min="37" max="37" width="10.2539062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10.375" style="2" customWidth="1"/>
    <col min="47" max="47" width="9.00390625" style="2" customWidth="1"/>
    <col min="48" max="48" width="8.00390625" style="2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1.75390625" style="2" customWidth="1"/>
    <col min="55" max="55" width="9.125" style="2" customWidth="1"/>
    <col min="56" max="56" width="11.75390625" style="2" customWidth="1"/>
    <col min="57" max="57" width="11.875" style="2" customWidth="1"/>
    <col min="58" max="58" width="10.375" style="2" customWidth="1"/>
    <col min="59" max="16384" width="9.125" style="2" customWidth="1"/>
  </cols>
  <sheetData>
    <row r="1" spans="1:18" ht="12.75">
      <c r="A1" s="443" t="s">
        <v>76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419" t="s">
        <v>91</v>
      </c>
      <c r="B3" s="445" t="s">
        <v>0</v>
      </c>
      <c r="C3" s="447" t="s">
        <v>1</v>
      </c>
      <c r="D3" s="449" t="s">
        <v>2</v>
      </c>
      <c r="E3" s="419" t="s">
        <v>11</v>
      </c>
      <c r="F3" s="473"/>
      <c r="G3" s="419" t="s">
        <v>12</v>
      </c>
      <c r="H3" s="366"/>
      <c r="I3" s="419" t="s">
        <v>13</v>
      </c>
      <c r="J3" s="366"/>
      <c r="K3" s="419" t="s">
        <v>14</v>
      </c>
      <c r="L3" s="366"/>
      <c r="M3" s="420" t="s">
        <v>15</v>
      </c>
      <c r="N3" s="366"/>
      <c r="O3" s="419" t="s">
        <v>16</v>
      </c>
      <c r="P3" s="366"/>
      <c r="Q3" s="419" t="s">
        <v>17</v>
      </c>
      <c r="R3" s="366"/>
      <c r="S3" s="419" t="s">
        <v>3</v>
      </c>
      <c r="T3" s="420"/>
      <c r="U3" s="423" t="s">
        <v>4</v>
      </c>
      <c r="V3" s="424"/>
      <c r="W3" s="424"/>
      <c r="X3" s="424"/>
      <c r="Y3" s="424"/>
      <c r="Z3" s="424"/>
      <c r="AA3" s="424"/>
      <c r="AB3" s="424"/>
      <c r="AC3" s="470" t="s">
        <v>78</v>
      </c>
      <c r="AD3" s="457" t="s">
        <v>6</v>
      </c>
      <c r="AE3" s="457" t="s">
        <v>7</v>
      </c>
      <c r="AF3" s="460" t="s">
        <v>75</v>
      </c>
      <c r="AG3" s="483" t="s">
        <v>8</v>
      </c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5"/>
      <c r="BC3" s="480" t="s">
        <v>79</v>
      </c>
      <c r="BD3" s="482"/>
      <c r="BE3" s="476" t="s">
        <v>9</v>
      </c>
      <c r="BF3" s="476" t="s">
        <v>10</v>
      </c>
    </row>
    <row r="4" spans="1:58" ht="36" customHeight="1" thickBot="1">
      <c r="A4" s="444"/>
      <c r="B4" s="446"/>
      <c r="C4" s="448"/>
      <c r="D4" s="450"/>
      <c r="E4" s="474"/>
      <c r="F4" s="475"/>
      <c r="G4" s="421"/>
      <c r="H4" s="469"/>
      <c r="I4" s="421"/>
      <c r="J4" s="469"/>
      <c r="K4" s="421"/>
      <c r="L4" s="469"/>
      <c r="M4" s="451"/>
      <c r="N4" s="348"/>
      <c r="O4" s="421"/>
      <c r="P4" s="469"/>
      <c r="Q4" s="421"/>
      <c r="R4" s="469"/>
      <c r="S4" s="421"/>
      <c r="T4" s="422"/>
      <c r="U4" s="426"/>
      <c r="V4" s="427"/>
      <c r="W4" s="427"/>
      <c r="X4" s="427"/>
      <c r="Y4" s="427"/>
      <c r="Z4" s="427"/>
      <c r="AA4" s="427"/>
      <c r="AB4" s="427"/>
      <c r="AC4" s="471"/>
      <c r="AD4" s="458"/>
      <c r="AE4" s="458"/>
      <c r="AF4" s="461"/>
      <c r="AG4" s="435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7"/>
      <c r="BC4" s="383" t="s">
        <v>80</v>
      </c>
      <c r="BD4" s="379" t="s">
        <v>81</v>
      </c>
      <c r="BE4" s="477"/>
      <c r="BF4" s="477"/>
    </row>
    <row r="5" spans="1:58" ht="29.25" customHeight="1" thickBot="1">
      <c r="A5" s="444"/>
      <c r="B5" s="446"/>
      <c r="C5" s="448"/>
      <c r="D5" s="450"/>
      <c r="E5" s="467" t="s">
        <v>18</v>
      </c>
      <c r="F5" s="417" t="s">
        <v>19</v>
      </c>
      <c r="G5" s="417" t="s">
        <v>18</v>
      </c>
      <c r="H5" s="417" t="s">
        <v>19</v>
      </c>
      <c r="I5" s="417" t="s">
        <v>18</v>
      </c>
      <c r="J5" s="417" t="s">
        <v>19</v>
      </c>
      <c r="K5" s="417" t="s">
        <v>18</v>
      </c>
      <c r="L5" s="417" t="s">
        <v>19</v>
      </c>
      <c r="M5" s="417" t="s">
        <v>18</v>
      </c>
      <c r="N5" s="417" t="s">
        <v>19</v>
      </c>
      <c r="O5" s="417" t="s">
        <v>18</v>
      </c>
      <c r="P5" s="417" t="s">
        <v>19</v>
      </c>
      <c r="Q5" s="417" t="s">
        <v>18</v>
      </c>
      <c r="R5" s="417" t="s">
        <v>19</v>
      </c>
      <c r="S5" s="417" t="s">
        <v>18</v>
      </c>
      <c r="T5" s="441" t="s">
        <v>19</v>
      </c>
      <c r="U5" s="465" t="s">
        <v>20</v>
      </c>
      <c r="V5" s="465" t="s">
        <v>21</v>
      </c>
      <c r="W5" s="465" t="s">
        <v>22</v>
      </c>
      <c r="X5" s="465" t="s">
        <v>23</v>
      </c>
      <c r="Y5" s="465" t="s">
        <v>24</v>
      </c>
      <c r="Z5" s="465" t="s">
        <v>25</v>
      </c>
      <c r="AA5" s="465" t="s">
        <v>26</v>
      </c>
      <c r="AB5" s="432" t="s">
        <v>27</v>
      </c>
      <c r="AC5" s="471"/>
      <c r="AD5" s="458"/>
      <c r="AE5" s="458"/>
      <c r="AF5" s="461"/>
      <c r="AG5" s="456" t="s">
        <v>28</v>
      </c>
      <c r="AH5" s="343" t="s">
        <v>29</v>
      </c>
      <c r="AI5" s="343" t="s">
        <v>30</v>
      </c>
      <c r="AJ5" s="452" t="s">
        <v>31</v>
      </c>
      <c r="AK5" s="343" t="s">
        <v>32</v>
      </c>
      <c r="AL5" s="452" t="s">
        <v>31</v>
      </c>
      <c r="AM5" s="452" t="s">
        <v>33</v>
      </c>
      <c r="AN5" s="452" t="s">
        <v>31</v>
      </c>
      <c r="AO5" s="452" t="s">
        <v>34</v>
      </c>
      <c r="AP5" s="452" t="s">
        <v>31</v>
      </c>
      <c r="AQ5" s="453" t="s">
        <v>82</v>
      </c>
      <c r="AR5" s="387" t="s">
        <v>31</v>
      </c>
      <c r="AS5" s="455" t="s">
        <v>83</v>
      </c>
      <c r="AT5" s="455" t="s">
        <v>84</v>
      </c>
      <c r="AU5" s="91" t="s">
        <v>31</v>
      </c>
      <c r="AV5" s="480" t="s">
        <v>85</v>
      </c>
      <c r="AW5" s="481"/>
      <c r="AX5" s="482"/>
      <c r="AY5" s="377" t="s">
        <v>17</v>
      </c>
      <c r="AZ5" s="379" t="s">
        <v>36</v>
      </c>
      <c r="BA5" s="379" t="s">
        <v>31</v>
      </c>
      <c r="BB5" s="379" t="s">
        <v>37</v>
      </c>
      <c r="BC5" s="479"/>
      <c r="BD5" s="452"/>
      <c r="BE5" s="477"/>
      <c r="BF5" s="477"/>
    </row>
    <row r="6" spans="1:58" ht="54" customHeight="1" thickBot="1">
      <c r="A6" s="444"/>
      <c r="B6" s="446"/>
      <c r="C6" s="448"/>
      <c r="D6" s="450"/>
      <c r="E6" s="468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4"/>
      <c r="U6" s="466"/>
      <c r="V6" s="466"/>
      <c r="W6" s="466"/>
      <c r="X6" s="466"/>
      <c r="Y6" s="466"/>
      <c r="Z6" s="466"/>
      <c r="AA6" s="466"/>
      <c r="AB6" s="435"/>
      <c r="AC6" s="472"/>
      <c r="AD6" s="459"/>
      <c r="AE6" s="459"/>
      <c r="AF6" s="462"/>
      <c r="AG6" s="402"/>
      <c r="AH6" s="392"/>
      <c r="AI6" s="392"/>
      <c r="AJ6" s="380"/>
      <c r="AK6" s="392"/>
      <c r="AL6" s="380"/>
      <c r="AM6" s="380"/>
      <c r="AN6" s="380"/>
      <c r="AO6" s="380"/>
      <c r="AP6" s="380"/>
      <c r="AQ6" s="454"/>
      <c r="AR6" s="388"/>
      <c r="AS6" s="386"/>
      <c r="AT6" s="386"/>
      <c r="AU6" s="93"/>
      <c r="AV6" s="92" t="s">
        <v>86</v>
      </c>
      <c r="AW6" s="92" t="s">
        <v>87</v>
      </c>
      <c r="AX6" s="92" t="s">
        <v>88</v>
      </c>
      <c r="AY6" s="378"/>
      <c r="AZ6" s="380"/>
      <c r="BA6" s="380"/>
      <c r="BB6" s="380"/>
      <c r="BC6" s="384"/>
      <c r="BD6" s="380"/>
      <c r="BE6" s="478"/>
      <c r="BF6" s="478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94">
        <v>43</v>
      </c>
      <c r="AR7" s="95">
        <v>44</v>
      </c>
      <c r="AS7" s="96">
        <v>45</v>
      </c>
      <c r="AT7" s="10">
        <v>46</v>
      </c>
      <c r="AU7" s="96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97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98"/>
      <c r="AR8" s="98"/>
      <c r="AS8" s="6"/>
      <c r="AT8" s="6"/>
      <c r="AU8" s="6"/>
      <c r="AV8" s="7"/>
      <c r="AW8" s="7"/>
      <c r="AX8" s="7"/>
      <c r="AY8" s="7"/>
      <c r="AZ8" s="99"/>
      <c r="BA8" s="1"/>
      <c r="BB8" s="1"/>
      <c r="BC8" s="1"/>
      <c r="BD8" s="1"/>
      <c r="BE8" s="1"/>
      <c r="BF8" s="97"/>
    </row>
    <row r="9" spans="1:58" s="114" customFormat="1" ht="12.75">
      <c r="A9" s="100" t="s">
        <v>39</v>
      </c>
      <c r="B9" s="73">
        <v>7093.2</v>
      </c>
      <c r="C9" s="101">
        <f>B9*8.65</f>
        <v>61356.18</v>
      </c>
      <c r="D9" s="102">
        <f>C9*0.24088</f>
        <v>14779.476638400001</v>
      </c>
      <c r="E9" s="80">
        <v>5424.38</v>
      </c>
      <c r="F9" s="80">
        <v>386.15</v>
      </c>
      <c r="G9" s="80">
        <v>7322.86</v>
      </c>
      <c r="H9" s="80">
        <v>521.36</v>
      </c>
      <c r="I9" s="80">
        <v>17629.33</v>
      </c>
      <c r="J9" s="80">
        <v>1255.16</v>
      </c>
      <c r="K9" s="80">
        <v>12204.75</v>
      </c>
      <c r="L9" s="80">
        <v>868.91</v>
      </c>
      <c r="M9" s="80">
        <v>4339.47</v>
      </c>
      <c r="N9" s="80">
        <v>308.98</v>
      </c>
      <c r="O9" s="80">
        <v>0</v>
      </c>
      <c r="P9" s="80">
        <v>0</v>
      </c>
      <c r="Q9" s="80">
        <v>0</v>
      </c>
      <c r="R9" s="80">
        <v>0</v>
      </c>
      <c r="S9" s="74">
        <f>E9+G9+I9+K9+M9+O9+Q9</f>
        <v>46920.79</v>
      </c>
      <c r="T9" s="103">
        <f>P9+N9+L9+J9+H9+F9+R9</f>
        <v>3340.5600000000004</v>
      </c>
      <c r="U9" s="74">
        <v>61.99</v>
      </c>
      <c r="V9" s="74">
        <v>83.69</v>
      </c>
      <c r="W9" s="74">
        <v>201.48</v>
      </c>
      <c r="X9" s="74">
        <v>139.48</v>
      </c>
      <c r="Y9" s="74">
        <v>49.6</v>
      </c>
      <c r="Z9" s="77">
        <v>0</v>
      </c>
      <c r="AA9" s="77">
        <v>0</v>
      </c>
      <c r="AB9" s="77">
        <f>SUM(U9:AA9)</f>
        <v>536.24</v>
      </c>
      <c r="AC9" s="104">
        <f>D9+T9+AB9</f>
        <v>18656.276638400002</v>
      </c>
      <c r="AD9" s="105">
        <f>P9+Z9</f>
        <v>0</v>
      </c>
      <c r="AE9" s="106">
        <f>R9+AA9</f>
        <v>0</v>
      </c>
      <c r="AF9" s="106"/>
      <c r="AG9" s="24">
        <f>0.6*B9</f>
        <v>4255.92</v>
      </c>
      <c r="AH9" s="24">
        <f>B9*0.2*1.05826</f>
        <v>1501.2899664000001</v>
      </c>
      <c r="AI9" s="24">
        <f>0.8518*B9-0.01</f>
        <v>6041.97776</v>
      </c>
      <c r="AJ9" s="24">
        <f>AI9*0.18</f>
        <v>1087.5559968</v>
      </c>
      <c r="AK9" s="24">
        <f>1.04*B9*0.9531</f>
        <v>7030.9500768</v>
      </c>
      <c r="AL9" s="24">
        <f>AK9*0.18</f>
        <v>1265.571013824</v>
      </c>
      <c r="AM9" s="24">
        <f>(1.91)*B9*0.9531</f>
        <v>12912.610237199999</v>
      </c>
      <c r="AN9" s="24">
        <f>AM9*0.18</f>
        <v>2324.2698426959996</v>
      </c>
      <c r="AO9" s="24"/>
      <c r="AP9" s="24">
        <f>AO9*0.18</f>
        <v>0</v>
      </c>
      <c r="AQ9" s="84"/>
      <c r="AR9" s="84"/>
      <c r="AS9" s="75"/>
      <c r="AT9" s="75"/>
      <c r="AU9" s="75">
        <f>(AS9+AT9)*0.18</f>
        <v>0</v>
      </c>
      <c r="AV9" s="107"/>
      <c r="AW9" s="108"/>
      <c r="AX9" s="24">
        <f>AV9*AW9*1.12*1.18</f>
        <v>0</v>
      </c>
      <c r="AY9" s="109"/>
      <c r="AZ9" s="110"/>
      <c r="BA9" s="110">
        <f>AZ9*0.18</f>
        <v>0</v>
      </c>
      <c r="BB9" s="110">
        <f>SUM(AG9:BA9)-AV9-AW9</f>
        <v>36420.14489372</v>
      </c>
      <c r="BC9" s="111"/>
      <c r="BD9" s="17">
        <f>BB9-(AF9-BC9)</f>
        <v>36420.14489372</v>
      </c>
      <c r="BE9" s="112">
        <f>AC9-BB9</f>
        <v>-17763.868255319994</v>
      </c>
      <c r="BF9" s="113">
        <f>AB9-S9</f>
        <v>-46384.55</v>
      </c>
    </row>
    <row r="10" spans="1:58" ht="12.75">
      <c r="A10" s="13" t="s">
        <v>40</v>
      </c>
      <c r="B10" s="73">
        <v>7093.2</v>
      </c>
      <c r="C10" s="101">
        <f>B10*8.65</f>
        <v>61356.18</v>
      </c>
      <c r="D10" s="102">
        <f>C10*0.24088</f>
        <v>14779.476638400001</v>
      </c>
      <c r="E10" s="80">
        <v>5366.91</v>
      </c>
      <c r="F10" s="80">
        <v>369.07</v>
      </c>
      <c r="G10" s="80">
        <v>7245.31</v>
      </c>
      <c r="H10" s="80">
        <v>498.29</v>
      </c>
      <c r="I10" s="80">
        <v>17442.37</v>
      </c>
      <c r="J10" s="80">
        <v>1199.6</v>
      </c>
      <c r="K10" s="80">
        <v>12075.45</v>
      </c>
      <c r="L10" s="80">
        <v>830.46</v>
      </c>
      <c r="M10" s="80">
        <v>4293.52</v>
      </c>
      <c r="N10" s="80">
        <v>295.31</v>
      </c>
      <c r="O10" s="80">
        <v>0</v>
      </c>
      <c r="P10" s="80">
        <v>0</v>
      </c>
      <c r="Q10" s="80">
        <v>0</v>
      </c>
      <c r="R10" s="80">
        <v>0</v>
      </c>
      <c r="S10" s="74">
        <f>E10+G10+I10+K10+M10+O10+Q10</f>
        <v>46423.56</v>
      </c>
      <c r="T10" s="103">
        <f>P10+N10+L10+J10+H10+F10+R10</f>
        <v>3192.73</v>
      </c>
      <c r="U10" s="74">
        <v>2780.73</v>
      </c>
      <c r="V10" s="74">
        <v>3747.22</v>
      </c>
      <c r="W10" s="74">
        <v>9290.46</v>
      </c>
      <c r="X10" s="74">
        <v>6245.21</v>
      </c>
      <c r="Y10" s="74">
        <v>2220.53</v>
      </c>
      <c r="Z10" s="77">
        <v>0</v>
      </c>
      <c r="AA10" s="77">
        <v>0</v>
      </c>
      <c r="AB10" s="115">
        <f>SUM(U10:AA10)</f>
        <v>24284.149999999998</v>
      </c>
      <c r="AC10" s="116">
        <f>D10+T10+AB10</f>
        <v>42256.3566384</v>
      </c>
      <c r="AD10" s="106">
        <f>P10+Z10</f>
        <v>0</v>
      </c>
      <c r="AE10" s="106">
        <f>R10+AA10</f>
        <v>0</v>
      </c>
      <c r="AF10" s="106"/>
      <c r="AG10" s="24">
        <f>0.6*B10</f>
        <v>4255.92</v>
      </c>
      <c r="AH10" s="24">
        <f>B10*0.201+1</f>
        <v>1426.7332000000001</v>
      </c>
      <c r="AI10" s="24">
        <f>0.8518*B10-0.01</f>
        <v>6041.97776</v>
      </c>
      <c r="AJ10" s="24">
        <f>AI10*0.18</f>
        <v>1087.5559968</v>
      </c>
      <c r="AK10" s="24">
        <f>1.04*B10*0.9531</f>
        <v>7030.9500768</v>
      </c>
      <c r="AL10" s="24">
        <f>AK10*0.18</f>
        <v>1265.571013824</v>
      </c>
      <c r="AM10" s="24">
        <f>(1.91)*B10*0.9531</f>
        <v>12912.610237199999</v>
      </c>
      <c r="AN10" s="24">
        <f>AM10*0.18</f>
        <v>2324.2698426959996</v>
      </c>
      <c r="AO10" s="24"/>
      <c r="AP10" s="24">
        <f>AO10*0.18</f>
        <v>0</v>
      </c>
      <c r="AQ10" s="84"/>
      <c r="AR10" s="84"/>
      <c r="AS10" s="75">
        <v>9200</v>
      </c>
      <c r="AT10" s="75"/>
      <c r="AU10" s="75">
        <f>(AS10+AT10)*0.18</f>
        <v>1656</v>
      </c>
      <c r="AV10" s="107"/>
      <c r="AW10" s="108"/>
      <c r="AX10" s="24">
        <f>AV10*AW10*1.12*1.18</f>
        <v>0</v>
      </c>
      <c r="AY10" s="109"/>
      <c r="AZ10" s="110"/>
      <c r="BA10" s="110">
        <f>AZ10*0.18</f>
        <v>0</v>
      </c>
      <c r="BB10" s="110">
        <f>SUM(AG10:BA10)-AV10-AW10</f>
        <v>47201.58812731999</v>
      </c>
      <c r="BC10" s="111"/>
      <c r="BD10" s="17">
        <f>BB10-(AF10-BC10)</f>
        <v>47201.58812731999</v>
      </c>
      <c r="BE10" s="112">
        <f>AC10-BB10</f>
        <v>-4945.2314889199915</v>
      </c>
      <c r="BF10" s="112">
        <f>AB10-S10</f>
        <v>-22139.41</v>
      </c>
    </row>
    <row r="11" spans="1:58" ht="13.5" thickBot="1">
      <c r="A11" s="44" t="s">
        <v>41</v>
      </c>
      <c r="B11" s="73">
        <v>7093.2</v>
      </c>
      <c r="C11" s="101">
        <f>B11*8.65</f>
        <v>61356.18</v>
      </c>
      <c r="D11" s="102">
        <f>C11*0.24035</f>
        <v>14746.957863000001</v>
      </c>
      <c r="E11" s="80">
        <v>6449.58</v>
      </c>
      <c r="F11" s="80">
        <v>393.72</v>
      </c>
      <c r="G11" s="80">
        <v>8286.33</v>
      </c>
      <c r="H11" s="80">
        <v>531.58</v>
      </c>
      <c r="I11" s="80">
        <v>18262.76</v>
      </c>
      <c r="J11" s="80">
        <v>1279.75</v>
      </c>
      <c r="K11" s="80">
        <v>13009.49</v>
      </c>
      <c r="L11" s="80">
        <v>885.95</v>
      </c>
      <c r="M11" s="80">
        <v>5399.92</v>
      </c>
      <c r="N11" s="80">
        <v>315.03</v>
      </c>
      <c r="O11" s="80">
        <v>0</v>
      </c>
      <c r="P11" s="81">
        <v>0</v>
      </c>
      <c r="Q11" s="80">
        <v>0</v>
      </c>
      <c r="R11" s="81">
        <v>0</v>
      </c>
      <c r="S11" s="74">
        <f>E11+G11+I11+K11+M11+O11+Q11</f>
        <v>51408.079999999994</v>
      </c>
      <c r="T11" s="103">
        <f>P11+N11+L11+J11+H11+F11+R11</f>
        <v>3406.0299999999997</v>
      </c>
      <c r="U11" s="74">
        <v>5168.39</v>
      </c>
      <c r="V11" s="74">
        <v>6982.19</v>
      </c>
      <c r="W11" s="74">
        <v>16779.33</v>
      </c>
      <c r="X11" s="74">
        <v>11637.51</v>
      </c>
      <c r="Y11" s="74">
        <v>4138.47</v>
      </c>
      <c r="Z11" s="77">
        <v>0</v>
      </c>
      <c r="AA11" s="77">
        <v>0</v>
      </c>
      <c r="AB11" s="115">
        <f>SUM(U11:AA11)</f>
        <v>44705.89000000001</v>
      </c>
      <c r="AC11" s="116">
        <f>D11+T11+AB11</f>
        <v>62858.87786300001</v>
      </c>
      <c r="AD11" s="106">
        <f>P11+Z11</f>
        <v>0</v>
      </c>
      <c r="AE11" s="106">
        <f>R11+AA11</f>
        <v>0</v>
      </c>
      <c r="AF11" s="106"/>
      <c r="AG11" s="24">
        <f>0.6*B11</f>
        <v>4255.92</v>
      </c>
      <c r="AH11" s="24">
        <f>B11*0.2*1.02524-0.01</f>
        <v>1454.4364736</v>
      </c>
      <c r="AI11" s="24">
        <f>0.84932*B11-0.1</f>
        <v>6024.296624</v>
      </c>
      <c r="AJ11" s="24">
        <f>AI11*0.18</f>
        <v>1084.37339232</v>
      </c>
      <c r="AK11" s="24">
        <f>1.04*B11*0.95033</f>
        <v>7010.51598624</v>
      </c>
      <c r="AL11" s="24">
        <f>AK11*0.18</f>
        <v>1261.8928775231998</v>
      </c>
      <c r="AM11" s="24">
        <f>(1.91)*B11*0.95033-0.1</f>
        <v>12874.98224396</v>
      </c>
      <c r="AN11" s="24">
        <f>AM11*0.18</f>
        <v>2317.4968039128</v>
      </c>
      <c r="AO11" s="24"/>
      <c r="AP11" s="24">
        <f>AO11*0.18</f>
        <v>0</v>
      </c>
      <c r="AQ11" s="84"/>
      <c r="AR11" s="84"/>
      <c r="AS11" s="75">
        <v>18755</v>
      </c>
      <c r="AT11" s="75"/>
      <c r="AU11" s="75">
        <f>(AS11+AT11)*0.18</f>
        <v>3375.9</v>
      </c>
      <c r="AV11" s="107"/>
      <c r="AW11" s="108"/>
      <c r="AX11" s="24">
        <f>AV11*AW11*1.12*1.18</f>
        <v>0</v>
      </c>
      <c r="AY11" s="109"/>
      <c r="AZ11" s="110"/>
      <c r="BA11" s="110">
        <f>AZ11*0.18</f>
        <v>0</v>
      </c>
      <c r="BB11" s="110">
        <f>SUM(AG11:BA11)-AV11-AW11</f>
        <v>58414.814401556</v>
      </c>
      <c r="BC11" s="111"/>
      <c r="BD11" s="17">
        <f>BB11-(AF11-BC11)</f>
        <v>58414.814401556</v>
      </c>
      <c r="BE11" s="112">
        <f>AC11-BB11</f>
        <v>4444.063461444006</v>
      </c>
      <c r="BF11" s="112">
        <f>AB11-S11</f>
        <v>-6702.189999999988</v>
      </c>
    </row>
    <row r="12" spans="1:58" s="23" customFormat="1" ht="15" customHeight="1" thickBot="1">
      <c r="A12" s="45" t="s">
        <v>3</v>
      </c>
      <c r="B12" s="69"/>
      <c r="C12" s="69">
        <f>SUM(C9:C11)</f>
        <v>184068.54</v>
      </c>
      <c r="D12" s="69">
        <f aca="true" t="shared" si="0" ref="D12:BD12">SUM(D9:D11)</f>
        <v>44305.9111398</v>
      </c>
      <c r="E12" s="69">
        <f t="shared" si="0"/>
        <v>17240.870000000003</v>
      </c>
      <c r="F12" s="69">
        <f t="shared" si="0"/>
        <v>1148.94</v>
      </c>
      <c r="G12" s="69">
        <f t="shared" si="0"/>
        <v>22854.5</v>
      </c>
      <c r="H12" s="69">
        <f t="shared" si="0"/>
        <v>1551.23</v>
      </c>
      <c r="I12" s="69">
        <f t="shared" si="0"/>
        <v>53334.45999999999</v>
      </c>
      <c r="J12" s="69">
        <f t="shared" si="0"/>
        <v>3734.51</v>
      </c>
      <c r="K12" s="69">
        <f t="shared" si="0"/>
        <v>37289.69</v>
      </c>
      <c r="L12" s="69">
        <f t="shared" si="0"/>
        <v>2585.3199999999997</v>
      </c>
      <c r="M12" s="69">
        <f t="shared" si="0"/>
        <v>14032.910000000002</v>
      </c>
      <c r="N12" s="69">
        <f t="shared" si="0"/>
        <v>919.3199999999999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144752.43</v>
      </c>
      <c r="T12" s="69">
        <f t="shared" si="0"/>
        <v>9939.32</v>
      </c>
      <c r="U12" s="69">
        <f t="shared" si="0"/>
        <v>8011.110000000001</v>
      </c>
      <c r="V12" s="69">
        <f t="shared" si="0"/>
        <v>10813.099999999999</v>
      </c>
      <c r="W12" s="69">
        <f t="shared" si="0"/>
        <v>26271.27</v>
      </c>
      <c r="X12" s="69">
        <f t="shared" si="0"/>
        <v>18022.2</v>
      </c>
      <c r="Y12" s="69">
        <f t="shared" si="0"/>
        <v>6408.6</v>
      </c>
      <c r="Z12" s="69">
        <f t="shared" si="0"/>
        <v>0</v>
      </c>
      <c r="AA12" s="69">
        <f t="shared" si="0"/>
        <v>0</v>
      </c>
      <c r="AB12" s="69">
        <f t="shared" si="0"/>
        <v>69526.28</v>
      </c>
      <c r="AC12" s="69">
        <f t="shared" si="0"/>
        <v>123771.51113980002</v>
      </c>
      <c r="AD12" s="69">
        <f t="shared" si="0"/>
        <v>0</v>
      </c>
      <c r="AE12" s="69">
        <f t="shared" si="0"/>
        <v>0</v>
      </c>
      <c r="AF12" s="69">
        <f t="shared" si="0"/>
        <v>0</v>
      </c>
      <c r="AG12" s="69">
        <f t="shared" si="0"/>
        <v>12767.76</v>
      </c>
      <c r="AH12" s="69">
        <f t="shared" si="0"/>
        <v>4382.45964</v>
      </c>
      <c r="AI12" s="69">
        <f t="shared" si="0"/>
        <v>18108.252144</v>
      </c>
      <c r="AJ12" s="69">
        <f t="shared" si="0"/>
        <v>3259.48538592</v>
      </c>
      <c r="AK12" s="69">
        <f t="shared" si="0"/>
        <v>21072.41613984</v>
      </c>
      <c r="AL12" s="69">
        <f t="shared" si="0"/>
        <v>3793.0349051711996</v>
      </c>
      <c r="AM12" s="69">
        <f t="shared" si="0"/>
        <v>38700.20271836</v>
      </c>
      <c r="AN12" s="69">
        <f t="shared" si="0"/>
        <v>6966.036489304799</v>
      </c>
      <c r="AO12" s="69">
        <f t="shared" si="0"/>
        <v>0</v>
      </c>
      <c r="AP12" s="69">
        <f t="shared" si="0"/>
        <v>0</v>
      </c>
      <c r="AQ12" s="117">
        <f t="shared" si="0"/>
        <v>0</v>
      </c>
      <c r="AR12" s="117">
        <f t="shared" si="0"/>
        <v>0</v>
      </c>
      <c r="AS12" s="118">
        <f t="shared" si="0"/>
        <v>27955</v>
      </c>
      <c r="AT12" s="118">
        <f t="shared" si="0"/>
        <v>0</v>
      </c>
      <c r="AU12" s="118">
        <f t="shared" si="0"/>
        <v>5031.9</v>
      </c>
      <c r="AV12" s="69">
        <f t="shared" si="0"/>
        <v>0</v>
      </c>
      <c r="AW12" s="69">
        <f t="shared" si="0"/>
        <v>0</v>
      </c>
      <c r="AX12" s="69">
        <f t="shared" si="0"/>
        <v>0</v>
      </c>
      <c r="AY12" s="69">
        <f t="shared" si="0"/>
        <v>0</v>
      </c>
      <c r="AZ12" s="69">
        <f t="shared" si="0"/>
        <v>0</v>
      </c>
      <c r="BA12" s="69">
        <f t="shared" si="0"/>
        <v>0</v>
      </c>
      <c r="BB12" s="69">
        <f t="shared" si="0"/>
        <v>142036.547422596</v>
      </c>
      <c r="BC12" s="69">
        <f t="shared" si="0"/>
        <v>0</v>
      </c>
      <c r="BD12" s="69">
        <f t="shared" si="0"/>
        <v>142036.547422596</v>
      </c>
      <c r="BE12" s="69">
        <f>SUM(BE9:BE11)</f>
        <v>-18265.03628279598</v>
      </c>
      <c r="BF12" s="119">
        <f>SUM(BF9:BF11)</f>
        <v>-75226.15</v>
      </c>
    </row>
    <row r="13" spans="1:58" ht="15" customHeight="1">
      <c r="A13" s="8" t="s">
        <v>42</v>
      </c>
      <c r="B13" s="66"/>
      <c r="C13" s="120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23"/>
      <c r="Q13" s="124"/>
      <c r="R13" s="124"/>
      <c r="S13" s="124"/>
      <c r="T13" s="124"/>
      <c r="U13" s="125"/>
      <c r="V13" s="125"/>
      <c r="W13" s="125"/>
      <c r="X13" s="125"/>
      <c r="Y13" s="125"/>
      <c r="Z13" s="125"/>
      <c r="AA13" s="87"/>
      <c r="AB13" s="87"/>
      <c r="AC13" s="88"/>
      <c r="AD13" s="89"/>
      <c r="AE13" s="89"/>
      <c r="AF13" s="54"/>
      <c r="AG13" s="54"/>
      <c r="AH13" s="54"/>
      <c r="AI13" s="54"/>
      <c r="AJ13" s="54"/>
      <c r="AK13" s="54"/>
      <c r="AL13" s="54"/>
      <c r="AM13" s="54"/>
      <c r="AN13" s="67"/>
      <c r="AO13" s="67"/>
      <c r="AP13" s="67"/>
      <c r="AQ13" s="126"/>
      <c r="AR13" s="127"/>
      <c r="AS13" s="128"/>
      <c r="AT13" s="128"/>
      <c r="AU13" s="129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97"/>
    </row>
    <row r="14" spans="1:58" ht="12.75">
      <c r="A14" s="13" t="s">
        <v>43</v>
      </c>
      <c r="B14" s="205">
        <v>7089.8</v>
      </c>
      <c r="C14" s="101">
        <f>B14*8.65</f>
        <v>61326.770000000004</v>
      </c>
      <c r="D14" s="102">
        <f>C14*0.125</f>
        <v>7665.8462500000005</v>
      </c>
      <c r="E14" s="185">
        <v>5544.33</v>
      </c>
      <c r="F14" s="185">
        <v>377.72</v>
      </c>
      <c r="G14" s="185">
        <v>7214.82</v>
      </c>
      <c r="H14" s="185">
        <v>509.98</v>
      </c>
      <c r="I14" s="185">
        <v>17368.96</v>
      </c>
      <c r="J14" s="185">
        <v>1227.75</v>
      </c>
      <c r="K14" s="185">
        <v>12024.65</v>
      </c>
      <c r="L14" s="185">
        <v>849.94</v>
      </c>
      <c r="M14" s="185">
        <v>4275.4</v>
      </c>
      <c r="N14" s="185">
        <v>302.24</v>
      </c>
      <c r="O14" s="185">
        <v>0</v>
      </c>
      <c r="P14" s="186">
        <v>0</v>
      </c>
      <c r="Q14" s="186">
        <v>14279.34</v>
      </c>
      <c r="R14" s="186">
        <v>445.35</v>
      </c>
      <c r="S14" s="187">
        <f>E14+G14+I14+K14+M14+O14+Q14</f>
        <v>60707.5</v>
      </c>
      <c r="T14" s="188">
        <f>P14+N14+L14+J14+H14+F14+R14</f>
        <v>3712.98</v>
      </c>
      <c r="U14" s="187">
        <v>3592.82</v>
      </c>
      <c r="V14" s="187">
        <v>4851.55</v>
      </c>
      <c r="W14" s="187">
        <v>11572.16</v>
      </c>
      <c r="X14" s="187">
        <v>8085.85</v>
      </c>
      <c r="Y14" s="187">
        <v>2874.74</v>
      </c>
      <c r="Z14" s="189">
        <v>0</v>
      </c>
      <c r="AA14" s="189">
        <v>11258.47</v>
      </c>
      <c r="AB14" s="130">
        <f>SUM(U14:AA14)</f>
        <v>42235.59</v>
      </c>
      <c r="AC14" s="190">
        <f>D14+T14+AB14</f>
        <v>53614.416249999995</v>
      </c>
      <c r="AD14" s="191">
        <f>P14+Z14</f>
        <v>0</v>
      </c>
      <c r="AE14" s="191">
        <f>R14+AA14</f>
        <v>11703.82</v>
      </c>
      <c r="AF14" s="191">
        <f>'[12]Т01-09'!$I$3+'[12]Т01-09'!$I$28</f>
        <v>1376.5307400000002</v>
      </c>
      <c r="AG14" s="192">
        <f>0.6*B14*0.9</f>
        <v>3828.492</v>
      </c>
      <c r="AH14" s="192">
        <f>B14*0.2*0.891</f>
        <v>1263.40236</v>
      </c>
      <c r="AI14" s="192">
        <f>0.85*B14*0.867-0.02</f>
        <v>5224.808109999999</v>
      </c>
      <c r="AJ14" s="192">
        <f>AI14*0.18</f>
        <v>940.4654597999997</v>
      </c>
      <c r="AK14" s="192">
        <f>0.83*B14*0.8686</f>
        <v>5111.3062324</v>
      </c>
      <c r="AL14" s="192">
        <f>AK14*0.18</f>
        <v>920.035121832</v>
      </c>
      <c r="AM14" s="192">
        <f>1.91*B14*0.8686</f>
        <v>11762.1625348</v>
      </c>
      <c r="AN14" s="192">
        <f>AM14*0.18</f>
        <v>2117.189256264</v>
      </c>
      <c r="AO14" s="192"/>
      <c r="AP14" s="192">
        <f>AO14*0.18</f>
        <v>0</v>
      </c>
      <c r="AQ14" s="193"/>
      <c r="AR14" s="193">
        <f>AQ14*0.18</f>
        <v>0</v>
      </c>
      <c r="AS14" s="194">
        <v>1887</v>
      </c>
      <c r="AT14" s="194"/>
      <c r="AU14" s="194">
        <f>(AS14+AT14)*0.18+0.01</f>
        <v>339.66999999999996</v>
      </c>
      <c r="AV14" s="196"/>
      <c r="AW14" s="197">
        <f>3968+6041</f>
        <v>10009</v>
      </c>
      <c r="AX14" s="192">
        <f>AW14*1.12*1.18</f>
        <v>13227.894400000001</v>
      </c>
      <c r="AY14" s="109">
        <v>11852.16</v>
      </c>
      <c r="AZ14" s="192"/>
      <c r="BA14" s="198">
        <f>AZ14*0.18</f>
        <v>0</v>
      </c>
      <c r="BB14" s="110">
        <f aca="true" t="shared" si="1" ref="BB14:BB22">SUM(AG14:BA14)-AV14-AW14</f>
        <v>58474.585475096</v>
      </c>
      <c r="BC14" s="199">
        <f>'[13]Т01-09'!$O$3+'[13]Т01-09'!$O$28</f>
        <v>585.21615926</v>
      </c>
      <c r="BD14" s="206">
        <f>BB14-(AF14-BC14)</f>
        <v>57683.270894356</v>
      </c>
      <c r="BE14" s="208">
        <f>(AC14-BB14)+(AF14-BC14)</f>
        <v>-4068.854644356004</v>
      </c>
      <c r="BF14" s="112">
        <f>AB14-S14</f>
        <v>-18471.910000000003</v>
      </c>
    </row>
    <row r="15" spans="1:58" ht="12.75">
      <c r="A15" s="13" t="s">
        <v>44</v>
      </c>
      <c r="B15" s="205">
        <v>7089.8</v>
      </c>
      <c r="C15" s="101">
        <f>B15*8.65</f>
        <v>61326.770000000004</v>
      </c>
      <c r="D15" s="102">
        <f>C15*0.125</f>
        <v>7665.8462500000005</v>
      </c>
      <c r="E15" s="185">
        <v>5268.04</v>
      </c>
      <c r="F15" s="185">
        <v>377.45</v>
      </c>
      <c r="G15" s="185">
        <v>7176.96</v>
      </c>
      <c r="H15" s="185">
        <v>444.44</v>
      </c>
      <c r="I15" s="185">
        <v>17277.68</v>
      </c>
      <c r="J15" s="185">
        <v>1070</v>
      </c>
      <c r="K15" s="185">
        <v>11961.43</v>
      </c>
      <c r="L15" s="185">
        <v>740.76</v>
      </c>
      <c r="M15" s="185">
        <v>4252.91</v>
      </c>
      <c r="N15" s="185">
        <v>263.41</v>
      </c>
      <c r="O15" s="185">
        <v>0</v>
      </c>
      <c r="P15" s="186">
        <v>0</v>
      </c>
      <c r="Q15" s="186">
        <v>14364.07</v>
      </c>
      <c r="R15" s="186">
        <v>475.75</v>
      </c>
      <c r="S15" s="187">
        <f>E15+G15+I15+K15+M15+O15+Q15</f>
        <v>60301.090000000004</v>
      </c>
      <c r="T15" s="188">
        <f>P15+N15+L15+J15+H15+F15+R15</f>
        <v>3371.81</v>
      </c>
      <c r="U15" s="187">
        <v>3675.53</v>
      </c>
      <c r="V15" s="187">
        <v>4937.68</v>
      </c>
      <c r="W15" s="187">
        <v>11937.87</v>
      </c>
      <c r="X15" s="187">
        <v>8270.24</v>
      </c>
      <c r="Y15" s="187">
        <v>2940.63</v>
      </c>
      <c r="Z15" s="189">
        <v>0</v>
      </c>
      <c r="AA15" s="189">
        <v>11552.66</v>
      </c>
      <c r="AB15" s="207">
        <f>SUM(U15:AA15)</f>
        <v>43314.61</v>
      </c>
      <c r="AC15" s="190">
        <f>D15+T15+AB15</f>
        <v>54352.26625</v>
      </c>
      <c r="AD15" s="191">
        <f>P15+Z15</f>
        <v>0</v>
      </c>
      <c r="AE15" s="191">
        <f>R15+AA15</f>
        <v>12028.41</v>
      </c>
      <c r="AF15" s="191">
        <f>'[12]Т02-09'!$I$3+'[12]Т02-09'!$I$28</f>
        <v>1376.5307400000002</v>
      </c>
      <c r="AG15" s="192">
        <f>0.6*B15*0.9</f>
        <v>3828.492</v>
      </c>
      <c r="AH15" s="192">
        <f>B15*0.2*0.9153</f>
        <v>1297.858788</v>
      </c>
      <c r="AI15" s="192">
        <f>0.85*B15*0.866</f>
        <v>5218.80178</v>
      </c>
      <c r="AJ15" s="192">
        <f>AI15*0.18</f>
        <v>939.3843204</v>
      </c>
      <c r="AK15" s="192">
        <f>0.83*B15*0.8684</f>
        <v>5110.129325599999</v>
      </c>
      <c r="AL15" s="192">
        <f>AK15*0.18</f>
        <v>919.8232786079998</v>
      </c>
      <c r="AM15" s="192">
        <f>(1.91)*B15*0.8684</f>
        <v>11759.4542312</v>
      </c>
      <c r="AN15" s="192">
        <f>AM15*0.18</f>
        <v>2116.7017616159997</v>
      </c>
      <c r="AO15" s="192"/>
      <c r="AP15" s="192">
        <f>AO15*0.18</f>
        <v>0</v>
      </c>
      <c r="AQ15" s="193"/>
      <c r="AR15" s="193">
        <f>AQ15*0.18</f>
        <v>0</v>
      </c>
      <c r="AS15" s="194">
        <v>35519</v>
      </c>
      <c r="AT15" s="194"/>
      <c r="AU15" s="194">
        <f>(AS15+AT15)*0.18</f>
        <v>6393.42</v>
      </c>
      <c r="AV15" s="196"/>
      <c r="AW15" s="197">
        <f>3023+4444</f>
        <v>7467</v>
      </c>
      <c r="AX15" s="192">
        <f>AW15*1.12*1.18</f>
        <v>9868.387200000001</v>
      </c>
      <c r="AY15" s="109">
        <v>11852.155</v>
      </c>
      <c r="AZ15" s="198"/>
      <c r="BA15" s="198">
        <f>AZ15*0.18</f>
        <v>0</v>
      </c>
      <c r="BB15" s="110">
        <f t="shared" si="1"/>
        <v>94823.607685424</v>
      </c>
      <c r="BC15" s="209">
        <f>'[13]Т02-09'!$O$3+'[13]Т02-09'!$O$28</f>
        <v>586.10769056</v>
      </c>
      <c r="BD15" s="206">
        <f>BB15-(AF15-BC15)</f>
        <v>94033.184635984</v>
      </c>
      <c r="BE15" s="208">
        <f>(AC15-BB15)+(AF15-BC15)</f>
        <v>-39680.91838598399</v>
      </c>
      <c r="BF15" s="112">
        <f>AB15-S15</f>
        <v>-16986.480000000003</v>
      </c>
    </row>
    <row r="16" spans="1:58" ht="13.5" thickBot="1">
      <c r="A16" s="133" t="s">
        <v>45</v>
      </c>
      <c r="B16" s="210">
        <v>7088.5</v>
      </c>
      <c r="C16" s="101">
        <f>B16*8.65</f>
        <v>61315.525</v>
      </c>
      <c r="D16" s="102">
        <f>C16*0.125</f>
        <v>7664.440625</v>
      </c>
      <c r="E16" s="82">
        <v>4289.55</v>
      </c>
      <c r="F16" s="82">
        <v>360.87</v>
      </c>
      <c r="G16" s="82">
        <v>6186.89</v>
      </c>
      <c r="H16" s="82">
        <v>487.23</v>
      </c>
      <c r="I16" s="82">
        <v>16644.59</v>
      </c>
      <c r="J16" s="82">
        <v>1172.96</v>
      </c>
      <c r="K16" s="82">
        <v>11153.36</v>
      </c>
      <c r="L16" s="82">
        <v>812.02</v>
      </c>
      <c r="M16" s="82">
        <v>3184.84</v>
      </c>
      <c r="N16" s="82">
        <v>288.75</v>
      </c>
      <c r="O16" s="82">
        <v>0</v>
      </c>
      <c r="P16" s="83">
        <v>0</v>
      </c>
      <c r="Q16" s="83">
        <v>14293.57</v>
      </c>
      <c r="R16" s="83">
        <v>402.69</v>
      </c>
      <c r="S16" s="187">
        <f>E16+G16+I16+K16+M16+O16+Q16</f>
        <v>55752.799999999996</v>
      </c>
      <c r="T16" s="188">
        <f>P16+N16+L16+J16+H16+F16+R16</f>
        <v>3524.52</v>
      </c>
      <c r="U16" s="134">
        <v>5031.73</v>
      </c>
      <c r="V16" s="134">
        <v>6792.8</v>
      </c>
      <c r="W16" s="134">
        <v>16337.18</v>
      </c>
      <c r="X16" s="134">
        <v>11321.17</v>
      </c>
      <c r="Y16" s="134">
        <v>4025.1</v>
      </c>
      <c r="Z16" s="135">
        <v>0</v>
      </c>
      <c r="AA16" s="135">
        <v>15115.91</v>
      </c>
      <c r="AB16" s="130">
        <f>SUM(U16:AA16)</f>
        <v>58623.89</v>
      </c>
      <c r="AC16" s="190">
        <f>D16+T16+AB16</f>
        <v>69812.85062499999</v>
      </c>
      <c r="AD16" s="191">
        <f>P16+Z16</f>
        <v>0</v>
      </c>
      <c r="AE16" s="191">
        <f>R16+AA16</f>
        <v>15518.6</v>
      </c>
      <c r="AF16" s="191">
        <f>'[12]Т02-09'!$I$3+'[12]Т02-09'!$I$28</f>
        <v>1376.5307400000002</v>
      </c>
      <c r="AG16" s="192">
        <f>0.6*B16*0.9</f>
        <v>3827.7899999999995</v>
      </c>
      <c r="AH16" s="136">
        <f>B16*0.2*0.9082-0.01</f>
        <v>1287.5451400000002</v>
      </c>
      <c r="AI16" s="192">
        <f>0.85*B16*0.8675</f>
        <v>5226.8826874999995</v>
      </c>
      <c r="AJ16" s="192">
        <f>AI16*0.18</f>
        <v>940.8388837499999</v>
      </c>
      <c r="AK16" s="136">
        <f>0.83*B16*0.838</f>
        <v>4930.33529</v>
      </c>
      <c r="AL16" s="192">
        <f>AK16*0.18</f>
        <v>887.4603522</v>
      </c>
      <c r="AM16" s="192">
        <f>1.91*B16*0.8381</f>
        <v>11347.0652335</v>
      </c>
      <c r="AN16" s="192">
        <f>AM16*0.18</f>
        <v>2042.4717420299999</v>
      </c>
      <c r="AO16" s="192"/>
      <c r="AP16" s="192">
        <f>AO16*0.18</f>
        <v>0</v>
      </c>
      <c r="AQ16" s="193"/>
      <c r="AR16" s="193">
        <f>AQ16*0.18</f>
        <v>0</v>
      </c>
      <c r="AS16" s="194">
        <v>1931</v>
      </c>
      <c r="AT16" s="194"/>
      <c r="AU16" s="194">
        <f>(AS16+AT16)*0.18</f>
        <v>347.58</v>
      </c>
      <c r="AV16" s="196"/>
      <c r="AW16" s="211">
        <f>2843+4488</f>
        <v>7331</v>
      </c>
      <c r="AX16" s="192">
        <f>AW16*1.12*1.18</f>
        <v>9688.6496</v>
      </c>
      <c r="AY16" s="109">
        <v>11851.75</v>
      </c>
      <c r="AZ16" s="198"/>
      <c r="BA16" s="198">
        <f>AZ16*0.18</f>
        <v>0</v>
      </c>
      <c r="BB16" s="110">
        <f t="shared" si="1"/>
        <v>54309.368928979995</v>
      </c>
      <c r="BC16" s="209">
        <f>'[13]Т03-09'!$O$3+'[13]Т03-09'!$O$28</f>
        <v>573.81436973</v>
      </c>
      <c r="BD16" s="206">
        <f>BB16-(AF16-BC16)</f>
        <v>53506.65255871</v>
      </c>
      <c r="BE16" s="208">
        <f>(AC16-BB16)+(AF16-BC16)</f>
        <v>16306.198066289997</v>
      </c>
      <c r="BF16" s="137">
        <f>AB16-S16</f>
        <v>2871.090000000004</v>
      </c>
    </row>
    <row r="17" spans="1:58" ht="13.5" thickBot="1">
      <c r="A17" s="138" t="s">
        <v>46</v>
      </c>
      <c r="B17" s="171">
        <v>7088.5</v>
      </c>
      <c r="C17" s="101">
        <f aca="true" t="shared" si="2" ref="C17:C25">B17*8.65</f>
        <v>61315.525</v>
      </c>
      <c r="D17" s="102">
        <f>C17*0.125</f>
        <v>7664.440625</v>
      </c>
      <c r="E17" s="82">
        <v>5533.52</v>
      </c>
      <c r="F17" s="82">
        <v>360.47</v>
      </c>
      <c r="G17" s="82">
        <v>7470.32</v>
      </c>
      <c r="H17" s="82">
        <v>486.69</v>
      </c>
      <c r="I17" s="82">
        <v>17984.16</v>
      </c>
      <c r="J17" s="82">
        <v>1171.66</v>
      </c>
      <c r="K17" s="82">
        <v>12450.46</v>
      </c>
      <c r="L17" s="82">
        <v>811.12</v>
      </c>
      <c r="M17" s="82">
        <v>4426.83</v>
      </c>
      <c r="N17" s="82">
        <v>288.43</v>
      </c>
      <c r="O17" s="82">
        <v>0</v>
      </c>
      <c r="P17" s="83">
        <v>0</v>
      </c>
      <c r="Q17" s="83">
        <v>15386.63</v>
      </c>
      <c r="R17" s="83">
        <v>437.69</v>
      </c>
      <c r="S17" s="74">
        <f aca="true" t="shared" si="3" ref="S17:S24">E17+G17+I17+K17+M17+O17+Q17</f>
        <v>63251.92</v>
      </c>
      <c r="T17" s="103">
        <f aca="true" t="shared" si="4" ref="T17:T25">P17+N17+L17+J17+H17+F17+R17</f>
        <v>3556.06</v>
      </c>
      <c r="U17" s="74">
        <v>4907.92</v>
      </c>
      <c r="V17" s="74">
        <v>6648.45</v>
      </c>
      <c r="W17" s="74">
        <v>15961.26</v>
      </c>
      <c r="X17" s="74">
        <v>11080.64</v>
      </c>
      <c r="Y17" s="74">
        <v>3939.66</v>
      </c>
      <c r="Z17" s="74">
        <v>0</v>
      </c>
      <c r="AA17" s="74">
        <v>16007.05</v>
      </c>
      <c r="AB17" s="130">
        <f aca="true" t="shared" si="5" ref="AB17:AB22">SUM(U17:AA17)</f>
        <v>58544.979999999996</v>
      </c>
      <c r="AC17" s="116">
        <f aca="true" t="shared" si="6" ref="AC17:AC22">D17+T17+AB17</f>
        <v>69765.480625</v>
      </c>
      <c r="AD17" s="106">
        <f aca="true" t="shared" si="7" ref="AD17:AD25">P17+Z17</f>
        <v>0</v>
      </c>
      <c r="AE17" s="106">
        <f aca="true" t="shared" si="8" ref="AE17:AE25">R17+AA17</f>
        <v>16444.739999999998</v>
      </c>
      <c r="AF17" s="106">
        <f>'[1]Т04-09'!$I$3+'[1]Т04-09'!$I$28</f>
        <v>1376.5307400000002</v>
      </c>
      <c r="AG17" s="24">
        <f>0.6*B17*0.9</f>
        <v>3827.7899999999995</v>
      </c>
      <c r="AH17" s="136">
        <f>B17*0.2*0.9234-0.01</f>
        <v>1309.09418</v>
      </c>
      <c r="AI17" s="24">
        <f>0.85*B17*0.8934-0.01</f>
        <v>5382.926014999999</v>
      </c>
      <c r="AJ17" s="24">
        <f aca="true" t="shared" si="9" ref="AJ17:AJ25">AI17*0.18</f>
        <v>968.9266826999998</v>
      </c>
      <c r="AK17" s="24">
        <f>0.83*B17*0.8498</f>
        <v>4999.760059</v>
      </c>
      <c r="AL17" s="24">
        <f aca="true" t="shared" si="10" ref="AL17:AL25">AK17*0.18</f>
        <v>899.95681062</v>
      </c>
      <c r="AM17" s="24">
        <f>(1.91)*B17*0.8498-0.01</f>
        <v>11505.461943</v>
      </c>
      <c r="AN17" s="24">
        <f aca="true" t="shared" si="11" ref="AN17:AN25">AM17*0.18</f>
        <v>2070.98314974</v>
      </c>
      <c r="AO17" s="24"/>
      <c r="AP17" s="24">
        <f aca="true" t="shared" si="12" ref="AP17:AR25">AO17*0.18</f>
        <v>0</v>
      </c>
      <c r="AQ17" s="84"/>
      <c r="AR17" s="84">
        <f t="shared" si="12"/>
        <v>0</v>
      </c>
      <c r="AS17" s="75">
        <v>2486.89</v>
      </c>
      <c r="AT17" s="75"/>
      <c r="AU17" s="75">
        <f aca="true" t="shared" si="13" ref="AU17:AU25">(AS17+AT17)*0.18</f>
        <v>447.64019999999994</v>
      </c>
      <c r="AV17" s="107"/>
      <c r="AW17" s="172">
        <f>3249+4411</f>
        <v>7660</v>
      </c>
      <c r="AX17" s="24">
        <f>AW17*1.12*1.18</f>
        <v>10123.456</v>
      </c>
      <c r="AY17" s="109">
        <f>'[5]Таштагол 04'!$BB$91</f>
        <v>11852.22729705232</v>
      </c>
      <c r="AZ17" s="110"/>
      <c r="BA17" s="110">
        <f>AZ17*0.18</f>
        <v>0</v>
      </c>
      <c r="BB17" s="110">
        <f t="shared" si="1"/>
        <v>55875.11233711232</v>
      </c>
      <c r="BC17" s="132">
        <f>'[1]Т04-09'!$O$3+'[1]Т04-09'!$O$28</f>
        <v>590.18550388</v>
      </c>
      <c r="BD17" s="206">
        <f aca="true" t="shared" si="14" ref="BD17:BD25">BB17-(AF17-BC17)</f>
        <v>55088.767100992314</v>
      </c>
      <c r="BE17" s="112">
        <f aca="true" t="shared" si="15" ref="BE17:BE25">(AC17-BB17)+(AF17-BC17)</f>
        <v>14676.713524007679</v>
      </c>
      <c r="BF17" s="137">
        <f>AB17-S17</f>
        <v>-4706.940000000002</v>
      </c>
    </row>
    <row r="18" spans="1:58" ht="13.5" thickBot="1">
      <c r="A18" s="13" t="s">
        <v>47</v>
      </c>
      <c r="B18" s="170">
        <v>7085</v>
      </c>
      <c r="C18" s="101">
        <f t="shared" si="2"/>
        <v>61285.25</v>
      </c>
      <c r="D18" s="139">
        <f>C18-E18-F18-G18-H18-I18-J18-K18-L18-M18-N18</f>
        <v>6159.279999999994</v>
      </c>
      <c r="E18" s="82">
        <v>5986.69</v>
      </c>
      <c r="F18" s="82">
        <v>374.62</v>
      </c>
      <c r="G18" s="82">
        <v>8113.28</v>
      </c>
      <c r="H18" s="82">
        <v>507.79</v>
      </c>
      <c r="I18" s="82">
        <v>19488.34</v>
      </c>
      <c r="J18" s="82">
        <v>1219.52</v>
      </c>
      <c r="K18" s="82">
        <v>13501.49</v>
      </c>
      <c r="L18" s="82">
        <v>844.92</v>
      </c>
      <c r="M18" s="82">
        <v>4789.64</v>
      </c>
      <c r="N18" s="82">
        <v>299.68</v>
      </c>
      <c r="O18" s="82">
        <v>0</v>
      </c>
      <c r="P18" s="83">
        <v>0</v>
      </c>
      <c r="Q18" s="83">
        <v>12886.94</v>
      </c>
      <c r="R18" s="83">
        <v>422.9</v>
      </c>
      <c r="S18" s="74">
        <f t="shared" si="3"/>
        <v>64766.38</v>
      </c>
      <c r="T18" s="103">
        <f t="shared" si="4"/>
        <v>3669.43</v>
      </c>
      <c r="U18" s="134">
        <v>4732.6</v>
      </c>
      <c r="V18" s="134">
        <v>6406.3</v>
      </c>
      <c r="W18" s="134">
        <v>15422.43</v>
      </c>
      <c r="X18" s="134">
        <v>10676.95</v>
      </c>
      <c r="Y18" s="134">
        <v>3789.65</v>
      </c>
      <c r="Z18" s="135">
        <v>0</v>
      </c>
      <c r="AA18" s="135">
        <v>15937.54</v>
      </c>
      <c r="AB18" s="130">
        <f t="shared" si="5"/>
        <v>56965.47</v>
      </c>
      <c r="AC18" s="116">
        <f t="shared" si="6"/>
        <v>66794.18</v>
      </c>
      <c r="AD18" s="106">
        <f t="shared" si="7"/>
        <v>0</v>
      </c>
      <c r="AE18" s="106">
        <f t="shared" si="8"/>
        <v>16360.44</v>
      </c>
      <c r="AF18" s="106">
        <f>'[1]Т04-09'!$I$3+'[1]Т04-09'!$I$28</f>
        <v>1376.5307400000002</v>
      </c>
      <c r="AG18" s="24">
        <f aca="true" t="shared" si="16" ref="AG18:AG25">0.6*B18</f>
        <v>4251</v>
      </c>
      <c r="AH18" s="24">
        <f>B18*0.2*1.01+0.01</f>
        <v>1431.18</v>
      </c>
      <c r="AI18" s="24">
        <f>0.85*B18+0.01</f>
        <v>6022.26</v>
      </c>
      <c r="AJ18" s="24">
        <f t="shared" si="9"/>
        <v>1084.0068</v>
      </c>
      <c r="AK18" s="24">
        <f>0.83*B18</f>
        <v>5880.549999999999</v>
      </c>
      <c r="AL18" s="24">
        <f t="shared" si="10"/>
        <v>1058.4989999999998</v>
      </c>
      <c r="AM18" s="24">
        <f>(1.91)*B18-0.01</f>
        <v>13532.339999999998</v>
      </c>
      <c r="AN18" s="24">
        <f t="shared" si="11"/>
        <v>2435.8211999999994</v>
      </c>
      <c r="AO18" s="24"/>
      <c r="AP18" s="24">
        <f t="shared" si="12"/>
        <v>0</v>
      </c>
      <c r="AQ18" s="84"/>
      <c r="AR18" s="84">
        <f t="shared" si="12"/>
        <v>0</v>
      </c>
      <c r="AS18" s="75">
        <v>2148.77</v>
      </c>
      <c r="AT18" s="75"/>
      <c r="AU18" s="75">
        <f t="shared" si="13"/>
        <v>386.7786</v>
      </c>
      <c r="AV18" s="107"/>
      <c r="AW18" s="173">
        <v>6428</v>
      </c>
      <c r="AX18" s="24">
        <f>AW18*1.12*1.18</f>
        <v>8495.2448</v>
      </c>
      <c r="AY18" s="109">
        <f>'[5]Таштагол 05'!$AZ$91</f>
        <v>11849.387246784096</v>
      </c>
      <c r="AZ18" s="110"/>
      <c r="BA18" s="110">
        <f aca="true" t="shared" si="17" ref="BA18:BA25">AZ18*0.18</f>
        <v>0</v>
      </c>
      <c r="BB18" s="110">
        <f t="shared" si="1"/>
        <v>58575.837646784086</v>
      </c>
      <c r="BC18" s="132">
        <f>'[1]Т05-09'!$O$3+'[1]Т05-09'!$O$28</f>
        <v>658.784725646</v>
      </c>
      <c r="BD18" s="206">
        <f t="shared" si="14"/>
        <v>57858.091632430085</v>
      </c>
      <c r="BE18" s="112">
        <f t="shared" si="15"/>
        <v>8936.088367569908</v>
      </c>
      <c r="BF18" s="137">
        <f>AB18-S18</f>
        <v>-7800.909999999996</v>
      </c>
    </row>
    <row r="19" spans="1:58" ht="13.5" thickBot="1">
      <c r="A19" s="133" t="s">
        <v>48</v>
      </c>
      <c r="B19" s="170">
        <v>7085</v>
      </c>
      <c r="C19" s="101">
        <f t="shared" si="2"/>
        <v>61285.25</v>
      </c>
      <c r="D19" s="139">
        <f>C19-E19-F19-G19-H19-I19-J19-K19-L19-M19-N19</f>
        <v>6406.449999999995</v>
      </c>
      <c r="E19" s="82">
        <v>5951.11</v>
      </c>
      <c r="F19" s="82">
        <v>381.8</v>
      </c>
      <c r="G19" s="82">
        <v>8064.72</v>
      </c>
      <c r="H19" s="82">
        <v>517.54</v>
      </c>
      <c r="I19" s="82">
        <v>13420.89</v>
      </c>
      <c r="J19" s="82">
        <v>861.13</v>
      </c>
      <c r="K19" s="82">
        <v>19372.14</v>
      </c>
      <c r="L19" s="82">
        <v>1242.92</v>
      </c>
      <c r="M19" s="82">
        <v>4761.11</v>
      </c>
      <c r="N19" s="82">
        <v>305.44</v>
      </c>
      <c r="O19" s="82">
        <v>0</v>
      </c>
      <c r="P19" s="83">
        <v>0</v>
      </c>
      <c r="Q19" s="83">
        <v>14856.8</v>
      </c>
      <c r="R19" s="83">
        <v>443.04</v>
      </c>
      <c r="S19" s="74">
        <f t="shared" si="3"/>
        <v>66426.77</v>
      </c>
      <c r="T19" s="103">
        <f t="shared" si="4"/>
        <v>3751.8700000000003</v>
      </c>
      <c r="U19" s="134">
        <v>4814.34</v>
      </c>
      <c r="V19" s="134">
        <v>6526.59</v>
      </c>
      <c r="W19" s="134">
        <v>15685.72</v>
      </c>
      <c r="X19" s="134">
        <v>10864.69</v>
      </c>
      <c r="Y19" s="134">
        <v>3856.45</v>
      </c>
      <c r="Z19" s="135">
        <v>0</v>
      </c>
      <c r="AA19" s="135">
        <v>13046.55</v>
      </c>
      <c r="AB19" s="130">
        <f t="shared" si="5"/>
        <v>54794.34</v>
      </c>
      <c r="AC19" s="116">
        <f t="shared" si="6"/>
        <v>64952.65999999999</v>
      </c>
      <c r="AD19" s="106">
        <f t="shared" si="7"/>
        <v>0</v>
      </c>
      <c r="AE19" s="106">
        <f t="shared" si="8"/>
        <v>13489.59</v>
      </c>
      <c r="AF19" s="106">
        <f>'[1]Т06-09'!$I$3+'[1]Т06-09'!$I$28</f>
        <v>1376.5307400000002</v>
      </c>
      <c r="AG19" s="24">
        <f t="shared" si="16"/>
        <v>4251</v>
      </c>
      <c r="AH19" s="24">
        <f>B19*0.2*1.01045-0.01</f>
        <v>1431.7976500000002</v>
      </c>
      <c r="AI19" s="24">
        <f>0.85*B19+0.01</f>
        <v>6022.26</v>
      </c>
      <c r="AJ19" s="24">
        <f t="shared" si="9"/>
        <v>1084.0068</v>
      </c>
      <c r="AK19" s="24">
        <f>0.83*B19</f>
        <v>5880.549999999999</v>
      </c>
      <c r="AL19" s="24">
        <f t="shared" si="10"/>
        <v>1058.4989999999998</v>
      </c>
      <c r="AM19" s="24">
        <f>(1.91)*B19+0.01</f>
        <v>13532.359999999999</v>
      </c>
      <c r="AN19" s="24">
        <f t="shared" si="11"/>
        <v>2435.8248</v>
      </c>
      <c r="AO19" s="24"/>
      <c r="AP19" s="24">
        <f t="shared" si="12"/>
        <v>0</v>
      </c>
      <c r="AQ19" s="84">
        <f>1332.69+13737.5</f>
        <v>15070.19</v>
      </c>
      <c r="AR19" s="84">
        <f t="shared" si="12"/>
        <v>2712.6342</v>
      </c>
      <c r="AS19" s="75">
        <v>3935.76</v>
      </c>
      <c r="AT19" s="75"/>
      <c r="AU19" s="75">
        <f t="shared" si="13"/>
        <v>708.4368000000001</v>
      </c>
      <c r="AV19" s="107"/>
      <c r="AW19" s="173">
        <f>3196+3934</f>
        <v>7130</v>
      </c>
      <c r="AX19" s="24">
        <f aca="true" t="shared" si="18" ref="AX19:AX25">AW19*1.12*1.18</f>
        <v>9423.008</v>
      </c>
      <c r="AY19" s="109">
        <f>'[5]Таштагол 06'!$AZ$91</f>
        <v>11849.387246784096</v>
      </c>
      <c r="AZ19" s="110"/>
      <c r="BA19" s="110">
        <f t="shared" si="17"/>
        <v>0</v>
      </c>
      <c r="BB19" s="110">
        <f t="shared" si="1"/>
        <v>79395.7144967841</v>
      </c>
      <c r="BC19" s="132">
        <f>'[1]Т06-09'!$O$3+'[1]Т06-09'!$O$28</f>
        <v>623.70548422</v>
      </c>
      <c r="BD19" s="206">
        <f t="shared" si="14"/>
        <v>78642.8892410041</v>
      </c>
      <c r="BE19" s="112">
        <f t="shared" si="15"/>
        <v>-13690.229241004112</v>
      </c>
      <c r="BF19" s="140">
        <f aca="true" t="shared" si="19" ref="BF19:BF24">AB19-S19</f>
        <v>-11632.430000000008</v>
      </c>
    </row>
    <row r="20" spans="1:58" ht="12.75">
      <c r="A20" s="138" t="s">
        <v>49</v>
      </c>
      <c r="B20" s="79">
        <v>7083.1</v>
      </c>
      <c r="C20" s="101">
        <f t="shared" si="2"/>
        <v>61268.815</v>
      </c>
      <c r="D20" s="139">
        <f aca="true" t="shared" si="20" ref="D20:D25">C20-E20-F20-G20-H20-I20-J20-K20-L20-M20-N20</f>
        <v>5823.354999999992</v>
      </c>
      <c r="E20" s="82">
        <v>6027.16</v>
      </c>
      <c r="F20" s="82">
        <v>371.05</v>
      </c>
      <c r="G20" s="82">
        <v>8168.05</v>
      </c>
      <c r="H20" s="82">
        <v>502.97</v>
      </c>
      <c r="I20" s="82">
        <v>19619.94</v>
      </c>
      <c r="J20" s="82">
        <v>1207.92</v>
      </c>
      <c r="K20" s="82">
        <v>13592.67</v>
      </c>
      <c r="L20" s="82">
        <v>836.88</v>
      </c>
      <c r="M20" s="82">
        <v>4821.98</v>
      </c>
      <c r="N20" s="82">
        <v>296.84</v>
      </c>
      <c r="O20" s="82">
        <v>0</v>
      </c>
      <c r="P20" s="83">
        <v>0</v>
      </c>
      <c r="Q20" s="83">
        <v>14849.06</v>
      </c>
      <c r="R20" s="83">
        <v>456.75</v>
      </c>
      <c r="S20" s="74">
        <f t="shared" si="3"/>
        <v>67078.85999999999</v>
      </c>
      <c r="T20" s="103">
        <f t="shared" si="4"/>
        <v>3672.4100000000008</v>
      </c>
      <c r="U20" s="134">
        <v>4779.26</v>
      </c>
      <c r="V20" s="134">
        <v>6484.77</v>
      </c>
      <c r="W20" s="134">
        <v>15580.38</v>
      </c>
      <c r="X20" s="134">
        <v>10793.03</v>
      </c>
      <c r="Y20" s="134">
        <v>3829.86</v>
      </c>
      <c r="Z20" s="135">
        <v>0</v>
      </c>
      <c r="AA20" s="135">
        <v>13333.25</v>
      </c>
      <c r="AB20" s="130">
        <f t="shared" si="5"/>
        <v>54800.55</v>
      </c>
      <c r="AC20" s="116">
        <f t="shared" si="6"/>
        <v>64296.314999999995</v>
      </c>
      <c r="AD20" s="106">
        <f t="shared" si="7"/>
        <v>0</v>
      </c>
      <c r="AE20" s="106">
        <f t="shared" si="8"/>
        <v>13790</v>
      </c>
      <c r="AF20" s="106">
        <f>'[2]Т07-09'!$I$3+'[2]Т07-09'!$I$29+'[2]Т07-09'!$I$51+'[2]Т07-09'!$I$55+'[2]Т07-09'!$I$61+'[2]Т07-09'!$I$86</f>
        <v>4961.066919999999</v>
      </c>
      <c r="AG20" s="24">
        <f t="shared" si="16"/>
        <v>4249.86</v>
      </c>
      <c r="AH20" s="24">
        <f>B20*0.2*0.99425</f>
        <v>1408.474435</v>
      </c>
      <c r="AI20" s="24">
        <f>0.85*B20*0.9857</f>
        <v>5934.5399195</v>
      </c>
      <c r="AJ20" s="24">
        <f t="shared" si="9"/>
        <v>1068.21718551</v>
      </c>
      <c r="AK20" s="24">
        <f>0.83*B20*0.9905</f>
        <v>5823.1227565</v>
      </c>
      <c r="AL20" s="24">
        <f t="shared" si="10"/>
        <v>1048.16209617</v>
      </c>
      <c r="AM20" s="24">
        <f>(1.91)*B20*0.9904</f>
        <v>13398.845278399998</v>
      </c>
      <c r="AN20" s="24">
        <f t="shared" si="11"/>
        <v>2411.7921501119995</v>
      </c>
      <c r="AO20" s="24"/>
      <c r="AP20" s="24">
        <f t="shared" si="12"/>
        <v>0</v>
      </c>
      <c r="AQ20" s="84"/>
      <c r="AR20" s="84">
        <f t="shared" si="12"/>
        <v>0</v>
      </c>
      <c r="AS20" s="75">
        <f>6386.62</f>
        <v>6386.62</v>
      </c>
      <c r="AT20" s="75">
        <f>717.8*3+228.81*6</f>
        <v>3526.2599999999998</v>
      </c>
      <c r="AU20" s="75">
        <f t="shared" si="13"/>
        <v>1784.3183999999999</v>
      </c>
      <c r="AV20" s="107"/>
      <c r="AW20" s="173">
        <f>2553+3198</f>
        <v>5751</v>
      </c>
      <c r="AX20" s="24">
        <f t="shared" si="18"/>
        <v>7600.521600000001</v>
      </c>
      <c r="AY20" s="109">
        <f>'[6]Таштагол 07'!$BA$91</f>
        <v>11850.705547612448</v>
      </c>
      <c r="AZ20" s="110"/>
      <c r="BA20" s="110">
        <f t="shared" si="17"/>
        <v>0</v>
      </c>
      <c r="BB20" s="110">
        <f t="shared" si="1"/>
        <v>66491.43936880445</v>
      </c>
      <c r="BC20" s="132">
        <f>'[1]Т07-09'!$O$3+'[1]Т07-09'!$O$29+'[1]Т07-09'!$O$51+'[1]Т07-09'!$O$55+'[1]Т07-09'!$O$61+'[1]Т07-09'!$O$86</f>
        <v>2291.5027636400005</v>
      </c>
      <c r="BD20" s="206">
        <f t="shared" si="14"/>
        <v>63821.87521244445</v>
      </c>
      <c r="BE20" s="112">
        <f t="shared" si="15"/>
        <v>474.4397875555428</v>
      </c>
      <c r="BF20" s="113">
        <f t="shared" si="19"/>
        <v>-12278.309999999983</v>
      </c>
    </row>
    <row r="21" spans="1:58" ht="12.75">
      <c r="A21" s="13" t="s">
        <v>50</v>
      </c>
      <c r="B21" s="79">
        <v>7083.1</v>
      </c>
      <c r="C21" s="101">
        <f t="shared" si="2"/>
        <v>61268.815</v>
      </c>
      <c r="D21" s="139">
        <f t="shared" si="20"/>
        <v>6114.5850000000055</v>
      </c>
      <c r="E21" s="82">
        <v>5983.2</v>
      </c>
      <c r="F21" s="82">
        <v>381.33</v>
      </c>
      <c r="G21" s="82">
        <v>8108.64</v>
      </c>
      <c r="H21" s="82">
        <v>516.89</v>
      </c>
      <c r="I21" s="82">
        <v>19477.1</v>
      </c>
      <c r="J21" s="82">
        <v>1241.38</v>
      </c>
      <c r="K21" s="82">
        <v>13493.74</v>
      </c>
      <c r="L21" s="82">
        <v>860.08</v>
      </c>
      <c r="M21" s="82">
        <v>4786.82</v>
      </c>
      <c r="N21" s="82">
        <v>305.05</v>
      </c>
      <c r="O21" s="82">
        <v>0</v>
      </c>
      <c r="P21" s="83">
        <v>0</v>
      </c>
      <c r="Q21" s="82">
        <v>14206.21</v>
      </c>
      <c r="R21" s="82">
        <v>445.41</v>
      </c>
      <c r="S21" s="74">
        <f t="shared" si="3"/>
        <v>66055.70999999999</v>
      </c>
      <c r="T21" s="103">
        <f t="shared" si="4"/>
        <v>3750.14</v>
      </c>
      <c r="U21" s="134">
        <v>4866.21</v>
      </c>
      <c r="V21" s="134">
        <v>6599.56</v>
      </c>
      <c r="W21" s="134">
        <v>15854.28</v>
      </c>
      <c r="X21" s="134">
        <v>10983.32</v>
      </c>
      <c r="Y21" s="134">
        <v>3896.82</v>
      </c>
      <c r="Z21" s="135">
        <v>0</v>
      </c>
      <c r="AA21" s="135">
        <v>12954.96</v>
      </c>
      <c r="AB21" s="130">
        <f t="shared" si="5"/>
        <v>55155.15</v>
      </c>
      <c r="AC21" s="116">
        <f t="shared" si="6"/>
        <v>65019.87500000001</v>
      </c>
      <c r="AD21" s="106">
        <f t="shared" si="7"/>
        <v>0</v>
      </c>
      <c r="AE21" s="106">
        <f t="shared" si="8"/>
        <v>13400.369999999999</v>
      </c>
      <c r="AF21" s="106">
        <f>'[2]Т07-09'!$I$3+'[2]Т07-09'!$I$29+'[2]Т07-09'!$I$51+'[2]Т07-09'!$I$55+'[2]Т07-09'!$I$61+'[2]Т07-09'!$I$86</f>
        <v>4961.066919999999</v>
      </c>
      <c r="AG21" s="24">
        <f t="shared" si="16"/>
        <v>4249.86</v>
      </c>
      <c r="AH21" s="24">
        <f>B21*0.2*0.99875</f>
        <v>1414.8492250000002</v>
      </c>
      <c r="AI21" s="24">
        <f>0.85*B21*0.98525</f>
        <v>5931.83063375</v>
      </c>
      <c r="AJ21" s="24">
        <f t="shared" si="9"/>
        <v>1067.729514075</v>
      </c>
      <c r="AK21" s="24">
        <f>0.83*B21*0.99</f>
        <v>5820.1832699999995</v>
      </c>
      <c r="AL21" s="24">
        <f t="shared" si="10"/>
        <v>1047.6329885999999</v>
      </c>
      <c r="AM21" s="24">
        <f>(1.91)*B21*0.9899+0.01</f>
        <v>13392.0909179</v>
      </c>
      <c r="AN21" s="24">
        <f t="shared" si="11"/>
        <v>2410.576365222</v>
      </c>
      <c r="AO21" s="24"/>
      <c r="AP21" s="24">
        <f t="shared" si="12"/>
        <v>0</v>
      </c>
      <c r="AQ21" s="84"/>
      <c r="AR21" s="84">
        <f t="shared" si="12"/>
        <v>0</v>
      </c>
      <c r="AS21" s="75">
        <v>18654</v>
      </c>
      <c r="AT21" s="75"/>
      <c r="AU21" s="75">
        <f t="shared" si="13"/>
        <v>3357.72</v>
      </c>
      <c r="AV21" s="107"/>
      <c r="AW21" s="173">
        <f>2358+3007</f>
        <v>5365</v>
      </c>
      <c r="AX21" s="24">
        <f t="shared" si="18"/>
        <v>7090.384</v>
      </c>
      <c r="AY21" s="109">
        <f>'[6]Таштагол 08'!$AZ$91</f>
        <v>11851.459175640603</v>
      </c>
      <c r="AZ21" s="110"/>
      <c r="BA21" s="110">
        <f t="shared" si="17"/>
        <v>0</v>
      </c>
      <c r="BB21" s="110">
        <f t="shared" si="1"/>
        <v>76288.3160901876</v>
      </c>
      <c r="BC21" s="132">
        <f>'[1]Т08-09'!$O$3+'[1]Т08-09'!$O$29+'[1]Т08-09'!$O$51+'[1]Т08-09'!$O$56+'[1]Т08-09'!$O$62+'[1]Т08-09'!$O$87</f>
        <v>2290.461580492</v>
      </c>
      <c r="BD21" s="206">
        <f t="shared" si="14"/>
        <v>73617.7107506796</v>
      </c>
      <c r="BE21" s="112">
        <f t="shared" si="15"/>
        <v>-8597.83575067959</v>
      </c>
      <c r="BF21" s="113">
        <f t="shared" si="19"/>
        <v>-10900.55999999999</v>
      </c>
    </row>
    <row r="22" spans="1:58" ht="13.5" thickBot="1">
      <c r="A22" s="133" t="s">
        <v>51</v>
      </c>
      <c r="B22" s="73">
        <v>7082.78</v>
      </c>
      <c r="C22" s="101">
        <f t="shared" si="2"/>
        <v>61266.047</v>
      </c>
      <c r="D22" s="139">
        <f t="shared" si="20"/>
        <v>5772.977</v>
      </c>
      <c r="E22" s="80">
        <v>6023.7</v>
      </c>
      <c r="F22" s="80">
        <v>380.01</v>
      </c>
      <c r="G22" s="80">
        <v>8163.32</v>
      </c>
      <c r="H22" s="80">
        <v>515.11</v>
      </c>
      <c r="I22" s="80">
        <v>19608.69</v>
      </c>
      <c r="J22" s="80">
        <v>1237.09</v>
      </c>
      <c r="K22" s="80">
        <v>13584.85</v>
      </c>
      <c r="L22" s="80">
        <v>857.09</v>
      </c>
      <c r="M22" s="80">
        <v>4819.21</v>
      </c>
      <c r="N22" s="80">
        <v>304</v>
      </c>
      <c r="O22" s="80">
        <v>0</v>
      </c>
      <c r="P22" s="81">
        <v>0</v>
      </c>
      <c r="Q22" s="81">
        <v>14784.77</v>
      </c>
      <c r="R22" s="81">
        <v>456.94</v>
      </c>
      <c r="S22" s="74">
        <f t="shared" si="3"/>
        <v>66984.54</v>
      </c>
      <c r="T22" s="103">
        <f t="shared" si="4"/>
        <v>3750.2400000000002</v>
      </c>
      <c r="U22" s="74">
        <v>4957.91</v>
      </c>
      <c r="V22" s="74">
        <v>6718.85</v>
      </c>
      <c r="W22" s="74">
        <v>16139.37</v>
      </c>
      <c r="X22" s="74">
        <v>11181.01</v>
      </c>
      <c r="Y22" s="74">
        <v>3966.53</v>
      </c>
      <c r="Z22" s="77">
        <v>0</v>
      </c>
      <c r="AA22" s="77">
        <v>13459.65</v>
      </c>
      <c r="AB22" s="130">
        <f t="shared" si="5"/>
        <v>56423.32</v>
      </c>
      <c r="AC22" s="116">
        <f t="shared" si="6"/>
        <v>65946.537</v>
      </c>
      <c r="AD22" s="106">
        <f t="shared" si="7"/>
        <v>0</v>
      </c>
      <c r="AE22" s="106">
        <f t="shared" si="8"/>
        <v>13916.59</v>
      </c>
      <c r="AF22" s="106">
        <f>'[2]Т07-09'!$I$3+'[2]Т07-09'!$I$29+'[2]Т07-09'!$I$51+'[2]Т07-09'!$I$55+'[2]Т07-09'!$I$61+'[2]Т07-09'!$I$86</f>
        <v>4961.066919999999</v>
      </c>
      <c r="AG22" s="24">
        <f t="shared" si="16"/>
        <v>4249.668</v>
      </c>
      <c r="AH22" s="24">
        <f>B22*0.2*0.9997</f>
        <v>1416.1310332</v>
      </c>
      <c r="AI22" s="24">
        <f>0.85*B22*0.98508</f>
        <v>5930.539184039999</v>
      </c>
      <c r="AJ22" s="24">
        <f t="shared" si="9"/>
        <v>1067.4970531271997</v>
      </c>
      <c r="AK22" s="24">
        <f>0.83*B22*0.98981</f>
        <v>5818.803371593999</v>
      </c>
      <c r="AL22" s="24">
        <f t="shared" si="10"/>
        <v>1047.3846068869198</v>
      </c>
      <c r="AM22" s="24">
        <f>(1.91)*B22*0.98981</f>
        <v>13390.258361137998</v>
      </c>
      <c r="AN22" s="24">
        <f t="shared" si="11"/>
        <v>2410.2465050048395</v>
      </c>
      <c r="AO22" s="24"/>
      <c r="AP22" s="24">
        <f t="shared" si="12"/>
        <v>0</v>
      </c>
      <c r="AQ22" s="84"/>
      <c r="AR22" s="84">
        <f t="shared" si="12"/>
        <v>0</v>
      </c>
      <c r="AS22" s="75"/>
      <c r="AT22" s="75"/>
      <c r="AU22" s="75">
        <f t="shared" si="13"/>
        <v>0</v>
      </c>
      <c r="AV22" s="107"/>
      <c r="AW22" s="173">
        <f>2745+3892</f>
        <v>6637</v>
      </c>
      <c r="AX22" s="24">
        <f t="shared" si="18"/>
        <v>8771.4592</v>
      </c>
      <c r="AY22" s="109">
        <f>'[6]Таштагол 09'!$AZ$91</f>
        <v>11830.736793944448</v>
      </c>
      <c r="AZ22" s="110"/>
      <c r="BA22" s="110">
        <f t="shared" si="17"/>
        <v>0</v>
      </c>
      <c r="BB22" s="110">
        <f t="shared" si="1"/>
        <v>55932.72410893541</v>
      </c>
      <c r="BC22" s="132">
        <f>'[1]Т09-09'!$O$3+'[1]Т09-09'!$O$29+'[1]Т09-09'!$O$51+'[1]Т09-09'!$O$56+'[1]Т09-09'!$O$62+'[1]Т09-09'!$O$87</f>
        <v>2290.1151618268004</v>
      </c>
      <c r="BD22" s="206">
        <f t="shared" si="14"/>
        <v>53261.77235076221</v>
      </c>
      <c r="BE22" s="112">
        <f t="shared" si="15"/>
        <v>12684.76464923779</v>
      </c>
      <c r="BF22" s="140">
        <f t="shared" si="19"/>
        <v>-10561.219999999994</v>
      </c>
    </row>
    <row r="23" spans="1:58" ht="12.75">
      <c r="A23" s="141" t="s">
        <v>39</v>
      </c>
      <c r="B23" s="73">
        <v>7082.78</v>
      </c>
      <c r="C23" s="142">
        <f t="shared" si="2"/>
        <v>61266.047</v>
      </c>
      <c r="D23" s="139">
        <f t="shared" si="20"/>
        <v>5779.6569999999965</v>
      </c>
      <c r="E23" s="76">
        <f>6023.05-9.98</f>
        <v>6013.070000000001</v>
      </c>
      <c r="F23" s="74">
        <v>389.88</v>
      </c>
      <c r="G23" s="74">
        <f>8162.46-13.56</f>
        <v>8148.9</v>
      </c>
      <c r="H23" s="74">
        <v>528.5</v>
      </c>
      <c r="I23" s="74">
        <f>19606.56-32.55</f>
        <v>19574.010000000002</v>
      </c>
      <c r="J23" s="74">
        <v>1269.24</v>
      </c>
      <c r="K23" s="74">
        <f>13583.39-22.55</f>
        <v>13560.84</v>
      </c>
      <c r="L23" s="74">
        <v>879.35</v>
      </c>
      <c r="M23" s="74">
        <f>4818.69-7.99</f>
        <v>4810.7</v>
      </c>
      <c r="N23" s="74">
        <v>311.9</v>
      </c>
      <c r="O23" s="74">
        <v>0</v>
      </c>
      <c r="P23" s="77">
        <v>0</v>
      </c>
      <c r="Q23" s="74">
        <v>14945.65</v>
      </c>
      <c r="R23" s="74">
        <v>506.4</v>
      </c>
      <c r="S23" s="74">
        <f t="shared" si="3"/>
        <v>67053.17</v>
      </c>
      <c r="T23" s="103">
        <f t="shared" si="4"/>
        <v>3885.27</v>
      </c>
      <c r="U23" s="143">
        <f>5775.96+924.18</f>
        <v>6700.14</v>
      </c>
      <c r="V23" s="74">
        <f>7824.37+1252.38</f>
        <v>9076.75</v>
      </c>
      <c r="W23" s="74">
        <f>18797.73+3006.25</f>
        <v>21803.98</v>
      </c>
      <c r="X23" s="74">
        <f>13022.96+2084.24</f>
        <v>15107.199999999999</v>
      </c>
      <c r="Y23" s="74">
        <f>4620.85+739.48</f>
        <v>5360.33</v>
      </c>
      <c r="Z23" s="77">
        <v>0</v>
      </c>
      <c r="AA23" s="77">
        <v>16300.1</v>
      </c>
      <c r="AB23" s="77">
        <f>SUM(U23:AA23)</f>
        <v>74348.5</v>
      </c>
      <c r="AC23" s="116">
        <f>AB23+T23+D23</f>
        <v>84013.427</v>
      </c>
      <c r="AD23" s="106">
        <f t="shared" si="7"/>
        <v>0</v>
      </c>
      <c r="AE23" s="106">
        <f t="shared" si="8"/>
        <v>16806.5</v>
      </c>
      <c r="AF23" s="106">
        <f>'[3]Т10'!$I$3+'[3]Т10'!$I$30+'[3]Т10'!$I$52+'[3]Т10'!$I$58+'[3]Т10'!$I$64+'[3]Т10'!$I$94+'[3]Т10'!$I$120</f>
        <v>6106.943679999999</v>
      </c>
      <c r="AG23" s="24">
        <f t="shared" si="16"/>
        <v>4249.668</v>
      </c>
      <c r="AH23" s="24">
        <f>B23*0.2</f>
        <v>1416.556</v>
      </c>
      <c r="AI23" s="24">
        <f>0.847*B23</f>
        <v>5999.114659999999</v>
      </c>
      <c r="AJ23" s="24">
        <f t="shared" si="9"/>
        <v>1079.8406387999999</v>
      </c>
      <c r="AK23" s="24">
        <f>0.83*B23</f>
        <v>5878.707399999999</v>
      </c>
      <c r="AL23" s="24">
        <f t="shared" si="10"/>
        <v>1058.1673319999998</v>
      </c>
      <c r="AM23" s="24">
        <f>(2.25/1.18)*B23</f>
        <v>13505.300847457627</v>
      </c>
      <c r="AN23" s="24">
        <f t="shared" si="11"/>
        <v>2430.954152542373</v>
      </c>
      <c r="AO23" s="24"/>
      <c r="AP23" s="24">
        <f t="shared" si="12"/>
        <v>0</v>
      </c>
      <c r="AQ23" s="84"/>
      <c r="AR23" s="84">
        <f t="shared" si="12"/>
        <v>0</v>
      </c>
      <c r="AS23" s="75">
        <v>19500.89</v>
      </c>
      <c r="AT23" s="75">
        <v>218.64</v>
      </c>
      <c r="AU23" s="75">
        <f t="shared" si="13"/>
        <v>3549.5153999999998</v>
      </c>
      <c r="AV23" s="107"/>
      <c r="AW23" s="169">
        <f>2832+3598</f>
        <v>6430</v>
      </c>
      <c r="AX23" s="24">
        <f t="shared" si="18"/>
        <v>8497.888</v>
      </c>
      <c r="AY23" s="109">
        <f>B23*1.6704-0.02</f>
        <v>11831.055712</v>
      </c>
      <c r="AZ23" s="144"/>
      <c r="BA23" s="110">
        <f t="shared" si="17"/>
        <v>0</v>
      </c>
      <c r="BB23" s="110">
        <f>SUM(AG23:AU23)+AX23+AY23+AZ23+BA23</f>
        <v>79216.29814279999</v>
      </c>
      <c r="BC23" s="132">
        <f>'[4]Т10'!$O$3+'[4]Т10'!$O$30+'[4]Т10'!$O$52+'[4]Т10'!$O$58+'[4]Т10'!$O$64+'[4]Т10'!$O$94+'[4]Т10'!$O$120</f>
        <v>2396.2122440000003</v>
      </c>
      <c r="BD23" s="206">
        <f t="shared" si="14"/>
        <v>75505.56670679999</v>
      </c>
      <c r="BE23" s="112">
        <f t="shared" si="15"/>
        <v>8507.860293200003</v>
      </c>
      <c r="BF23" s="112">
        <f t="shared" si="19"/>
        <v>7295.330000000002</v>
      </c>
    </row>
    <row r="24" spans="1:58" ht="12.75">
      <c r="A24" s="13" t="s">
        <v>40</v>
      </c>
      <c r="B24" s="79">
        <v>7081.98</v>
      </c>
      <c r="C24" s="142">
        <f t="shared" si="2"/>
        <v>61259.127</v>
      </c>
      <c r="D24" s="139">
        <f t="shared" si="20"/>
        <v>5778.787000000006</v>
      </c>
      <c r="E24" s="80">
        <v>5993.7</v>
      </c>
      <c r="F24" s="80">
        <v>408.54</v>
      </c>
      <c r="G24" s="80">
        <v>8122.7</v>
      </c>
      <c r="H24" s="80">
        <v>553.79</v>
      </c>
      <c r="I24" s="80">
        <v>19511.01</v>
      </c>
      <c r="J24" s="80">
        <v>1329.96</v>
      </c>
      <c r="K24" s="80">
        <v>13517.19</v>
      </c>
      <c r="L24" s="80">
        <v>921.43</v>
      </c>
      <c r="M24" s="80">
        <v>4795.21</v>
      </c>
      <c r="N24" s="80">
        <v>326.81</v>
      </c>
      <c r="O24" s="80">
        <v>0</v>
      </c>
      <c r="P24" s="81">
        <v>0</v>
      </c>
      <c r="Q24" s="81">
        <v>15312.2</v>
      </c>
      <c r="R24" s="81">
        <v>513.81</v>
      </c>
      <c r="S24" s="74">
        <f t="shared" si="3"/>
        <v>67252.01</v>
      </c>
      <c r="T24" s="103">
        <f t="shared" si="4"/>
        <v>4054.3399999999997</v>
      </c>
      <c r="U24" s="74">
        <v>6190.95</v>
      </c>
      <c r="V24" s="74">
        <v>8385.97</v>
      </c>
      <c r="W24" s="74">
        <v>20109.63</v>
      </c>
      <c r="X24" s="74">
        <v>13958</v>
      </c>
      <c r="Y24" s="74">
        <v>4952.95</v>
      </c>
      <c r="Z24" s="77">
        <v>0</v>
      </c>
      <c r="AA24" s="77">
        <v>15796.58</v>
      </c>
      <c r="AB24" s="77">
        <f>SUM(U24:AA24)</f>
        <v>69394.08</v>
      </c>
      <c r="AC24" s="116">
        <f>D24+T24+AB24</f>
        <v>79227.20700000001</v>
      </c>
      <c r="AD24" s="106">
        <f t="shared" si="7"/>
        <v>0</v>
      </c>
      <c r="AE24" s="106">
        <f t="shared" si="8"/>
        <v>16310.39</v>
      </c>
      <c r="AF24" s="106">
        <f>'[3]Т11'!$I$3+'[3]Т11'!$I$30+'[3]Т11'!$I$52+'[3]Т11'!$I$58+'[3]Т11'!$I$64+'[3]Т11'!$I$120</f>
        <v>5649.63232</v>
      </c>
      <c r="AG24" s="24">
        <f t="shared" si="16"/>
        <v>4249.187999999999</v>
      </c>
      <c r="AH24" s="24">
        <f>B24*0.2</f>
        <v>1416.396</v>
      </c>
      <c r="AI24" s="24">
        <f>0.85*B24</f>
        <v>6019.682999999999</v>
      </c>
      <c r="AJ24" s="24">
        <f t="shared" si="9"/>
        <v>1083.5429399999998</v>
      </c>
      <c r="AK24" s="24">
        <f>0.83*B24</f>
        <v>5878.0434</v>
      </c>
      <c r="AL24" s="24">
        <f t="shared" si="10"/>
        <v>1058.0478119999998</v>
      </c>
      <c r="AM24" s="24">
        <f>(1.91)*B24</f>
        <v>13526.581799999998</v>
      </c>
      <c r="AN24" s="24">
        <f t="shared" si="11"/>
        <v>2434.7847239999996</v>
      </c>
      <c r="AO24" s="24"/>
      <c r="AP24" s="24">
        <f t="shared" si="12"/>
        <v>0</v>
      </c>
      <c r="AQ24" s="84"/>
      <c r="AR24" s="84">
        <f t="shared" si="12"/>
        <v>0</v>
      </c>
      <c r="AS24" s="75">
        <v>5258</v>
      </c>
      <c r="AT24" s="75"/>
      <c r="AU24" s="75">
        <f t="shared" si="13"/>
        <v>946.4399999999999</v>
      </c>
      <c r="AV24" s="107"/>
      <c r="AW24" s="169">
        <f>2700+3819</f>
        <v>6519</v>
      </c>
      <c r="AX24" s="24">
        <f t="shared" si="18"/>
        <v>8615.510400000001</v>
      </c>
      <c r="AY24" s="109">
        <f>B24*1.67044+0.02</f>
        <v>11830.042671199999</v>
      </c>
      <c r="AZ24" s="110"/>
      <c r="BA24" s="110">
        <f t="shared" si="17"/>
        <v>0</v>
      </c>
      <c r="BB24" s="110">
        <f>SUM(AG24:AU24)+AX24+AY24+AZ24+BA24</f>
        <v>62316.260747199995</v>
      </c>
      <c r="BC24" s="111">
        <f>'[4]Т11'!$O$3+'[4]Т11'!$O$30+'[4]Т11'!$O$52+'[4]Т11'!$O$58+'[4]Т11'!$O$64+'[4]Т11'!$O$94+'[4]Т11'!$O$120</f>
        <v>2737.89152</v>
      </c>
      <c r="BD24" s="206">
        <f t="shared" si="14"/>
        <v>59404.519947199995</v>
      </c>
      <c r="BE24" s="112">
        <f t="shared" si="15"/>
        <v>19822.687052800014</v>
      </c>
      <c r="BF24" s="112">
        <f t="shared" si="19"/>
        <v>2142.070000000007</v>
      </c>
    </row>
    <row r="25" spans="1:58" s="114" customFormat="1" ht="12.75">
      <c r="A25" s="100" t="s">
        <v>41</v>
      </c>
      <c r="B25" s="73">
        <v>7080.28</v>
      </c>
      <c r="C25" s="142">
        <f t="shared" si="2"/>
        <v>61244.422</v>
      </c>
      <c r="D25" s="139">
        <f t="shared" si="20"/>
        <v>6000.052</v>
      </c>
      <c r="E25" s="80">
        <v>5965.91</v>
      </c>
      <c r="F25" s="80">
        <v>409.08</v>
      </c>
      <c r="G25" s="80">
        <v>8085.05</v>
      </c>
      <c r="H25" s="80">
        <v>554.53</v>
      </c>
      <c r="I25" s="80">
        <v>19420.63</v>
      </c>
      <c r="J25" s="80">
        <v>1331.71</v>
      </c>
      <c r="K25" s="80">
        <v>13454.57</v>
      </c>
      <c r="L25" s="80">
        <v>922.63</v>
      </c>
      <c r="M25" s="80">
        <v>4773.02</v>
      </c>
      <c r="N25" s="80">
        <v>327.24</v>
      </c>
      <c r="O25" s="80">
        <v>0</v>
      </c>
      <c r="P25" s="81">
        <v>0</v>
      </c>
      <c r="Q25" s="81">
        <v>15513.74</v>
      </c>
      <c r="R25" s="81">
        <v>515.64</v>
      </c>
      <c r="S25" s="74">
        <f>E25+G25+I25+K25+M25+O25+Q25</f>
        <v>67212.92</v>
      </c>
      <c r="T25" s="103">
        <f t="shared" si="4"/>
        <v>4060.8299999999995</v>
      </c>
      <c r="U25" s="74">
        <v>7205.43</v>
      </c>
      <c r="V25" s="74">
        <v>9763.75</v>
      </c>
      <c r="W25" s="74">
        <v>23454.59</v>
      </c>
      <c r="X25" s="74">
        <v>16248.92</v>
      </c>
      <c r="Y25" s="74">
        <v>5764.89</v>
      </c>
      <c r="Z25" s="77">
        <v>0</v>
      </c>
      <c r="AA25" s="77">
        <v>15170.02</v>
      </c>
      <c r="AB25" s="77">
        <f>SUM(U25:AA25)</f>
        <v>77607.6</v>
      </c>
      <c r="AC25" s="116">
        <f>D25+T25+AB25</f>
        <v>87668.482</v>
      </c>
      <c r="AD25" s="106">
        <f t="shared" si="7"/>
        <v>0</v>
      </c>
      <c r="AE25" s="106">
        <f t="shared" si="8"/>
        <v>15685.66</v>
      </c>
      <c r="AF25" s="106">
        <f>'[3]Т12'!$I$3+'[3]Т12'!$I$30+'[3]Т12'!$I$53+'[3]Т12'!$I$59+'[3]Т12'!$I$65+'[3]Т12'!$I$95+'[3]Т12'!$I$122</f>
        <v>6106.943679999999</v>
      </c>
      <c r="AG25" s="24">
        <f t="shared" si="16"/>
        <v>4248.168</v>
      </c>
      <c r="AH25" s="24">
        <f>B25*0.2</f>
        <v>1416.056</v>
      </c>
      <c r="AI25" s="24">
        <f>0.85*B25</f>
        <v>6018.237999999999</v>
      </c>
      <c r="AJ25" s="24">
        <f t="shared" si="9"/>
        <v>1083.2828399999999</v>
      </c>
      <c r="AK25" s="24">
        <f>0.83*B25</f>
        <v>5876.6323999999995</v>
      </c>
      <c r="AL25" s="24">
        <f t="shared" si="10"/>
        <v>1057.7938319999998</v>
      </c>
      <c r="AM25" s="24">
        <f>(1.91)*B25</f>
        <v>13523.334799999999</v>
      </c>
      <c r="AN25" s="24">
        <f t="shared" si="11"/>
        <v>2434.2002639999996</v>
      </c>
      <c r="AO25" s="24"/>
      <c r="AP25" s="24">
        <f t="shared" si="12"/>
        <v>0</v>
      </c>
      <c r="AQ25" s="84"/>
      <c r="AR25" s="84">
        <f t="shared" si="12"/>
        <v>0</v>
      </c>
      <c r="AS25" s="75">
        <v>7447</v>
      </c>
      <c r="AT25" s="75"/>
      <c r="AU25" s="75">
        <f t="shared" si="13"/>
        <v>1340.46</v>
      </c>
      <c r="AV25" s="107"/>
      <c r="AW25" s="169">
        <f>3230+5376</f>
        <v>8606</v>
      </c>
      <c r="AX25" s="24">
        <f t="shared" si="18"/>
        <v>11373.689600000002</v>
      </c>
      <c r="AY25" s="109">
        <f>B25*1.67082-0.03</f>
        <v>11829.8434296</v>
      </c>
      <c r="AZ25" s="110"/>
      <c r="BA25" s="110">
        <f t="shared" si="17"/>
        <v>0</v>
      </c>
      <c r="BB25" s="110">
        <f>SUM(AG25:BA25)-AV25-AW25</f>
        <v>67648.6991656</v>
      </c>
      <c r="BC25" s="111">
        <f>'[3]Т12'!$O$3+'[3]Т12'!$O$30+'[3]Т12'!$O$53+'[3]Т12'!$O$59+'[3]Т12'!$O$65+'[3]Т12'!$O$95+'[3]Т12'!$O$122</f>
        <v>2773.0915200000004</v>
      </c>
      <c r="BD25" s="206">
        <f t="shared" si="14"/>
        <v>64314.8470056</v>
      </c>
      <c r="BE25" s="112">
        <f t="shared" si="15"/>
        <v>23353.6349944</v>
      </c>
      <c r="BF25" s="112">
        <f>AB25-S25</f>
        <v>10394.680000000008</v>
      </c>
    </row>
    <row r="26" spans="1:58" s="23" customFormat="1" ht="12.75">
      <c r="A26" s="18" t="s">
        <v>3</v>
      </c>
      <c r="B26" s="19"/>
      <c r="C26" s="19">
        <f>SUM(C14:C25)</f>
        <v>735428.363</v>
      </c>
      <c r="D26" s="19">
        <f aca="true" t="shared" si="21" ref="D26:BF26">SUM(D14:D25)</f>
        <v>78495.71674999999</v>
      </c>
      <c r="E26" s="19">
        <f t="shared" si="21"/>
        <v>68579.97999999998</v>
      </c>
      <c r="F26" s="19">
        <f t="shared" si="21"/>
        <v>4572.820000000001</v>
      </c>
      <c r="G26" s="19">
        <f t="shared" si="21"/>
        <v>93023.65</v>
      </c>
      <c r="H26" s="19">
        <f t="shared" si="21"/>
        <v>6125.46</v>
      </c>
      <c r="I26" s="19">
        <f t="shared" si="21"/>
        <v>219396.00000000003</v>
      </c>
      <c r="J26" s="19">
        <f t="shared" si="21"/>
        <v>14340.32</v>
      </c>
      <c r="K26" s="19">
        <f t="shared" si="21"/>
        <v>161667.39</v>
      </c>
      <c r="L26" s="19">
        <f t="shared" si="21"/>
        <v>10579.14</v>
      </c>
      <c r="M26" s="19">
        <f t="shared" si="21"/>
        <v>54497.67</v>
      </c>
      <c r="N26" s="19">
        <f t="shared" si="21"/>
        <v>3619.79</v>
      </c>
      <c r="O26" s="19">
        <f t="shared" si="21"/>
        <v>0</v>
      </c>
      <c r="P26" s="19">
        <f t="shared" si="21"/>
        <v>0</v>
      </c>
      <c r="Q26" s="19">
        <f t="shared" si="21"/>
        <v>175678.98</v>
      </c>
      <c r="R26" s="19">
        <f t="shared" si="21"/>
        <v>5522.37</v>
      </c>
      <c r="S26" s="19">
        <f t="shared" si="21"/>
        <v>772843.6700000002</v>
      </c>
      <c r="T26" s="19">
        <f t="shared" si="21"/>
        <v>44759.899999999994</v>
      </c>
      <c r="U26" s="19">
        <f t="shared" si="21"/>
        <v>61454.83999999999</v>
      </c>
      <c r="V26" s="19">
        <f t="shared" si="21"/>
        <v>83193.01999999999</v>
      </c>
      <c r="W26" s="19">
        <f t="shared" si="21"/>
        <v>199858.85</v>
      </c>
      <c r="X26" s="19">
        <f t="shared" si="21"/>
        <v>138571.02000000002</v>
      </c>
      <c r="Y26" s="19">
        <f t="shared" si="21"/>
        <v>49197.61</v>
      </c>
      <c r="Z26" s="19">
        <f t="shared" si="21"/>
        <v>0</v>
      </c>
      <c r="AA26" s="19">
        <f t="shared" si="21"/>
        <v>169932.74</v>
      </c>
      <c r="AB26" s="19">
        <f t="shared" si="21"/>
        <v>702208.08</v>
      </c>
      <c r="AC26" s="19">
        <f t="shared" si="21"/>
        <v>825463.69675</v>
      </c>
      <c r="AD26" s="19">
        <f t="shared" si="21"/>
        <v>0</v>
      </c>
      <c r="AE26" s="19">
        <f t="shared" si="21"/>
        <v>175455.11000000002</v>
      </c>
      <c r="AF26" s="19">
        <f t="shared" si="21"/>
        <v>41005.904879999995</v>
      </c>
      <c r="AG26" s="19">
        <f t="shared" si="21"/>
        <v>49310.975999999995</v>
      </c>
      <c r="AH26" s="19">
        <f t="shared" si="21"/>
        <v>16509.3408112</v>
      </c>
      <c r="AI26" s="19">
        <f t="shared" si="21"/>
        <v>68931.88398978999</v>
      </c>
      <c r="AJ26" s="19">
        <f t="shared" si="21"/>
        <v>12407.739118162199</v>
      </c>
      <c r="AK26" s="19">
        <f t="shared" si="21"/>
        <v>67008.123505094</v>
      </c>
      <c r="AL26" s="19">
        <f t="shared" si="21"/>
        <v>12061.462230916917</v>
      </c>
      <c r="AM26" s="19">
        <f t="shared" si="21"/>
        <v>154175.2559473956</v>
      </c>
      <c r="AN26" s="19">
        <f t="shared" si="21"/>
        <v>27751.546070531214</v>
      </c>
      <c r="AO26" s="19">
        <f t="shared" si="21"/>
        <v>0</v>
      </c>
      <c r="AP26" s="19">
        <f t="shared" si="21"/>
        <v>0</v>
      </c>
      <c r="AQ26" s="145">
        <f t="shared" si="21"/>
        <v>15070.19</v>
      </c>
      <c r="AR26" s="145">
        <f t="shared" si="21"/>
        <v>2712.6342</v>
      </c>
      <c r="AS26" s="20">
        <f t="shared" si="21"/>
        <v>105154.93000000001</v>
      </c>
      <c r="AT26" s="20">
        <f t="shared" si="21"/>
        <v>3744.8999999999996</v>
      </c>
      <c r="AU26" s="20">
        <f t="shared" si="21"/>
        <v>19601.979399999997</v>
      </c>
      <c r="AV26" s="19">
        <f t="shared" si="21"/>
        <v>0</v>
      </c>
      <c r="AW26" s="19"/>
      <c r="AX26" s="19">
        <f t="shared" si="21"/>
        <v>112776.09280000001</v>
      </c>
      <c r="AY26" s="19">
        <f t="shared" si="21"/>
        <v>142130.91012061803</v>
      </c>
      <c r="AZ26" s="19">
        <f t="shared" si="21"/>
        <v>0</v>
      </c>
      <c r="BA26" s="19">
        <f t="shared" si="21"/>
        <v>0</v>
      </c>
      <c r="BB26" s="19">
        <f t="shared" si="21"/>
        <v>809347.964193708</v>
      </c>
      <c r="BC26" s="19">
        <f t="shared" si="21"/>
        <v>18397.0887232548</v>
      </c>
      <c r="BD26" s="19">
        <f t="shared" si="21"/>
        <v>786739.1480369627</v>
      </c>
      <c r="BE26" s="19">
        <f t="shared" si="21"/>
        <v>38724.548713037235</v>
      </c>
      <c r="BF26" s="146">
        <f t="shared" si="21"/>
        <v>-70635.58999999997</v>
      </c>
    </row>
    <row r="27" spans="1:58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86"/>
      <c r="AE27" s="86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71"/>
      <c r="AQ27" s="147"/>
      <c r="AR27" s="147"/>
      <c r="AS27" s="71"/>
      <c r="AT27" s="71"/>
      <c r="AU27" s="71"/>
      <c r="AV27" s="22"/>
      <c r="AW27" s="22"/>
      <c r="AX27" s="78"/>
      <c r="AY27" s="52"/>
      <c r="AZ27" s="52"/>
      <c r="BA27" s="52"/>
      <c r="BB27" s="52"/>
      <c r="BC27" s="52"/>
      <c r="BD27" s="52"/>
      <c r="BE27" s="52"/>
      <c r="BF27" s="148"/>
    </row>
    <row r="28" spans="1:58" s="23" customFormat="1" ht="13.5" thickBot="1">
      <c r="A28" s="26" t="s">
        <v>52</v>
      </c>
      <c r="B28" s="27"/>
      <c r="C28" s="27">
        <f>C12+C26</f>
        <v>919496.903</v>
      </c>
      <c r="D28" s="27">
        <f aca="true" t="shared" si="22" ref="D28:BF28">D12+D26</f>
        <v>122801.6278898</v>
      </c>
      <c r="E28" s="27">
        <f t="shared" si="22"/>
        <v>85820.84999999998</v>
      </c>
      <c r="F28" s="27">
        <f t="shared" si="22"/>
        <v>5721.76</v>
      </c>
      <c r="G28" s="27">
        <f t="shared" si="22"/>
        <v>115878.15</v>
      </c>
      <c r="H28" s="27">
        <f t="shared" si="22"/>
        <v>7676.6900000000005</v>
      </c>
      <c r="I28" s="27">
        <f t="shared" si="22"/>
        <v>272730.46</v>
      </c>
      <c r="J28" s="27">
        <f t="shared" si="22"/>
        <v>18074.83</v>
      </c>
      <c r="K28" s="27">
        <f t="shared" si="22"/>
        <v>198957.08000000002</v>
      </c>
      <c r="L28" s="27">
        <f t="shared" si="22"/>
        <v>13164.46</v>
      </c>
      <c r="M28" s="27">
        <f t="shared" si="22"/>
        <v>68530.58</v>
      </c>
      <c r="N28" s="27">
        <f t="shared" si="22"/>
        <v>4539.11</v>
      </c>
      <c r="O28" s="27">
        <f t="shared" si="22"/>
        <v>0</v>
      </c>
      <c r="P28" s="27">
        <f t="shared" si="22"/>
        <v>0</v>
      </c>
      <c r="Q28" s="27">
        <f t="shared" si="22"/>
        <v>175678.98</v>
      </c>
      <c r="R28" s="27">
        <f t="shared" si="22"/>
        <v>5522.37</v>
      </c>
      <c r="S28" s="27">
        <f t="shared" si="22"/>
        <v>917596.1000000001</v>
      </c>
      <c r="T28" s="27">
        <f t="shared" si="22"/>
        <v>54699.219999999994</v>
      </c>
      <c r="U28" s="27">
        <f t="shared" si="22"/>
        <v>69465.94999999998</v>
      </c>
      <c r="V28" s="27">
        <f t="shared" si="22"/>
        <v>94006.12</v>
      </c>
      <c r="W28" s="27">
        <f t="shared" si="22"/>
        <v>226130.12</v>
      </c>
      <c r="X28" s="27">
        <f t="shared" si="22"/>
        <v>156593.22000000003</v>
      </c>
      <c r="Y28" s="27">
        <f t="shared" si="22"/>
        <v>55606.21</v>
      </c>
      <c r="Z28" s="27">
        <f t="shared" si="22"/>
        <v>0</v>
      </c>
      <c r="AA28" s="27">
        <f t="shared" si="22"/>
        <v>169932.74</v>
      </c>
      <c r="AB28" s="27">
        <f t="shared" si="22"/>
        <v>771734.36</v>
      </c>
      <c r="AC28" s="27">
        <f t="shared" si="22"/>
        <v>949235.2078898</v>
      </c>
      <c r="AD28" s="27">
        <f t="shared" si="22"/>
        <v>0</v>
      </c>
      <c r="AE28" s="27">
        <f t="shared" si="22"/>
        <v>175455.11000000002</v>
      </c>
      <c r="AF28" s="27">
        <f t="shared" si="22"/>
        <v>41005.904879999995</v>
      </c>
      <c r="AG28" s="27">
        <f t="shared" si="22"/>
        <v>62078.736</v>
      </c>
      <c r="AH28" s="27">
        <f t="shared" si="22"/>
        <v>20891.8004512</v>
      </c>
      <c r="AI28" s="27">
        <f t="shared" si="22"/>
        <v>87040.13613378999</v>
      </c>
      <c r="AJ28" s="27">
        <f>AJ12+AJ26</f>
        <v>15667.224504082198</v>
      </c>
      <c r="AK28" s="27">
        <f t="shared" si="22"/>
        <v>88080.539644934</v>
      </c>
      <c r="AL28" s="27">
        <f t="shared" si="22"/>
        <v>15854.497136088117</v>
      </c>
      <c r="AM28" s="27">
        <f t="shared" si="22"/>
        <v>192875.4586657556</v>
      </c>
      <c r="AN28" s="27">
        <f t="shared" si="22"/>
        <v>34717.58255983601</v>
      </c>
      <c r="AO28" s="27">
        <f t="shared" si="22"/>
        <v>0</v>
      </c>
      <c r="AP28" s="27">
        <f t="shared" si="22"/>
        <v>0</v>
      </c>
      <c r="AQ28" s="149">
        <f t="shared" si="22"/>
        <v>15070.19</v>
      </c>
      <c r="AR28" s="149">
        <f t="shared" si="22"/>
        <v>2712.6342</v>
      </c>
      <c r="AS28" s="150">
        <f t="shared" si="22"/>
        <v>133109.93</v>
      </c>
      <c r="AT28" s="150">
        <f t="shared" si="22"/>
        <v>3744.8999999999996</v>
      </c>
      <c r="AU28" s="150">
        <f t="shared" si="22"/>
        <v>24633.879399999998</v>
      </c>
      <c r="AV28" s="27">
        <f t="shared" si="22"/>
        <v>0</v>
      </c>
      <c r="AW28" s="27"/>
      <c r="AX28" s="27">
        <f t="shared" si="22"/>
        <v>112776.09280000001</v>
      </c>
      <c r="AY28" s="27">
        <f t="shared" si="22"/>
        <v>142130.91012061803</v>
      </c>
      <c r="AZ28" s="27">
        <f t="shared" si="22"/>
        <v>0</v>
      </c>
      <c r="BA28" s="27">
        <f t="shared" si="22"/>
        <v>0</v>
      </c>
      <c r="BB28" s="27">
        <f t="shared" si="22"/>
        <v>951384.511616304</v>
      </c>
      <c r="BC28" s="27">
        <f t="shared" si="22"/>
        <v>18397.0887232548</v>
      </c>
      <c r="BD28" s="27">
        <f t="shared" si="22"/>
        <v>928775.6954595587</v>
      </c>
      <c r="BE28" s="27">
        <f t="shared" si="22"/>
        <v>20459.512430241255</v>
      </c>
      <c r="BF28" s="27">
        <f t="shared" si="22"/>
        <v>-145861.73999999996</v>
      </c>
    </row>
    <row r="29" spans="1:58" ht="15" customHeight="1">
      <c r="A29" s="8" t="s">
        <v>89</v>
      </c>
      <c r="B29" s="66"/>
      <c r="C29" s="120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  <c r="P29" s="123"/>
      <c r="Q29" s="124"/>
      <c r="R29" s="124"/>
      <c r="S29" s="124"/>
      <c r="T29" s="124"/>
      <c r="U29" s="125"/>
      <c r="V29" s="125"/>
      <c r="W29" s="125"/>
      <c r="X29" s="125"/>
      <c r="Y29" s="125"/>
      <c r="Z29" s="125"/>
      <c r="AA29" s="87"/>
      <c r="AB29" s="87"/>
      <c r="AC29" s="88"/>
      <c r="AD29" s="89"/>
      <c r="AE29" s="89"/>
      <c r="AF29" s="54"/>
      <c r="AG29" s="54"/>
      <c r="AH29" s="54"/>
      <c r="AI29" s="54"/>
      <c r="AJ29" s="54"/>
      <c r="AK29" s="54"/>
      <c r="AL29" s="54"/>
      <c r="AM29" s="54"/>
      <c r="AN29" s="67"/>
      <c r="AO29" s="67"/>
      <c r="AP29" s="67"/>
      <c r="AQ29" s="126"/>
      <c r="AR29" s="127"/>
      <c r="AS29" s="128"/>
      <c r="AT29" s="128"/>
      <c r="AU29" s="129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97"/>
    </row>
    <row r="30" spans="1:58" ht="12.75">
      <c r="A30" s="13" t="s">
        <v>43</v>
      </c>
      <c r="B30" s="73">
        <v>7080.28</v>
      </c>
      <c r="C30" s="142">
        <f aca="true" t="shared" si="23" ref="C30:C41">B30*8.65</f>
        <v>61244.422</v>
      </c>
      <c r="D30" s="139">
        <f aca="true" t="shared" si="24" ref="D30:D41">C30-E30-F30-G30-H30-I30-J30-K30-L30-M30-N30</f>
        <v>5760.401999999999</v>
      </c>
      <c r="E30" s="80">
        <v>5972.83</v>
      </c>
      <c r="F30" s="80">
        <v>429.84</v>
      </c>
      <c r="G30" s="80">
        <v>8094.33</v>
      </c>
      <c r="H30" s="80">
        <v>582.67</v>
      </c>
      <c r="I30" s="80">
        <v>19443.08</v>
      </c>
      <c r="J30" s="80">
        <v>1399.3</v>
      </c>
      <c r="K30" s="80">
        <v>13470.11</v>
      </c>
      <c r="L30" s="80">
        <v>969.47</v>
      </c>
      <c r="M30" s="80">
        <v>4778.55</v>
      </c>
      <c r="N30" s="80">
        <v>343.84</v>
      </c>
      <c r="O30" s="80">
        <v>0</v>
      </c>
      <c r="P30" s="81">
        <v>0</v>
      </c>
      <c r="Q30" s="81">
        <v>15541.99</v>
      </c>
      <c r="R30" s="81">
        <v>532.84</v>
      </c>
      <c r="S30" s="74">
        <f>E30+G30+I30+K30+M30+O30+Q30</f>
        <v>67300.89000000001</v>
      </c>
      <c r="T30" s="103">
        <f aca="true" t="shared" si="25" ref="T30:T41">P30+N30+L30+J30+H30+F30+R30</f>
        <v>4257.96</v>
      </c>
      <c r="U30" s="74">
        <v>4369.77</v>
      </c>
      <c r="V30" s="74">
        <v>5920.39</v>
      </c>
      <c r="W30" s="74">
        <v>14223.16</v>
      </c>
      <c r="X30" s="74">
        <v>9853.27</v>
      </c>
      <c r="Y30" s="74">
        <v>3495.96</v>
      </c>
      <c r="Z30" s="77">
        <v>0</v>
      </c>
      <c r="AA30" s="77">
        <v>14087.42</v>
      </c>
      <c r="AB30" s="77">
        <f>SUM(U30:AA30)</f>
        <v>51949.969999999994</v>
      </c>
      <c r="AC30" s="116">
        <f aca="true" t="shared" si="26" ref="AC30:AC41">D30+T30+AB30</f>
        <v>61968.331999999995</v>
      </c>
      <c r="AD30" s="106">
        <f aca="true" t="shared" si="27" ref="AD30:AD41">P30+Z30</f>
        <v>0</v>
      </c>
      <c r="AE30" s="106">
        <f aca="true" t="shared" si="28" ref="AE30:AE41">R30+AA30</f>
        <v>14620.26</v>
      </c>
      <c r="AF30" s="106">
        <f>'[7]Т01-10'!$I$3+'[7]Т01-10'!$I$30+'[7]Т01-10'!$I$50+'[7]Т01-10'!$I$56+'[7]Т01-10'!$I$62+'[7]Т01-10'!$I$92+'[7]Т01-10'!$I$119+'[7]Т01-10'!$I$124</f>
        <v>7071.49692</v>
      </c>
      <c r="AG30" s="24">
        <f aca="true" t="shared" si="29" ref="AG30:AG41">0.6*B30</f>
        <v>4248.168</v>
      </c>
      <c r="AH30" s="24">
        <f aca="true" t="shared" si="30" ref="AH30:AH41">B30*0.2</f>
        <v>1416.056</v>
      </c>
      <c r="AI30" s="24">
        <f aca="true" t="shared" si="31" ref="AI30:AI41">1*B30</f>
        <v>7080.28</v>
      </c>
      <c r="AJ30" s="24">
        <v>0</v>
      </c>
      <c r="AK30" s="24">
        <f aca="true" t="shared" si="32" ref="AK30:AK41">0.98*B30</f>
        <v>6938.6744</v>
      </c>
      <c r="AL30" s="24">
        <v>0</v>
      </c>
      <c r="AM30" s="24">
        <f aca="true" t="shared" si="33" ref="AM30:AM41">2.25*B30</f>
        <v>15930.63</v>
      </c>
      <c r="AN30" s="24">
        <v>0</v>
      </c>
      <c r="AO30" s="24"/>
      <c r="AP30" s="24">
        <v>0</v>
      </c>
      <c r="AQ30" s="84"/>
      <c r="AR30" s="84"/>
      <c r="AS30" s="75">
        <v>15224</v>
      </c>
      <c r="AT30" s="75"/>
      <c r="AU30" s="75">
        <f aca="true" t="shared" si="34" ref="AU30:AU35">AT30*0.18</f>
        <v>0</v>
      </c>
      <c r="AV30" s="107"/>
      <c r="AW30" s="169">
        <f>3155+5695</f>
        <v>8850</v>
      </c>
      <c r="AX30" s="24">
        <f aca="true" t="shared" si="35" ref="AX30:AX35">AW30*1.4</f>
        <v>12390</v>
      </c>
      <c r="AY30" s="109">
        <f>B30*1.67081+0.04</f>
        <v>11829.8426268</v>
      </c>
      <c r="AZ30" s="110"/>
      <c r="BA30" s="110">
        <f aca="true" t="shared" si="36" ref="BA30:BA41">AZ30*0.18</f>
        <v>0</v>
      </c>
      <c r="BB30" s="110">
        <f aca="true" t="shared" si="37" ref="BB30:BB41">SUM(AG30:BA30)-AV30-AW30</f>
        <v>75057.65102680001</v>
      </c>
      <c r="BC30" s="111">
        <f>'[7]Т03-10'!$M$3+'[7]Т03-10'!$M$30+'[7]Т03-10'!$M$51+'[7]Т03-10'!$M$57+'[7]Т03-10'!$M$63+'[7]Т03-10'!$M$93+'[7]Т03-10'!$M$120+'[7]Т03-10'!$M$125</f>
        <v>3229.002</v>
      </c>
      <c r="BD30" s="131">
        <f>BB30-(AF30-BC30)</f>
        <v>71215.15610680002</v>
      </c>
      <c r="BE30" s="112">
        <f>(AC30-BB30)+(AF30-BC30)</f>
        <v>-9246.824106800019</v>
      </c>
      <c r="BF30" s="112">
        <f>AB30-S30</f>
        <v>-15350.92000000002</v>
      </c>
    </row>
    <row r="31" spans="1:58" ht="12.75">
      <c r="A31" s="13" t="s">
        <v>44</v>
      </c>
      <c r="B31" s="79">
        <v>7079.88</v>
      </c>
      <c r="C31" s="142">
        <f t="shared" si="23"/>
        <v>61240.96200000001</v>
      </c>
      <c r="D31" s="139">
        <f t="shared" si="24"/>
        <v>8468.162000000011</v>
      </c>
      <c r="E31" s="174">
        <v>5686.6</v>
      </c>
      <c r="F31" s="175">
        <v>417.01</v>
      </c>
      <c r="G31" s="175">
        <v>7706.45</v>
      </c>
      <c r="H31" s="175">
        <v>565.27</v>
      </c>
      <c r="I31" s="175">
        <v>18511.38</v>
      </c>
      <c r="J31" s="175">
        <v>1357.52</v>
      </c>
      <c r="K31" s="175">
        <v>12824.63</v>
      </c>
      <c r="L31" s="175">
        <v>940.52</v>
      </c>
      <c r="M31" s="175">
        <v>4549.58</v>
      </c>
      <c r="N31" s="175">
        <v>213.84</v>
      </c>
      <c r="O31" s="175">
        <v>0</v>
      </c>
      <c r="P31" s="176">
        <v>0</v>
      </c>
      <c r="Q31" s="177">
        <v>15300.37</v>
      </c>
      <c r="R31" s="177">
        <v>532.84</v>
      </c>
      <c r="S31" s="74">
        <f>E31+G31+I31+K31+M31+O31+Q31</f>
        <v>64579.01</v>
      </c>
      <c r="T31" s="103">
        <f t="shared" si="25"/>
        <v>4027</v>
      </c>
      <c r="U31" s="74">
        <v>4457.33</v>
      </c>
      <c r="V31" s="74">
        <v>6039.95</v>
      </c>
      <c r="W31" s="74">
        <v>14509.1</v>
      </c>
      <c r="X31" s="74">
        <v>10051.53</v>
      </c>
      <c r="Y31" s="74">
        <v>3566.1</v>
      </c>
      <c r="Z31" s="77">
        <v>0</v>
      </c>
      <c r="AA31" s="77">
        <v>11902.3</v>
      </c>
      <c r="AB31" s="77">
        <f>SUM(U31:AA31)</f>
        <v>50526.31</v>
      </c>
      <c r="AC31" s="116">
        <f t="shared" si="26"/>
        <v>63021.47200000001</v>
      </c>
      <c r="AD31" s="106">
        <f t="shared" si="27"/>
        <v>0</v>
      </c>
      <c r="AE31" s="106">
        <f t="shared" si="28"/>
        <v>12435.14</v>
      </c>
      <c r="AF31" s="106">
        <f>'[7]Т01-10'!$I$3+'[7]Т01-10'!$I$30+'[7]Т01-10'!$I$50+'[7]Т01-10'!$I$56+'[7]Т01-10'!$I$62+'[7]Т01-10'!$I$92+'[7]Т01-10'!$I$119+'[7]Т01-10'!$I$124</f>
        <v>7071.49692</v>
      </c>
      <c r="AG31" s="24">
        <f t="shared" si="29"/>
        <v>4247.928</v>
      </c>
      <c r="AH31" s="24">
        <f t="shared" si="30"/>
        <v>1415.976</v>
      </c>
      <c r="AI31" s="24">
        <f t="shared" si="31"/>
        <v>7079.88</v>
      </c>
      <c r="AJ31" s="24">
        <v>0</v>
      </c>
      <c r="AK31" s="24">
        <f t="shared" si="32"/>
        <v>6938.2824</v>
      </c>
      <c r="AL31" s="24">
        <v>0</v>
      </c>
      <c r="AM31" s="24">
        <f t="shared" si="33"/>
        <v>15929.73</v>
      </c>
      <c r="AN31" s="24">
        <v>0</v>
      </c>
      <c r="AO31" s="24"/>
      <c r="AP31" s="24"/>
      <c r="AQ31" s="84"/>
      <c r="AR31" s="84"/>
      <c r="AS31" s="75">
        <v>16732</v>
      </c>
      <c r="AT31" s="75"/>
      <c r="AU31" s="75">
        <f t="shared" si="34"/>
        <v>0</v>
      </c>
      <c r="AV31" s="107"/>
      <c r="AW31" s="169">
        <f>2932+5465</f>
        <v>8397</v>
      </c>
      <c r="AX31" s="24">
        <f t="shared" si="35"/>
        <v>11755.8</v>
      </c>
      <c r="AY31" s="109">
        <f>B31*1.67092+0.01</f>
        <v>11829.9230896</v>
      </c>
      <c r="AZ31" s="110"/>
      <c r="BA31" s="110">
        <f t="shared" si="36"/>
        <v>0</v>
      </c>
      <c r="BB31" s="110">
        <f t="shared" si="37"/>
        <v>75929.5194896</v>
      </c>
      <c r="BC31" s="111">
        <f>'[7]Т03-10'!$M$3+'[7]Т03-10'!$M$30+'[7]Т03-10'!$M$51+'[7]Т03-10'!$M$57+'[7]Т03-10'!$M$63+'[7]Т03-10'!$M$93+'[7]Т03-10'!$M$120+'[7]Т03-10'!$M$125</f>
        <v>3229.002</v>
      </c>
      <c r="BD31" s="131">
        <f aca="true" t="shared" si="38" ref="BD31:BD41">BB31-(AF31-BC31)</f>
        <v>72087.0245696</v>
      </c>
      <c r="BE31" s="112">
        <f aca="true" t="shared" si="39" ref="BE31:BE41">(AC31-BB31)+(AF31-BC31)</f>
        <v>-9065.552569599995</v>
      </c>
      <c r="BF31" s="112">
        <f aca="true" t="shared" si="40" ref="BF31:BF41">AB31-S31</f>
        <v>-14052.700000000004</v>
      </c>
    </row>
    <row r="32" spans="1:58" ht="13.5" thickBot="1">
      <c r="A32" s="133" t="s">
        <v>45</v>
      </c>
      <c r="B32" s="73">
        <v>7079.88</v>
      </c>
      <c r="C32" s="142">
        <f t="shared" si="23"/>
        <v>61240.96200000001</v>
      </c>
      <c r="D32" s="139">
        <f t="shared" si="24"/>
        <v>6028.6420000000035</v>
      </c>
      <c r="E32" s="80">
        <v>5964.29</v>
      </c>
      <c r="F32" s="80">
        <v>406.99</v>
      </c>
      <c r="G32" s="80">
        <v>8082.87</v>
      </c>
      <c r="H32" s="80">
        <v>551.69</v>
      </c>
      <c r="I32" s="80">
        <v>19415.39</v>
      </c>
      <c r="J32" s="80">
        <v>1324.91</v>
      </c>
      <c r="K32" s="80">
        <v>13450.95</v>
      </c>
      <c r="L32" s="80">
        <v>917.93</v>
      </c>
      <c r="M32" s="80">
        <v>4771.73</v>
      </c>
      <c r="N32" s="80">
        <v>325.57</v>
      </c>
      <c r="O32" s="80">
        <v>0</v>
      </c>
      <c r="P32" s="81">
        <v>0</v>
      </c>
      <c r="Q32" s="81">
        <v>15179.55</v>
      </c>
      <c r="R32" s="81">
        <v>532.84</v>
      </c>
      <c r="S32" s="74">
        <f>E32+G32+I32+K32+M32+O32+Q32</f>
        <v>66864.78</v>
      </c>
      <c r="T32" s="103">
        <f t="shared" si="25"/>
        <v>4059.9300000000003</v>
      </c>
      <c r="U32" s="74">
        <v>5882.15</v>
      </c>
      <c r="V32" s="74">
        <v>7971.31</v>
      </c>
      <c r="W32" s="74">
        <v>19147.74</v>
      </c>
      <c r="X32" s="74">
        <v>13265.55</v>
      </c>
      <c r="Y32" s="74">
        <v>4706.03</v>
      </c>
      <c r="Z32" s="77">
        <v>0</v>
      </c>
      <c r="AA32" s="77">
        <v>15898.88</v>
      </c>
      <c r="AB32" s="77">
        <f>SUM(U32:AA32)</f>
        <v>66871.66</v>
      </c>
      <c r="AC32" s="116">
        <f t="shared" si="26"/>
        <v>76960.232</v>
      </c>
      <c r="AD32" s="106">
        <f t="shared" si="27"/>
        <v>0</v>
      </c>
      <c r="AE32" s="106">
        <f t="shared" si="28"/>
        <v>16431.719999999998</v>
      </c>
      <c r="AF32" s="106">
        <f>'[7]Т01-10'!$I$3+'[7]Т01-10'!$I$30+'[7]Т01-10'!$I$50+'[7]Т01-10'!$I$56+'[7]Т01-10'!$I$62+'[7]Т01-10'!$I$92+'[7]Т01-10'!$I$119+'[7]Т01-10'!$I$124</f>
        <v>7071.49692</v>
      </c>
      <c r="AG32" s="24">
        <f t="shared" si="29"/>
        <v>4247.928</v>
      </c>
      <c r="AH32" s="24">
        <f t="shared" si="30"/>
        <v>1415.976</v>
      </c>
      <c r="AI32" s="24">
        <f t="shared" si="31"/>
        <v>7079.88</v>
      </c>
      <c r="AJ32" s="24">
        <v>0</v>
      </c>
      <c r="AK32" s="24">
        <f t="shared" si="32"/>
        <v>6938.2824</v>
      </c>
      <c r="AL32" s="24">
        <v>0</v>
      </c>
      <c r="AM32" s="24">
        <f t="shared" si="33"/>
        <v>15929.73</v>
      </c>
      <c r="AN32" s="24">
        <v>0</v>
      </c>
      <c r="AO32" s="24"/>
      <c r="AP32" s="24"/>
      <c r="AQ32" s="84"/>
      <c r="AR32" s="84"/>
      <c r="AS32" s="75">
        <v>1195</v>
      </c>
      <c r="AT32" s="75"/>
      <c r="AU32" s="75">
        <f t="shared" si="34"/>
        <v>0</v>
      </c>
      <c r="AV32" s="107"/>
      <c r="AW32" s="169">
        <f>2699+4199</f>
        <v>6898</v>
      </c>
      <c r="AX32" s="24">
        <f t="shared" si="35"/>
        <v>9657.199999999999</v>
      </c>
      <c r="AY32" s="109">
        <f>B32*1.67092+0.01</f>
        <v>11829.9230896</v>
      </c>
      <c r="AZ32" s="110"/>
      <c r="BA32" s="110">
        <f t="shared" si="36"/>
        <v>0</v>
      </c>
      <c r="BB32" s="110">
        <f t="shared" si="37"/>
        <v>58293.9194896</v>
      </c>
      <c r="BC32" s="111">
        <f>'[7]Т03-10'!$M$3+'[7]Т03-10'!$M$30+'[7]Т03-10'!$M$51+'[7]Т03-10'!$M$57+'[7]Т03-10'!$M$63+'[7]Т03-10'!$M$93+'[7]Т03-10'!$M$120+'[7]Т03-10'!$M$125</f>
        <v>3229.002</v>
      </c>
      <c r="BD32" s="131">
        <f t="shared" si="38"/>
        <v>54451.4245696</v>
      </c>
      <c r="BE32" s="112">
        <f t="shared" si="39"/>
        <v>22508.807430400007</v>
      </c>
      <c r="BF32" s="112">
        <f t="shared" si="40"/>
        <v>6.880000000004657</v>
      </c>
    </row>
    <row r="33" spans="1:58" ht="12.75">
      <c r="A33" s="138" t="s">
        <v>46</v>
      </c>
      <c r="B33" s="73">
        <v>7079.88</v>
      </c>
      <c r="C33" s="142">
        <f t="shared" si="23"/>
        <v>61240.96200000001</v>
      </c>
      <c r="D33" s="139">
        <f t="shared" si="24"/>
        <v>6033.282000000012</v>
      </c>
      <c r="E33" s="80">
        <v>5961.61</v>
      </c>
      <c r="F33" s="80">
        <v>409.13</v>
      </c>
      <c r="G33" s="80">
        <v>8079.25</v>
      </c>
      <c r="H33" s="80">
        <v>554.59</v>
      </c>
      <c r="I33" s="80">
        <v>19406.66</v>
      </c>
      <c r="J33" s="80">
        <v>1331.88</v>
      </c>
      <c r="K33" s="80">
        <v>13444.91</v>
      </c>
      <c r="L33" s="80">
        <v>922.76</v>
      </c>
      <c r="M33" s="80">
        <v>4769.61</v>
      </c>
      <c r="N33" s="80">
        <v>327.28</v>
      </c>
      <c r="O33" s="80">
        <v>0</v>
      </c>
      <c r="P33" s="81">
        <v>0</v>
      </c>
      <c r="Q33" s="81">
        <v>15295.67</v>
      </c>
      <c r="R33" s="81">
        <v>542.36</v>
      </c>
      <c r="S33" s="74">
        <f>E33+G33+I33+K33+M33+O33+Q33</f>
        <v>66957.71</v>
      </c>
      <c r="T33" s="103">
        <f t="shared" si="25"/>
        <v>4088.0000000000005</v>
      </c>
      <c r="U33" s="74">
        <v>4907.92</v>
      </c>
      <c r="V33" s="74">
        <v>6648.45</v>
      </c>
      <c r="W33" s="74">
        <v>15961.26</v>
      </c>
      <c r="X33" s="74">
        <v>11080.64</v>
      </c>
      <c r="Y33" s="74">
        <v>3939.66</v>
      </c>
      <c r="Z33" s="77">
        <v>0</v>
      </c>
      <c r="AA33" s="77">
        <v>16007.05</v>
      </c>
      <c r="AB33" s="77">
        <f>SUM(U33:AA33)</f>
        <v>58544.979999999996</v>
      </c>
      <c r="AC33" s="116">
        <f t="shared" si="26"/>
        <v>68666.262</v>
      </c>
      <c r="AD33" s="106">
        <f t="shared" si="27"/>
        <v>0</v>
      </c>
      <c r="AE33" s="106">
        <f t="shared" si="28"/>
        <v>16549.41</v>
      </c>
      <c r="AF33" s="106">
        <f>'[8]Т04-10'!$I$3+'[8]Т04-10'!$I$30+'[8]Т04-10'!$I$51+'[8]Т04-10'!$I$57+'[8]Т04-10'!$I$63+'[8]Т04-10'!$I$93+'[8]Т04-10'!$I$120+'[8]Т04-10'!$I$125</f>
        <v>7071.49692</v>
      </c>
      <c r="AG33" s="24">
        <f t="shared" si="29"/>
        <v>4247.928</v>
      </c>
      <c r="AH33" s="24">
        <f t="shared" si="30"/>
        <v>1415.976</v>
      </c>
      <c r="AI33" s="24">
        <f t="shared" si="31"/>
        <v>7079.88</v>
      </c>
      <c r="AJ33" s="24">
        <v>0</v>
      </c>
      <c r="AK33" s="24">
        <f t="shared" si="32"/>
        <v>6938.2824</v>
      </c>
      <c r="AL33" s="24">
        <v>0</v>
      </c>
      <c r="AM33" s="24">
        <f t="shared" si="33"/>
        <v>15929.73</v>
      </c>
      <c r="AN33" s="24">
        <v>0</v>
      </c>
      <c r="AO33" s="24"/>
      <c r="AP33" s="24"/>
      <c r="AQ33" s="84"/>
      <c r="AR33" s="84"/>
      <c r="AS33" s="75">
        <v>3156</v>
      </c>
      <c r="AT33" s="75"/>
      <c r="AU33" s="75">
        <f t="shared" si="34"/>
        <v>0</v>
      </c>
      <c r="AV33" s="107"/>
      <c r="AW33" s="169">
        <f>2923+4849</f>
        <v>7772</v>
      </c>
      <c r="AX33" s="24">
        <f t="shared" si="35"/>
        <v>10880.8</v>
      </c>
      <c r="AY33" s="109">
        <f>B33*1.67092+0.01</f>
        <v>11829.9230896</v>
      </c>
      <c r="AZ33" s="110"/>
      <c r="BA33" s="110">
        <f t="shared" si="36"/>
        <v>0</v>
      </c>
      <c r="BB33" s="110">
        <f t="shared" si="37"/>
        <v>61478.5194896</v>
      </c>
      <c r="BC33" s="111">
        <f>'[8]Т04-10'!$M$3+'[8]Т04-10'!$M$30+'[8]Т04-10'!$M$51+'[8]Т04-10'!$M$57+'[8]Т04-10'!$M$63+'[8]Т04-10'!$M$93+'[8]Т04-10'!$M$120+'[8]Т04-10'!$M$125</f>
        <v>3229.002</v>
      </c>
      <c r="BD33" s="131">
        <f t="shared" si="38"/>
        <v>57636.024569600006</v>
      </c>
      <c r="BE33" s="112">
        <f t="shared" si="39"/>
        <v>11030.237430399999</v>
      </c>
      <c r="BF33" s="112">
        <f t="shared" si="40"/>
        <v>-8412.73000000001</v>
      </c>
    </row>
    <row r="34" spans="1:58" ht="12.75">
      <c r="A34" s="13" t="s">
        <v>47</v>
      </c>
      <c r="B34" s="73">
        <v>7079.88</v>
      </c>
      <c r="C34" s="142">
        <f t="shared" si="23"/>
        <v>61240.96200000001</v>
      </c>
      <c r="D34" s="139">
        <f t="shared" si="24"/>
        <v>5968.572000000006</v>
      </c>
      <c r="E34" s="80">
        <v>5967.07</v>
      </c>
      <c r="F34" s="80">
        <v>411.29</v>
      </c>
      <c r="G34" s="80">
        <v>8086.21</v>
      </c>
      <c r="H34" s="80">
        <v>557.47</v>
      </c>
      <c r="I34" s="80">
        <v>19424.22</v>
      </c>
      <c r="J34" s="80">
        <v>1338.8</v>
      </c>
      <c r="K34" s="80">
        <v>13456.85</v>
      </c>
      <c r="L34" s="80">
        <v>927.56</v>
      </c>
      <c r="M34" s="80">
        <v>4773.94</v>
      </c>
      <c r="N34" s="80">
        <v>328.98</v>
      </c>
      <c r="O34" s="80">
        <v>0</v>
      </c>
      <c r="P34" s="81">
        <v>0</v>
      </c>
      <c r="Q34" s="81">
        <v>14742.64</v>
      </c>
      <c r="R34" s="81">
        <v>541.72</v>
      </c>
      <c r="S34" s="74">
        <f>E34+G34+I34+K34+M34+O34+Q34</f>
        <v>66450.93</v>
      </c>
      <c r="T34" s="103">
        <f t="shared" si="25"/>
        <v>4105.820000000001</v>
      </c>
      <c r="U34" s="151">
        <v>5040.31</v>
      </c>
      <c r="V34" s="151">
        <v>6828.78</v>
      </c>
      <c r="W34" s="151">
        <v>16405.74</v>
      </c>
      <c r="X34" s="151">
        <v>11364.99</v>
      </c>
      <c r="Y34" s="151">
        <v>4032.47</v>
      </c>
      <c r="Z34" s="152">
        <v>0</v>
      </c>
      <c r="AA34" s="152">
        <v>12913.27</v>
      </c>
      <c r="AB34" s="77">
        <f>SUM(U34:AA34)</f>
        <v>56585.56</v>
      </c>
      <c r="AC34" s="116">
        <f t="shared" si="26"/>
        <v>66659.952</v>
      </c>
      <c r="AD34" s="106">
        <f t="shared" si="27"/>
        <v>0</v>
      </c>
      <c r="AE34" s="106">
        <f t="shared" si="28"/>
        <v>13454.99</v>
      </c>
      <c r="AF34" s="106">
        <f>'[8]Т04-10'!$I$3+'[8]Т04-10'!$I$30+'[8]Т04-10'!$I$51+'[8]Т04-10'!$I$57+'[8]Т04-10'!$I$63+'[8]Т04-10'!$I$93+'[8]Т04-10'!$I$120+'[8]Т04-10'!$I$125</f>
        <v>7071.49692</v>
      </c>
      <c r="AG34" s="24">
        <f t="shared" si="29"/>
        <v>4247.928</v>
      </c>
      <c r="AH34" s="24">
        <f t="shared" si="30"/>
        <v>1415.976</v>
      </c>
      <c r="AI34" s="24">
        <f t="shared" si="31"/>
        <v>7079.88</v>
      </c>
      <c r="AJ34" s="24">
        <v>0</v>
      </c>
      <c r="AK34" s="24">
        <f t="shared" si="32"/>
        <v>6938.2824</v>
      </c>
      <c r="AL34" s="24">
        <v>0</v>
      </c>
      <c r="AM34" s="24">
        <f t="shared" si="33"/>
        <v>15929.73</v>
      </c>
      <c r="AN34" s="24">
        <v>0</v>
      </c>
      <c r="AO34" s="24"/>
      <c r="AP34" s="24"/>
      <c r="AQ34" s="84"/>
      <c r="AR34" s="84"/>
      <c r="AS34" s="75">
        <v>5214</v>
      </c>
      <c r="AT34" s="75"/>
      <c r="AU34" s="75">
        <f t="shared" si="34"/>
        <v>0</v>
      </c>
      <c r="AV34" s="107"/>
      <c r="AW34" s="169">
        <f>2860+4044</f>
        <v>6904</v>
      </c>
      <c r="AX34" s="24">
        <f t="shared" si="35"/>
        <v>9665.599999999999</v>
      </c>
      <c r="AY34" s="109">
        <f>'[9]Таштагол 05'!$AZ$91</f>
        <v>11817.758454617942</v>
      </c>
      <c r="AZ34" s="110"/>
      <c r="BA34" s="110">
        <f t="shared" si="36"/>
        <v>0</v>
      </c>
      <c r="BB34" s="110">
        <f t="shared" si="37"/>
        <v>62309.15485461794</v>
      </c>
      <c r="BC34" s="111">
        <f>'[8]Т04-10'!$M$3+'[8]Т04-10'!$M$30+'[8]Т04-10'!$M$51+'[8]Т04-10'!$M$57+'[8]Т04-10'!$M$63+'[8]Т04-10'!$M$93+'[8]Т04-10'!$M$120+'[8]Т04-10'!$M$125</f>
        <v>3229.002</v>
      </c>
      <c r="BD34" s="131">
        <f t="shared" si="38"/>
        <v>58466.65993461794</v>
      </c>
      <c r="BE34" s="112">
        <f t="shared" si="39"/>
        <v>8193.292065382064</v>
      </c>
      <c r="BF34" s="112">
        <f t="shared" si="40"/>
        <v>-9865.369999999995</v>
      </c>
    </row>
    <row r="35" spans="1:58" ht="13.5" thickBot="1">
      <c r="A35" s="133" t="s">
        <v>48</v>
      </c>
      <c r="B35" s="73">
        <v>7079.88</v>
      </c>
      <c r="C35" s="142">
        <f t="shared" si="23"/>
        <v>61240.96200000001</v>
      </c>
      <c r="D35" s="139">
        <f t="shared" si="24"/>
        <v>5999.891999999999</v>
      </c>
      <c r="E35" s="80">
        <v>5973.82</v>
      </c>
      <c r="F35" s="80">
        <v>400.91</v>
      </c>
      <c r="G35" s="80">
        <v>8095.44</v>
      </c>
      <c r="H35" s="80">
        <v>543.41</v>
      </c>
      <c r="I35" s="80">
        <v>19446.16</v>
      </c>
      <c r="J35" s="80">
        <v>1305.01</v>
      </c>
      <c r="K35" s="80">
        <v>13472.17</v>
      </c>
      <c r="L35" s="80">
        <v>904.16</v>
      </c>
      <c r="M35" s="80">
        <v>4779.31</v>
      </c>
      <c r="N35" s="80">
        <v>320.68</v>
      </c>
      <c r="O35" s="80">
        <v>0</v>
      </c>
      <c r="P35" s="81">
        <v>0</v>
      </c>
      <c r="Q35" s="81">
        <v>14676.63</v>
      </c>
      <c r="R35" s="81">
        <v>561.4</v>
      </c>
      <c r="S35" s="74">
        <f aca="true" t="shared" si="41" ref="S35:S41">E35+G35+I35+K35+M35+O35+Q35</f>
        <v>66443.53</v>
      </c>
      <c r="T35" s="103">
        <f t="shared" si="25"/>
        <v>4035.5699999999997</v>
      </c>
      <c r="U35" s="74">
        <v>5256.85</v>
      </c>
      <c r="V35" s="74">
        <v>7124.48</v>
      </c>
      <c r="W35" s="74">
        <v>17111.34</v>
      </c>
      <c r="X35" s="74">
        <v>11856.21</v>
      </c>
      <c r="Y35" s="74">
        <v>4205.81</v>
      </c>
      <c r="Z35" s="77">
        <v>0</v>
      </c>
      <c r="AA35" s="77">
        <v>12990.27</v>
      </c>
      <c r="AB35" s="77">
        <f aca="true" t="shared" si="42" ref="AB35:AB41">SUM(U35:AA35)</f>
        <v>58544.95999999999</v>
      </c>
      <c r="AC35" s="116">
        <f t="shared" si="26"/>
        <v>68580.42199999999</v>
      </c>
      <c r="AD35" s="106">
        <f t="shared" si="27"/>
        <v>0</v>
      </c>
      <c r="AE35" s="106">
        <f t="shared" si="28"/>
        <v>13551.67</v>
      </c>
      <c r="AF35" s="106">
        <f>'[8]Т04-10'!$I$3+'[8]Т04-10'!$I$30+'[8]Т04-10'!$I$51+'[8]Т04-10'!$I$57+'[8]Т04-10'!$I$63+'[8]Т04-10'!$I$93+'[8]Т04-10'!$I$120+'[8]Т04-10'!$I$125</f>
        <v>7071.49692</v>
      </c>
      <c r="AG35" s="24">
        <f t="shared" si="29"/>
        <v>4247.928</v>
      </c>
      <c r="AH35" s="24">
        <f t="shared" si="30"/>
        <v>1415.976</v>
      </c>
      <c r="AI35" s="24">
        <f t="shared" si="31"/>
        <v>7079.88</v>
      </c>
      <c r="AJ35" s="24">
        <v>0</v>
      </c>
      <c r="AK35" s="24">
        <f t="shared" si="32"/>
        <v>6938.2824</v>
      </c>
      <c r="AL35" s="24">
        <v>0</v>
      </c>
      <c r="AM35" s="24">
        <f t="shared" si="33"/>
        <v>15929.73</v>
      </c>
      <c r="AN35" s="24">
        <v>0</v>
      </c>
      <c r="AO35" s="24"/>
      <c r="AP35" s="24"/>
      <c r="AQ35" s="84"/>
      <c r="AR35" s="84"/>
      <c r="AS35" s="75">
        <v>285</v>
      </c>
      <c r="AT35" s="75"/>
      <c r="AU35" s="75">
        <f t="shared" si="34"/>
        <v>0</v>
      </c>
      <c r="AV35" s="107"/>
      <c r="AW35" s="169">
        <f>2354+3083</f>
        <v>5437</v>
      </c>
      <c r="AX35" s="24">
        <f t="shared" si="35"/>
        <v>7611.799999999999</v>
      </c>
      <c r="AY35" s="109">
        <f>'[9]Таштагол 06'!$AZ$91</f>
        <v>11818.705566204195</v>
      </c>
      <c r="AZ35" s="110"/>
      <c r="BA35" s="110">
        <f t="shared" si="36"/>
        <v>0</v>
      </c>
      <c r="BB35" s="110">
        <f t="shared" si="37"/>
        <v>55327.30196620419</v>
      </c>
      <c r="BC35" s="111">
        <f>'[8]Т06-10'!$M$3+'[8]Т06-10'!$M$30+'[8]Т06-10'!$M$51+'[8]Т06-10'!$M$56+'[8]Т06-10'!$M$61+'[8]Т06-10'!$M$91+'[8]Т06-10'!$M$117+'[8]Т06-10'!$M$122</f>
        <v>3229.002</v>
      </c>
      <c r="BD35" s="131">
        <f t="shared" si="38"/>
        <v>51484.807046204194</v>
      </c>
      <c r="BE35" s="112">
        <f t="shared" si="39"/>
        <v>17095.6149537958</v>
      </c>
      <c r="BF35" s="112">
        <f t="shared" si="40"/>
        <v>-7898.570000000007</v>
      </c>
    </row>
    <row r="36" spans="1:58" ht="12.75">
      <c r="A36" s="138" t="s">
        <v>49</v>
      </c>
      <c r="B36" s="201">
        <v>7079.88</v>
      </c>
      <c r="C36" s="142">
        <f t="shared" si="23"/>
        <v>61240.96200000001</v>
      </c>
      <c r="D36" s="139">
        <f t="shared" si="24"/>
        <v>5978.092000000011</v>
      </c>
      <c r="E36" s="202">
        <v>6377.31</v>
      </c>
      <c r="F36" s="185">
        <v>0</v>
      </c>
      <c r="G36" s="185">
        <v>8642.1</v>
      </c>
      <c r="H36" s="185">
        <v>0</v>
      </c>
      <c r="I36" s="185">
        <v>20759.41</v>
      </c>
      <c r="J36" s="185">
        <v>0</v>
      </c>
      <c r="K36" s="185">
        <v>14382.02</v>
      </c>
      <c r="L36" s="185">
        <v>0</v>
      </c>
      <c r="M36" s="185">
        <v>5102.03</v>
      </c>
      <c r="N36" s="185">
        <v>0</v>
      </c>
      <c r="O36" s="185">
        <v>0</v>
      </c>
      <c r="P36" s="186">
        <v>0</v>
      </c>
      <c r="Q36" s="186">
        <v>234.95</v>
      </c>
      <c r="R36" s="186">
        <v>0</v>
      </c>
      <c r="S36" s="187">
        <f t="shared" si="41"/>
        <v>55497.81999999999</v>
      </c>
      <c r="T36" s="188">
        <f t="shared" si="25"/>
        <v>0</v>
      </c>
      <c r="U36" s="203">
        <v>6185.5</v>
      </c>
      <c r="V36" s="187">
        <v>8381.08</v>
      </c>
      <c r="W36" s="187">
        <v>20104.81</v>
      </c>
      <c r="X36" s="187">
        <v>13929.07</v>
      </c>
      <c r="Y36" s="187">
        <v>4941.99</v>
      </c>
      <c r="Z36" s="189">
        <v>0</v>
      </c>
      <c r="AA36" s="189">
        <v>13848.09</v>
      </c>
      <c r="AB36" s="189">
        <f t="shared" si="42"/>
        <v>67390.54</v>
      </c>
      <c r="AC36" s="190">
        <f t="shared" si="26"/>
        <v>73368.632</v>
      </c>
      <c r="AD36" s="191">
        <f t="shared" si="27"/>
        <v>0</v>
      </c>
      <c r="AE36" s="191">
        <f t="shared" si="28"/>
        <v>13848.09</v>
      </c>
      <c r="AF36" s="191">
        <f>'[10]Т07-10'!$I$3+'[10]Т07-10'!$I$29+'[10]Т07-10'!$I$51+'[10]Т07-10'!$I$56+'[10]Т07-10'!$I$61+'[10]Т07-10'!$I$90+'[10]Т07-10'!$I$116+'[10]Т07-10'!$I$121</f>
        <v>7071.50692</v>
      </c>
      <c r="AG36" s="192">
        <f t="shared" si="29"/>
        <v>4247.928</v>
      </c>
      <c r="AH36" s="192">
        <f t="shared" si="30"/>
        <v>1415.976</v>
      </c>
      <c r="AI36" s="192">
        <f t="shared" si="31"/>
        <v>7079.88</v>
      </c>
      <c r="AJ36" s="192">
        <v>0</v>
      </c>
      <c r="AK36" s="192">
        <f t="shared" si="32"/>
        <v>6938.2824</v>
      </c>
      <c r="AL36" s="192">
        <v>0</v>
      </c>
      <c r="AM36" s="192">
        <f t="shared" si="33"/>
        <v>15929.73</v>
      </c>
      <c r="AN36" s="192">
        <v>0</v>
      </c>
      <c r="AO36" s="192"/>
      <c r="AP36" s="192"/>
      <c r="AQ36" s="193"/>
      <c r="AR36" s="193"/>
      <c r="AS36" s="194"/>
      <c r="AT36" s="194">
        <v>2014.59</v>
      </c>
      <c r="AU36" s="194"/>
      <c r="AV36" s="196"/>
      <c r="AW36" s="197">
        <f>2454+4028</f>
        <v>6482</v>
      </c>
      <c r="AX36" s="192">
        <f aca="true" t="shared" si="43" ref="AX36:AX41">AW36*1.4</f>
        <v>9074.8</v>
      </c>
      <c r="AY36" s="109">
        <v>4383.56</v>
      </c>
      <c r="AZ36" s="198"/>
      <c r="BA36" s="198">
        <f t="shared" si="36"/>
        <v>0</v>
      </c>
      <c r="BB36" s="110">
        <f t="shared" si="37"/>
        <v>51084.74639999999</v>
      </c>
      <c r="BC36" s="199">
        <f>'[11]Т06-10'!$M$3+'[11]Т06-10'!$M$30+'[11]Т06-10'!$M$51+'[11]Т06-10'!$M$56+'[11]Т06-10'!$M$61+'[11]Т06-10'!$M$91+'[11]Т06-10'!$M$117+'[11]Т06-10'!$M$122</f>
        <v>3229.002</v>
      </c>
      <c r="BD36" s="131">
        <f t="shared" si="38"/>
        <v>47242.24147999999</v>
      </c>
      <c r="BE36" s="112">
        <f t="shared" si="39"/>
        <v>26126.390520000008</v>
      </c>
      <c r="BF36" s="112">
        <f t="shared" si="40"/>
        <v>11892.720000000001</v>
      </c>
    </row>
    <row r="37" spans="1:58" ht="12.75">
      <c r="A37" s="13" t="s">
        <v>50</v>
      </c>
      <c r="B37" s="201">
        <v>7079.88</v>
      </c>
      <c r="C37" s="142">
        <f t="shared" si="23"/>
        <v>61240.96200000001</v>
      </c>
      <c r="D37" s="139">
        <f t="shared" si="24"/>
        <v>5973.58200000001</v>
      </c>
      <c r="E37" s="202">
        <v>6377.82</v>
      </c>
      <c r="F37" s="185">
        <v>0</v>
      </c>
      <c r="G37" s="185">
        <v>8642.88</v>
      </c>
      <c r="H37" s="185">
        <v>0</v>
      </c>
      <c r="I37" s="185">
        <v>20761.07</v>
      </c>
      <c r="J37" s="185">
        <v>0</v>
      </c>
      <c r="K37" s="185">
        <v>14383.15</v>
      </c>
      <c r="L37" s="185">
        <v>0</v>
      </c>
      <c r="M37" s="185">
        <v>5102.46</v>
      </c>
      <c r="N37" s="185">
        <v>0</v>
      </c>
      <c r="O37" s="185">
        <v>0</v>
      </c>
      <c r="P37" s="186">
        <v>0</v>
      </c>
      <c r="Q37" s="186">
        <v>7145.2</v>
      </c>
      <c r="R37" s="186">
        <v>0</v>
      </c>
      <c r="S37" s="187">
        <f t="shared" si="41"/>
        <v>62412.579999999994</v>
      </c>
      <c r="T37" s="188">
        <f t="shared" si="25"/>
        <v>0</v>
      </c>
      <c r="U37" s="151">
        <v>5551.33</v>
      </c>
      <c r="V37" s="151">
        <v>7523</v>
      </c>
      <c r="W37" s="151">
        <v>18093.65</v>
      </c>
      <c r="X37" s="151">
        <v>12535.38</v>
      </c>
      <c r="Y37" s="151">
        <v>4446.81</v>
      </c>
      <c r="Z37" s="152">
        <v>0</v>
      </c>
      <c r="AA37" s="152">
        <v>9635.16</v>
      </c>
      <c r="AB37" s="189">
        <f t="shared" si="42"/>
        <v>57785.33</v>
      </c>
      <c r="AC37" s="190">
        <f t="shared" si="26"/>
        <v>63758.91200000001</v>
      </c>
      <c r="AD37" s="191">
        <f t="shared" si="27"/>
        <v>0</v>
      </c>
      <c r="AE37" s="191">
        <f t="shared" si="28"/>
        <v>9635.16</v>
      </c>
      <c r="AF37" s="191">
        <f>'[10]Т08-10 '!$I$3+'[10]Т08-10 '!$I$29+'[10]Т08-10 '!$I$51+'[10]Т08-10 '!$I$56+'[10]Т08-10 '!$I$61+'[10]Т08-10 '!$I$90+'[10]Т08-10 '!$I$116+'[10]Т08-10 '!$I$121</f>
        <v>7071.50692</v>
      </c>
      <c r="AG37" s="192">
        <f t="shared" si="29"/>
        <v>4247.928</v>
      </c>
      <c r="AH37" s="192">
        <f t="shared" si="30"/>
        <v>1415.976</v>
      </c>
      <c r="AI37" s="192">
        <f t="shared" si="31"/>
        <v>7079.88</v>
      </c>
      <c r="AJ37" s="192">
        <v>0</v>
      </c>
      <c r="AK37" s="192">
        <f t="shared" si="32"/>
        <v>6938.2824</v>
      </c>
      <c r="AL37" s="192">
        <v>0</v>
      </c>
      <c r="AM37" s="192">
        <f t="shared" si="33"/>
        <v>15929.73</v>
      </c>
      <c r="AN37" s="192">
        <v>0</v>
      </c>
      <c r="AO37" s="192"/>
      <c r="AP37" s="192"/>
      <c r="AQ37" s="193"/>
      <c r="AR37" s="193"/>
      <c r="AS37" s="194"/>
      <c r="AT37" s="194">
        <f>47.8+42</f>
        <v>89.8</v>
      </c>
      <c r="AU37" s="194"/>
      <c r="AV37" s="196"/>
      <c r="AW37" s="197">
        <f>1774+3081</f>
        <v>4855</v>
      </c>
      <c r="AX37" s="192">
        <f t="shared" si="43"/>
        <v>6797</v>
      </c>
      <c r="AY37" s="109">
        <v>6211.16</v>
      </c>
      <c r="AZ37" s="198"/>
      <c r="BA37" s="198">
        <f t="shared" si="36"/>
        <v>0</v>
      </c>
      <c r="BB37" s="110">
        <f t="shared" si="37"/>
        <v>48709.7564</v>
      </c>
      <c r="BC37" s="199">
        <f>'[11]Т06-10'!$M$3+'[11]Т06-10'!$M$30+'[11]Т06-10'!$M$51+'[11]Т06-10'!$M$56+'[11]Т06-10'!$M$61+'[11]Т06-10'!$M$91+'[11]Т06-10'!$M$117+'[11]Т06-10'!$M$122</f>
        <v>3229.002</v>
      </c>
      <c r="BD37" s="131">
        <f t="shared" si="38"/>
        <v>44867.25148</v>
      </c>
      <c r="BE37" s="112">
        <f t="shared" si="39"/>
        <v>18891.660520000012</v>
      </c>
      <c r="BF37" s="112">
        <f t="shared" si="40"/>
        <v>-4627.249999999993</v>
      </c>
    </row>
    <row r="38" spans="1:58" ht="13.5" thickBot="1">
      <c r="A38" s="133" t="s">
        <v>51</v>
      </c>
      <c r="B38" s="178">
        <v>7079.88</v>
      </c>
      <c r="C38" s="142">
        <f t="shared" si="23"/>
        <v>61240.96200000001</v>
      </c>
      <c r="D38" s="184">
        <f>C38-E38-F38-G38-H38-I38-J38-K38-L38-M38-N38+100000</f>
        <v>105993.50200000001</v>
      </c>
      <c r="E38" s="185">
        <v>6375.48</v>
      </c>
      <c r="F38" s="185">
        <v>0</v>
      </c>
      <c r="G38" s="185">
        <v>8639.83</v>
      </c>
      <c r="H38" s="185">
        <v>0</v>
      </c>
      <c r="I38" s="185">
        <v>20753.58</v>
      </c>
      <c r="J38" s="185">
        <v>0</v>
      </c>
      <c r="K38" s="185">
        <v>14377.98</v>
      </c>
      <c r="L38" s="185">
        <v>0</v>
      </c>
      <c r="M38" s="185">
        <v>5100.59</v>
      </c>
      <c r="N38" s="185">
        <v>0</v>
      </c>
      <c r="O38" s="185">
        <v>0</v>
      </c>
      <c r="P38" s="186">
        <v>0</v>
      </c>
      <c r="Q38" s="186">
        <v>7509.66</v>
      </c>
      <c r="R38" s="186">
        <v>50.33</v>
      </c>
      <c r="S38" s="187">
        <f t="shared" si="41"/>
        <v>62757.119999999995</v>
      </c>
      <c r="T38" s="188">
        <f t="shared" si="25"/>
        <v>50.33</v>
      </c>
      <c r="U38" s="187">
        <v>5441.9</v>
      </c>
      <c r="V38" s="187">
        <v>7375.23</v>
      </c>
      <c r="W38" s="187">
        <v>17718.36</v>
      </c>
      <c r="X38" s="187">
        <v>12275.55</v>
      </c>
      <c r="Y38" s="187">
        <v>4382.9</v>
      </c>
      <c r="Z38" s="189">
        <v>0</v>
      </c>
      <c r="AA38" s="189">
        <v>8479.6</v>
      </c>
      <c r="AB38" s="189">
        <f t="shared" si="42"/>
        <v>55673.53999999999</v>
      </c>
      <c r="AC38" s="190">
        <f t="shared" si="26"/>
        <v>161717.372</v>
      </c>
      <c r="AD38" s="191">
        <f t="shared" si="27"/>
        <v>0</v>
      </c>
      <c r="AE38" s="191">
        <f t="shared" si="28"/>
        <v>8529.93</v>
      </c>
      <c r="AF38" s="191">
        <f>'[10]Т09-10'!$I$3+'[10]Т09-10'!$I$29+'[10]Т09-10'!$I$51+'[10]Т09-10'!$I$56+'[10]Т09-10'!$I$61+'[10]Т09-10'!$I$90+'[10]Т09-10'!$I$117+'[10]Т09-10'!$I$122</f>
        <v>7071.50692</v>
      </c>
      <c r="AG38" s="192">
        <f t="shared" si="29"/>
        <v>4247.928</v>
      </c>
      <c r="AH38" s="192">
        <f t="shared" si="30"/>
        <v>1415.976</v>
      </c>
      <c r="AI38" s="192">
        <f t="shared" si="31"/>
        <v>7079.88</v>
      </c>
      <c r="AJ38" s="192">
        <v>0</v>
      </c>
      <c r="AK38" s="192">
        <f t="shared" si="32"/>
        <v>6938.2824</v>
      </c>
      <c r="AL38" s="192">
        <v>0</v>
      </c>
      <c r="AM38" s="192">
        <f t="shared" si="33"/>
        <v>15929.73</v>
      </c>
      <c r="AN38" s="192">
        <v>0</v>
      </c>
      <c r="AO38" s="192">
        <v>6425.46</v>
      </c>
      <c r="AP38" s="192"/>
      <c r="AQ38" s="193">
        <v>100000</v>
      </c>
      <c r="AR38" s="193"/>
      <c r="AS38" s="194">
        <v>3482</v>
      </c>
      <c r="AT38" s="194"/>
      <c r="AU38" s="195">
        <f>0*0.18</f>
        <v>0</v>
      </c>
      <c r="AV38" s="196"/>
      <c r="AW38" s="197">
        <f>2121+3838</f>
        <v>5959</v>
      </c>
      <c r="AX38" s="192">
        <f t="shared" si="43"/>
        <v>8342.6</v>
      </c>
      <c r="AY38" s="109">
        <v>6211.16</v>
      </c>
      <c r="AZ38" s="198"/>
      <c r="BA38" s="198">
        <f t="shared" si="36"/>
        <v>0</v>
      </c>
      <c r="BB38" s="110">
        <f t="shared" si="37"/>
        <v>160073.01640000002</v>
      </c>
      <c r="BC38" s="199">
        <f>'[10]Т09-10'!$M$3+'[10]Т09-10'!$M$29+'[10]Т09-10'!$M$51+'[10]Т09-10'!$M$56+'[10]Т09-10'!$M$61+'[10]Т09-10'!$M$90+'[10]Т09-10'!$M$117+'[10]Т09-10'!$M$122</f>
        <v>3229.002</v>
      </c>
      <c r="BD38" s="131">
        <f t="shared" si="38"/>
        <v>156230.51148000002</v>
      </c>
      <c r="BE38" s="112">
        <f t="shared" si="39"/>
        <v>5486.86051999998</v>
      </c>
      <c r="BF38" s="112">
        <f t="shared" si="40"/>
        <v>-7083.580000000002</v>
      </c>
    </row>
    <row r="39" spans="1:58" ht="12.75">
      <c r="A39" s="141" t="s">
        <v>39</v>
      </c>
      <c r="B39" s="201">
        <v>7079.88</v>
      </c>
      <c r="C39" s="142">
        <f t="shared" si="23"/>
        <v>61240.96200000001</v>
      </c>
      <c r="D39" s="139">
        <f>C39-E39-F39-G39-H39-I39-J39-K39-L39-M39-N39</f>
        <v>6017.332000000004</v>
      </c>
      <c r="E39" s="82">
        <v>6372.65</v>
      </c>
      <c r="F39" s="82">
        <v>0</v>
      </c>
      <c r="G39" s="82">
        <v>8636.19</v>
      </c>
      <c r="H39" s="82">
        <v>0</v>
      </c>
      <c r="I39" s="82">
        <v>20744.6</v>
      </c>
      <c r="J39" s="82">
        <v>0</v>
      </c>
      <c r="K39" s="82">
        <v>14371.84</v>
      </c>
      <c r="L39" s="82">
        <v>0</v>
      </c>
      <c r="M39" s="82">
        <v>5098.35</v>
      </c>
      <c r="N39" s="82">
        <v>0</v>
      </c>
      <c r="O39" s="82">
        <v>0</v>
      </c>
      <c r="P39" s="83">
        <v>0</v>
      </c>
      <c r="Q39" s="83">
        <v>7612</v>
      </c>
      <c r="R39" s="83">
        <v>0</v>
      </c>
      <c r="S39" s="187">
        <f t="shared" si="41"/>
        <v>62835.63</v>
      </c>
      <c r="T39" s="188">
        <f t="shared" si="25"/>
        <v>0</v>
      </c>
      <c r="U39" s="187">
        <v>6553.51</v>
      </c>
      <c r="V39" s="187">
        <v>8881.39</v>
      </c>
      <c r="W39" s="187">
        <v>21333.64</v>
      </c>
      <c r="X39" s="187">
        <v>14779.87</v>
      </c>
      <c r="Y39" s="187">
        <v>5225.57</v>
      </c>
      <c r="Z39" s="189">
        <v>0</v>
      </c>
      <c r="AA39" s="189">
        <v>9242.15</v>
      </c>
      <c r="AB39" s="189">
        <f t="shared" si="42"/>
        <v>66016.13</v>
      </c>
      <c r="AC39" s="190">
        <f t="shared" si="26"/>
        <v>72033.46200000001</v>
      </c>
      <c r="AD39" s="191">
        <f t="shared" si="27"/>
        <v>0</v>
      </c>
      <c r="AE39" s="191">
        <f t="shared" si="28"/>
        <v>9242.15</v>
      </c>
      <c r="AF39" s="191">
        <f>'[10]Т10-10'!$I$3+'[10]Т10-10'!$I$29+'[10]Т10-10'!$I$51+'[10]Т10-10'!$I$56+'[10]Т10-10'!$I$61+'[10]Т10-10'!$I$90+'[10]Т10-10'!$I$117+'[10]Т10-10'!$I$122+150</f>
        <v>7221.50692</v>
      </c>
      <c r="AG39" s="192">
        <f t="shared" si="29"/>
        <v>4247.928</v>
      </c>
      <c r="AH39" s="192">
        <f t="shared" si="30"/>
        <v>1415.976</v>
      </c>
      <c r="AI39" s="192">
        <f t="shared" si="31"/>
        <v>7079.88</v>
      </c>
      <c r="AJ39" s="192">
        <v>0</v>
      </c>
      <c r="AK39" s="192">
        <f t="shared" si="32"/>
        <v>6938.2824</v>
      </c>
      <c r="AL39" s="192">
        <v>0</v>
      </c>
      <c r="AM39" s="192">
        <f t="shared" si="33"/>
        <v>15929.73</v>
      </c>
      <c r="AN39" s="192">
        <v>0</v>
      </c>
      <c r="AO39" s="192"/>
      <c r="AP39" s="192"/>
      <c r="AQ39" s="193"/>
      <c r="AR39" s="193"/>
      <c r="AS39" s="194">
        <v>6683</v>
      </c>
      <c r="AT39" s="194">
        <f>28642.22+120+84</f>
        <v>28846.22</v>
      </c>
      <c r="AU39" s="194"/>
      <c r="AV39" s="196"/>
      <c r="AW39" s="197">
        <f>2319+3320</f>
        <v>5639</v>
      </c>
      <c r="AX39" s="192">
        <f t="shared" si="43"/>
        <v>7894.599999999999</v>
      </c>
      <c r="AY39" s="109">
        <v>11819.06</v>
      </c>
      <c r="AZ39" s="198"/>
      <c r="BA39" s="198">
        <f t="shared" si="36"/>
        <v>0</v>
      </c>
      <c r="BB39" s="110">
        <f t="shared" si="37"/>
        <v>90854.6764</v>
      </c>
      <c r="BC39" s="199">
        <f>'[10]Т10-10'!$M$3+'[10]Т10-10'!$M$29+'[10]Т10-10'!$M$51+'[10]Т10-10'!$M$56+'[10]Т10-10'!$M$61+'[10]Т10-10'!$M$90+'[10]Т10-10'!$M$117+'[10]Т10-10'!$M$122+37.5</f>
        <v>3266.502</v>
      </c>
      <c r="BD39" s="131">
        <f t="shared" si="38"/>
        <v>86899.67147999999</v>
      </c>
      <c r="BE39" s="112">
        <f t="shared" si="39"/>
        <v>-14866.209479999983</v>
      </c>
      <c r="BF39" s="112">
        <f t="shared" si="40"/>
        <v>3180.5000000000073</v>
      </c>
    </row>
    <row r="40" spans="1:58" ht="12.75">
      <c r="A40" s="13" t="s">
        <v>40</v>
      </c>
      <c r="B40" s="201">
        <v>7079.88</v>
      </c>
      <c r="C40" s="142">
        <f t="shared" si="23"/>
        <v>61240.96200000001</v>
      </c>
      <c r="D40" s="139">
        <f>C40-E40-F40-G40-H40-I40-J40-K40-L40-M40-N40</f>
        <v>5979.632000000004</v>
      </c>
      <c r="E40" s="185">
        <v>6375.8</v>
      </c>
      <c r="F40" s="185">
        <v>0</v>
      </c>
      <c r="G40" s="185">
        <v>8640.33</v>
      </c>
      <c r="H40" s="185">
        <v>0</v>
      </c>
      <c r="I40" s="185">
        <v>20754.85</v>
      </c>
      <c r="J40" s="185">
        <v>0</v>
      </c>
      <c r="K40" s="185">
        <v>14378.88</v>
      </c>
      <c r="L40" s="185">
        <v>0</v>
      </c>
      <c r="M40" s="185">
        <v>5111.47</v>
      </c>
      <c r="N40" s="185">
        <v>0</v>
      </c>
      <c r="O40" s="185">
        <v>0</v>
      </c>
      <c r="P40" s="186">
        <v>0</v>
      </c>
      <c r="Q40" s="186">
        <v>7537.14</v>
      </c>
      <c r="R40" s="186">
        <v>0</v>
      </c>
      <c r="S40" s="187">
        <f t="shared" si="41"/>
        <v>62798.469999999994</v>
      </c>
      <c r="T40" s="188">
        <f t="shared" si="25"/>
        <v>0</v>
      </c>
      <c r="U40" s="203">
        <v>4820.29</v>
      </c>
      <c r="V40" s="187">
        <v>6531.6</v>
      </c>
      <c r="W40" s="187">
        <v>15690.27</v>
      </c>
      <c r="X40" s="187">
        <v>10869.85</v>
      </c>
      <c r="Y40" s="187">
        <v>3849.03</v>
      </c>
      <c r="Z40" s="189">
        <v>0</v>
      </c>
      <c r="AA40" s="189">
        <v>7299.09</v>
      </c>
      <c r="AB40" s="189">
        <f t="shared" si="42"/>
        <v>49060.130000000005</v>
      </c>
      <c r="AC40" s="190">
        <f t="shared" si="26"/>
        <v>55039.76200000001</v>
      </c>
      <c r="AD40" s="191">
        <f t="shared" si="27"/>
        <v>0</v>
      </c>
      <c r="AE40" s="191">
        <f t="shared" si="28"/>
        <v>7299.09</v>
      </c>
      <c r="AF40" s="191">
        <f>'[10]Т11'!$I$3+'[10]Т11'!$I$29+'[10]Т11'!$I$51+'[10]Т11'!$I$56+'[10]Т11'!$I$61+'[10]Т11'!$I$90+'[10]Т11'!$I$116+'[10]Т11'!$I$121+150</f>
        <v>7221.50692</v>
      </c>
      <c r="AG40" s="192">
        <f t="shared" si="29"/>
        <v>4247.928</v>
      </c>
      <c r="AH40" s="192">
        <f t="shared" si="30"/>
        <v>1415.976</v>
      </c>
      <c r="AI40" s="192">
        <f t="shared" si="31"/>
        <v>7079.88</v>
      </c>
      <c r="AJ40" s="192">
        <v>0</v>
      </c>
      <c r="AK40" s="192">
        <f t="shared" si="32"/>
        <v>6938.2824</v>
      </c>
      <c r="AL40" s="192">
        <v>0</v>
      </c>
      <c r="AM40" s="192">
        <f t="shared" si="33"/>
        <v>15929.73</v>
      </c>
      <c r="AN40" s="192">
        <v>0</v>
      </c>
      <c r="AO40" s="192"/>
      <c r="AP40" s="192"/>
      <c r="AQ40" s="193"/>
      <c r="AR40" s="193"/>
      <c r="AS40" s="194">
        <v>15166</v>
      </c>
      <c r="AT40" s="194"/>
      <c r="AU40" s="194">
        <f>0*0.18</f>
        <v>0</v>
      </c>
      <c r="AV40" s="196"/>
      <c r="AW40" s="197">
        <f>2833+4292</f>
        <v>7125</v>
      </c>
      <c r="AX40" s="192">
        <f t="shared" si="43"/>
        <v>9975</v>
      </c>
      <c r="AY40" s="109">
        <v>11819.26</v>
      </c>
      <c r="AZ40" s="198"/>
      <c r="BA40" s="198">
        <f t="shared" si="36"/>
        <v>0</v>
      </c>
      <c r="BB40" s="110">
        <f t="shared" si="37"/>
        <v>72572.05639999999</v>
      </c>
      <c r="BC40" s="199">
        <f>'[10]Т11'!$M$3+'[10]Т11'!$M$29+'[10]Т11'!$M$51+'[10]Т11'!$M$56+'[10]Т11'!$M$61+'[10]Т11'!$M$90+'[10]Т11'!$M$116+'[10]Т11'!$M$121+37.5</f>
        <v>3266.502</v>
      </c>
      <c r="BD40" s="131">
        <f t="shared" si="38"/>
        <v>68617.05147999998</v>
      </c>
      <c r="BE40" s="112">
        <f t="shared" si="39"/>
        <v>-13577.289479999978</v>
      </c>
      <c r="BF40" s="112">
        <f t="shared" si="40"/>
        <v>-13738.33999999999</v>
      </c>
    </row>
    <row r="41" spans="1:58" s="114" customFormat="1" ht="12.75">
      <c r="A41" s="100" t="s">
        <v>41</v>
      </c>
      <c r="B41" s="200">
        <v>7116.98</v>
      </c>
      <c r="C41" s="142">
        <f t="shared" si="23"/>
        <v>61561.877</v>
      </c>
      <c r="D41" s="139">
        <f t="shared" si="24"/>
        <v>6000.8970000000045</v>
      </c>
      <c r="E41" s="185">
        <v>6411.68</v>
      </c>
      <c r="F41" s="185">
        <v>0</v>
      </c>
      <c r="G41" s="185">
        <v>8688.81</v>
      </c>
      <c r="H41" s="185">
        <v>0</v>
      </c>
      <c r="I41" s="185">
        <v>20871.37</v>
      </c>
      <c r="J41" s="185">
        <v>0</v>
      </c>
      <c r="K41" s="185">
        <v>14459.55</v>
      </c>
      <c r="L41" s="185">
        <v>0</v>
      </c>
      <c r="M41" s="185">
        <v>5129.57</v>
      </c>
      <c r="N41" s="185">
        <v>0</v>
      </c>
      <c r="O41" s="185">
        <v>0</v>
      </c>
      <c r="P41" s="186">
        <v>0</v>
      </c>
      <c r="Q41" s="186"/>
      <c r="R41" s="186"/>
      <c r="S41" s="187">
        <f t="shared" si="41"/>
        <v>55560.98</v>
      </c>
      <c r="T41" s="188">
        <f t="shared" si="25"/>
        <v>0</v>
      </c>
      <c r="U41" s="187">
        <v>7375.05</v>
      </c>
      <c r="V41" s="187">
        <v>9993.97</v>
      </c>
      <c r="W41" s="187">
        <v>24007.93</v>
      </c>
      <c r="X41" s="187">
        <v>16632.5</v>
      </c>
      <c r="Y41" s="187">
        <v>5898.89</v>
      </c>
      <c r="Z41" s="189">
        <v>0</v>
      </c>
      <c r="AA41" s="189">
        <v>9198.27</v>
      </c>
      <c r="AB41" s="189">
        <f t="shared" si="42"/>
        <v>73106.61</v>
      </c>
      <c r="AC41" s="190">
        <f t="shared" si="26"/>
        <v>79107.50700000001</v>
      </c>
      <c r="AD41" s="191">
        <f t="shared" si="27"/>
        <v>0</v>
      </c>
      <c r="AE41" s="191">
        <f t="shared" si="28"/>
        <v>9198.27</v>
      </c>
      <c r="AF41" s="191">
        <f>'[10]Т11'!$I$3+'[10]Т11'!$I$29+'[10]Т11'!$I$51+'[10]Т11'!$I$56+'[10]Т11'!$I$61+'[10]Т11'!$I$90+'[10]Т11'!$I$116+'[10]Т11'!$I$121+150</f>
        <v>7221.50692</v>
      </c>
      <c r="AG41" s="192">
        <f t="shared" si="29"/>
        <v>4270.187999999999</v>
      </c>
      <c r="AH41" s="192">
        <f t="shared" si="30"/>
        <v>1423.396</v>
      </c>
      <c r="AI41" s="192">
        <f t="shared" si="31"/>
        <v>7116.98</v>
      </c>
      <c r="AJ41" s="192">
        <v>0</v>
      </c>
      <c r="AK41" s="192">
        <f t="shared" si="32"/>
        <v>6974.640399999999</v>
      </c>
      <c r="AL41" s="192">
        <v>0</v>
      </c>
      <c r="AM41" s="192">
        <f t="shared" si="33"/>
        <v>16013.204999999998</v>
      </c>
      <c r="AN41" s="192">
        <v>0</v>
      </c>
      <c r="AO41" s="192"/>
      <c r="AP41" s="192"/>
      <c r="AQ41" s="193"/>
      <c r="AR41" s="193"/>
      <c r="AS41" s="194">
        <v>325</v>
      </c>
      <c r="AT41" s="194">
        <f>4555+388.33+11357.95</f>
        <v>16301.28</v>
      </c>
      <c r="AU41" s="194">
        <f>(388.33+11357.95)*0.18</f>
        <v>2114.3304</v>
      </c>
      <c r="AV41" s="196"/>
      <c r="AW41" s="197">
        <f>3112+5050</f>
        <v>8162</v>
      </c>
      <c r="AX41" s="192">
        <f t="shared" si="43"/>
        <v>11426.8</v>
      </c>
      <c r="AY41" s="109">
        <v>11866.49</v>
      </c>
      <c r="AZ41" s="198"/>
      <c r="BA41" s="198">
        <f t="shared" si="36"/>
        <v>0</v>
      </c>
      <c r="BB41" s="110">
        <f t="shared" si="37"/>
        <v>77832.3098</v>
      </c>
      <c r="BC41" s="199">
        <f>'[10]Т11'!$M$3+'[10]Т11'!$M$29+'[10]Т11'!$M$51+'[10]Т11'!$M$56+'[10]Т11'!$M$61+'[10]Т11'!$M$90+'[10]Т11'!$M$116+'[10]Т11'!$M$121+37.5</f>
        <v>3266.502</v>
      </c>
      <c r="BD41" s="131">
        <f t="shared" si="38"/>
        <v>73877.30488</v>
      </c>
      <c r="BE41" s="112">
        <f t="shared" si="39"/>
        <v>5230.202120000009</v>
      </c>
      <c r="BF41" s="112">
        <f t="shared" si="40"/>
        <v>17545.629999999997</v>
      </c>
    </row>
    <row r="42" spans="1:58" s="23" customFormat="1" ht="12.75">
      <c r="A42" s="18" t="s">
        <v>3</v>
      </c>
      <c r="B42" s="19"/>
      <c r="C42" s="19">
        <f>SUM(C30:C41)</f>
        <v>735215.9190000001</v>
      </c>
      <c r="D42" s="19">
        <f aca="true" t="shared" si="44" ref="D42:BF42">SUM(D30:D41)</f>
        <v>174201.98900000006</v>
      </c>
      <c r="E42" s="19">
        <f t="shared" si="44"/>
        <v>73816.95999999999</v>
      </c>
      <c r="F42" s="19">
        <f t="shared" si="44"/>
        <v>2475.1699999999996</v>
      </c>
      <c r="G42" s="19">
        <f t="shared" si="44"/>
        <v>100034.69</v>
      </c>
      <c r="H42" s="19">
        <f t="shared" si="44"/>
        <v>3355.1000000000004</v>
      </c>
      <c r="I42" s="19">
        <f t="shared" si="44"/>
        <v>240291.77000000002</v>
      </c>
      <c r="J42" s="19">
        <f t="shared" si="44"/>
        <v>8057.42</v>
      </c>
      <c r="K42" s="19">
        <f t="shared" si="44"/>
        <v>166473.04</v>
      </c>
      <c r="L42" s="19">
        <f t="shared" si="44"/>
        <v>5582.4</v>
      </c>
      <c r="M42" s="19">
        <f t="shared" si="44"/>
        <v>59067.19</v>
      </c>
      <c r="N42" s="19">
        <f t="shared" si="44"/>
        <v>1860.19</v>
      </c>
      <c r="O42" s="19">
        <f t="shared" si="44"/>
        <v>0</v>
      </c>
      <c r="P42" s="19">
        <f t="shared" si="44"/>
        <v>0</v>
      </c>
      <c r="Q42" s="19">
        <f t="shared" si="44"/>
        <v>120775.8</v>
      </c>
      <c r="R42" s="19">
        <f t="shared" si="44"/>
        <v>3294.3300000000004</v>
      </c>
      <c r="S42" s="19">
        <f t="shared" si="44"/>
        <v>760459.45</v>
      </c>
      <c r="T42" s="19">
        <f t="shared" si="44"/>
        <v>24624.61</v>
      </c>
      <c r="U42" s="19">
        <f t="shared" si="44"/>
        <v>65841.91</v>
      </c>
      <c r="V42" s="19">
        <f t="shared" si="44"/>
        <v>89219.63</v>
      </c>
      <c r="W42" s="19">
        <f t="shared" si="44"/>
        <v>214306.99999999997</v>
      </c>
      <c r="X42" s="19">
        <f t="shared" si="44"/>
        <v>148494.41</v>
      </c>
      <c r="Y42" s="19">
        <f t="shared" si="44"/>
        <v>52691.22</v>
      </c>
      <c r="Z42" s="19">
        <f t="shared" si="44"/>
        <v>0</v>
      </c>
      <c r="AA42" s="19">
        <f t="shared" si="44"/>
        <v>141501.55</v>
      </c>
      <c r="AB42" s="19">
        <f t="shared" si="44"/>
        <v>712055.72</v>
      </c>
      <c r="AC42" s="19">
        <f t="shared" si="44"/>
        <v>910882.319</v>
      </c>
      <c r="AD42" s="19">
        <f t="shared" si="44"/>
        <v>0</v>
      </c>
      <c r="AE42" s="19">
        <f t="shared" si="44"/>
        <v>144795.87999999998</v>
      </c>
      <c r="AF42" s="19">
        <f t="shared" si="44"/>
        <v>85308.02304</v>
      </c>
      <c r="AG42" s="19">
        <f t="shared" si="44"/>
        <v>50997.636</v>
      </c>
      <c r="AH42" s="19">
        <f t="shared" si="44"/>
        <v>16999.212000000003</v>
      </c>
      <c r="AI42" s="19">
        <f t="shared" si="44"/>
        <v>84996.06</v>
      </c>
      <c r="AJ42" s="19">
        <f t="shared" si="44"/>
        <v>0</v>
      </c>
      <c r="AK42" s="19">
        <f t="shared" si="44"/>
        <v>83296.13879999999</v>
      </c>
      <c r="AL42" s="19">
        <f t="shared" si="44"/>
        <v>0</v>
      </c>
      <c r="AM42" s="19">
        <f t="shared" si="44"/>
        <v>191241.13499999998</v>
      </c>
      <c r="AN42" s="19">
        <f t="shared" si="44"/>
        <v>0</v>
      </c>
      <c r="AO42" s="19">
        <f t="shared" si="44"/>
        <v>6425.46</v>
      </c>
      <c r="AP42" s="19">
        <f t="shared" si="44"/>
        <v>0</v>
      </c>
      <c r="AQ42" s="145">
        <f t="shared" si="44"/>
        <v>100000</v>
      </c>
      <c r="AR42" s="145">
        <f t="shared" si="44"/>
        <v>0</v>
      </c>
      <c r="AS42" s="20">
        <f t="shared" si="44"/>
        <v>67462</v>
      </c>
      <c r="AT42" s="20">
        <f t="shared" si="44"/>
        <v>47251.89</v>
      </c>
      <c r="AU42" s="20">
        <f t="shared" si="44"/>
        <v>2114.3304</v>
      </c>
      <c r="AV42" s="19">
        <f t="shared" si="44"/>
        <v>0</v>
      </c>
      <c r="AW42" s="19"/>
      <c r="AX42" s="19">
        <f t="shared" si="44"/>
        <v>115472.00000000001</v>
      </c>
      <c r="AY42" s="19">
        <f t="shared" si="44"/>
        <v>123266.76591642214</v>
      </c>
      <c r="AZ42" s="19">
        <f t="shared" si="44"/>
        <v>0</v>
      </c>
      <c r="BA42" s="19">
        <f t="shared" si="44"/>
        <v>0</v>
      </c>
      <c r="BB42" s="19">
        <f t="shared" si="44"/>
        <v>889522.6281164222</v>
      </c>
      <c r="BC42" s="19">
        <f t="shared" si="44"/>
        <v>38860.524</v>
      </c>
      <c r="BD42" s="19">
        <f t="shared" si="44"/>
        <v>843075.1290764221</v>
      </c>
      <c r="BE42" s="19">
        <f t="shared" si="44"/>
        <v>67807.18992357788</v>
      </c>
      <c r="BF42" s="146">
        <f t="shared" si="44"/>
        <v>-48403.73000000002</v>
      </c>
    </row>
    <row r="43" spans="1:58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86"/>
      <c r="AE43" s="86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71"/>
      <c r="AQ43" s="147"/>
      <c r="AR43" s="147"/>
      <c r="AS43" s="71"/>
      <c r="AT43" s="71"/>
      <c r="AU43" s="71"/>
      <c r="AV43" s="22"/>
      <c r="AW43" s="22"/>
      <c r="AX43" s="78"/>
      <c r="AY43" s="52"/>
      <c r="AZ43" s="52"/>
      <c r="BA43" s="52"/>
      <c r="BB43" s="52"/>
      <c r="BC43" s="52"/>
      <c r="BD43" s="52"/>
      <c r="BE43" s="52"/>
      <c r="BF43" s="148"/>
    </row>
    <row r="44" spans="1:58" s="23" customFormat="1" ht="13.5" thickBot="1">
      <c r="A44" s="26" t="s">
        <v>52</v>
      </c>
      <c r="B44" s="27"/>
      <c r="C44" s="27">
        <f>C28+C42</f>
        <v>1654712.8220000002</v>
      </c>
      <c r="D44" s="27">
        <f aca="true" t="shared" si="45" ref="D44:BF44">D28+D42</f>
        <v>297003.61688980006</v>
      </c>
      <c r="E44" s="27">
        <f t="shared" si="45"/>
        <v>159637.80999999997</v>
      </c>
      <c r="F44" s="27">
        <f t="shared" si="45"/>
        <v>8196.93</v>
      </c>
      <c r="G44" s="27">
        <f t="shared" si="45"/>
        <v>215912.84</v>
      </c>
      <c r="H44" s="27">
        <f t="shared" si="45"/>
        <v>11031.79</v>
      </c>
      <c r="I44" s="27">
        <f t="shared" si="45"/>
        <v>513022.23000000004</v>
      </c>
      <c r="J44" s="27">
        <f t="shared" si="45"/>
        <v>26132.25</v>
      </c>
      <c r="K44" s="27">
        <f t="shared" si="45"/>
        <v>365430.12</v>
      </c>
      <c r="L44" s="27">
        <f t="shared" si="45"/>
        <v>18746.86</v>
      </c>
      <c r="M44" s="27">
        <f t="shared" si="45"/>
        <v>127597.77</v>
      </c>
      <c r="N44" s="27">
        <f t="shared" si="45"/>
        <v>6399.299999999999</v>
      </c>
      <c r="O44" s="27">
        <f t="shared" si="45"/>
        <v>0</v>
      </c>
      <c r="P44" s="27">
        <f t="shared" si="45"/>
        <v>0</v>
      </c>
      <c r="Q44" s="27">
        <f t="shared" si="45"/>
        <v>296454.78</v>
      </c>
      <c r="R44" s="27">
        <f t="shared" si="45"/>
        <v>8816.7</v>
      </c>
      <c r="S44" s="27">
        <f t="shared" si="45"/>
        <v>1678055.55</v>
      </c>
      <c r="T44" s="27">
        <f t="shared" si="45"/>
        <v>79323.82999999999</v>
      </c>
      <c r="U44" s="27">
        <f t="shared" si="45"/>
        <v>135307.86</v>
      </c>
      <c r="V44" s="27">
        <f t="shared" si="45"/>
        <v>183225.75</v>
      </c>
      <c r="W44" s="27">
        <f t="shared" si="45"/>
        <v>440437.12</v>
      </c>
      <c r="X44" s="27">
        <f t="shared" si="45"/>
        <v>305087.63</v>
      </c>
      <c r="Y44" s="27">
        <f t="shared" si="45"/>
        <v>108297.43</v>
      </c>
      <c r="Z44" s="27">
        <f t="shared" si="45"/>
        <v>0</v>
      </c>
      <c r="AA44" s="27">
        <f t="shared" si="45"/>
        <v>311434.29</v>
      </c>
      <c r="AB44" s="27">
        <f t="shared" si="45"/>
        <v>1483790.08</v>
      </c>
      <c r="AC44" s="27">
        <f t="shared" si="45"/>
        <v>1860117.5268898</v>
      </c>
      <c r="AD44" s="27">
        <f t="shared" si="45"/>
        <v>0</v>
      </c>
      <c r="AE44" s="27">
        <f t="shared" si="45"/>
        <v>320250.99</v>
      </c>
      <c r="AF44" s="27">
        <f t="shared" si="45"/>
        <v>126313.92791999999</v>
      </c>
      <c r="AG44" s="27">
        <f t="shared" si="45"/>
        <v>113076.372</v>
      </c>
      <c r="AH44" s="27">
        <f t="shared" si="45"/>
        <v>37891.012451200004</v>
      </c>
      <c r="AI44" s="27">
        <f t="shared" si="45"/>
        <v>172036.19613378998</v>
      </c>
      <c r="AJ44" s="27">
        <f t="shared" si="45"/>
        <v>15667.224504082198</v>
      </c>
      <c r="AK44" s="27">
        <f t="shared" si="45"/>
        <v>171376.678444934</v>
      </c>
      <c r="AL44" s="27">
        <f t="shared" si="45"/>
        <v>15854.497136088117</v>
      </c>
      <c r="AM44" s="27">
        <f t="shared" si="45"/>
        <v>384116.5936657556</v>
      </c>
      <c r="AN44" s="27">
        <f t="shared" si="45"/>
        <v>34717.58255983601</v>
      </c>
      <c r="AO44" s="27">
        <f t="shared" si="45"/>
        <v>6425.46</v>
      </c>
      <c r="AP44" s="27">
        <f t="shared" si="45"/>
        <v>0</v>
      </c>
      <c r="AQ44" s="149">
        <f t="shared" si="45"/>
        <v>115070.19</v>
      </c>
      <c r="AR44" s="149">
        <f t="shared" si="45"/>
        <v>2712.6342</v>
      </c>
      <c r="AS44" s="150">
        <f t="shared" si="45"/>
        <v>200571.93</v>
      </c>
      <c r="AT44" s="150">
        <f t="shared" si="45"/>
        <v>50996.79</v>
      </c>
      <c r="AU44" s="150">
        <f t="shared" si="45"/>
        <v>26748.209799999997</v>
      </c>
      <c r="AV44" s="27">
        <f t="shared" si="45"/>
        <v>0</v>
      </c>
      <c r="AW44" s="27">
        <f t="shared" si="45"/>
        <v>0</v>
      </c>
      <c r="AX44" s="27">
        <f t="shared" si="45"/>
        <v>228248.09280000004</v>
      </c>
      <c r="AY44" s="27">
        <f t="shared" si="45"/>
        <v>265397.6760370402</v>
      </c>
      <c r="AZ44" s="27">
        <f t="shared" si="45"/>
        <v>0</v>
      </c>
      <c r="BA44" s="27">
        <f t="shared" si="45"/>
        <v>0</v>
      </c>
      <c r="BB44" s="27">
        <f t="shared" si="45"/>
        <v>1840907.1397327264</v>
      </c>
      <c r="BC44" s="27">
        <f t="shared" si="45"/>
        <v>57257.6127232548</v>
      </c>
      <c r="BD44" s="27">
        <f t="shared" si="45"/>
        <v>1771850.8245359808</v>
      </c>
      <c r="BE44" s="27">
        <f t="shared" si="45"/>
        <v>88266.70235381914</v>
      </c>
      <c r="BF44" s="27">
        <f t="shared" si="45"/>
        <v>-194265.46999999997</v>
      </c>
    </row>
  </sheetData>
  <sheetProtection/>
  <mergeCells count="67">
    <mergeCell ref="BB5:BB6"/>
    <mergeCell ref="AG3:BB4"/>
    <mergeCell ref="BC3:BD3"/>
    <mergeCell ref="BE3:BE6"/>
    <mergeCell ref="AH5:AH6"/>
    <mergeCell ref="AI5:AI6"/>
    <mergeCell ref="AJ5:AJ6"/>
    <mergeCell ref="AK5:AK6"/>
    <mergeCell ref="AL5:AL6"/>
    <mergeCell ref="AM5:AM6"/>
    <mergeCell ref="G3:H4"/>
    <mergeCell ref="I3:J4"/>
    <mergeCell ref="K3:L4"/>
    <mergeCell ref="BF3:BF6"/>
    <mergeCell ref="BC4:BC6"/>
    <mergeCell ref="BD4:BD6"/>
    <mergeCell ref="AV5:AX5"/>
    <mergeCell ref="AY5:AY6"/>
    <mergeCell ref="AZ5:AZ6"/>
    <mergeCell ref="BA5:BA6"/>
    <mergeCell ref="A1:N1"/>
    <mergeCell ref="A3:A6"/>
    <mergeCell ref="B3:B6"/>
    <mergeCell ref="C3:C6"/>
    <mergeCell ref="D3:D6"/>
    <mergeCell ref="AC3:AC6"/>
    <mergeCell ref="M5:M6"/>
    <mergeCell ref="N5:N6"/>
    <mergeCell ref="O5:O6"/>
    <mergeCell ref="E3:F4"/>
    <mergeCell ref="AB5:AB6"/>
    <mergeCell ref="M3:N4"/>
    <mergeCell ref="O3:P4"/>
    <mergeCell ref="S3:T4"/>
    <mergeCell ref="U3:AB4"/>
    <mergeCell ref="X5:X6"/>
    <mergeCell ref="Y5:Y6"/>
    <mergeCell ref="Z5:Z6"/>
    <mergeCell ref="AA5:AA6"/>
    <mergeCell ref="Q3:R4"/>
    <mergeCell ref="I5:I6"/>
    <mergeCell ref="J5:J6"/>
    <mergeCell ref="K5:K6"/>
    <mergeCell ref="L5:L6"/>
    <mergeCell ref="E5:E6"/>
    <mergeCell ref="F5:F6"/>
    <mergeCell ref="G5:G6"/>
    <mergeCell ref="H5:H6"/>
    <mergeCell ref="AT5:AT6"/>
    <mergeCell ref="P5:P6"/>
    <mergeCell ref="Q5:Q6"/>
    <mergeCell ref="R5:R6"/>
    <mergeCell ref="S5:S6"/>
    <mergeCell ref="AD3:AD6"/>
    <mergeCell ref="T5:T6"/>
    <mergeCell ref="U5:U6"/>
    <mergeCell ref="V5:V6"/>
    <mergeCell ref="W5:W6"/>
    <mergeCell ref="AP5:AP6"/>
    <mergeCell ref="AQ5:AQ6"/>
    <mergeCell ref="AR5:AR6"/>
    <mergeCell ref="AS5:AS6"/>
    <mergeCell ref="AG5:AG6"/>
    <mergeCell ref="AE3:AE6"/>
    <mergeCell ref="AN5:AN6"/>
    <mergeCell ref="AO5:AO6"/>
    <mergeCell ref="AF3:A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C4">
      <selection activeCell="L40" sqref="L40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1.875" style="2" customWidth="1"/>
    <col min="4" max="4" width="10.375" style="2" customWidth="1"/>
    <col min="5" max="5" width="12.00390625" style="2" customWidth="1"/>
    <col min="6" max="6" width="9.875" style="2" customWidth="1"/>
    <col min="7" max="7" width="11.875" style="2" customWidth="1"/>
    <col min="8" max="9" width="12.25390625" style="2" customWidth="1"/>
    <col min="10" max="10" width="10.125" style="2" customWidth="1"/>
    <col min="11" max="11" width="10.375" style="2" customWidth="1"/>
    <col min="12" max="12" width="11.75390625" style="2" customWidth="1"/>
    <col min="13" max="13" width="10.375" style="2" customWidth="1"/>
    <col min="14" max="14" width="10.125" style="2" customWidth="1"/>
    <col min="15" max="15" width="13.00390625" style="2" customWidth="1"/>
    <col min="16" max="16" width="10.375" style="2" customWidth="1"/>
    <col min="17" max="17" width="10.75390625" style="2" customWidth="1"/>
    <col min="18" max="18" width="11.25390625" style="2" customWidth="1"/>
    <col min="19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7" ht="12.75">
      <c r="A6" s="374" t="s">
        <v>77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</row>
    <row r="7" spans="1:17" ht="12.75">
      <c r="A7" s="497" t="s">
        <v>92</v>
      </c>
      <c r="B7" s="497"/>
      <c r="C7" s="497"/>
      <c r="D7" s="497"/>
      <c r="E7" s="497"/>
      <c r="F7" s="497"/>
      <c r="G7" s="497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12.75">
      <c r="A8" s="29"/>
      <c r="B8" s="29"/>
      <c r="C8" s="29"/>
      <c r="D8" s="29"/>
      <c r="E8" s="29"/>
      <c r="F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5" ht="13.5" thickBot="1">
      <c r="A9" s="30" t="s">
        <v>55</v>
      </c>
      <c r="D9" s="4"/>
      <c r="E9" s="30">
        <v>8.65</v>
      </c>
    </row>
    <row r="10" spans="1:17" ht="12.75" customHeight="1">
      <c r="A10" s="353" t="s">
        <v>91</v>
      </c>
      <c r="B10" s="356" t="s">
        <v>0</v>
      </c>
      <c r="C10" s="359" t="s">
        <v>56</v>
      </c>
      <c r="D10" s="362" t="s">
        <v>2</v>
      </c>
      <c r="E10" s="365" t="s">
        <v>57</v>
      </c>
      <c r="F10" s="366"/>
      <c r="G10" s="500" t="s">
        <v>73</v>
      </c>
      <c r="H10" s="500"/>
      <c r="I10" s="179"/>
      <c r="J10" s="486" t="s">
        <v>8</v>
      </c>
      <c r="K10" s="487"/>
      <c r="L10" s="487"/>
      <c r="M10" s="487"/>
      <c r="N10" s="487"/>
      <c r="O10" s="488"/>
      <c r="P10" s="492" t="s">
        <v>58</v>
      </c>
      <c r="Q10" s="505" t="s">
        <v>10</v>
      </c>
    </row>
    <row r="11" spans="1:17" ht="13.5" thickBot="1">
      <c r="A11" s="354"/>
      <c r="B11" s="357"/>
      <c r="C11" s="360"/>
      <c r="D11" s="363"/>
      <c r="E11" s="367"/>
      <c r="F11" s="368"/>
      <c r="G11" s="501"/>
      <c r="H11" s="501"/>
      <c r="I11" s="180"/>
      <c r="J11" s="489"/>
      <c r="K11" s="490"/>
      <c r="L11" s="490"/>
      <c r="M11" s="490"/>
      <c r="N11" s="490"/>
      <c r="O11" s="491"/>
      <c r="P11" s="493"/>
      <c r="Q11" s="506"/>
    </row>
    <row r="12" spans="1:17" ht="26.25" customHeight="1">
      <c r="A12" s="354"/>
      <c r="B12" s="357"/>
      <c r="C12" s="360"/>
      <c r="D12" s="363"/>
      <c r="E12" s="347" t="s">
        <v>59</v>
      </c>
      <c r="F12" s="348"/>
      <c r="G12" s="153" t="s">
        <v>60</v>
      </c>
      <c r="H12" s="508" t="s">
        <v>5</v>
      </c>
      <c r="I12" s="498" t="s">
        <v>75</v>
      </c>
      <c r="J12" s="350" t="s">
        <v>61</v>
      </c>
      <c r="K12" s="352" t="s">
        <v>30</v>
      </c>
      <c r="L12" s="352" t="s">
        <v>62</v>
      </c>
      <c r="M12" s="352" t="s">
        <v>35</v>
      </c>
      <c r="N12" s="352" t="s">
        <v>63</v>
      </c>
      <c r="O12" s="495" t="s">
        <v>37</v>
      </c>
      <c r="P12" s="493"/>
      <c r="Q12" s="506"/>
    </row>
    <row r="13" spans="1:17" ht="66.75" customHeight="1" thickBot="1">
      <c r="A13" s="355"/>
      <c r="B13" s="358"/>
      <c r="C13" s="361"/>
      <c r="D13" s="364"/>
      <c r="E13" s="154" t="s">
        <v>64</v>
      </c>
      <c r="F13" s="32" t="s">
        <v>19</v>
      </c>
      <c r="G13" s="33" t="s">
        <v>74</v>
      </c>
      <c r="H13" s="509"/>
      <c r="I13" s="499"/>
      <c r="J13" s="351"/>
      <c r="K13" s="329"/>
      <c r="L13" s="329"/>
      <c r="M13" s="329"/>
      <c r="N13" s="329"/>
      <c r="O13" s="496"/>
      <c r="P13" s="494"/>
      <c r="Q13" s="507"/>
    </row>
    <row r="14" spans="1:17" ht="13.5" thickBot="1">
      <c r="A14" s="34">
        <v>1</v>
      </c>
      <c r="B14" s="35">
        <v>2</v>
      </c>
      <c r="C14" s="36">
        <v>3</v>
      </c>
      <c r="D14" s="34">
        <v>4</v>
      </c>
      <c r="E14" s="35">
        <v>5</v>
      </c>
      <c r="F14" s="37">
        <v>6</v>
      </c>
      <c r="G14" s="90">
        <v>7</v>
      </c>
      <c r="H14" s="212">
        <v>8</v>
      </c>
      <c r="I14" s="213">
        <v>9</v>
      </c>
      <c r="J14" s="37">
        <v>10</v>
      </c>
      <c r="K14" s="90">
        <v>11</v>
      </c>
      <c r="L14" s="37">
        <v>12</v>
      </c>
      <c r="M14" s="90">
        <v>13</v>
      </c>
      <c r="N14" s="37">
        <v>14</v>
      </c>
      <c r="O14" s="90">
        <v>15</v>
      </c>
      <c r="P14" s="37">
        <v>16</v>
      </c>
      <c r="Q14" s="90">
        <v>17</v>
      </c>
    </row>
    <row r="15" spans="1:17" ht="13.5" hidden="1" thickBot="1">
      <c r="A15" s="8" t="s">
        <v>38</v>
      </c>
      <c r="B15" s="9"/>
      <c r="C15" s="31"/>
      <c r="D15" s="8"/>
      <c r="E15" s="9"/>
      <c r="F15" s="11"/>
      <c r="G15" s="38"/>
      <c r="H15" s="214"/>
      <c r="I15" s="215"/>
      <c r="J15" s="8"/>
      <c r="K15" s="9"/>
      <c r="L15" s="9"/>
      <c r="M15" s="9"/>
      <c r="N15" s="9"/>
      <c r="O15" s="155"/>
      <c r="P15" s="156"/>
      <c r="Q15" s="39"/>
    </row>
    <row r="16" spans="1:19" ht="12.75" hidden="1">
      <c r="A16" s="13" t="s">
        <v>39</v>
      </c>
      <c r="B16" s="14">
        <f>Лист1!B9</f>
        <v>7093.2</v>
      </c>
      <c r="C16" s="40">
        <f>Лист1!C9</f>
        <v>61356.18</v>
      </c>
      <c r="D16" s="157">
        <f>Лист1!D9</f>
        <v>14779.476638400001</v>
      </c>
      <c r="E16" s="15">
        <f>Лист1!S9</f>
        <v>46920.79</v>
      </c>
      <c r="F16" s="17">
        <f>Лист1!T9</f>
        <v>3340.5600000000004</v>
      </c>
      <c r="G16" s="41">
        <f>Лист1!AB9</f>
        <v>536.24</v>
      </c>
      <c r="H16" s="216">
        <f>Лист1!AC9+Лист1!AE9</f>
        <v>18656.276638400002</v>
      </c>
      <c r="I16" s="216">
        <f>Лист1!AF9</f>
        <v>0</v>
      </c>
      <c r="J16" s="42">
        <f>Лист1!AG9</f>
        <v>4255.92</v>
      </c>
      <c r="K16" s="15">
        <f>Лист1!AI9+Лист1!AJ9</f>
        <v>7129.5337567999995</v>
      </c>
      <c r="L16" s="15">
        <f>Лист1!AH9+Лист1!AK9+Лист1!AL9+Лист1!AM9+Лист1!AN9+Лист1!AO9+Лист1!AP9+Лист1!AQ9+Лист1!AR9</f>
        <v>25034.691136919995</v>
      </c>
      <c r="M16" s="16">
        <f>Лист1!AS9+Лист1!AT9+Лист1!AU9</f>
        <v>0</v>
      </c>
      <c r="N16" s="16">
        <f>Лист1!AX9</f>
        <v>0</v>
      </c>
      <c r="O16" s="158">
        <f>Лист1!BB9</f>
        <v>36420.14489372</v>
      </c>
      <c r="P16" s="159">
        <f>Лист1!BE9</f>
        <v>-17763.868255319994</v>
      </c>
      <c r="Q16" s="43">
        <f>Лист1!BF9</f>
        <v>-46384.55</v>
      </c>
      <c r="R16" s="1"/>
      <c r="S16" s="1"/>
    </row>
    <row r="17" spans="1:19" ht="12.75" hidden="1">
      <c r="A17" s="13" t="s">
        <v>40</v>
      </c>
      <c r="B17" s="14">
        <f>Лист1!B10</f>
        <v>7093.2</v>
      </c>
      <c r="C17" s="40">
        <f>Лист1!C10</f>
        <v>61356.18</v>
      </c>
      <c r="D17" s="157">
        <f>Лист1!D10</f>
        <v>14779.476638400001</v>
      </c>
      <c r="E17" s="15">
        <f>Лист1!S10</f>
        <v>46423.56</v>
      </c>
      <c r="F17" s="17">
        <f>Лист1!T10</f>
        <v>3192.73</v>
      </c>
      <c r="G17" s="41">
        <f>Лист1!AB10</f>
        <v>24284.149999999998</v>
      </c>
      <c r="H17" s="216">
        <f>Лист1!AC10+Лист1!AE10</f>
        <v>42256.3566384</v>
      </c>
      <c r="I17" s="216">
        <f>Лист1!AF10</f>
        <v>0</v>
      </c>
      <c r="J17" s="42">
        <f>Лист1!AG10</f>
        <v>4255.92</v>
      </c>
      <c r="K17" s="15">
        <f>Лист1!AI10+Лист1!AJ10</f>
        <v>7129.5337567999995</v>
      </c>
      <c r="L17" s="15">
        <f>Лист1!AH10+Лист1!AK10+Лист1!AL10+Лист1!AM10+Лист1!AN10+Лист1!AO10+Лист1!AP10+Лист1!AQ10+Лист1!AR10</f>
        <v>24960.134370519998</v>
      </c>
      <c r="M17" s="16">
        <f>Лист1!AS10+Лист1!AT10+Лист1!AU10</f>
        <v>10856</v>
      </c>
      <c r="N17" s="16">
        <f>Лист1!AX10</f>
        <v>0</v>
      </c>
      <c r="O17" s="158">
        <f>Лист1!BB10</f>
        <v>47201.58812731999</v>
      </c>
      <c r="P17" s="159">
        <f>Лист1!BE10</f>
        <v>-4945.2314889199915</v>
      </c>
      <c r="Q17" s="43">
        <f>Лист1!BF10</f>
        <v>-22139.41</v>
      </c>
      <c r="R17" s="1"/>
      <c r="S17" s="1"/>
    </row>
    <row r="18" spans="1:19" ht="13.5" hidden="1" thickBot="1">
      <c r="A18" s="44" t="s">
        <v>41</v>
      </c>
      <c r="B18" s="14">
        <f>Лист1!B11</f>
        <v>7093.2</v>
      </c>
      <c r="C18" s="40">
        <f>Лист1!C11</f>
        <v>61356.18</v>
      </c>
      <c r="D18" s="157">
        <f>Лист1!D11</f>
        <v>14746.957863000001</v>
      </c>
      <c r="E18" s="15">
        <f>Лист1!S11</f>
        <v>51408.079999999994</v>
      </c>
      <c r="F18" s="17">
        <f>Лист1!T11</f>
        <v>3406.0299999999997</v>
      </c>
      <c r="G18" s="41">
        <f>Лист1!AB11</f>
        <v>44705.89000000001</v>
      </c>
      <c r="H18" s="216">
        <f>Лист1!AC11+Лист1!AE11</f>
        <v>62858.87786300001</v>
      </c>
      <c r="I18" s="216">
        <f>Лист1!AF11</f>
        <v>0</v>
      </c>
      <c r="J18" s="42">
        <f>Лист1!AG11</f>
        <v>4255.92</v>
      </c>
      <c r="K18" s="15">
        <f>Лист1!AI11+Лист1!AJ11</f>
        <v>7108.670016319999</v>
      </c>
      <c r="L18" s="15">
        <f>Лист1!AH11+Лист1!AK11+Лист1!AL11+Лист1!AM11+Лист1!AN11+Лист1!AO11+Лист1!AP11+Лист1!AQ11+Лист1!AR11</f>
        <v>24919.324385236</v>
      </c>
      <c r="M18" s="16">
        <f>Лист1!AS11+Лист1!AT11+Лист1!AU11</f>
        <v>22130.9</v>
      </c>
      <c r="N18" s="16">
        <f>Лист1!AX11</f>
        <v>0</v>
      </c>
      <c r="O18" s="158">
        <f>Лист1!BB11</f>
        <v>58414.814401556</v>
      </c>
      <c r="P18" s="159">
        <f>Лист1!BE11</f>
        <v>4444.063461444006</v>
      </c>
      <c r="Q18" s="43">
        <f>Лист1!BF11</f>
        <v>-6702.189999999988</v>
      </c>
      <c r="R18" s="1"/>
      <c r="S18" s="1"/>
    </row>
    <row r="19" spans="1:19" s="23" customFormat="1" ht="13.5" hidden="1" thickBot="1">
      <c r="A19" s="45" t="s">
        <v>3</v>
      </c>
      <c r="B19" s="46"/>
      <c r="C19" s="47">
        <f>SUM(C16:C18)</f>
        <v>184068.54</v>
      </c>
      <c r="D19" s="47">
        <f aca="true" t="shared" si="0" ref="D19:Q19">SUM(D16:D18)</f>
        <v>44305.9111398</v>
      </c>
      <c r="E19" s="47">
        <f t="shared" si="0"/>
        <v>144752.43</v>
      </c>
      <c r="F19" s="47">
        <f t="shared" si="0"/>
        <v>9939.32</v>
      </c>
      <c r="G19" s="47">
        <f t="shared" si="0"/>
        <v>69526.28</v>
      </c>
      <c r="H19" s="217">
        <f t="shared" si="0"/>
        <v>123771.51113980002</v>
      </c>
      <c r="I19" s="217">
        <f t="shared" si="0"/>
        <v>0</v>
      </c>
      <c r="J19" s="47">
        <f t="shared" si="0"/>
        <v>12767.76</v>
      </c>
      <c r="K19" s="47">
        <f t="shared" si="0"/>
        <v>21367.73752992</v>
      </c>
      <c r="L19" s="47">
        <f t="shared" si="0"/>
        <v>74914.149892676</v>
      </c>
      <c r="M19" s="47">
        <f t="shared" si="0"/>
        <v>32986.9</v>
      </c>
      <c r="N19" s="47">
        <f t="shared" si="0"/>
        <v>0</v>
      </c>
      <c r="O19" s="47">
        <f t="shared" si="0"/>
        <v>142036.547422596</v>
      </c>
      <c r="P19" s="47">
        <f t="shared" si="0"/>
        <v>-18265.03628279598</v>
      </c>
      <c r="Q19" s="47">
        <f t="shared" si="0"/>
        <v>-75226.15</v>
      </c>
      <c r="R19" s="52"/>
      <c r="S19" s="52"/>
    </row>
    <row r="20" spans="1:19" ht="12.75" hidden="1">
      <c r="A20" s="8" t="s">
        <v>42</v>
      </c>
      <c r="B20" s="66"/>
      <c r="C20" s="53"/>
      <c r="D20" s="160"/>
      <c r="E20" s="54"/>
      <c r="F20" s="55"/>
      <c r="G20" s="56"/>
      <c r="H20" s="218"/>
      <c r="I20" s="218"/>
      <c r="J20" s="57"/>
      <c r="K20" s="54"/>
      <c r="L20" s="54"/>
      <c r="M20" s="67"/>
      <c r="N20" s="67"/>
      <c r="O20" s="161"/>
      <c r="P20" s="162"/>
      <c r="Q20" s="68"/>
      <c r="R20" s="1"/>
      <c r="S20" s="1"/>
    </row>
    <row r="21" spans="1:19" ht="12.75" hidden="1">
      <c r="A21" s="13" t="s">
        <v>43</v>
      </c>
      <c r="B21" s="14">
        <f>Лист1!B14</f>
        <v>7089.8</v>
      </c>
      <c r="C21" s="40">
        <f>Лист1!C14</f>
        <v>61326.770000000004</v>
      </c>
      <c r="D21" s="157">
        <f>Лист1!D14</f>
        <v>7665.8462500000005</v>
      </c>
      <c r="E21" s="15">
        <f>Лист1!S14</f>
        <v>60707.5</v>
      </c>
      <c r="F21" s="17">
        <f>Лист1!T14</f>
        <v>3712.98</v>
      </c>
      <c r="G21" s="41">
        <f>Лист1!AB14</f>
        <v>42235.59</v>
      </c>
      <c r="H21" s="216">
        <f>Лист1!AC14+Лист1!AE14</f>
        <v>65318.236249999994</v>
      </c>
      <c r="I21" s="216">
        <f>Лист1!AF14</f>
        <v>1376.5307400000002</v>
      </c>
      <c r="J21" s="42">
        <f>Лист1!AG14+Лист1!AH14</f>
        <v>5091.89436</v>
      </c>
      <c r="K21" s="15">
        <f>Лист1!AI14+Лист1!AJ14</f>
        <v>6165.273569799999</v>
      </c>
      <c r="L21" s="15">
        <f>Лист1!AK14+Лист1!AL14+Лист1!AM14+Лист1!AN14+Лист1!AO14+Лист1!AP14+Лист1!AQ14+Лист1!AR14+Лист1!AY14+Лист1!AZ14+Лист1!BA14</f>
        <v>31762.853145295998</v>
      </c>
      <c r="M21" s="16">
        <f>Лист1!AS14+Лист1!AT14+Лист1!AU14</f>
        <v>2226.67</v>
      </c>
      <c r="N21" s="16">
        <f>Лист1!AX14</f>
        <v>13227.894400000001</v>
      </c>
      <c r="O21" s="158">
        <f>Лист1!BB14</f>
        <v>58474.585475096</v>
      </c>
      <c r="P21" s="159">
        <f>Лист1!BE14</f>
        <v>-4068.854644356004</v>
      </c>
      <c r="Q21" s="43">
        <f>Лист1!BF14</f>
        <v>-18471.910000000003</v>
      </c>
      <c r="R21" s="1"/>
      <c r="S21" s="1"/>
    </row>
    <row r="22" spans="1:19" ht="12.75" hidden="1">
      <c r="A22" s="13" t="s">
        <v>44</v>
      </c>
      <c r="B22" s="14">
        <f>Лист1!B15</f>
        <v>7089.8</v>
      </c>
      <c r="C22" s="40">
        <f>Лист1!C15</f>
        <v>61326.770000000004</v>
      </c>
      <c r="D22" s="157">
        <f>Лист1!D15</f>
        <v>7665.8462500000005</v>
      </c>
      <c r="E22" s="15">
        <f>Лист1!S15</f>
        <v>60301.090000000004</v>
      </c>
      <c r="F22" s="17">
        <f>Лист1!T15</f>
        <v>3371.81</v>
      </c>
      <c r="G22" s="41">
        <f>Лист1!AB15</f>
        <v>43314.61</v>
      </c>
      <c r="H22" s="216">
        <f>Лист1!AC15+Лист1!AE15</f>
        <v>66380.67625</v>
      </c>
      <c r="I22" s="216">
        <f>Лист1!AF15</f>
        <v>1376.5307400000002</v>
      </c>
      <c r="J22" s="42">
        <f>Лист1!AG15+Лист1!AH15</f>
        <v>5126.350788</v>
      </c>
      <c r="K22" s="15">
        <f>Лист1!AI15+Лист1!AJ15</f>
        <v>6158.1861004</v>
      </c>
      <c r="L22" s="15">
        <f>Лист1!AK15+Лист1!AL15+Лист1!AM15+Лист1!AN15+Лист1!AO15+Лист1!AP15+Лист1!AQ15+Лист1!AR15+Лист1!AY15+Лист1!AZ15+Лист1!BA15</f>
        <v>31758.263597024</v>
      </c>
      <c r="M22" s="16">
        <f>Лист1!AS15+Лист1!AT15+Лист1!AU15</f>
        <v>41912.42</v>
      </c>
      <c r="N22" s="16">
        <f>Лист1!AX15</f>
        <v>9868.387200000001</v>
      </c>
      <c r="O22" s="158">
        <f>Лист1!BB15</f>
        <v>94823.607685424</v>
      </c>
      <c r="P22" s="159">
        <f>Лист1!BE15</f>
        <v>-39680.91838598399</v>
      </c>
      <c r="Q22" s="43">
        <f>Лист1!BF15</f>
        <v>-16986.480000000003</v>
      </c>
      <c r="R22" s="1"/>
      <c r="S22" s="1"/>
    </row>
    <row r="23" spans="1:19" ht="12.75" hidden="1">
      <c r="A23" s="13" t="s">
        <v>45</v>
      </c>
      <c r="B23" s="14">
        <f>Лист1!B16</f>
        <v>7088.5</v>
      </c>
      <c r="C23" s="40">
        <f>Лист1!C16</f>
        <v>61315.525</v>
      </c>
      <c r="D23" s="157">
        <f>Лист1!D16</f>
        <v>7664.440625</v>
      </c>
      <c r="E23" s="15">
        <f>Лист1!S16</f>
        <v>55752.799999999996</v>
      </c>
      <c r="F23" s="17">
        <f>Лист1!T16</f>
        <v>3524.52</v>
      </c>
      <c r="G23" s="41">
        <f>Лист1!AB16</f>
        <v>58623.89</v>
      </c>
      <c r="H23" s="216">
        <f>Лист1!AC16+Лист1!AE16</f>
        <v>85331.450625</v>
      </c>
      <c r="I23" s="216">
        <f>Лист1!AF16</f>
        <v>1376.5307400000002</v>
      </c>
      <c r="J23" s="42">
        <f>Лист1!AG16+Лист1!AH16</f>
        <v>5115.335139999999</v>
      </c>
      <c r="K23" s="15">
        <f>Лист1!AI16+Лист1!AJ16</f>
        <v>6167.721571249999</v>
      </c>
      <c r="L23" s="15">
        <f>Лист1!AK16+Лист1!AL16+Лист1!AM16+Лист1!AN16+Лист1!AO16+Лист1!AP16+Лист1!AQ16+Лист1!AR16+Лист1!AY16+Лист1!AZ16+Лист1!BA16</f>
        <v>31059.08261773</v>
      </c>
      <c r="M23" s="16">
        <f>Лист1!AS16+Лист1!AT16+Лист1!AU16</f>
        <v>2278.58</v>
      </c>
      <c r="N23" s="16">
        <f>Лист1!AX16</f>
        <v>9688.6496</v>
      </c>
      <c r="O23" s="158">
        <f>Лист1!BB16</f>
        <v>54309.368928979995</v>
      </c>
      <c r="P23" s="159">
        <f>Лист1!BE16</f>
        <v>16306.198066289997</v>
      </c>
      <c r="Q23" s="43">
        <f>Лист1!BF16</f>
        <v>2871.090000000004</v>
      </c>
      <c r="R23" s="1"/>
      <c r="S23" s="1"/>
    </row>
    <row r="24" spans="1:19" ht="12.75" hidden="1">
      <c r="A24" s="13" t="s">
        <v>46</v>
      </c>
      <c r="B24" s="14">
        <f>Лист1!B17</f>
        <v>7088.5</v>
      </c>
      <c r="C24" s="40">
        <f>Лист1!C17</f>
        <v>61315.525</v>
      </c>
      <c r="D24" s="157">
        <f>Лист1!D17</f>
        <v>7664.440625</v>
      </c>
      <c r="E24" s="15">
        <f>Лист1!S17</f>
        <v>63251.92</v>
      </c>
      <c r="F24" s="17">
        <f>Лист1!T17</f>
        <v>3556.06</v>
      </c>
      <c r="G24" s="41">
        <f>Лист1!AB17</f>
        <v>58544.979999999996</v>
      </c>
      <c r="H24" s="216">
        <f>Лист1!AC17+Лист1!AE17</f>
        <v>86210.22062499999</v>
      </c>
      <c r="I24" s="216">
        <f>Лист1!AF17</f>
        <v>1376.5307400000002</v>
      </c>
      <c r="J24" s="42">
        <f>Лист1!AG17+Лист1!AH17</f>
        <v>5136.884179999999</v>
      </c>
      <c r="K24" s="15">
        <f>Лист1!AI17+Лист1!AJ17</f>
        <v>6351.852697699999</v>
      </c>
      <c r="L24" s="15">
        <f>Лист1!AK17+Лист1!AL17+Лист1!AM17+Лист1!AN17+Лист1!AO17+Лист1!AP17+Лист1!AQ17+Лист1!AR17+Лист1!AY17+Лист1!AZ17+Лист1!BA17</f>
        <v>31328.389259412324</v>
      </c>
      <c r="M24" s="16">
        <f>Лист1!AS17+Лист1!AT17+Лист1!AU17</f>
        <v>2934.5301999999997</v>
      </c>
      <c r="N24" s="16">
        <f>Лист1!AX17</f>
        <v>10123.456</v>
      </c>
      <c r="O24" s="158">
        <f>Лист1!BB17</f>
        <v>55875.11233711232</v>
      </c>
      <c r="P24" s="159">
        <f>Лист1!BE17</f>
        <v>14676.713524007679</v>
      </c>
      <c r="Q24" s="43">
        <f>Лист1!BF17</f>
        <v>-4706.940000000002</v>
      </c>
      <c r="R24" s="1"/>
      <c r="S24" s="1"/>
    </row>
    <row r="25" spans="1:19" ht="12.75" hidden="1">
      <c r="A25" s="13" t="s">
        <v>47</v>
      </c>
      <c r="B25" s="14">
        <f>Лист1!B18</f>
        <v>7085</v>
      </c>
      <c r="C25" s="40">
        <f>Лист1!C18</f>
        <v>61285.25</v>
      </c>
      <c r="D25" s="157">
        <f>Лист1!D18</f>
        <v>6159.279999999994</v>
      </c>
      <c r="E25" s="15">
        <f>Лист1!S18</f>
        <v>64766.38</v>
      </c>
      <c r="F25" s="17">
        <f>Лист1!T18</f>
        <v>3669.43</v>
      </c>
      <c r="G25" s="41">
        <f>Лист1!AB18</f>
        <v>56965.47</v>
      </c>
      <c r="H25" s="216">
        <f>Лист1!AC18+Лист1!AE18</f>
        <v>83154.62</v>
      </c>
      <c r="I25" s="216">
        <f>Лист1!AF18</f>
        <v>1376.5307400000002</v>
      </c>
      <c r="J25" s="42">
        <f>Лист1!AG18+Лист1!AH18</f>
        <v>5682.18</v>
      </c>
      <c r="K25" s="15">
        <f>Лист1!AI18+Лист1!AJ18</f>
        <v>7106.2668</v>
      </c>
      <c r="L25" s="15">
        <f>Лист1!AK18+Лист1!AL18+Лист1!AM18+Лист1!AN18+Лист1!AO18+Лист1!AP18+Лист1!AQ18+Лист1!AR18+Лист1!AY18+Лист1!AZ18+Лист1!BA18</f>
        <v>34756.597446784086</v>
      </c>
      <c r="M25" s="16">
        <f>Лист1!AS18+Лист1!AT18+Лист1!AU18</f>
        <v>2535.5486</v>
      </c>
      <c r="N25" s="16">
        <f>Лист1!AX18</f>
        <v>8495.2448</v>
      </c>
      <c r="O25" s="158">
        <f>Лист1!BB18</f>
        <v>58575.837646784086</v>
      </c>
      <c r="P25" s="159">
        <f>Лист1!BE18</f>
        <v>8936.088367569908</v>
      </c>
      <c r="Q25" s="43">
        <f>Лист1!BF18</f>
        <v>-7800.909999999996</v>
      </c>
      <c r="R25" s="1"/>
      <c r="S25" s="1"/>
    </row>
    <row r="26" spans="1:19" ht="12.75" hidden="1">
      <c r="A26" s="13" t="s">
        <v>48</v>
      </c>
      <c r="B26" s="14">
        <f>Лист1!B19</f>
        <v>7085</v>
      </c>
      <c r="C26" s="40">
        <f>Лист1!C19</f>
        <v>61285.25</v>
      </c>
      <c r="D26" s="157">
        <f>Лист1!D19</f>
        <v>6406.449999999995</v>
      </c>
      <c r="E26" s="15">
        <f>Лист1!S19</f>
        <v>66426.77</v>
      </c>
      <c r="F26" s="17">
        <f>Лист1!T19</f>
        <v>3751.8700000000003</v>
      </c>
      <c r="G26" s="41">
        <f>Лист1!AB19</f>
        <v>54794.34</v>
      </c>
      <c r="H26" s="216">
        <f>Лист1!AC19+Лист1!AE19</f>
        <v>78442.24999999999</v>
      </c>
      <c r="I26" s="216">
        <f>Лист1!AF19</f>
        <v>1376.5307400000002</v>
      </c>
      <c r="J26" s="42">
        <f>Лист1!AG19+Лист1!AH19</f>
        <v>5682.79765</v>
      </c>
      <c r="K26" s="15">
        <f>Лист1!AI19+Лист1!AJ19</f>
        <v>7106.2668</v>
      </c>
      <c r="L26" s="15">
        <f>Лист1!AK19+Лист1!AL19+Лист1!AM19+Лист1!AN19+Лист1!AO19+Лист1!AP19+Лист1!AQ19+Лист1!AR19+Лист1!AY19+Лист1!AZ19+Лист1!BA19</f>
        <v>52539.44524678409</v>
      </c>
      <c r="M26" s="16">
        <f>Лист1!AS19+Лист1!AT19+Лист1!AU19</f>
        <v>4644.196800000001</v>
      </c>
      <c r="N26" s="16">
        <f>Лист1!AX19</f>
        <v>9423.008</v>
      </c>
      <c r="O26" s="158">
        <f>Лист1!BB19</f>
        <v>79395.7144967841</v>
      </c>
      <c r="P26" s="159">
        <f>Лист1!BE19</f>
        <v>-13690.229241004112</v>
      </c>
      <c r="Q26" s="43">
        <f>Лист1!BF19</f>
        <v>-11632.430000000008</v>
      </c>
      <c r="R26" s="1"/>
      <c r="S26" s="1"/>
    </row>
    <row r="27" spans="1:19" ht="12.75" hidden="1">
      <c r="A27" s="13" t="s">
        <v>49</v>
      </c>
      <c r="B27" s="14">
        <f>Лист1!B20</f>
        <v>7083.1</v>
      </c>
      <c r="C27" s="40">
        <f>Лист1!C20</f>
        <v>61268.815</v>
      </c>
      <c r="D27" s="157">
        <f>Лист1!D20</f>
        <v>5823.354999999992</v>
      </c>
      <c r="E27" s="15">
        <f>Лист1!S20</f>
        <v>67078.85999999999</v>
      </c>
      <c r="F27" s="17">
        <f>Лист1!T20</f>
        <v>3672.4100000000008</v>
      </c>
      <c r="G27" s="41">
        <f>Лист1!AB20</f>
        <v>54800.55</v>
      </c>
      <c r="H27" s="216">
        <f>Лист1!AC20+Лист1!AE20</f>
        <v>78086.315</v>
      </c>
      <c r="I27" s="216">
        <f>Лист1!AF20</f>
        <v>4961.066919999999</v>
      </c>
      <c r="J27" s="42">
        <f>Лист1!AG20+Лист1!AH20</f>
        <v>5658.334435</v>
      </c>
      <c r="K27" s="15">
        <f>Лист1!AI20+Лист1!AJ20</f>
        <v>7002.75710501</v>
      </c>
      <c r="L27" s="15">
        <f>Лист1!AK20+Лист1!AL20+Лист1!AM20+Лист1!AN20+Лист1!AO20+Лист1!AP20+Лист1!AQ20+Лист1!AR20+Лист1!AY20+Лист1!AZ20+Лист1!BA20</f>
        <v>34532.627828794444</v>
      </c>
      <c r="M27" s="16">
        <f>Лист1!AS20+Лист1!AT20+Лист1!AU20</f>
        <v>11697.1984</v>
      </c>
      <c r="N27" s="16">
        <f>Лист1!AX20</f>
        <v>7600.521600000001</v>
      </c>
      <c r="O27" s="158">
        <f>Лист1!BB20</f>
        <v>66491.43936880445</v>
      </c>
      <c r="P27" s="159">
        <f>Лист1!BE20</f>
        <v>474.4397875555428</v>
      </c>
      <c r="Q27" s="43">
        <f>Лист1!BF20</f>
        <v>-12278.309999999983</v>
      </c>
      <c r="R27" s="1"/>
      <c r="S27" s="1"/>
    </row>
    <row r="28" spans="1:19" ht="12.75" hidden="1">
      <c r="A28" s="13" t="s">
        <v>50</v>
      </c>
      <c r="B28" s="14">
        <f>Лист1!B21</f>
        <v>7083.1</v>
      </c>
      <c r="C28" s="40">
        <f>Лист1!C21</f>
        <v>61268.815</v>
      </c>
      <c r="D28" s="157">
        <f>Лист1!D21</f>
        <v>6114.5850000000055</v>
      </c>
      <c r="E28" s="15">
        <f>Лист1!S21</f>
        <v>66055.70999999999</v>
      </c>
      <c r="F28" s="17">
        <f>Лист1!T21</f>
        <v>3750.14</v>
      </c>
      <c r="G28" s="41">
        <f>Лист1!AB21</f>
        <v>55155.15</v>
      </c>
      <c r="H28" s="216">
        <f>Лист1!AC21+Лист1!AE21</f>
        <v>78420.24500000001</v>
      </c>
      <c r="I28" s="216">
        <f>Лист1!AF21</f>
        <v>4961.066919999999</v>
      </c>
      <c r="J28" s="42">
        <f>Лист1!AG21+Лист1!AH21</f>
        <v>5664.709225</v>
      </c>
      <c r="K28" s="15">
        <f>Лист1!AI21+Лист1!AJ21</f>
        <v>6999.560147825</v>
      </c>
      <c r="L28" s="15">
        <f>Лист1!AK21+Лист1!AL21+Лист1!AM21+Лист1!AN21+Лист1!AO21+Лист1!AP21+Лист1!AQ21+Лист1!AR21+Лист1!AY21+Лист1!AZ21+Лист1!BA21</f>
        <v>34521.9427173626</v>
      </c>
      <c r="M28" s="16">
        <f>Лист1!AS21+Лист1!AT21+Лист1!AU21</f>
        <v>22011.72</v>
      </c>
      <c r="N28" s="16">
        <f>Лист1!AX21</f>
        <v>7090.384</v>
      </c>
      <c r="O28" s="158">
        <f>Лист1!BB21</f>
        <v>76288.3160901876</v>
      </c>
      <c r="P28" s="159">
        <f>Лист1!BE21</f>
        <v>-8597.83575067959</v>
      </c>
      <c r="Q28" s="43">
        <f>Лист1!BF21</f>
        <v>-10900.55999999999</v>
      </c>
      <c r="R28" s="1"/>
      <c r="S28" s="1"/>
    </row>
    <row r="29" spans="1:19" ht="12.75" hidden="1">
      <c r="A29" s="13" t="s">
        <v>51</v>
      </c>
      <c r="B29" s="14">
        <f>Лист1!B22</f>
        <v>7082.78</v>
      </c>
      <c r="C29" s="40">
        <f>Лист1!C22</f>
        <v>61266.047</v>
      </c>
      <c r="D29" s="157">
        <f>Лист1!D22</f>
        <v>5772.977</v>
      </c>
      <c r="E29" s="15">
        <f>Лист1!S22</f>
        <v>66984.54</v>
      </c>
      <c r="F29" s="17">
        <f>Лист1!T22</f>
        <v>3750.2400000000002</v>
      </c>
      <c r="G29" s="41">
        <f>Лист1!AB22</f>
        <v>56423.32</v>
      </c>
      <c r="H29" s="216">
        <f>Лист1!AC22+Лист1!AE22</f>
        <v>79863.127</v>
      </c>
      <c r="I29" s="216">
        <f>Лист1!AF22</f>
        <v>4961.066919999999</v>
      </c>
      <c r="J29" s="42">
        <f>Лист1!AG22+Лист1!AH22</f>
        <v>5665.7990332</v>
      </c>
      <c r="K29" s="15">
        <f>Лист1!AI22+Лист1!AJ22</f>
        <v>6998.036237167198</v>
      </c>
      <c r="L29" s="15">
        <f>Лист1!AK22+Лист1!AL22+Лист1!AM22+Лист1!AN22+Лист1!AO22+Лист1!AP22+Лист1!AQ22+Лист1!AR22+Лист1!AY22+Лист1!AZ22+Лист1!BA22</f>
        <v>34497.42963856821</v>
      </c>
      <c r="M29" s="16">
        <f>Лист1!AS22+Лист1!AT22+Лист1!AU22</f>
        <v>0</v>
      </c>
      <c r="N29" s="16">
        <f>Лист1!AX22</f>
        <v>8771.4592</v>
      </c>
      <c r="O29" s="158">
        <f>Лист1!BB22</f>
        <v>55932.72410893541</v>
      </c>
      <c r="P29" s="159">
        <f>Лист1!BE22</f>
        <v>12684.76464923779</v>
      </c>
      <c r="Q29" s="43">
        <f>Лист1!BF22</f>
        <v>-10561.219999999994</v>
      </c>
      <c r="R29" s="1"/>
      <c r="S29" s="1"/>
    </row>
    <row r="30" spans="1:19" ht="12.75" hidden="1">
      <c r="A30" s="13" t="s">
        <v>39</v>
      </c>
      <c r="B30" s="14">
        <f>Лист1!B23</f>
        <v>7082.78</v>
      </c>
      <c r="C30" s="40">
        <f>Лист1!C23</f>
        <v>61266.047</v>
      </c>
      <c r="D30" s="157">
        <f>Лист1!D23</f>
        <v>5779.6569999999965</v>
      </c>
      <c r="E30" s="15">
        <f>Лист1!S23</f>
        <v>67053.17</v>
      </c>
      <c r="F30" s="17">
        <f>Лист1!T23</f>
        <v>3885.27</v>
      </c>
      <c r="G30" s="41">
        <f>Лист1!AB23</f>
        <v>74348.5</v>
      </c>
      <c r="H30" s="216">
        <f>Лист1!AC23+Лист1!AE23</f>
        <v>100819.927</v>
      </c>
      <c r="I30" s="216">
        <f>Лист1!AF23</f>
        <v>6106.943679999999</v>
      </c>
      <c r="J30" s="42">
        <f>Лист1!AG23+Лист1!AH23</f>
        <v>5666.224</v>
      </c>
      <c r="K30" s="15">
        <f>Лист1!AI23+Лист1!AJ23</f>
        <v>7078.9552988</v>
      </c>
      <c r="L30" s="15">
        <f>Лист1!AK23+Лист1!AL23+Лист1!AM23+Лист1!AN23+Лист1!AO23+Лист1!AP23+Лист1!AQ23+Лист1!AR23+Лист1!AY23+Лист1!AZ23+Лист1!BA23</f>
        <v>34704.185444</v>
      </c>
      <c r="M30" s="16">
        <f>Лист1!AS23+Лист1!AT23+Лист1!AU23</f>
        <v>23269.0454</v>
      </c>
      <c r="N30" s="16">
        <f>Лист1!AX23</f>
        <v>8497.888</v>
      </c>
      <c r="O30" s="158">
        <f>Лист1!BB23</f>
        <v>79216.29814279999</v>
      </c>
      <c r="P30" s="159">
        <f>Лист1!BE23</f>
        <v>8507.860293200003</v>
      </c>
      <c r="Q30" s="43">
        <f>Лист1!BF23</f>
        <v>7295.330000000002</v>
      </c>
      <c r="R30" s="1"/>
      <c r="S30" s="1"/>
    </row>
    <row r="31" spans="1:19" ht="12.75" hidden="1">
      <c r="A31" s="13" t="s">
        <v>40</v>
      </c>
      <c r="B31" s="14">
        <f>Лист1!B24</f>
        <v>7081.98</v>
      </c>
      <c r="C31" s="40">
        <f>Лист1!C24</f>
        <v>61259.127</v>
      </c>
      <c r="D31" s="157">
        <f>Лист1!D24</f>
        <v>5778.787000000006</v>
      </c>
      <c r="E31" s="15">
        <f>Лист1!S24</f>
        <v>67252.01</v>
      </c>
      <c r="F31" s="17">
        <f>Лист1!T24</f>
        <v>4054.3399999999997</v>
      </c>
      <c r="G31" s="41">
        <f>Лист1!AB24</f>
        <v>69394.08</v>
      </c>
      <c r="H31" s="216">
        <f>Лист1!AC24+Лист1!AE24</f>
        <v>95537.59700000001</v>
      </c>
      <c r="I31" s="216">
        <f>Лист1!AF24</f>
        <v>5649.63232</v>
      </c>
      <c r="J31" s="42">
        <f>Лист1!AG24+Лист1!AH24</f>
        <v>5665.583999999999</v>
      </c>
      <c r="K31" s="15">
        <f>Лист1!AI24+Лист1!AJ24</f>
        <v>7103.225939999998</v>
      </c>
      <c r="L31" s="15">
        <f>Лист1!AK24+Лист1!AL24+Лист1!AM24+Лист1!AN24+Лист1!AO24+Лист1!AP24+Лист1!AQ24+Лист1!AR24+Лист1!AY24+Лист1!AZ24+Лист1!BA24</f>
        <v>34727.5004072</v>
      </c>
      <c r="M31" s="16">
        <f>Лист1!AS24+Лист1!AT24+Лист1!AU24</f>
        <v>6204.44</v>
      </c>
      <c r="N31" s="16">
        <f>Лист1!AX24</f>
        <v>8615.510400000001</v>
      </c>
      <c r="O31" s="158">
        <f>Лист1!BB24</f>
        <v>62316.260747199995</v>
      </c>
      <c r="P31" s="159">
        <f>Лист1!BE24</f>
        <v>19822.687052800014</v>
      </c>
      <c r="Q31" s="43">
        <f>Лист1!BF24</f>
        <v>2142.070000000007</v>
      </c>
      <c r="R31" s="1"/>
      <c r="S31" s="1"/>
    </row>
    <row r="32" spans="1:19" ht="13.5" hidden="1" thickBot="1">
      <c r="A32" s="44" t="s">
        <v>41</v>
      </c>
      <c r="B32" s="14">
        <f>Лист1!B25</f>
        <v>7080.28</v>
      </c>
      <c r="C32" s="40">
        <f>Лист1!C25</f>
        <v>61244.422</v>
      </c>
      <c r="D32" s="157">
        <f>Лист1!D25</f>
        <v>6000.052</v>
      </c>
      <c r="E32" s="15">
        <f>Лист1!S25</f>
        <v>67212.92</v>
      </c>
      <c r="F32" s="17">
        <f>Лист1!T25</f>
        <v>4060.8299999999995</v>
      </c>
      <c r="G32" s="41">
        <f>Лист1!AB25</f>
        <v>77607.6</v>
      </c>
      <c r="H32" s="216">
        <f>Лист1!AC25+Лист1!AE25</f>
        <v>103354.142</v>
      </c>
      <c r="I32" s="216">
        <f>Лист1!AF25</f>
        <v>6106.943679999999</v>
      </c>
      <c r="J32" s="42">
        <f>Лист1!AG25+Лист1!AH25</f>
        <v>5664.224</v>
      </c>
      <c r="K32" s="15">
        <f>Лист1!AI25+Лист1!AJ25</f>
        <v>7101.520839999999</v>
      </c>
      <c r="L32" s="15">
        <f>Лист1!AK25+Лист1!AL25+Лист1!AM25+Лист1!AN25+Лист1!AO25+Лист1!AP25+Лист1!AQ25+Лист1!AR25+Лист1!AY25+Лист1!AZ25+Лист1!BA25</f>
        <v>34721.8047256</v>
      </c>
      <c r="M32" s="16">
        <f>Лист1!AS25+Лист1!AT25+Лист1!AU25</f>
        <v>8787.46</v>
      </c>
      <c r="N32" s="16">
        <f>Лист1!AX25</f>
        <v>11373.689600000002</v>
      </c>
      <c r="O32" s="158">
        <f>Лист1!BB25</f>
        <v>67648.6991656</v>
      </c>
      <c r="P32" s="159">
        <f>Лист1!BE25</f>
        <v>23353.6349944</v>
      </c>
      <c r="Q32" s="43">
        <f>Лист1!BF25</f>
        <v>10394.680000000008</v>
      </c>
      <c r="R32" s="1"/>
      <c r="S32" s="1"/>
    </row>
    <row r="33" spans="1:19" s="23" customFormat="1" ht="13.5" hidden="1" thickBot="1">
      <c r="A33" s="45" t="s">
        <v>3</v>
      </c>
      <c r="B33" s="46"/>
      <c r="C33" s="47">
        <f aca="true" t="shared" si="1" ref="C33:Q33">SUM(C21:C32)</f>
        <v>735428.363</v>
      </c>
      <c r="D33" s="48">
        <f t="shared" si="1"/>
        <v>78495.71674999999</v>
      </c>
      <c r="E33" s="47">
        <f t="shared" si="1"/>
        <v>772843.6700000002</v>
      </c>
      <c r="F33" s="49">
        <f t="shared" si="1"/>
        <v>44759.899999999994</v>
      </c>
      <c r="G33" s="50">
        <f t="shared" si="1"/>
        <v>702208.08</v>
      </c>
      <c r="H33" s="217">
        <f t="shared" si="1"/>
        <v>1000918.80675</v>
      </c>
      <c r="I33" s="217">
        <f t="shared" si="1"/>
        <v>41005.904879999995</v>
      </c>
      <c r="J33" s="48">
        <f aca="true" t="shared" si="2" ref="J33:O33">SUM(J21:J32)</f>
        <v>65820.3168112</v>
      </c>
      <c r="K33" s="48">
        <f t="shared" si="2"/>
        <v>81339.6231079522</v>
      </c>
      <c r="L33" s="48">
        <f t="shared" si="2"/>
        <v>420910.1220745558</v>
      </c>
      <c r="M33" s="48">
        <f t="shared" si="2"/>
        <v>128501.8094</v>
      </c>
      <c r="N33" s="48">
        <f t="shared" si="2"/>
        <v>112776.09280000001</v>
      </c>
      <c r="O33" s="163">
        <f t="shared" si="2"/>
        <v>809347.964193708</v>
      </c>
      <c r="P33" s="48">
        <f t="shared" si="1"/>
        <v>38724.548713037235</v>
      </c>
      <c r="Q33" s="51">
        <f t="shared" si="1"/>
        <v>-70635.58999999997</v>
      </c>
      <c r="R33" s="52"/>
      <c r="S33" s="52"/>
    </row>
    <row r="34" spans="1:19" ht="13.5" thickBot="1">
      <c r="A34" s="164" t="s">
        <v>93</v>
      </c>
      <c r="B34" s="165"/>
      <c r="C34" s="165"/>
      <c r="D34" s="165"/>
      <c r="E34" s="165"/>
      <c r="F34" s="165"/>
      <c r="G34" s="165"/>
      <c r="H34" s="219"/>
      <c r="I34" s="219"/>
      <c r="J34" s="165"/>
      <c r="K34" s="165"/>
      <c r="L34" s="165"/>
      <c r="M34" s="165"/>
      <c r="N34" s="165"/>
      <c r="O34" s="166"/>
      <c r="P34" s="165"/>
      <c r="Q34" s="58"/>
      <c r="R34" s="1"/>
      <c r="S34" s="1"/>
    </row>
    <row r="35" spans="1:19" s="23" customFormat="1" ht="13.5" thickBot="1">
      <c r="A35" s="59" t="s">
        <v>52</v>
      </c>
      <c r="B35" s="60"/>
      <c r="C35" s="61">
        <f>C19+C33</f>
        <v>919496.903</v>
      </c>
      <c r="D35" s="62">
        <f aca="true" t="shared" si="3" ref="D35:Q35">D19+D33</f>
        <v>122801.6278898</v>
      </c>
      <c r="E35" s="60">
        <f t="shared" si="3"/>
        <v>917596.1000000001</v>
      </c>
      <c r="F35" s="61">
        <f t="shared" si="3"/>
        <v>54699.219999999994</v>
      </c>
      <c r="G35" s="62">
        <f t="shared" si="3"/>
        <v>771734.36</v>
      </c>
      <c r="H35" s="220">
        <f t="shared" si="3"/>
        <v>1124690.3178898</v>
      </c>
      <c r="I35" s="220">
        <f t="shared" si="3"/>
        <v>41005.904879999995</v>
      </c>
      <c r="J35" s="62">
        <f t="shared" si="3"/>
        <v>78588.0768112</v>
      </c>
      <c r="K35" s="60">
        <f t="shared" si="3"/>
        <v>102707.36063787219</v>
      </c>
      <c r="L35" s="60">
        <f t="shared" si="3"/>
        <v>495824.27196723176</v>
      </c>
      <c r="M35" s="60">
        <f t="shared" si="3"/>
        <v>161488.7094</v>
      </c>
      <c r="N35" s="60">
        <f t="shared" si="3"/>
        <v>112776.09280000001</v>
      </c>
      <c r="O35" s="167">
        <f t="shared" si="3"/>
        <v>951384.511616304</v>
      </c>
      <c r="P35" s="168">
        <f t="shared" si="3"/>
        <v>20459.512430241255</v>
      </c>
      <c r="Q35" s="63">
        <f t="shared" si="3"/>
        <v>-145861.73999999996</v>
      </c>
      <c r="R35" s="64"/>
      <c r="S35" s="52"/>
    </row>
    <row r="36" spans="1:19" ht="12.75">
      <c r="A36" s="8" t="s">
        <v>89</v>
      </c>
      <c r="B36" s="66"/>
      <c r="C36" s="53"/>
      <c r="D36" s="160"/>
      <c r="E36" s="54"/>
      <c r="F36" s="55"/>
      <c r="G36" s="56"/>
      <c r="H36" s="218"/>
      <c r="I36" s="218"/>
      <c r="J36" s="57"/>
      <c r="K36" s="54"/>
      <c r="L36" s="54"/>
      <c r="M36" s="67"/>
      <c r="N36" s="67"/>
      <c r="O36" s="161"/>
      <c r="P36" s="162"/>
      <c r="Q36" s="68"/>
      <c r="R36" s="1"/>
      <c r="S36" s="1"/>
    </row>
    <row r="37" spans="1:19" ht="12.75">
      <c r="A37" s="13" t="s">
        <v>43</v>
      </c>
      <c r="B37" s="14">
        <f>Лист1!B30</f>
        <v>7080.28</v>
      </c>
      <c r="C37" s="40">
        <f>Лист1!C30</f>
        <v>61244.422</v>
      </c>
      <c r="D37" s="157">
        <f>Лист1!D30</f>
        <v>5760.401999999999</v>
      </c>
      <c r="E37" s="15">
        <f>Лист1!S30</f>
        <v>67300.89000000001</v>
      </c>
      <c r="F37" s="17">
        <f>Лист1!T30</f>
        <v>4257.96</v>
      </c>
      <c r="G37" s="41">
        <f>Лист1!AB30</f>
        <v>51949.969999999994</v>
      </c>
      <c r="H37" s="216">
        <f>Лист1!AC30+Лист1!AE30</f>
        <v>76588.59199999999</v>
      </c>
      <c r="I37" s="216">
        <f>Лист1!AF30</f>
        <v>7071.49692</v>
      </c>
      <c r="J37" s="42">
        <f>Лист1!AG30+Лист1!AH30</f>
        <v>5664.224</v>
      </c>
      <c r="K37" s="15">
        <f>Лист1!AI30+Лист1!AJ30</f>
        <v>7080.28</v>
      </c>
      <c r="L37" s="15">
        <f>Лист1!AK30+Лист1!AL30+Лист1!AM30+Лист1!AN30+Лист1!AO30+Лист1!AP30+Лист1!AQ30+Лист1!AR30+Лист1!AZ30+Лист1!BA30+Лист1!AY30</f>
        <v>34699.1470268</v>
      </c>
      <c r="M37" s="16">
        <f>Лист1!AS30+Лист1!AT30+Лист1!AU30</f>
        <v>15224</v>
      </c>
      <c r="N37" s="16">
        <f>Лист1!AX30</f>
        <v>12390</v>
      </c>
      <c r="O37" s="158">
        <f>Лист1!BB30</f>
        <v>75057.65102680001</v>
      </c>
      <c r="P37" s="159">
        <f>Лист1!BE30</f>
        <v>-9246.824106800019</v>
      </c>
      <c r="Q37" s="43">
        <f>Лист1!BF30</f>
        <v>-15350.92000000002</v>
      </c>
      <c r="R37" s="1"/>
      <c r="S37" s="1"/>
    </row>
    <row r="38" spans="1:19" ht="12.75">
      <c r="A38" s="13" t="s">
        <v>44</v>
      </c>
      <c r="B38" s="14">
        <f>Лист1!B31</f>
        <v>7079.88</v>
      </c>
      <c r="C38" s="40">
        <f>Лист1!C31</f>
        <v>61240.96200000001</v>
      </c>
      <c r="D38" s="157">
        <f>Лист1!D31</f>
        <v>8468.162000000011</v>
      </c>
      <c r="E38" s="15">
        <f>Лист1!S31</f>
        <v>64579.01</v>
      </c>
      <c r="F38" s="17">
        <f>Лист1!T31</f>
        <v>4027</v>
      </c>
      <c r="G38" s="41">
        <f>Лист1!AB31</f>
        <v>50526.31</v>
      </c>
      <c r="H38" s="216">
        <f>Лист1!AC31+Лист1!AE31</f>
        <v>75456.61200000001</v>
      </c>
      <c r="I38" s="216">
        <f>Лист1!AF31</f>
        <v>7071.49692</v>
      </c>
      <c r="J38" s="42">
        <f>Лист1!AG31+Лист1!AH31</f>
        <v>5663.904</v>
      </c>
      <c r="K38" s="15">
        <f>Лист1!AI31+Лист1!AJ31</f>
        <v>7079.88</v>
      </c>
      <c r="L38" s="15">
        <f>Лист1!AK31+Лист1!AL31+Лист1!AM31+Лист1!AN31+Лист1!AO31+Лист1!AP31+Лист1!AQ31+Лист1!AR31+Лист1!AZ31+Лист1!BA31+Лист1!AY31</f>
        <v>34697.9354896</v>
      </c>
      <c r="M38" s="16">
        <f>Лист1!AS31+Лист1!AT31+Лист1!AU31</f>
        <v>16732</v>
      </c>
      <c r="N38" s="16">
        <f>Лист1!AX31</f>
        <v>11755.8</v>
      </c>
      <c r="O38" s="158">
        <f>Лист1!BB31</f>
        <v>75929.5194896</v>
      </c>
      <c r="P38" s="159">
        <f>Лист1!BE31</f>
        <v>-9065.552569599995</v>
      </c>
      <c r="Q38" s="43">
        <f>Лист1!BF31</f>
        <v>-14052.700000000004</v>
      </c>
      <c r="R38" s="1"/>
      <c r="S38" s="1"/>
    </row>
    <row r="39" spans="1:19" ht="12.75">
      <c r="A39" s="13" t="s">
        <v>45</v>
      </c>
      <c r="B39" s="14">
        <f>Лист1!B32</f>
        <v>7079.88</v>
      </c>
      <c r="C39" s="40">
        <f>Лист1!C32</f>
        <v>61240.96200000001</v>
      </c>
      <c r="D39" s="157">
        <f>Лист1!D32</f>
        <v>6028.6420000000035</v>
      </c>
      <c r="E39" s="15">
        <f>Лист1!S32</f>
        <v>66864.78</v>
      </c>
      <c r="F39" s="17">
        <f>Лист1!T32</f>
        <v>4059.9300000000003</v>
      </c>
      <c r="G39" s="41">
        <f>Лист1!AB32</f>
        <v>66871.66</v>
      </c>
      <c r="H39" s="216">
        <f>Лист1!AC32+Лист1!AE32</f>
        <v>93391.952</v>
      </c>
      <c r="I39" s="216">
        <f>Лист1!AF32</f>
        <v>7071.49692</v>
      </c>
      <c r="J39" s="42">
        <f>Лист1!AG32+Лист1!AH32</f>
        <v>5663.904</v>
      </c>
      <c r="K39" s="15">
        <f>Лист1!AI32+Лист1!AJ32</f>
        <v>7079.88</v>
      </c>
      <c r="L39" s="15">
        <f>Лист1!AK32+Лист1!AL32+Лист1!AM32+Лист1!AN32+Лист1!AO32+Лист1!AP32+Лист1!AQ32+Лист1!AR32+Лист1!AZ32+Лист1!BA32+Лист1!AY32</f>
        <v>34697.9354896</v>
      </c>
      <c r="M39" s="16">
        <f>Лист1!AS32+Лист1!AT32+Лист1!AU32</f>
        <v>1195</v>
      </c>
      <c r="N39" s="16">
        <f>Лист1!AX32</f>
        <v>9657.199999999999</v>
      </c>
      <c r="O39" s="158">
        <f>Лист1!BB32</f>
        <v>58293.9194896</v>
      </c>
      <c r="P39" s="159">
        <f>Лист1!BE32</f>
        <v>22508.807430400007</v>
      </c>
      <c r="Q39" s="43">
        <f>Лист1!BF32</f>
        <v>6.880000000004657</v>
      </c>
      <c r="R39" s="1"/>
      <c r="S39" s="1"/>
    </row>
    <row r="40" spans="1:19" ht="12.75">
      <c r="A40" s="13" t="s">
        <v>46</v>
      </c>
      <c r="B40" s="14">
        <f>Лист1!B33</f>
        <v>7079.88</v>
      </c>
      <c r="C40" s="40">
        <f>Лист1!C33</f>
        <v>61240.96200000001</v>
      </c>
      <c r="D40" s="157">
        <f>Лист1!D33</f>
        <v>6033.282000000012</v>
      </c>
      <c r="E40" s="15">
        <f>Лист1!S33</f>
        <v>66957.71</v>
      </c>
      <c r="F40" s="17">
        <f>Лист1!T33</f>
        <v>4088.0000000000005</v>
      </c>
      <c r="G40" s="41">
        <f>Лист1!AB33</f>
        <v>58544.979999999996</v>
      </c>
      <c r="H40" s="216">
        <f>Лист1!AC33+Лист1!AE33</f>
        <v>85215.672</v>
      </c>
      <c r="I40" s="216">
        <f>Лист1!AF33</f>
        <v>7071.49692</v>
      </c>
      <c r="J40" s="42">
        <f>Лист1!AG33+Лист1!AH33</f>
        <v>5663.904</v>
      </c>
      <c r="K40" s="15">
        <f>Лист1!AI33+Лист1!AJ33</f>
        <v>7079.88</v>
      </c>
      <c r="L40" s="15">
        <f>Лист1!AK33+Лист1!AL33+Лист1!AM33+Лист1!AN33+Лист1!AO33+Лист1!AP33+Лист1!AQ33+Лист1!AR33+Лист1!AZ33+Лист1!BA33+Лист1!AY33</f>
        <v>34697.9354896</v>
      </c>
      <c r="M40" s="16">
        <f>Лист1!AS33+Лист1!AT33+Лист1!AU33</f>
        <v>3156</v>
      </c>
      <c r="N40" s="16">
        <f>Лист1!AX33</f>
        <v>10880.8</v>
      </c>
      <c r="O40" s="158">
        <f>Лист1!BB33</f>
        <v>61478.5194896</v>
      </c>
      <c r="P40" s="159">
        <f>Лист1!BE33</f>
        <v>11030.237430399999</v>
      </c>
      <c r="Q40" s="43">
        <f>Лист1!BF33</f>
        <v>-8412.73000000001</v>
      </c>
      <c r="R40" s="1"/>
      <c r="S40" s="1"/>
    </row>
    <row r="41" spans="1:19" ht="12.75">
      <c r="A41" s="13" t="s">
        <v>47</v>
      </c>
      <c r="B41" s="14">
        <f>Лист1!B34</f>
        <v>7079.88</v>
      </c>
      <c r="C41" s="40">
        <f>Лист1!C34</f>
        <v>61240.96200000001</v>
      </c>
      <c r="D41" s="157">
        <f>Лист1!D34</f>
        <v>5968.572000000006</v>
      </c>
      <c r="E41" s="15">
        <f>Лист1!S34</f>
        <v>66450.93</v>
      </c>
      <c r="F41" s="17">
        <f>Лист1!T34</f>
        <v>4105.820000000001</v>
      </c>
      <c r="G41" s="41">
        <f>Лист1!AB34</f>
        <v>56585.56</v>
      </c>
      <c r="H41" s="216">
        <f>Лист1!AC34+Лист1!AE34</f>
        <v>80114.94200000001</v>
      </c>
      <c r="I41" s="216">
        <f>Лист1!AF34</f>
        <v>7071.49692</v>
      </c>
      <c r="J41" s="42">
        <f>Лист1!AG34+Лист1!AH34</f>
        <v>5663.904</v>
      </c>
      <c r="K41" s="15">
        <f>Лист1!AI34+Лист1!AJ34</f>
        <v>7079.88</v>
      </c>
      <c r="L41" s="15">
        <f>Лист1!AK34+Лист1!AL34+Лист1!AM34+Лист1!AN34+Лист1!AO34+Лист1!AP34+Лист1!AQ34+Лист1!AR34+Лист1!AZ34+Лист1!BA34+Лист1!AY34</f>
        <v>34685.77085461794</v>
      </c>
      <c r="M41" s="16">
        <f>Лист1!AS34+Лист1!AT34+Лист1!AU34</f>
        <v>5214</v>
      </c>
      <c r="N41" s="16">
        <f>Лист1!AX34</f>
        <v>9665.599999999999</v>
      </c>
      <c r="O41" s="158">
        <f>Лист1!BB34</f>
        <v>62309.15485461794</v>
      </c>
      <c r="P41" s="159">
        <f>Лист1!BE34</f>
        <v>8193.292065382064</v>
      </c>
      <c r="Q41" s="43">
        <f>Лист1!BF34</f>
        <v>-9865.369999999995</v>
      </c>
      <c r="R41" s="1"/>
      <c r="S41" s="1"/>
    </row>
    <row r="42" spans="1:19" ht="12.75">
      <c r="A42" s="13" t="s">
        <v>48</v>
      </c>
      <c r="B42" s="14">
        <f>Лист1!B35</f>
        <v>7079.88</v>
      </c>
      <c r="C42" s="40">
        <f>Лист1!C35</f>
        <v>61240.96200000001</v>
      </c>
      <c r="D42" s="157">
        <f>Лист1!D35</f>
        <v>5999.891999999999</v>
      </c>
      <c r="E42" s="15">
        <f>Лист1!S35</f>
        <v>66443.53</v>
      </c>
      <c r="F42" s="17">
        <f>Лист1!T35</f>
        <v>4035.5699999999997</v>
      </c>
      <c r="G42" s="41">
        <f>Лист1!AB35</f>
        <v>58544.95999999999</v>
      </c>
      <c r="H42" s="216">
        <f>Лист1!AC35+Лист1!AE35</f>
        <v>82132.09199999999</v>
      </c>
      <c r="I42" s="216">
        <f>Лист1!AF35</f>
        <v>7071.49692</v>
      </c>
      <c r="J42" s="42">
        <f>Лист1!AG35+Лист1!AH35</f>
        <v>5663.904</v>
      </c>
      <c r="K42" s="15">
        <f>Лист1!AI35+Лист1!AJ35</f>
        <v>7079.88</v>
      </c>
      <c r="L42" s="15">
        <f>Лист1!AK35+Лист1!AL35+Лист1!AM35+Лист1!AN35+Лист1!AO35+Лист1!AP35+Лист1!AQ35+Лист1!AR35+Лист1!AZ35+Лист1!BA35+Лист1!AY35</f>
        <v>34686.717966204196</v>
      </c>
      <c r="M42" s="16">
        <f>Лист1!AS35+Лист1!AT35+Лист1!AU35</f>
        <v>285</v>
      </c>
      <c r="N42" s="16">
        <f>Лист1!AX35</f>
        <v>7611.799999999999</v>
      </c>
      <c r="O42" s="158">
        <f>Лист1!BB35</f>
        <v>55327.30196620419</v>
      </c>
      <c r="P42" s="159">
        <f>Лист1!BE35</f>
        <v>17095.6149537958</v>
      </c>
      <c r="Q42" s="43">
        <f>Лист1!BF35</f>
        <v>-7898.570000000007</v>
      </c>
      <c r="R42" s="1"/>
      <c r="S42" s="1"/>
    </row>
    <row r="43" spans="1:19" ht="12.75">
      <c r="A43" s="13" t="s">
        <v>49</v>
      </c>
      <c r="B43" s="14">
        <f>Лист1!B36</f>
        <v>7079.88</v>
      </c>
      <c r="C43" s="40">
        <f>Лист1!C36</f>
        <v>61240.96200000001</v>
      </c>
      <c r="D43" s="157">
        <f>Лист1!D36</f>
        <v>5978.092000000011</v>
      </c>
      <c r="E43" s="15">
        <f>Лист1!S36</f>
        <v>55497.81999999999</v>
      </c>
      <c r="F43" s="17">
        <f>Лист1!T36</f>
        <v>0</v>
      </c>
      <c r="G43" s="41">
        <f>Лист1!AB36</f>
        <v>67390.54</v>
      </c>
      <c r="H43" s="216">
        <f>Лист1!AC36+Лист1!AE36</f>
        <v>87216.722</v>
      </c>
      <c r="I43" s="216">
        <f>Лист1!AF36</f>
        <v>7071.50692</v>
      </c>
      <c r="J43" s="42">
        <f>Лист1!AG36+Лист1!AH36</f>
        <v>5663.904</v>
      </c>
      <c r="K43" s="15">
        <f>Лист1!AI36+Лист1!AJ36</f>
        <v>7079.88</v>
      </c>
      <c r="L43" s="15">
        <f>Лист1!AK36+Лист1!AL36+Лист1!AM36+Лист1!AN36+Лист1!AO36+Лист1!AP36+Лист1!AQ36+Лист1!AR36+Лист1!AZ36+Лист1!BA36+Лист1!AY36</f>
        <v>27251.5724</v>
      </c>
      <c r="M43" s="16">
        <f>Лист1!AS36+Лист1!AT36+Лист1!AU36</f>
        <v>2014.59</v>
      </c>
      <c r="N43" s="16">
        <f>Лист1!AX36</f>
        <v>9074.8</v>
      </c>
      <c r="O43" s="158">
        <f>Лист1!BB36</f>
        <v>51084.74639999999</v>
      </c>
      <c r="P43" s="159">
        <f>Лист1!BE36</f>
        <v>26126.390520000008</v>
      </c>
      <c r="Q43" s="43">
        <f>Лист1!BF36</f>
        <v>11892.720000000001</v>
      </c>
      <c r="R43" s="1"/>
      <c r="S43" s="1"/>
    </row>
    <row r="44" spans="1:19" ht="12.75">
      <c r="A44" s="13" t="s">
        <v>50</v>
      </c>
      <c r="B44" s="14">
        <f>Лист1!B37</f>
        <v>7079.88</v>
      </c>
      <c r="C44" s="40">
        <f>Лист1!C37</f>
        <v>61240.96200000001</v>
      </c>
      <c r="D44" s="157">
        <f>Лист1!D37</f>
        <v>5973.58200000001</v>
      </c>
      <c r="E44" s="15">
        <f>Лист1!S37</f>
        <v>62412.579999999994</v>
      </c>
      <c r="F44" s="17">
        <f>Лист1!T37</f>
        <v>0</v>
      </c>
      <c r="G44" s="41">
        <f>Лист1!AB37</f>
        <v>57785.33</v>
      </c>
      <c r="H44" s="216">
        <f>Лист1!AC37+Лист1!AE37</f>
        <v>73394.07200000001</v>
      </c>
      <c r="I44" s="216">
        <f>Лист1!AF37</f>
        <v>7071.50692</v>
      </c>
      <c r="J44" s="42">
        <f>Лист1!AG37+Лист1!AH37</f>
        <v>5663.904</v>
      </c>
      <c r="K44" s="15">
        <f>Лист1!AI37+Лист1!AJ37</f>
        <v>7079.88</v>
      </c>
      <c r="L44" s="15">
        <f>Лист1!AK37+Лист1!AL37+Лист1!AM37+Лист1!AN37+Лист1!AO37+Лист1!AP37+Лист1!AQ37+Лист1!AR37+Лист1!AZ37+Лист1!BA37+Лист1!AY37</f>
        <v>29079.1724</v>
      </c>
      <c r="M44" s="16">
        <f>Лист1!AS37+Лист1!AT37+Лист1!AU37</f>
        <v>89.8</v>
      </c>
      <c r="N44" s="16">
        <f>Лист1!AX37</f>
        <v>6797</v>
      </c>
      <c r="O44" s="158">
        <f>Лист1!BB37</f>
        <v>48709.7564</v>
      </c>
      <c r="P44" s="159">
        <f>Лист1!BE37</f>
        <v>18891.660520000012</v>
      </c>
      <c r="Q44" s="43">
        <f>Лист1!BF37</f>
        <v>-4627.249999999993</v>
      </c>
      <c r="R44" s="1"/>
      <c r="S44" s="1"/>
    </row>
    <row r="45" spans="1:19" ht="12.75">
      <c r="A45" s="13" t="s">
        <v>51</v>
      </c>
      <c r="B45" s="14">
        <f>Лист1!B38</f>
        <v>7079.88</v>
      </c>
      <c r="C45" s="40">
        <f>Лист1!C38</f>
        <v>61240.96200000001</v>
      </c>
      <c r="D45" s="157">
        <f>Лист1!D38</f>
        <v>105993.50200000001</v>
      </c>
      <c r="E45" s="15">
        <f>Лист1!S38</f>
        <v>62757.119999999995</v>
      </c>
      <c r="F45" s="17">
        <f>Лист1!T38</f>
        <v>50.33</v>
      </c>
      <c r="G45" s="41">
        <f>Лист1!AB38</f>
        <v>55673.53999999999</v>
      </c>
      <c r="H45" s="216">
        <f>Лист1!AC38+Лист1!AE38</f>
        <v>170247.302</v>
      </c>
      <c r="I45" s="216">
        <f>Лист1!AF38</f>
        <v>7071.50692</v>
      </c>
      <c r="J45" s="42">
        <f>Лист1!AG38+Лист1!AH38</f>
        <v>5663.904</v>
      </c>
      <c r="K45" s="15">
        <f>Лист1!AI38+Лист1!AJ38</f>
        <v>7079.88</v>
      </c>
      <c r="L45" s="15">
        <f>Лист1!AK38+Лист1!AL38+Лист1!AM38+Лист1!AN38+Лист1!AO38+Лист1!AP38+Лист1!AQ38+Лист1!AR38+Лист1!AZ38+Лист1!BA38+Лист1!AY38</f>
        <v>135504.6324</v>
      </c>
      <c r="M45" s="16">
        <f>Лист1!AS38+Лист1!AT38+Лист1!AU38</f>
        <v>3482</v>
      </c>
      <c r="N45" s="16">
        <f>Лист1!AX38</f>
        <v>8342.6</v>
      </c>
      <c r="O45" s="158">
        <f>Лист1!BB38</f>
        <v>160073.01640000002</v>
      </c>
      <c r="P45" s="159">
        <f>Лист1!BE38</f>
        <v>5486.86051999998</v>
      </c>
      <c r="Q45" s="43">
        <f>Лист1!BF38</f>
        <v>-7083.580000000002</v>
      </c>
      <c r="R45" s="1"/>
      <c r="S45" s="1"/>
    </row>
    <row r="46" spans="1:19" ht="12.75">
      <c r="A46" s="13" t="s">
        <v>39</v>
      </c>
      <c r="B46" s="14">
        <f>Лист1!B39</f>
        <v>7079.88</v>
      </c>
      <c r="C46" s="40">
        <f>Лист1!C39</f>
        <v>61240.96200000001</v>
      </c>
      <c r="D46" s="157">
        <f>Лист1!D39</f>
        <v>6017.332000000004</v>
      </c>
      <c r="E46" s="15">
        <f>Лист1!S39</f>
        <v>62835.63</v>
      </c>
      <c r="F46" s="17">
        <f>Лист1!T39</f>
        <v>0</v>
      </c>
      <c r="G46" s="41">
        <f>Лист1!AB39</f>
        <v>66016.13</v>
      </c>
      <c r="H46" s="216">
        <f>Лист1!AC39+Лист1!AE39</f>
        <v>81275.61200000001</v>
      </c>
      <c r="I46" s="216">
        <f>Лист1!AF39</f>
        <v>7221.50692</v>
      </c>
      <c r="J46" s="42">
        <f>Лист1!AG39+Лист1!AH39</f>
        <v>5663.904</v>
      </c>
      <c r="K46" s="15">
        <f>Лист1!AI39+Лист1!AJ39</f>
        <v>7079.88</v>
      </c>
      <c r="L46" s="15">
        <f>Лист1!AK39+Лист1!AL39+Лист1!AM39+Лист1!AN39+Лист1!AO39+Лист1!AP39+Лист1!AQ39+Лист1!AR39+Лист1!AZ39+Лист1!BA39+Лист1!AY39</f>
        <v>34687.0724</v>
      </c>
      <c r="M46" s="16">
        <f>Лист1!AS39+Лист1!AT39+Лист1!AU39</f>
        <v>35529.22</v>
      </c>
      <c r="N46" s="16">
        <f>Лист1!AX39</f>
        <v>7894.599999999999</v>
      </c>
      <c r="O46" s="158">
        <f>Лист1!BB39</f>
        <v>90854.6764</v>
      </c>
      <c r="P46" s="159">
        <f>Лист1!BE39</f>
        <v>-14866.209479999983</v>
      </c>
      <c r="Q46" s="43">
        <f>Лист1!BF39</f>
        <v>3180.5000000000073</v>
      </c>
      <c r="R46" s="1"/>
      <c r="S46" s="1"/>
    </row>
    <row r="47" spans="1:19" ht="12.75">
      <c r="A47" s="13" t="s">
        <v>40</v>
      </c>
      <c r="B47" s="14">
        <f>Лист1!B40</f>
        <v>7079.88</v>
      </c>
      <c r="C47" s="40">
        <f>Лист1!C40</f>
        <v>61240.96200000001</v>
      </c>
      <c r="D47" s="157">
        <f>Лист1!D40</f>
        <v>5979.632000000004</v>
      </c>
      <c r="E47" s="15">
        <f>Лист1!S40</f>
        <v>62798.469999999994</v>
      </c>
      <c r="F47" s="17">
        <f>Лист1!T40</f>
        <v>0</v>
      </c>
      <c r="G47" s="41">
        <f>Лист1!AB40</f>
        <v>49060.130000000005</v>
      </c>
      <c r="H47" s="216">
        <f>Лист1!AC40+Лист1!AE40</f>
        <v>62338.85200000001</v>
      </c>
      <c r="I47" s="216">
        <f>Лист1!AF40</f>
        <v>7221.50692</v>
      </c>
      <c r="J47" s="42">
        <f>Лист1!AG40+Лист1!AH40</f>
        <v>5663.904</v>
      </c>
      <c r="K47" s="15">
        <f>Лист1!AI40+Лист1!AJ40</f>
        <v>7079.88</v>
      </c>
      <c r="L47" s="15">
        <f>Лист1!AK40+Лист1!AL40+Лист1!AM40+Лист1!AN40+Лист1!AO40+Лист1!AP40+Лист1!AQ40+Лист1!AR40+Лист1!AZ40+Лист1!BA40+Лист1!AY40</f>
        <v>34687.2724</v>
      </c>
      <c r="M47" s="16">
        <f>Лист1!AS40+Лист1!AT40+Лист1!AU40</f>
        <v>15166</v>
      </c>
      <c r="N47" s="16">
        <f>Лист1!AX40</f>
        <v>9975</v>
      </c>
      <c r="O47" s="158">
        <f>Лист1!BB40</f>
        <v>72572.05639999999</v>
      </c>
      <c r="P47" s="159">
        <f>Лист1!BE40</f>
        <v>-13577.289479999978</v>
      </c>
      <c r="Q47" s="43">
        <f>Лист1!BF40</f>
        <v>-13738.33999999999</v>
      </c>
      <c r="R47" s="1"/>
      <c r="S47" s="1"/>
    </row>
    <row r="48" spans="1:19" ht="13.5" thickBot="1">
      <c r="A48" s="44" t="s">
        <v>41</v>
      </c>
      <c r="B48" s="14">
        <f>Лист1!B41</f>
        <v>7116.98</v>
      </c>
      <c r="C48" s="40">
        <f>Лист1!C41</f>
        <v>61561.877</v>
      </c>
      <c r="D48" s="157">
        <f>Лист1!D41</f>
        <v>6000.8970000000045</v>
      </c>
      <c r="E48" s="15">
        <f>Лист1!S41</f>
        <v>55560.98</v>
      </c>
      <c r="F48" s="17">
        <f>Лист1!T41</f>
        <v>0</v>
      </c>
      <c r="G48" s="41">
        <f>Лист1!AB41</f>
        <v>73106.61</v>
      </c>
      <c r="H48" s="216">
        <f>Лист1!AC41+Лист1!AE41</f>
        <v>88305.77700000002</v>
      </c>
      <c r="I48" s="216">
        <f>Лист1!AF41</f>
        <v>7221.50692</v>
      </c>
      <c r="J48" s="42">
        <f>Лист1!AG41+Лист1!AH41</f>
        <v>5693.583999999999</v>
      </c>
      <c r="K48" s="15">
        <f>Лист1!AI41+Лист1!AJ41</f>
        <v>7116.98</v>
      </c>
      <c r="L48" s="15">
        <f>Лист1!AK41+Лист1!AL41+Лист1!AM41+Лист1!AN41+Лист1!AO41+Лист1!AP41+Лист1!AQ41+Лист1!AR41+Лист1!AZ41+Лист1!BA41+Лист1!AY41</f>
        <v>34854.335399999996</v>
      </c>
      <c r="M48" s="16">
        <f>Лист1!AS41+Лист1!AT41+Лист1!AU41</f>
        <v>18740.610399999998</v>
      </c>
      <c r="N48" s="16">
        <f>Лист1!AX41</f>
        <v>11426.8</v>
      </c>
      <c r="O48" s="158">
        <f>Лист1!BB41</f>
        <v>77832.3098</v>
      </c>
      <c r="P48" s="159">
        <f>Лист1!BE41</f>
        <v>5230.202120000009</v>
      </c>
      <c r="Q48" s="43">
        <f>Лист1!BF41</f>
        <v>17545.629999999997</v>
      </c>
      <c r="R48" s="1"/>
      <c r="S48" s="1"/>
    </row>
    <row r="49" spans="1:19" s="23" customFormat="1" ht="13.5" thickBot="1">
      <c r="A49" s="45" t="s">
        <v>3</v>
      </c>
      <c r="B49" s="46"/>
      <c r="C49" s="47">
        <f aca="true" t="shared" si="4" ref="C49:Q49">SUM(C37:C48)</f>
        <v>735215.9190000001</v>
      </c>
      <c r="D49" s="48">
        <f t="shared" si="4"/>
        <v>174201.98900000006</v>
      </c>
      <c r="E49" s="47">
        <f t="shared" si="4"/>
        <v>760459.45</v>
      </c>
      <c r="F49" s="49">
        <f t="shared" si="4"/>
        <v>24624.61</v>
      </c>
      <c r="G49" s="50">
        <f t="shared" si="4"/>
        <v>712055.72</v>
      </c>
      <c r="H49" s="217">
        <f t="shared" si="4"/>
        <v>1055678.199</v>
      </c>
      <c r="I49" s="217">
        <f t="shared" si="4"/>
        <v>85308.02304</v>
      </c>
      <c r="J49" s="48">
        <f t="shared" si="4"/>
        <v>67996.84800000001</v>
      </c>
      <c r="K49" s="47">
        <f t="shared" si="4"/>
        <v>84996.06</v>
      </c>
      <c r="L49" s="47">
        <f t="shared" si="4"/>
        <v>504229.4997164221</v>
      </c>
      <c r="M49" s="47">
        <f t="shared" si="4"/>
        <v>116828.22039999999</v>
      </c>
      <c r="N49" s="47">
        <f t="shared" si="4"/>
        <v>115472.00000000001</v>
      </c>
      <c r="O49" s="163">
        <f t="shared" si="4"/>
        <v>889522.6281164222</v>
      </c>
      <c r="P49" s="48">
        <f t="shared" si="4"/>
        <v>67807.18992357788</v>
      </c>
      <c r="Q49" s="51">
        <f t="shared" si="4"/>
        <v>-48403.73000000002</v>
      </c>
      <c r="R49" s="52"/>
      <c r="S49" s="52"/>
    </row>
    <row r="50" spans="1:19" ht="13.5" thickBot="1">
      <c r="A50" s="164" t="s">
        <v>65</v>
      </c>
      <c r="B50" s="165"/>
      <c r="C50" s="165"/>
      <c r="D50" s="165"/>
      <c r="E50" s="165"/>
      <c r="F50" s="165"/>
      <c r="G50" s="165"/>
      <c r="H50" s="219"/>
      <c r="I50" s="219"/>
      <c r="J50" s="165"/>
      <c r="K50" s="165"/>
      <c r="L50" s="165"/>
      <c r="M50" s="165"/>
      <c r="N50" s="165"/>
      <c r="O50" s="166"/>
      <c r="P50" s="165"/>
      <c r="Q50" s="58"/>
      <c r="R50" s="1"/>
      <c r="S50" s="1"/>
    </row>
    <row r="51" spans="1:19" s="23" customFormat="1" ht="13.5" thickBot="1">
      <c r="A51" s="59" t="s">
        <v>52</v>
      </c>
      <c r="B51" s="60"/>
      <c r="C51" s="61">
        <f>C35+C49</f>
        <v>1654712.8220000002</v>
      </c>
      <c r="D51" s="62">
        <f aca="true" t="shared" si="5" ref="D51:Q51">D35+D49</f>
        <v>297003.61688980006</v>
      </c>
      <c r="E51" s="60">
        <f t="shared" si="5"/>
        <v>1678055.55</v>
      </c>
      <c r="F51" s="61">
        <f t="shared" si="5"/>
        <v>79323.82999999999</v>
      </c>
      <c r="G51" s="62">
        <f t="shared" si="5"/>
        <v>1483790.08</v>
      </c>
      <c r="H51" s="220">
        <f t="shared" si="5"/>
        <v>2180368.5168898003</v>
      </c>
      <c r="I51" s="220">
        <f t="shared" si="5"/>
        <v>126313.92791999999</v>
      </c>
      <c r="J51" s="62">
        <f t="shared" si="5"/>
        <v>146584.9248112</v>
      </c>
      <c r="K51" s="60">
        <f t="shared" si="5"/>
        <v>187703.4206378722</v>
      </c>
      <c r="L51" s="60">
        <f t="shared" si="5"/>
        <v>1000053.7716836538</v>
      </c>
      <c r="M51" s="60">
        <f t="shared" si="5"/>
        <v>278316.9298</v>
      </c>
      <c r="N51" s="60">
        <f t="shared" si="5"/>
        <v>228248.09280000004</v>
      </c>
      <c r="O51" s="167">
        <f t="shared" si="5"/>
        <v>1840907.1397327264</v>
      </c>
      <c r="P51" s="168">
        <f t="shared" si="5"/>
        <v>88266.70235381914</v>
      </c>
      <c r="Q51" s="63">
        <f t="shared" si="5"/>
        <v>-194265.46999999997</v>
      </c>
      <c r="R51" s="64"/>
      <c r="S51" s="52"/>
    </row>
    <row r="55" spans="1:19" ht="12.75">
      <c r="A55" s="23" t="s">
        <v>66</v>
      </c>
      <c r="D55" s="2" t="s">
        <v>90</v>
      </c>
      <c r="R55" s="1"/>
      <c r="S55" s="1"/>
    </row>
    <row r="56" spans="1:19" ht="12.75">
      <c r="A56" s="25" t="s">
        <v>67</v>
      </c>
      <c r="B56" s="25" t="s">
        <v>68</v>
      </c>
      <c r="C56" s="502" t="s">
        <v>69</v>
      </c>
      <c r="D56" s="502"/>
      <c r="R56" s="1"/>
      <c r="S56" s="1"/>
    </row>
    <row r="57" spans="1:19" ht="12.75">
      <c r="A57" s="70">
        <v>312924.31</v>
      </c>
      <c r="B57" s="72">
        <v>286284.75</v>
      </c>
      <c r="C57" s="503">
        <f>A57-B57</f>
        <v>26639.559999999998</v>
      </c>
      <c r="D57" s="504"/>
      <c r="R57" s="1"/>
      <c r="S57" s="1"/>
    </row>
    <row r="58" spans="1:19" ht="12.75">
      <c r="A58" s="65"/>
      <c r="R58" s="1"/>
      <c r="S58" s="1"/>
    </row>
    <row r="59" spans="1:19" ht="12.75">
      <c r="A59" s="65"/>
      <c r="R59" s="1"/>
      <c r="S59" s="1"/>
    </row>
    <row r="60" spans="1:19" ht="12.75">
      <c r="A60" s="2" t="s">
        <v>70</v>
      </c>
      <c r="G60" s="2" t="s">
        <v>71</v>
      </c>
      <c r="R60" s="1"/>
      <c r="S60" s="1"/>
    </row>
    <row r="61" ht="12.75">
      <c r="A61" s="1"/>
    </row>
    <row r="62" ht="12.75">
      <c r="A62" s="1"/>
    </row>
    <row r="63" ht="12.75">
      <c r="A63" s="204" t="s">
        <v>94</v>
      </c>
    </row>
    <row r="64" ht="12.75">
      <c r="A64" s="2" t="s">
        <v>72</v>
      </c>
    </row>
  </sheetData>
  <sheetProtection/>
  <mergeCells count="22">
    <mergeCell ref="C57:D57"/>
    <mergeCell ref="Q10:Q13"/>
    <mergeCell ref="E12:F12"/>
    <mergeCell ref="H12:H13"/>
    <mergeCell ref="J12:J13"/>
    <mergeCell ref="K12:K13"/>
    <mergeCell ref="B10:B13"/>
    <mergeCell ref="C10:C13"/>
    <mergeCell ref="N12:N13"/>
    <mergeCell ref="I12:I13"/>
    <mergeCell ref="G10:H11"/>
    <mergeCell ref="C56:D56"/>
    <mergeCell ref="D10:D13"/>
    <mergeCell ref="E10:F11"/>
    <mergeCell ref="L12:L13"/>
    <mergeCell ref="M12:M13"/>
    <mergeCell ref="A6:Q6"/>
    <mergeCell ref="J10:O11"/>
    <mergeCell ref="P10:P13"/>
    <mergeCell ref="O12:O13"/>
    <mergeCell ref="A7:G7"/>
    <mergeCell ref="A10:A13"/>
  </mergeCells>
  <printOptions/>
  <pageMargins left="0.17" right="0.16" top="0.3937007874015748" bottom="0.29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2010-07-05T10:11:17Z</cp:lastPrinted>
  <dcterms:created xsi:type="dcterms:W3CDTF">2010-04-03T04:08:20Z</dcterms:created>
  <dcterms:modified xsi:type="dcterms:W3CDTF">2012-03-28T08:05:37Z</dcterms:modified>
  <cp:category/>
  <cp:version/>
  <cp:contentType/>
  <cp:contentStatus/>
</cp:coreProperties>
</file>