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<sst xmlns="http://schemas.openxmlformats.org/spreadsheetml/2006/main" count="178" uniqueCount="94">
  <si>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</si>
  <si>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</si>
  <si>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</si>
  <si>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</si>
  <si>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</si>
  <si>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</si>
  <si>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</si>
  <si>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</si>
  <si>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</si>
  <si>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</si>
  <si>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</si>
  <si>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</si>
  <si>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</si>
  <si>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</si>
  <si>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</si>
  <si>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</si>
  <si>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</si>
  <si>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</si>
  <si>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</si>
  <si>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</si>
  <si>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</si>
  <si>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</si>
  <si>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</si>
  <si>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</si>
  <si>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</si>
  <si>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</si>
  <si>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</si>
  <si>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</si>
  <si>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</si>
  <si>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</si>
  <si>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</si>
  <si>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</si>
  <si>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</si>
  <si>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</si>
  <si>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</si>
  <si>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</si>
  <si>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</si>
  <si>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</si>
  <si>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</si>
  <si>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</si>
  <si>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</si>
  <si>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</si>
  <si>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</si>
  <si>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</si>
  <si>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</si>
  <si>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</si>
  <si>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</si>
  <si>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</si>
  <si>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</si>
  <si>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</si>
  <si>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</si>
  <si>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</si>
  <si>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</si>
  <si>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</si>
  <si>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</si>
  <si>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</si>
  <si>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</si>
  <si>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</si>
  <si>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</si>
  <si>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</si>
  <si>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</si>
  <si>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</si>
  <si>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</si>
  <si>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</si>
  <si>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</si>
  <si>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</si>
  <si>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</si>
  <si>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</si>
  <si>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</si>
  <si>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Собрано по содержанию и тек.рем.</t>
  </si>
  <si>
    <t>на конец отчетного периода</t>
  </si>
  <si>
    <t>Капитальный ремонт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</si>
  <si>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</si>
  <si>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</si>
  <si>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</si>
  <si>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</si>
  <si>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</si>
  <si>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</si>
  <si>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</si>
  <si>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</si>
  <si>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</si>
  <si>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</si>
  <si>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</si>
  <si>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</si>
  <si>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</si>
  <si>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</si>
  <si>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</si>
  <si>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</si>
  <si>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</si>
  <si>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Лицевой счет по адресу г. Таштагол, ул. Поспелова, д.15</t>
  </si>
  <si>
    <t>Выписка по лицевому счету по адресу г. Таштагол ул. Поспелова, д. 15</t>
  </si>
  <si>
    <t>2010 год</t>
  </si>
  <si>
    <t>*по состоянию на 01.01.2011 г.</t>
  </si>
  <si>
    <t>на 01.01.2011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</si>
</sst>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 wrapText="1"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5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4" fontId="2" fillId="0" borderId="20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/>
    </xf>
    <xf numFmtId="4" fontId="2" fillId="0" borderId="22" xfId="33" applyNumberFormat="1" applyFont="1" applyFill="1" applyBorder="1" applyAlignment="1">
      <alignment horizontal="right" vertical="center" wrapText="1"/>
      <protection/>
    </xf>
    <xf numFmtId="0" fontId="1" fillId="0" borderId="23" xfId="0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 wrapText="1"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4" fontId="1" fillId="33" borderId="17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horizontal="center"/>
    </xf>
    <xf numFmtId="4" fontId="1" fillId="34" borderId="17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" fontId="2" fillId="0" borderId="11" xfId="3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textRotation="90"/>
    </xf>
    <xf numFmtId="4" fontId="1" fillId="0" borderId="29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1" fillId="0" borderId="32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4" fontId="0" fillId="0" borderId="3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4" fontId="0" fillId="0" borderId="37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 horizontal="right"/>
    </xf>
    <xf numFmtId="4" fontId="1" fillId="34" borderId="11" xfId="0" applyNumberFormat="1" applyFont="1" applyFill="1" applyBorder="1" applyAlignment="1">
      <alignment horizontal="right" wrapText="1"/>
    </xf>
    <xf numFmtId="4" fontId="1" fillId="34" borderId="11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 wrapText="1"/>
    </xf>
    <xf numFmtId="4" fontId="2" fillId="0" borderId="39" xfId="33" applyNumberFormat="1" applyFont="1" applyFill="1" applyBorder="1" applyAlignment="1">
      <alignment horizontal="center" vertical="center" wrapText="1"/>
      <protection/>
    </xf>
    <xf numFmtId="4" fontId="2" fillId="34" borderId="13" xfId="33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Border="1" applyAlignment="1">
      <alignment horizontal="center"/>
    </xf>
    <xf numFmtId="4" fontId="0" fillId="35" borderId="15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34" borderId="31" xfId="0" applyNumberFormat="1" applyFont="1" applyFill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 horizontal="center"/>
    </xf>
    <xf numFmtId="4" fontId="0" fillId="34" borderId="20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center"/>
    </xf>
    <xf numFmtId="4" fontId="0" fillId="36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 horizontal="center"/>
    </xf>
    <xf numFmtId="4" fontId="2" fillId="34" borderId="11" xfId="33" applyNumberFormat="1" applyFont="1" applyFill="1" applyBorder="1" applyAlignment="1">
      <alignment horizontal="center" vertical="center" wrapText="1"/>
      <protection/>
    </xf>
    <xf numFmtId="4" fontId="2" fillId="0" borderId="38" xfId="33" applyNumberFormat="1" applyFont="1" applyFill="1" applyBorder="1" applyAlignment="1">
      <alignment horizontal="center" vertical="center" wrapText="1"/>
      <protection/>
    </xf>
    <xf numFmtId="4" fontId="0" fillId="37" borderId="2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165" fontId="0" fillId="0" borderId="11" xfId="0" applyNumberFormat="1" applyFont="1" applyFill="1" applyBorder="1" applyAlignment="1">
      <alignment/>
    </xf>
    <xf numFmtId="4" fontId="10" fillId="0" borderId="2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textRotation="90"/>
    </xf>
    <xf numFmtId="0" fontId="1" fillId="33" borderId="17" xfId="0" applyFont="1" applyFill="1" applyBorder="1" applyAlignment="1">
      <alignment horizontal="center" textRotation="90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4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36" borderId="45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40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40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48" xfId="0" applyNumberFormat="1" applyFont="1" applyFill="1" applyBorder="1" applyAlignment="1">
      <alignment horizontal="center" vertical="center" wrapText="1"/>
    </xf>
    <xf numFmtId="2" fontId="1" fillId="34" borderId="4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33" borderId="51" xfId="0" applyNumberFormat="1" applyFont="1" applyFill="1" applyBorder="1" applyAlignment="1">
      <alignment horizontal="center" vertical="center" wrapText="1"/>
    </xf>
    <xf numFmtId="2" fontId="1" fillId="33" borderId="52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 textRotation="90" wrapText="1"/>
    </xf>
    <xf numFmtId="0" fontId="1" fillId="0" borderId="48" xfId="0" applyFont="1" applyFill="1" applyBorder="1" applyAlignment="1">
      <alignment horizontal="center" textRotation="90" wrapText="1"/>
    </xf>
    <xf numFmtId="0" fontId="1" fillId="0" borderId="49" xfId="0" applyFont="1" applyFill="1" applyBorder="1" applyAlignment="1">
      <alignment horizontal="center" textRotation="90" wrapText="1"/>
    </xf>
    <xf numFmtId="2" fontId="1" fillId="0" borderId="55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1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vertical="center" textRotation="90" wrapText="1"/>
    </xf>
    <xf numFmtId="4" fontId="1" fillId="0" borderId="20" xfId="0" applyNumberFormat="1" applyFont="1" applyFill="1" applyBorder="1" applyAlignment="1">
      <alignment horizontal="center" vertical="center" textRotation="90" wrapText="1"/>
    </xf>
    <xf numFmtId="4" fontId="1" fillId="0" borderId="22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101;&#1082;&#1089;&#1077;&#1083;&#1100;\&#1083;&#1089;&#1095;&#1077;&#1090;%20&#1085;&#1077;&#1078;&#1080;&#1083;%20&#1087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51;&#1048;&#1062;%20&#1057;&#1063;&#1045;&#1058;&#1040;%20&#1085;&#1077;&#1078;&#1080;&#1083;%20&#1087;&#1086;&#1084;%202009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1-3&#1082;&#1074;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09&#1075;&#1086;&#1076;\&#1083;&#1089;&#1095;&#1077;&#1090;%20&#1085;&#1077;&#1078;&#1080;&#1083;%20&#1087;&#1086;&#1084;%204&#1082;&#1074;%20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1%20&#1082;&#1074;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%20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ycomputer\&#1086;&#1073;&#1097;&#1072;&#1103;%20&#1087;&#1072;&#1087;&#1082;&#1072;\&#1070;&#1083;&#1080;&#1103;%20&#1057;&#1077;&#1088;&#1075;&#1077;&#1077;&#1074;&#1085;&#1072;\2010%20&#1075;&#1086;&#1076;\&#1083;&#1089;&#1095;&#1077;&#1090;&#1072;%20&#1085;&#1077;&#1078;&#1080;&#1083;%20&#1087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50">
          <cell r="I50">
            <v>442.72774</v>
          </cell>
        </row>
      </sheetData>
      <sheetData sheetId="1">
        <row r="50">
          <cell r="I50">
            <v>442.72774</v>
          </cell>
          <cell r="O50">
            <v>211.01886</v>
          </cell>
        </row>
      </sheetData>
      <sheetData sheetId="2">
        <row r="51">
          <cell r="I51">
            <v>442.72774</v>
          </cell>
          <cell r="O51">
            <v>211.01886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9">
          <cell r="I49">
            <v>442.72774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01-09"/>
      <sheetName val="Т02-09"/>
      <sheetName val="Т03-09"/>
      <sheetName val="Т04-09"/>
      <sheetName val="Т05-09"/>
      <sheetName val="Т06-09"/>
      <sheetName val="Т07-09"/>
      <sheetName val="Т08-09"/>
      <sheetName val="Т09-09"/>
      <sheetName val="Шер01-09"/>
      <sheetName val="Шер02-09"/>
      <sheetName val="Шер03-09"/>
      <sheetName val="Шер04-09"/>
      <sheetName val="Шер05-09"/>
      <sheetName val="Шер06-09"/>
      <sheetName val="Шер07-09"/>
      <sheetName val="Шер08-09"/>
      <sheetName val="Шер09-09"/>
      <sheetName val="Шалым"/>
    </sheetNames>
    <sheetDataSet>
      <sheetData sheetId="6">
        <row r="49">
          <cell r="O49">
            <v>209.21513678</v>
          </cell>
        </row>
      </sheetData>
      <sheetData sheetId="7">
        <row r="49">
          <cell r="O49">
            <v>209.12007633399998</v>
          </cell>
        </row>
      </sheetData>
      <sheetData sheetId="8">
        <row r="49">
          <cell r="O49">
            <v>209.0884481686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0"/>
      <sheetName val="Т11"/>
      <sheetName val="Т12"/>
      <sheetName val="Шер10"/>
      <sheetName val="Шер11"/>
      <sheetName val="Шер12"/>
      <sheetName val="Шалым"/>
    </sheetNames>
    <sheetDataSet>
      <sheetData sheetId="0">
        <row r="50">
          <cell r="O50">
            <v>210.735438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Ш01-10"/>
      <sheetName val="Ш02-10"/>
      <sheetName val="Ш03-10"/>
      <sheetName val="Шалым"/>
      <sheetName val="Т0-10"/>
      <sheetName val="Т05-10"/>
    </sheetNames>
    <sheetDataSet>
      <sheetData sheetId="0">
        <row r="48">
          <cell r="I48">
            <v>442.72774</v>
          </cell>
        </row>
      </sheetData>
      <sheetData sheetId="2">
        <row r="49">
          <cell r="M49">
            <v>210.76899999999998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Ш01-10"/>
      <sheetName val="Ш02-10"/>
      <sheetName val="Ш03-10"/>
      <sheetName val="Ш04-10"/>
      <sheetName val="Ш05-10"/>
      <sheetName val="Шалым"/>
      <sheetName val="Т08-10 "/>
    </sheetNames>
    <sheetDataSet>
      <sheetData sheetId="3">
        <row r="49">
          <cell r="I49">
            <v>442.72774</v>
          </cell>
          <cell r="M49">
            <v>210.76899999999998</v>
          </cell>
        </row>
      </sheetData>
      <sheetData sheetId="5">
        <row r="49">
          <cell r="M49">
            <v>210.76899999999998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1-10"/>
      <sheetName val="Т02-10"/>
      <sheetName val="Т03-10"/>
      <sheetName val="Т04-10"/>
      <sheetName val="Т05-10"/>
      <sheetName val="Т06-10"/>
      <sheetName val="Т07-10"/>
      <sheetName val="Т08-10 "/>
      <sheetName val="Т09-10"/>
      <sheetName val="Т10-10"/>
      <sheetName val="Т11"/>
      <sheetName val="Т12"/>
      <sheetName val="Шалым"/>
      <sheetName val="Ш01-10"/>
      <sheetName val="Ш02-10"/>
      <sheetName val="Ш03-10"/>
      <sheetName val="Ш04-10"/>
      <sheetName val="Ш05-10"/>
    </sheetNames>
    <sheetDataSet>
      <sheetData sheetId="6">
        <row r="49">
          <cell r="I49">
            <v>442.71774</v>
          </cell>
        </row>
      </sheetData>
      <sheetData sheetId="7">
        <row r="49">
          <cell r="I49">
            <v>442.71774</v>
          </cell>
        </row>
      </sheetData>
      <sheetData sheetId="8">
        <row r="49">
          <cell r="I49">
            <v>442.71774</v>
          </cell>
        </row>
      </sheetData>
      <sheetData sheetId="9">
        <row r="49">
          <cell r="I49">
            <v>442.71774</v>
          </cell>
          <cell r="M49">
            <v>210.76899999999998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1" ySplit="1" topLeftCell="AP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9" sqref="B39:BC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2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9.25390625" style="2" bestFit="1" customWidth="1"/>
    <col min="32" max="32" width="11.25390625" style="2" customWidth="1"/>
    <col min="33" max="33" width="10.25390625" style="2" customWidth="1"/>
    <col min="34" max="34" width="9.25390625" style="2" bestFit="1" customWidth="1"/>
    <col min="35" max="35" width="12.125" style="2" customWidth="1"/>
    <col min="36" max="36" width="9.25390625" style="2" bestFit="1" customWidth="1"/>
    <col min="37" max="37" width="11.875" style="2" customWidth="1"/>
    <col min="38" max="38" width="9.25390625" style="2" bestFit="1" customWidth="1"/>
    <col min="39" max="39" width="10.125" style="2" bestFit="1" customWidth="1"/>
    <col min="40" max="42" width="9.25390625" style="2" bestFit="1" customWidth="1"/>
    <col min="43" max="44" width="9.25390625" style="2" customWidth="1"/>
    <col min="45" max="45" width="10.125" style="2" bestFit="1" customWidth="1"/>
    <col min="46" max="46" width="10.125" style="2" customWidth="1"/>
    <col min="47" max="47" width="9.25390625" style="2" bestFit="1" customWidth="1"/>
    <col min="48" max="49" width="9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0.375" style="2" customWidth="1"/>
    <col min="56" max="56" width="10.75390625" style="2" customWidth="1"/>
    <col min="57" max="57" width="14.00390625" style="2" customWidth="1"/>
    <col min="58" max="16384" width="9.125" style="2" customWidth="1"/>
  </cols>
  <sheetData>
    <row r="1" spans="1:18" ht="21" customHeight="1">
      <c r="A1" s="180" t="s">
        <v>89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7" ht="13.5" customHeight="1">
      <c r="A3" s="181" t="s">
        <v>0</v>
      </c>
      <c r="B3" s="184" t="s">
        <v>1</v>
      </c>
      <c r="C3" s="184" t="s">
        <v>2</v>
      </c>
      <c r="D3" s="184" t="s">
        <v>3</v>
      </c>
      <c r="E3" s="187" t="s">
        <v>4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66" t="s">
        <v>5</v>
      </c>
      <c r="T3" s="166"/>
      <c r="U3" s="167" t="s">
        <v>6</v>
      </c>
      <c r="V3" s="167"/>
      <c r="W3" s="167"/>
      <c r="X3" s="167"/>
      <c r="Y3" s="167"/>
      <c r="Z3" s="167"/>
      <c r="AA3" s="167"/>
      <c r="AB3" s="167"/>
      <c r="AC3" s="147" t="s">
        <v>87</v>
      </c>
      <c r="AD3" s="147" t="s">
        <v>8</v>
      </c>
      <c r="AE3" s="169" t="s">
        <v>9</v>
      </c>
      <c r="AF3" s="158" t="s">
        <v>75</v>
      </c>
      <c r="AG3" s="161" t="s">
        <v>10</v>
      </c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77" t="s">
        <v>76</v>
      </c>
      <c r="BD3" s="163" t="s">
        <v>11</v>
      </c>
      <c r="BE3" s="172" t="s">
        <v>12</v>
      </c>
    </row>
    <row r="4" spans="1:57" ht="36" customHeight="1" thickBot="1">
      <c r="A4" s="182"/>
      <c r="B4" s="185"/>
      <c r="C4" s="185"/>
      <c r="D4" s="185"/>
      <c r="E4" s="162" t="s">
        <v>13</v>
      </c>
      <c r="F4" s="162"/>
      <c r="G4" s="162" t="s">
        <v>14</v>
      </c>
      <c r="H4" s="162"/>
      <c r="I4" s="162" t="s">
        <v>15</v>
      </c>
      <c r="J4" s="162"/>
      <c r="K4" s="162" t="s">
        <v>16</v>
      </c>
      <c r="L4" s="162"/>
      <c r="M4" s="162" t="s">
        <v>17</v>
      </c>
      <c r="N4" s="162"/>
      <c r="O4" s="162" t="s">
        <v>18</v>
      </c>
      <c r="P4" s="162"/>
      <c r="Q4" s="162" t="s">
        <v>19</v>
      </c>
      <c r="R4" s="162"/>
      <c r="S4" s="162"/>
      <c r="T4" s="162"/>
      <c r="U4" s="168"/>
      <c r="V4" s="168"/>
      <c r="W4" s="168"/>
      <c r="X4" s="168"/>
      <c r="Y4" s="168"/>
      <c r="Z4" s="168"/>
      <c r="AA4" s="168"/>
      <c r="AB4" s="168"/>
      <c r="AC4" s="148"/>
      <c r="AD4" s="148"/>
      <c r="AE4" s="170"/>
      <c r="AF4" s="159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78"/>
      <c r="BD4" s="164"/>
      <c r="BE4" s="173"/>
    </row>
    <row r="5" spans="1:57" ht="29.25" customHeight="1" thickBot="1">
      <c r="A5" s="182"/>
      <c r="B5" s="185"/>
      <c r="C5" s="185"/>
      <c r="D5" s="185"/>
      <c r="E5" s="140" t="s">
        <v>20</v>
      </c>
      <c r="F5" s="140" t="s">
        <v>21</v>
      </c>
      <c r="G5" s="140" t="s">
        <v>20</v>
      </c>
      <c r="H5" s="140" t="s">
        <v>21</v>
      </c>
      <c r="I5" s="140" t="s">
        <v>20</v>
      </c>
      <c r="J5" s="140" t="s">
        <v>21</v>
      </c>
      <c r="K5" s="140" t="s">
        <v>20</v>
      </c>
      <c r="L5" s="140" t="s">
        <v>21</v>
      </c>
      <c r="M5" s="140" t="s">
        <v>20</v>
      </c>
      <c r="N5" s="140" t="s">
        <v>21</v>
      </c>
      <c r="O5" s="140" t="s">
        <v>20</v>
      </c>
      <c r="P5" s="140" t="s">
        <v>21</v>
      </c>
      <c r="Q5" s="140" t="s">
        <v>20</v>
      </c>
      <c r="R5" s="140" t="s">
        <v>21</v>
      </c>
      <c r="S5" s="140" t="s">
        <v>20</v>
      </c>
      <c r="T5" s="140" t="s">
        <v>21</v>
      </c>
      <c r="U5" s="142" t="s">
        <v>22</v>
      </c>
      <c r="V5" s="142" t="s">
        <v>23</v>
      </c>
      <c r="W5" s="142" t="s">
        <v>24</v>
      </c>
      <c r="X5" s="142" t="s">
        <v>25</v>
      </c>
      <c r="Y5" s="142" t="s">
        <v>26</v>
      </c>
      <c r="Z5" s="142" t="s">
        <v>27</v>
      </c>
      <c r="AA5" s="142" t="s">
        <v>28</v>
      </c>
      <c r="AB5" s="142" t="s">
        <v>29</v>
      </c>
      <c r="AC5" s="148"/>
      <c r="AD5" s="148"/>
      <c r="AE5" s="170"/>
      <c r="AF5" s="159"/>
      <c r="AG5" s="150" t="s">
        <v>30</v>
      </c>
      <c r="AH5" s="150" t="s">
        <v>31</v>
      </c>
      <c r="AI5" s="150" t="s">
        <v>32</v>
      </c>
      <c r="AJ5" s="150" t="s">
        <v>33</v>
      </c>
      <c r="AK5" s="150" t="s">
        <v>34</v>
      </c>
      <c r="AL5" s="150" t="s">
        <v>33</v>
      </c>
      <c r="AM5" s="150" t="s">
        <v>35</v>
      </c>
      <c r="AN5" s="150" t="s">
        <v>33</v>
      </c>
      <c r="AO5" s="150" t="s">
        <v>36</v>
      </c>
      <c r="AP5" s="150" t="s">
        <v>33</v>
      </c>
      <c r="AQ5" s="152" t="s">
        <v>80</v>
      </c>
      <c r="AR5" s="154" t="s">
        <v>33</v>
      </c>
      <c r="AS5" s="175" t="s">
        <v>81</v>
      </c>
      <c r="AT5" s="156" t="s">
        <v>82</v>
      </c>
      <c r="AU5" s="156" t="s">
        <v>33</v>
      </c>
      <c r="AV5" s="144" t="s">
        <v>83</v>
      </c>
      <c r="AW5" s="145"/>
      <c r="AX5" s="146"/>
      <c r="AY5" s="150" t="s">
        <v>19</v>
      </c>
      <c r="AZ5" s="150" t="s">
        <v>38</v>
      </c>
      <c r="BA5" s="150" t="s">
        <v>33</v>
      </c>
      <c r="BB5" s="150" t="s">
        <v>39</v>
      </c>
      <c r="BC5" s="178"/>
      <c r="BD5" s="164"/>
      <c r="BE5" s="173"/>
    </row>
    <row r="6" spans="1:57" ht="54" customHeight="1" thickBot="1">
      <c r="A6" s="183"/>
      <c r="B6" s="186"/>
      <c r="C6" s="186"/>
      <c r="D6" s="186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3"/>
      <c r="V6" s="143"/>
      <c r="W6" s="143"/>
      <c r="X6" s="143"/>
      <c r="Y6" s="143"/>
      <c r="Z6" s="143"/>
      <c r="AA6" s="143"/>
      <c r="AB6" s="143"/>
      <c r="AC6" s="149"/>
      <c r="AD6" s="149"/>
      <c r="AE6" s="171"/>
      <c r="AF6" s="160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3"/>
      <c r="AR6" s="155"/>
      <c r="AS6" s="176"/>
      <c r="AT6" s="157"/>
      <c r="AU6" s="157"/>
      <c r="AV6" s="120" t="s">
        <v>84</v>
      </c>
      <c r="AW6" s="120" t="s">
        <v>85</v>
      </c>
      <c r="AX6" s="120" t="s">
        <v>86</v>
      </c>
      <c r="AY6" s="151"/>
      <c r="AZ6" s="151"/>
      <c r="BA6" s="151"/>
      <c r="BB6" s="151"/>
      <c r="BC6" s="179"/>
      <c r="BD6" s="165"/>
      <c r="BE6" s="174"/>
    </row>
    <row r="7" spans="1:57" ht="12.75">
      <c r="A7" s="7">
        <v>1</v>
      </c>
      <c r="B7" s="8">
        <v>2</v>
      </c>
      <c r="C7" s="7">
        <v>3</v>
      </c>
      <c r="D7" s="8">
        <v>4</v>
      </c>
      <c r="E7" s="7">
        <v>5</v>
      </c>
      <c r="F7" s="8">
        <v>6</v>
      </c>
      <c r="G7" s="7">
        <v>7</v>
      </c>
      <c r="H7" s="8">
        <v>8</v>
      </c>
      <c r="I7" s="7">
        <v>9</v>
      </c>
      <c r="J7" s="8">
        <v>10</v>
      </c>
      <c r="K7" s="7">
        <v>11</v>
      </c>
      <c r="L7" s="8">
        <v>12</v>
      </c>
      <c r="M7" s="7">
        <v>13</v>
      </c>
      <c r="N7" s="8">
        <v>14</v>
      </c>
      <c r="O7" s="7">
        <v>15</v>
      </c>
      <c r="P7" s="8">
        <v>16</v>
      </c>
      <c r="Q7" s="7">
        <v>17</v>
      </c>
      <c r="R7" s="8">
        <v>18</v>
      </c>
      <c r="S7" s="7">
        <v>19</v>
      </c>
      <c r="T7" s="8">
        <v>20</v>
      </c>
      <c r="U7" s="7">
        <v>21</v>
      </c>
      <c r="V7" s="8">
        <v>22</v>
      </c>
      <c r="W7" s="7">
        <v>23</v>
      </c>
      <c r="X7" s="8">
        <v>24</v>
      </c>
      <c r="Y7" s="7">
        <v>25</v>
      </c>
      <c r="Z7" s="8">
        <v>26</v>
      </c>
      <c r="AA7" s="7">
        <v>27</v>
      </c>
      <c r="AB7" s="8">
        <v>28</v>
      </c>
      <c r="AC7" s="7">
        <v>29</v>
      </c>
      <c r="AD7" s="8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8">
        <v>40</v>
      </c>
      <c r="AO7" s="7">
        <v>41</v>
      </c>
      <c r="AP7" s="8">
        <v>42</v>
      </c>
      <c r="AQ7" s="7">
        <v>43</v>
      </c>
      <c r="AR7" s="8">
        <v>44</v>
      </c>
      <c r="AS7" s="7">
        <v>45</v>
      </c>
      <c r="AT7" s="8">
        <v>46</v>
      </c>
      <c r="AU7" s="7">
        <v>47</v>
      </c>
      <c r="AV7" s="8">
        <v>48</v>
      </c>
      <c r="AW7" s="7">
        <v>49</v>
      </c>
      <c r="AX7" s="8">
        <v>50</v>
      </c>
      <c r="AY7" s="7">
        <v>51</v>
      </c>
      <c r="AZ7" s="8">
        <v>52</v>
      </c>
      <c r="BA7" s="7">
        <v>53</v>
      </c>
      <c r="BB7" s="8">
        <v>54</v>
      </c>
      <c r="BC7" s="7">
        <v>55</v>
      </c>
      <c r="BD7" s="8">
        <v>56</v>
      </c>
      <c r="BE7" s="7">
        <v>57</v>
      </c>
    </row>
    <row r="8" spans="1:57" ht="12.75">
      <c r="A8" s="5" t="s">
        <v>40</v>
      </c>
      <c r="B8" s="6"/>
      <c r="C8" s="6"/>
      <c r="D8" s="6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7"/>
      <c r="AT8" s="47"/>
      <c r="AU8" s="47"/>
      <c r="AV8" s="47"/>
      <c r="AW8" s="47"/>
      <c r="AX8" s="6"/>
      <c r="AY8" s="6"/>
      <c r="AZ8" s="6"/>
      <c r="BA8" s="6"/>
      <c r="BB8" s="6"/>
      <c r="BC8" s="6"/>
      <c r="BD8" s="6"/>
      <c r="BE8" s="10"/>
    </row>
    <row r="9" spans="1:57" ht="12.75">
      <c r="A9" s="11" t="s">
        <v>41</v>
      </c>
      <c r="B9" s="104">
        <v>4454.5</v>
      </c>
      <c r="C9" s="105">
        <f>B9*8.65</f>
        <v>38531.425</v>
      </c>
      <c r="D9" s="106">
        <f>C9*0.24088</f>
        <v>9281.449654000002</v>
      </c>
      <c r="E9" s="107">
        <v>3113.78</v>
      </c>
      <c r="F9" s="107">
        <v>609.98</v>
      </c>
      <c r="G9" s="107">
        <v>4203.75</v>
      </c>
      <c r="H9" s="107">
        <v>823.47</v>
      </c>
      <c r="I9" s="107">
        <v>10092.58</v>
      </c>
      <c r="J9" s="107">
        <v>2009.74</v>
      </c>
      <c r="K9" s="107">
        <v>7006.11</v>
      </c>
      <c r="L9" s="107">
        <v>1372.46</v>
      </c>
      <c r="M9" s="107">
        <v>2491.04</v>
      </c>
      <c r="N9" s="107">
        <v>487.97</v>
      </c>
      <c r="O9" s="107">
        <v>0</v>
      </c>
      <c r="P9" s="107">
        <v>0</v>
      </c>
      <c r="Q9" s="107">
        <v>0</v>
      </c>
      <c r="R9" s="107">
        <v>0</v>
      </c>
      <c r="S9" s="91">
        <f>E9+G9+I9+K9+M9+O9+Q9</f>
        <v>26907.260000000002</v>
      </c>
      <c r="T9" s="108">
        <f>P9+N9+L9+J9+H9+F9+R9</f>
        <v>5303.620000000001</v>
      </c>
      <c r="U9" s="91">
        <v>51</v>
      </c>
      <c r="V9" s="91">
        <v>70</v>
      </c>
      <c r="W9" s="91">
        <v>168</v>
      </c>
      <c r="X9" s="91">
        <v>117</v>
      </c>
      <c r="Y9" s="91">
        <v>41</v>
      </c>
      <c r="Z9" s="109">
        <v>0</v>
      </c>
      <c r="AA9" s="109">
        <v>0</v>
      </c>
      <c r="AB9" s="109">
        <f>SUM(U9:AA9)</f>
        <v>447</v>
      </c>
      <c r="AC9" s="110">
        <f>D9+T9+AB9</f>
        <v>15032.069654000003</v>
      </c>
      <c r="AD9" s="111">
        <f>P9+Z9</f>
        <v>0</v>
      </c>
      <c r="AE9" s="102">
        <f>R9+AA9</f>
        <v>0</v>
      </c>
      <c r="AF9" s="102"/>
      <c r="AG9" s="16">
        <f>0.6*B9</f>
        <v>2672.7</v>
      </c>
      <c r="AH9" s="16">
        <f>B9*0.2*1.05826</f>
        <v>942.803834</v>
      </c>
      <c r="AI9" s="16">
        <f>0.8518*B9-0.01</f>
        <v>3794.3331</v>
      </c>
      <c r="AJ9" s="16">
        <f>AI9*0.18</f>
        <v>682.9799579999999</v>
      </c>
      <c r="AK9" s="16">
        <f>1.04*B9*0.9531</f>
        <v>4415.407308</v>
      </c>
      <c r="AL9" s="16">
        <f>AK9*0.18</f>
        <v>794.7733154399999</v>
      </c>
      <c r="AM9" s="16">
        <f>(1.91)*B9*0.9531</f>
        <v>8109.065344499999</v>
      </c>
      <c r="AN9" s="16">
        <f>AM9*0.18</f>
        <v>1459.6317620099996</v>
      </c>
      <c r="AO9" s="16"/>
      <c r="AP9" s="16">
        <f>AO9*0.18</f>
        <v>0</v>
      </c>
      <c r="AQ9" s="16"/>
      <c r="AR9" s="16"/>
      <c r="AS9" s="97">
        <v>23622.19</v>
      </c>
      <c r="AT9" s="97"/>
      <c r="AU9" s="48">
        <f>AS9*0.18</f>
        <v>4251.994199999999</v>
      </c>
      <c r="AV9" s="48"/>
      <c r="AW9" s="48"/>
      <c r="AX9" s="31">
        <v>0</v>
      </c>
      <c r="AY9" s="31">
        <v>0</v>
      </c>
      <c r="AZ9" s="31">
        <v>0</v>
      </c>
      <c r="BA9" s="14">
        <f aca="true" t="shared" si="0" ref="BA9:BA25">AZ9*0.18</f>
        <v>0</v>
      </c>
      <c r="BB9" s="14">
        <f>SUM(AG9:BA9)</f>
        <v>50745.87882195</v>
      </c>
      <c r="BC9" s="14">
        <v>0</v>
      </c>
      <c r="BD9" s="14">
        <f>AC9-BB9</f>
        <v>-35713.80916794999</v>
      </c>
      <c r="BE9" s="30">
        <f>AB9-S9</f>
        <v>-26460.260000000002</v>
      </c>
    </row>
    <row r="10" spans="1:57" ht="12.75">
      <c r="A10" s="11" t="s">
        <v>42</v>
      </c>
      <c r="B10" s="104">
        <v>4454.5</v>
      </c>
      <c r="C10" s="105">
        <f>B10*8.65</f>
        <v>38531.425</v>
      </c>
      <c r="D10" s="106">
        <f>C10*0.24088</f>
        <v>9281.449654000002</v>
      </c>
      <c r="E10" s="107">
        <v>2950.22</v>
      </c>
      <c r="F10" s="107">
        <v>578.26</v>
      </c>
      <c r="G10" s="107">
        <v>3982.6</v>
      </c>
      <c r="H10" s="107">
        <v>780.65</v>
      </c>
      <c r="I10" s="107">
        <v>9561.1</v>
      </c>
      <c r="J10" s="107">
        <v>1906.5</v>
      </c>
      <c r="K10" s="107">
        <v>6637.76</v>
      </c>
      <c r="L10" s="107">
        <v>1300.98</v>
      </c>
      <c r="M10" s="107">
        <v>2360.01</v>
      </c>
      <c r="N10" s="107">
        <v>462.62</v>
      </c>
      <c r="O10" s="107">
        <v>0</v>
      </c>
      <c r="P10" s="107">
        <v>0</v>
      </c>
      <c r="Q10" s="107">
        <v>0</v>
      </c>
      <c r="R10" s="107">
        <v>0</v>
      </c>
      <c r="S10" s="91">
        <f>E10+G10+I10+K10+M10+O10+Q10</f>
        <v>25491.690000000002</v>
      </c>
      <c r="T10" s="108">
        <f>P10+N10+L10+J10+H10+F10+R10</f>
        <v>5029.01</v>
      </c>
      <c r="U10" s="91">
        <v>2086.99</v>
      </c>
      <c r="V10" s="91">
        <v>2817.04</v>
      </c>
      <c r="W10" s="91">
        <v>6948.98</v>
      </c>
      <c r="X10" s="91">
        <v>4694.96</v>
      </c>
      <c r="Y10" s="91">
        <v>1669.6</v>
      </c>
      <c r="Z10" s="109">
        <v>0</v>
      </c>
      <c r="AA10" s="109">
        <v>0</v>
      </c>
      <c r="AB10" s="112">
        <f>SUM(U10:AA10)</f>
        <v>18217.569999999996</v>
      </c>
      <c r="AC10" s="113">
        <f>D10+T10+AB10</f>
        <v>32528.029653999998</v>
      </c>
      <c r="AD10" s="102">
        <f>P10+Z10</f>
        <v>0</v>
      </c>
      <c r="AE10" s="102">
        <f>R10+AA10</f>
        <v>0</v>
      </c>
      <c r="AF10" s="102"/>
      <c r="AG10" s="16">
        <f>0.6*B10</f>
        <v>2672.7</v>
      </c>
      <c r="AH10" s="16">
        <f>B10*0.201</f>
        <v>895.3545</v>
      </c>
      <c r="AI10" s="16">
        <f>0.8518*B10-0.01</f>
        <v>3794.3331</v>
      </c>
      <c r="AJ10" s="16">
        <f>AI10*0.18</f>
        <v>682.9799579999999</v>
      </c>
      <c r="AK10" s="16">
        <f>1.04*B10*0.9531</f>
        <v>4415.407308</v>
      </c>
      <c r="AL10" s="16">
        <f>AK10*0.18</f>
        <v>794.7733154399999</v>
      </c>
      <c r="AM10" s="16">
        <f>(1.91)*B10*0.9531</f>
        <v>8109.065344499999</v>
      </c>
      <c r="AN10" s="16">
        <f>AM10*0.18</f>
        <v>1459.6317620099996</v>
      </c>
      <c r="AO10" s="16"/>
      <c r="AP10" s="16">
        <f>AO10*0.18</f>
        <v>0</v>
      </c>
      <c r="AQ10" s="16"/>
      <c r="AR10" s="16"/>
      <c r="AS10" s="97">
        <v>7788</v>
      </c>
      <c r="AT10" s="97"/>
      <c r="AU10" s="48">
        <f>AS10*0.18</f>
        <v>1401.84</v>
      </c>
      <c r="AV10" s="48"/>
      <c r="AW10" s="48"/>
      <c r="AX10" s="31">
        <v>0</v>
      </c>
      <c r="AY10" s="31">
        <v>0</v>
      </c>
      <c r="AZ10" s="31">
        <v>0</v>
      </c>
      <c r="BA10" s="14">
        <f t="shared" si="0"/>
        <v>0</v>
      </c>
      <c r="BB10" s="14">
        <f>SUM(AG10:BA10)</f>
        <v>32014.085287949994</v>
      </c>
      <c r="BC10" s="14">
        <v>0</v>
      </c>
      <c r="BD10" s="14">
        <f>AC10-BB10</f>
        <v>513.9443660500037</v>
      </c>
      <c r="BE10" s="30">
        <f>AB10-S10</f>
        <v>-7274.120000000006</v>
      </c>
    </row>
    <row r="11" spans="1:57" ht="12.75">
      <c r="A11" s="11" t="s">
        <v>43</v>
      </c>
      <c r="B11" s="104">
        <v>4454.5</v>
      </c>
      <c r="C11" s="105">
        <f>B11*8.65</f>
        <v>38531.425</v>
      </c>
      <c r="D11" s="106">
        <f>C11*0.24035</f>
        <v>9261.027998750002</v>
      </c>
      <c r="E11" s="107">
        <v>2904.46</v>
      </c>
      <c r="F11" s="107">
        <v>589.86</v>
      </c>
      <c r="G11" s="107">
        <v>3921.27</v>
      </c>
      <c r="H11" s="107">
        <v>796.31</v>
      </c>
      <c r="I11" s="107">
        <v>9419.66</v>
      </c>
      <c r="J11" s="107">
        <v>1944.28</v>
      </c>
      <c r="K11" s="107">
        <v>6535.35</v>
      </c>
      <c r="L11" s="107">
        <v>1327.14</v>
      </c>
      <c r="M11" s="107">
        <v>2323.49</v>
      </c>
      <c r="N11" s="107">
        <v>471.89</v>
      </c>
      <c r="O11" s="107">
        <v>0</v>
      </c>
      <c r="P11" s="114">
        <v>0</v>
      </c>
      <c r="Q11" s="107">
        <v>0</v>
      </c>
      <c r="R11" s="114">
        <v>0</v>
      </c>
      <c r="S11" s="91">
        <f>E11+G11+I11+K11+M11+O11+Q11</f>
        <v>25104.229999999996</v>
      </c>
      <c r="T11" s="108">
        <f>P11+N11+L11+J11+H11+F11+R11</f>
        <v>5129.4800000000005</v>
      </c>
      <c r="U11" s="91">
        <v>3306.22</v>
      </c>
      <c r="V11" s="91">
        <v>4484.05</v>
      </c>
      <c r="W11" s="91">
        <v>10770.51</v>
      </c>
      <c r="X11" s="91">
        <v>7462.23</v>
      </c>
      <c r="Y11" s="91">
        <v>2651.11</v>
      </c>
      <c r="Z11" s="109">
        <v>0</v>
      </c>
      <c r="AA11" s="109">
        <v>0</v>
      </c>
      <c r="AB11" s="112">
        <f>SUM(U11:AA11)</f>
        <v>28674.12</v>
      </c>
      <c r="AC11" s="113">
        <f>D11+T11+AB11</f>
        <v>43064.62799875</v>
      </c>
      <c r="AD11" s="102">
        <f>P11+Z11</f>
        <v>0</v>
      </c>
      <c r="AE11" s="102">
        <f>R11+AA11</f>
        <v>0</v>
      </c>
      <c r="AF11" s="102"/>
      <c r="AG11" s="16">
        <f>0.6*B11</f>
        <v>2672.7</v>
      </c>
      <c r="AH11" s="16">
        <f>B11*0.2*1.02524-0.01</f>
        <v>913.3763160000001</v>
      </c>
      <c r="AI11" s="16">
        <f>0.84932*B11</f>
        <v>3783.29594</v>
      </c>
      <c r="AJ11" s="16">
        <f>AI11*0.18</f>
        <v>680.9932692</v>
      </c>
      <c r="AK11" s="16">
        <f>1.04*B11*0.95033</f>
        <v>4402.574784400001</v>
      </c>
      <c r="AL11" s="16">
        <f>AK11*0.18</f>
        <v>792.4634611920001</v>
      </c>
      <c r="AM11" s="16">
        <f>(1.91)*B11*0.95033-0.1</f>
        <v>8085.397921349999</v>
      </c>
      <c r="AN11" s="16">
        <f>AM11*0.18</f>
        <v>1455.3716258429997</v>
      </c>
      <c r="AO11" s="16"/>
      <c r="AP11" s="16">
        <f>AO11*0.18</f>
        <v>0</v>
      </c>
      <c r="AQ11" s="16"/>
      <c r="AR11" s="16"/>
      <c r="AS11" s="97">
        <v>4080</v>
      </c>
      <c r="AT11" s="97"/>
      <c r="AU11" s="48">
        <f>AS11*0.18</f>
        <v>734.4</v>
      </c>
      <c r="AV11" s="48"/>
      <c r="AW11" s="48"/>
      <c r="AX11" s="31">
        <v>0</v>
      </c>
      <c r="AY11" s="31">
        <v>0</v>
      </c>
      <c r="AZ11" s="31">
        <v>0</v>
      </c>
      <c r="BA11" s="14">
        <f t="shared" si="0"/>
        <v>0</v>
      </c>
      <c r="BB11" s="14">
        <f>SUM(AG11:BA11)</f>
        <v>27600.573317985</v>
      </c>
      <c r="BC11" s="14">
        <v>0</v>
      </c>
      <c r="BD11" s="14">
        <f>AC11-BB11</f>
        <v>15464.054680765003</v>
      </c>
      <c r="BE11" s="30">
        <f>AB11-S11</f>
        <v>3569.890000000003</v>
      </c>
    </row>
    <row r="12" spans="1:57" s="20" customFormat="1" ht="15" customHeight="1">
      <c r="A12" s="17" t="s">
        <v>5</v>
      </c>
      <c r="B12" s="60"/>
      <c r="C12" s="60">
        <f aca="true" t="shared" si="1" ref="C12:BE12">SUM(C9:C11)</f>
        <v>115594.27500000001</v>
      </c>
      <c r="D12" s="60">
        <f t="shared" si="1"/>
        <v>27823.927306750003</v>
      </c>
      <c r="E12" s="57">
        <f>SUM(E9:E11)</f>
        <v>8968.46</v>
      </c>
      <c r="F12" s="57">
        <f t="shared" si="1"/>
        <v>1778.1</v>
      </c>
      <c r="G12" s="57">
        <f t="shared" si="1"/>
        <v>12107.62</v>
      </c>
      <c r="H12" s="57">
        <f t="shared" si="1"/>
        <v>2400.43</v>
      </c>
      <c r="I12" s="57">
        <f t="shared" si="1"/>
        <v>29073.34</v>
      </c>
      <c r="J12" s="57">
        <f t="shared" si="1"/>
        <v>5860.5199999999995</v>
      </c>
      <c r="K12" s="57">
        <f t="shared" si="1"/>
        <v>20179.22</v>
      </c>
      <c r="L12" s="57">
        <f t="shared" si="1"/>
        <v>4000.58</v>
      </c>
      <c r="M12" s="57">
        <f t="shared" si="1"/>
        <v>7174.54</v>
      </c>
      <c r="N12" s="57">
        <f t="shared" si="1"/>
        <v>1422.48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77503.18</v>
      </c>
      <c r="T12" s="57">
        <f t="shared" si="1"/>
        <v>15462.11</v>
      </c>
      <c r="U12" s="61">
        <f t="shared" si="1"/>
        <v>5444.209999999999</v>
      </c>
      <c r="V12" s="61">
        <f t="shared" si="1"/>
        <v>7371.09</v>
      </c>
      <c r="W12" s="61">
        <f t="shared" si="1"/>
        <v>17887.489999999998</v>
      </c>
      <c r="X12" s="61">
        <f t="shared" si="1"/>
        <v>12274.189999999999</v>
      </c>
      <c r="Y12" s="61">
        <f t="shared" si="1"/>
        <v>4361.71</v>
      </c>
      <c r="Z12" s="61">
        <f t="shared" si="1"/>
        <v>0</v>
      </c>
      <c r="AA12" s="61">
        <f t="shared" si="1"/>
        <v>0</v>
      </c>
      <c r="AB12" s="61">
        <f t="shared" si="1"/>
        <v>47338.689999999995</v>
      </c>
      <c r="AC12" s="61">
        <f t="shared" si="1"/>
        <v>90624.72730675</v>
      </c>
      <c r="AD12" s="61">
        <f>SUM(AD9:AD11)</f>
        <v>0</v>
      </c>
      <c r="AE12" s="100">
        <f t="shared" si="1"/>
        <v>0</v>
      </c>
      <c r="AF12" s="100">
        <f t="shared" si="1"/>
        <v>0</v>
      </c>
      <c r="AG12" s="18">
        <f t="shared" si="1"/>
        <v>8018.099999999999</v>
      </c>
      <c r="AH12" s="18">
        <f t="shared" si="1"/>
        <v>2751.5346500000005</v>
      </c>
      <c r="AI12" s="18">
        <f t="shared" si="1"/>
        <v>11371.96214</v>
      </c>
      <c r="AJ12" s="18">
        <f t="shared" si="1"/>
        <v>2046.9531851999998</v>
      </c>
      <c r="AK12" s="18">
        <f t="shared" si="1"/>
        <v>13233.3894004</v>
      </c>
      <c r="AL12" s="18">
        <f t="shared" si="1"/>
        <v>2382.0100920719997</v>
      </c>
      <c r="AM12" s="18">
        <f>SUM(AM9:AM11)</f>
        <v>24303.528610349997</v>
      </c>
      <c r="AN12" s="18">
        <f>SUM(AN9:AN11)</f>
        <v>4374.635149862999</v>
      </c>
      <c r="AO12" s="18">
        <f t="shared" si="1"/>
        <v>0</v>
      </c>
      <c r="AP12" s="18">
        <f t="shared" si="1"/>
        <v>0</v>
      </c>
      <c r="AQ12" s="18">
        <f>SUM(AQ9:AQ11)</f>
        <v>0</v>
      </c>
      <c r="AR12" s="18">
        <f>SUM(AR9:AR11)</f>
        <v>0</v>
      </c>
      <c r="AS12" s="18">
        <f>SUM(AS9:AS11)</f>
        <v>35490.19</v>
      </c>
      <c r="AT12" s="18">
        <f>SUM(AT9:AT11)</f>
        <v>0</v>
      </c>
      <c r="AU12" s="18">
        <f>SUM(AU9:AU11)</f>
        <v>6388.234199999999</v>
      </c>
      <c r="AV12" s="18"/>
      <c r="AW12" s="18"/>
      <c r="AX12" s="18">
        <f t="shared" si="1"/>
        <v>0</v>
      </c>
      <c r="AY12" s="18">
        <f t="shared" si="1"/>
        <v>0</v>
      </c>
      <c r="AZ12" s="18">
        <f t="shared" si="1"/>
        <v>0</v>
      </c>
      <c r="BA12" s="18">
        <f t="shared" si="1"/>
        <v>0</v>
      </c>
      <c r="BB12" s="18">
        <f t="shared" si="1"/>
        <v>110360.53742788499</v>
      </c>
      <c r="BC12" s="18">
        <f t="shared" si="1"/>
        <v>0</v>
      </c>
      <c r="BD12" s="18">
        <f t="shared" si="1"/>
        <v>-19735.810121134986</v>
      </c>
      <c r="BE12" s="19">
        <f t="shared" si="1"/>
        <v>-30164.49</v>
      </c>
    </row>
    <row r="13" spans="1:57" ht="15" customHeight="1">
      <c r="A13" s="5" t="s">
        <v>44</v>
      </c>
      <c r="B13" s="58"/>
      <c r="C13" s="59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5"/>
      <c r="R13" s="55"/>
      <c r="S13" s="55"/>
      <c r="T13" s="55"/>
      <c r="U13" s="62"/>
      <c r="V13" s="62"/>
      <c r="W13" s="62"/>
      <c r="X13" s="62"/>
      <c r="Y13" s="62"/>
      <c r="Z13" s="62"/>
      <c r="AA13" s="54"/>
      <c r="AB13" s="54"/>
      <c r="AC13" s="98"/>
      <c r="AD13" s="98"/>
      <c r="AE13" s="99"/>
      <c r="AF13" s="99"/>
      <c r="AG13" s="14"/>
      <c r="AH13" s="14"/>
      <c r="AI13" s="14"/>
      <c r="AJ13" s="14"/>
      <c r="AK13" s="14"/>
      <c r="AL13" s="14"/>
      <c r="AM13" s="14"/>
      <c r="AN13" s="14"/>
      <c r="AO13" s="31"/>
      <c r="AP13" s="31"/>
      <c r="AQ13" s="31"/>
      <c r="AR13" s="31"/>
      <c r="AS13" s="95"/>
      <c r="AT13" s="95"/>
      <c r="AU13" s="48"/>
      <c r="AV13" s="48"/>
      <c r="AW13" s="48"/>
      <c r="AX13" s="31"/>
      <c r="AY13" s="31"/>
      <c r="AZ13" s="31"/>
      <c r="BA13" s="14"/>
      <c r="BB13" s="14"/>
      <c r="BC13" s="14"/>
      <c r="BD13" s="14"/>
      <c r="BE13" s="30"/>
    </row>
    <row r="14" spans="1:57" ht="12.75">
      <c r="A14" s="11" t="s">
        <v>45</v>
      </c>
      <c r="B14" s="115">
        <v>4454.5</v>
      </c>
      <c r="C14" s="105">
        <f aca="true" t="shared" si="2" ref="C14:C25">B14*8.65</f>
        <v>38531.425</v>
      </c>
      <c r="D14" s="106">
        <f>C14*0.125</f>
        <v>4816.428125</v>
      </c>
      <c r="E14" s="107">
        <v>3079.15</v>
      </c>
      <c r="F14" s="107">
        <v>569.46</v>
      </c>
      <c r="G14" s="107">
        <v>4156.83</v>
      </c>
      <c r="H14" s="107">
        <v>768.77</v>
      </c>
      <c r="I14" s="107">
        <v>9979.83</v>
      </c>
      <c r="J14" s="107">
        <v>1877.98</v>
      </c>
      <c r="K14" s="107">
        <v>6928.04</v>
      </c>
      <c r="L14" s="107">
        <v>1281.24</v>
      </c>
      <c r="M14" s="107">
        <v>2463.23</v>
      </c>
      <c r="N14" s="107">
        <v>455.57</v>
      </c>
      <c r="O14" s="107">
        <v>0</v>
      </c>
      <c r="P14" s="114">
        <v>0</v>
      </c>
      <c r="Q14" s="107">
        <v>0</v>
      </c>
      <c r="R14" s="114">
        <v>0</v>
      </c>
      <c r="S14" s="91">
        <f aca="true" t="shared" si="3" ref="S14:S25">E14+G14+I14+K14+M14+O14+Q14</f>
        <v>26607.079999999998</v>
      </c>
      <c r="T14" s="108">
        <f aca="true" t="shared" si="4" ref="T14:T25">P14+N14+L14+J14+H14+F14+R14</f>
        <v>4953.0199999999995</v>
      </c>
      <c r="U14" s="91">
        <v>2003.18</v>
      </c>
      <c r="V14" s="91">
        <v>2690.71</v>
      </c>
      <c r="W14" s="91">
        <v>6334.94</v>
      </c>
      <c r="X14" s="91">
        <v>4484.38</v>
      </c>
      <c r="Y14" s="91">
        <v>1594.51</v>
      </c>
      <c r="Z14" s="109">
        <v>0</v>
      </c>
      <c r="AA14" s="109">
        <v>0</v>
      </c>
      <c r="AB14" s="116">
        <f aca="true" t="shared" si="5" ref="AB14:AB22">SUM(U14:AA14)</f>
        <v>17107.719999999998</v>
      </c>
      <c r="AC14" s="113">
        <f aca="true" t="shared" si="6" ref="AC14:AC22">D14+T14+AB14</f>
        <v>26877.168124999997</v>
      </c>
      <c r="AD14" s="102">
        <f aca="true" t="shared" si="7" ref="AD14:AD25">P14+Z14</f>
        <v>0</v>
      </c>
      <c r="AE14" s="102">
        <f aca="true" t="shared" si="8" ref="AE14:AE25">R14+AA14</f>
        <v>0</v>
      </c>
      <c r="AF14" s="102"/>
      <c r="AG14" s="16">
        <f>0.6*B14*0.9</f>
        <v>2405.43</v>
      </c>
      <c r="AH14" s="16">
        <f>B14*0.2*0.891</f>
        <v>793.7919</v>
      </c>
      <c r="AI14" s="16">
        <f>0.85*B14*0.867-0.02</f>
        <v>3282.723775</v>
      </c>
      <c r="AJ14" s="16">
        <f aca="true" t="shared" si="9" ref="AJ14:AJ25">AI14*0.18</f>
        <v>590.8902795</v>
      </c>
      <c r="AK14" s="16">
        <f>0.83*B14*0.8686</f>
        <v>3211.4183209999997</v>
      </c>
      <c r="AL14" s="16">
        <f aca="true" t="shared" si="10" ref="AL14:AL25">AK14*0.18</f>
        <v>578.0552977799999</v>
      </c>
      <c r="AM14" s="16">
        <f>1.91*B14*0.8686</f>
        <v>7390.131316999999</v>
      </c>
      <c r="AN14" s="16">
        <f aca="true" t="shared" si="11" ref="AN14:AN25">AM14*0.18</f>
        <v>1330.2236370599999</v>
      </c>
      <c r="AO14" s="16"/>
      <c r="AP14" s="16">
        <f aca="true" t="shared" si="12" ref="AP14:AR25">AO14*0.18</f>
        <v>0</v>
      </c>
      <c r="AQ14" s="117"/>
      <c r="AR14" s="117">
        <f>AQ14*0.18</f>
        <v>0</v>
      </c>
      <c r="AS14" s="97">
        <v>269</v>
      </c>
      <c r="AT14" s="97"/>
      <c r="AU14" s="97">
        <f>(AS14+AT14)*0.18</f>
        <v>48.42</v>
      </c>
      <c r="AV14" s="118">
        <v>508</v>
      </c>
      <c r="AW14" s="119">
        <v>2.25</v>
      </c>
      <c r="AX14" s="16">
        <f aca="true" t="shared" si="13" ref="AX14:AX22">AV14*AW14*1.12*1.18</f>
        <v>1510.5888</v>
      </c>
      <c r="AY14" s="121"/>
      <c r="AZ14" s="122"/>
      <c r="BA14" s="122">
        <f>AZ14*0.18</f>
        <v>0</v>
      </c>
      <c r="BB14" s="122">
        <f>SUM(AG14:AU14)</f>
        <v>19900.084527339997</v>
      </c>
      <c r="BC14" s="132"/>
      <c r="BD14" s="14">
        <f>AC14+AF14-BB14-BC14</f>
        <v>6977.083597659999</v>
      </c>
      <c r="BE14" s="30">
        <f>AB14-S14</f>
        <v>-9499.36</v>
      </c>
    </row>
    <row r="15" spans="1:57" ht="12.75">
      <c r="A15" s="11" t="s">
        <v>46</v>
      </c>
      <c r="B15" s="115">
        <v>4455</v>
      </c>
      <c r="C15" s="105">
        <f t="shared" si="2"/>
        <v>38535.75</v>
      </c>
      <c r="D15" s="106">
        <f>C15*0.125</f>
        <v>4816.96875</v>
      </c>
      <c r="E15" s="107">
        <v>3079.2</v>
      </c>
      <c r="F15" s="107">
        <v>569.65</v>
      </c>
      <c r="G15" s="107">
        <v>4156.91</v>
      </c>
      <c r="H15" s="107">
        <v>769.03</v>
      </c>
      <c r="I15" s="107">
        <v>9980.01</v>
      </c>
      <c r="J15" s="107">
        <v>1878.6</v>
      </c>
      <c r="K15" s="107">
        <v>6928.14</v>
      </c>
      <c r="L15" s="107">
        <v>1281.66</v>
      </c>
      <c r="M15" s="107">
        <v>2463.28</v>
      </c>
      <c r="N15" s="107">
        <v>455.72</v>
      </c>
      <c r="O15" s="107">
        <v>0</v>
      </c>
      <c r="P15" s="114">
        <v>0</v>
      </c>
      <c r="Q15" s="107">
        <v>0</v>
      </c>
      <c r="R15" s="114">
        <v>0</v>
      </c>
      <c r="S15" s="91">
        <f t="shared" si="3"/>
        <v>26607.539999999997</v>
      </c>
      <c r="T15" s="108">
        <f t="shared" si="4"/>
        <v>4954.66</v>
      </c>
      <c r="U15" s="91">
        <v>2375.92</v>
      </c>
      <c r="V15" s="91">
        <v>3207.41</v>
      </c>
      <c r="W15" s="91">
        <v>7687.69</v>
      </c>
      <c r="X15" s="91">
        <v>5345.71</v>
      </c>
      <c r="Y15" s="91">
        <v>1900.63</v>
      </c>
      <c r="Z15" s="109">
        <v>0</v>
      </c>
      <c r="AA15" s="109">
        <v>0</v>
      </c>
      <c r="AB15" s="112">
        <f t="shared" si="5"/>
        <v>20517.36</v>
      </c>
      <c r="AC15" s="113">
        <f t="shared" si="6"/>
        <v>30288.98875</v>
      </c>
      <c r="AD15" s="102">
        <f t="shared" si="7"/>
        <v>0</v>
      </c>
      <c r="AE15" s="102">
        <f t="shared" si="8"/>
        <v>0</v>
      </c>
      <c r="AF15" s="102"/>
      <c r="AG15" s="16">
        <f>0.6*B15*0.9</f>
        <v>2405.7000000000003</v>
      </c>
      <c r="AH15" s="16">
        <f>B15*0.2*0.9153</f>
        <v>815.5323</v>
      </c>
      <c r="AI15" s="16">
        <f>0.85*B15*0.866</f>
        <v>3279.3255</v>
      </c>
      <c r="AJ15" s="16">
        <f t="shared" si="9"/>
        <v>590.27859</v>
      </c>
      <c r="AK15" s="16">
        <f>0.83*B15*0.8684</f>
        <v>3211.0392599999996</v>
      </c>
      <c r="AL15" s="16">
        <f t="shared" si="10"/>
        <v>577.9870667999999</v>
      </c>
      <c r="AM15" s="16">
        <f>(1.91)*B15*0.8684</f>
        <v>7389.259019999999</v>
      </c>
      <c r="AN15" s="16">
        <f t="shared" si="11"/>
        <v>1330.0666235999997</v>
      </c>
      <c r="AO15" s="16"/>
      <c r="AP15" s="16">
        <f t="shared" si="12"/>
        <v>0</v>
      </c>
      <c r="AQ15" s="117"/>
      <c r="AR15" s="117">
        <f>AQ15*0.18</f>
        <v>0</v>
      </c>
      <c r="AS15" s="97">
        <f>756*6+3350</f>
        <v>7886</v>
      </c>
      <c r="AT15" s="97"/>
      <c r="AU15" s="97">
        <f aca="true" t="shared" si="14" ref="AU15:AU25">(AS15+AT15)*0.18</f>
        <v>1419.48</v>
      </c>
      <c r="AV15" s="118">
        <v>407</v>
      </c>
      <c r="AW15" s="119">
        <v>2.25</v>
      </c>
      <c r="AX15" s="16">
        <f t="shared" si="13"/>
        <v>1210.2552</v>
      </c>
      <c r="AY15"/>
      <c r="AZ15" s="122"/>
      <c r="BA15" s="122">
        <f>AZ15*0.18</f>
        <v>0</v>
      </c>
      <c r="BB15" s="122">
        <f>SUM(AG15:AU15)+AY15</f>
        <v>28904.6683604</v>
      </c>
      <c r="BC15" s="128"/>
      <c r="BD15" s="14">
        <f aca="true" t="shared" si="15" ref="BD15:BD24">AC15+AF15-BB15-BC15</f>
        <v>1384.3203896000014</v>
      </c>
      <c r="BE15" s="30">
        <f aca="true" t="shared" si="16" ref="BE15:BE24">AB15-S15</f>
        <v>-6090.179999999997</v>
      </c>
    </row>
    <row r="16" spans="1:57" ht="12.75">
      <c r="A16" s="11" t="s">
        <v>47</v>
      </c>
      <c r="B16" s="129">
        <v>4455</v>
      </c>
      <c r="C16" s="105">
        <f t="shared" si="2"/>
        <v>38535.75</v>
      </c>
      <c r="D16" s="106">
        <f>C16*0.125</f>
        <v>4816.96875</v>
      </c>
      <c r="E16" s="126">
        <v>3055.57</v>
      </c>
      <c r="F16" s="126">
        <v>556.62</v>
      </c>
      <c r="G16" s="126">
        <v>4125.49</v>
      </c>
      <c r="H16" s="126">
        <v>751.45</v>
      </c>
      <c r="I16" s="126">
        <v>9902.17</v>
      </c>
      <c r="J16" s="126">
        <v>1836.26</v>
      </c>
      <c r="K16" s="126">
        <v>6875.07</v>
      </c>
      <c r="L16" s="126">
        <v>1252.35</v>
      </c>
      <c r="M16" s="126">
        <v>2444.25</v>
      </c>
      <c r="N16" s="126">
        <v>445.3</v>
      </c>
      <c r="O16" s="126">
        <v>0</v>
      </c>
      <c r="P16" s="127">
        <v>0</v>
      </c>
      <c r="Q16" s="126">
        <v>0</v>
      </c>
      <c r="R16" s="127">
        <v>0</v>
      </c>
      <c r="S16" s="91">
        <f t="shared" si="3"/>
        <v>26402.55</v>
      </c>
      <c r="T16" s="108">
        <f t="shared" si="4"/>
        <v>4841.98</v>
      </c>
      <c r="U16" s="92">
        <v>4555</v>
      </c>
      <c r="V16" s="92">
        <v>6142.21</v>
      </c>
      <c r="W16" s="92">
        <v>14767.53</v>
      </c>
      <c r="X16" s="92">
        <v>10247.06</v>
      </c>
      <c r="Y16" s="92">
        <v>3645.24</v>
      </c>
      <c r="Z16" s="123">
        <v>0</v>
      </c>
      <c r="AA16" s="123">
        <v>0</v>
      </c>
      <c r="AB16" s="116">
        <f t="shared" si="5"/>
        <v>39357.03999999999</v>
      </c>
      <c r="AC16" s="113">
        <f t="shared" si="6"/>
        <v>49015.98874999999</v>
      </c>
      <c r="AD16" s="102">
        <f t="shared" si="7"/>
        <v>0</v>
      </c>
      <c r="AE16" s="102">
        <f t="shared" si="8"/>
        <v>0</v>
      </c>
      <c r="AF16" s="102"/>
      <c r="AG16" s="16">
        <f>0.6*B16*0.9</f>
        <v>2405.7000000000003</v>
      </c>
      <c r="AH16" s="124">
        <f>B16*0.2*0.9082-0.01</f>
        <v>809.1962</v>
      </c>
      <c r="AI16" s="16">
        <f>0.85*B16*0.8675</f>
        <v>3285.0056250000002</v>
      </c>
      <c r="AJ16" s="16">
        <f t="shared" si="9"/>
        <v>591.3010125000001</v>
      </c>
      <c r="AK16" s="124">
        <f>0.83*B16*0.838</f>
        <v>3098.6306999999997</v>
      </c>
      <c r="AL16" s="16">
        <f t="shared" si="10"/>
        <v>557.753526</v>
      </c>
      <c r="AM16" s="16">
        <f>1.91*B16*0.8381</f>
        <v>7131.434804999999</v>
      </c>
      <c r="AN16" s="16">
        <f t="shared" si="11"/>
        <v>1283.6582648999997</v>
      </c>
      <c r="AO16" s="16"/>
      <c r="AP16" s="16">
        <f t="shared" si="12"/>
        <v>0</v>
      </c>
      <c r="AQ16" s="117"/>
      <c r="AR16" s="117">
        <f>AQ16*0.18</f>
        <v>0</v>
      </c>
      <c r="AS16" s="97">
        <v>1668</v>
      </c>
      <c r="AT16" s="97"/>
      <c r="AU16" s="97">
        <f t="shared" si="14"/>
        <v>300.24</v>
      </c>
      <c r="AV16" s="118">
        <v>383</v>
      </c>
      <c r="AW16" s="119">
        <v>2.25</v>
      </c>
      <c r="AX16" s="16">
        <f t="shared" si="13"/>
        <v>1138.8888</v>
      </c>
      <c r="AY16" s="121"/>
      <c r="AZ16" s="122"/>
      <c r="BA16" s="122">
        <f>AZ16*0.18</f>
        <v>0</v>
      </c>
      <c r="BB16" s="122">
        <f>SUM(AG16:AU16)</f>
        <v>21130.920133400003</v>
      </c>
      <c r="BC16" s="128"/>
      <c r="BD16" s="14">
        <f t="shared" si="15"/>
        <v>27885.068616599987</v>
      </c>
      <c r="BE16" s="30">
        <f t="shared" si="16"/>
        <v>12954.489999999994</v>
      </c>
    </row>
    <row r="17" spans="1:57" ht="12.75">
      <c r="A17" s="11" t="s">
        <v>48</v>
      </c>
      <c r="B17" s="125">
        <v>4455</v>
      </c>
      <c r="C17" s="105">
        <f t="shared" si="2"/>
        <v>38535.75</v>
      </c>
      <c r="D17" s="106">
        <f>C17*0.125</f>
        <v>4816.96875</v>
      </c>
      <c r="E17" s="126">
        <v>3142.89</v>
      </c>
      <c r="F17" s="126">
        <v>552.41</v>
      </c>
      <c r="G17" s="126">
        <v>4242.86</v>
      </c>
      <c r="H17" s="126">
        <v>745.76</v>
      </c>
      <c r="I17" s="126">
        <v>10186.98</v>
      </c>
      <c r="J17" s="126">
        <v>1822.57</v>
      </c>
      <c r="K17" s="126">
        <v>7071.43</v>
      </c>
      <c r="L17" s="126">
        <v>1242.87</v>
      </c>
      <c r="M17" s="126">
        <v>2514.23</v>
      </c>
      <c r="N17" s="126">
        <v>441.93</v>
      </c>
      <c r="O17" s="126">
        <v>0</v>
      </c>
      <c r="P17" s="127">
        <v>0</v>
      </c>
      <c r="Q17" s="126">
        <v>0</v>
      </c>
      <c r="R17" s="127">
        <v>0</v>
      </c>
      <c r="S17" s="91">
        <f t="shared" si="3"/>
        <v>27158.39</v>
      </c>
      <c r="T17" s="108">
        <f t="shared" si="4"/>
        <v>4805.54</v>
      </c>
      <c r="U17" s="91">
        <v>2609.9</v>
      </c>
      <c r="V17" s="91">
        <v>3523.1</v>
      </c>
      <c r="W17" s="91">
        <v>8435.69</v>
      </c>
      <c r="X17" s="91">
        <v>5872.42</v>
      </c>
      <c r="Y17" s="91">
        <v>2087.9</v>
      </c>
      <c r="Z17" s="91">
        <v>0</v>
      </c>
      <c r="AA17" s="91">
        <v>0</v>
      </c>
      <c r="AB17" s="116">
        <f t="shared" si="5"/>
        <v>22529.010000000002</v>
      </c>
      <c r="AC17" s="113">
        <f t="shared" si="6"/>
        <v>32151.518750000003</v>
      </c>
      <c r="AD17" s="102">
        <f t="shared" si="7"/>
        <v>0</v>
      </c>
      <c r="AE17" s="102">
        <f t="shared" si="8"/>
        <v>0</v>
      </c>
      <c r="AF17" s="102"/>
      <c r="AG17" s="16">
        <f>0.6*B17*0.9</f>
        <v>2405.7000000000003</v>
      </c>
      <c r="AH17" s="124">
        <f>B17*0.2*0.9234</f>
        <v>822.7494</v>
      </c>
      <c r="AI17" s="16">
        <f>0.85*B17*0.8934</f>
        <v>3383.08245</v>
      </c>
      <c r="AJ17" s="16">
        <f t="shared" si="9"/>
        <v>608.954841</v>
      </c>
      <c r="AK17" s="16">
        <f>0.83*B17*0.8498</f>
        <v>3142.2629699999998</v>
      </c>
      <c r="AL17" s="16">
        <f t="shared" si="10"/>
        <v>565.6073346</v>
      </c>
      <c r="AM17" s="16">
        <f>(1.91)*B17*0.8498-0.01</f>
        <v>7230.980689999999</v>
      </c>
      <c r="AN17" s="16">
        <f t="shared" si="11"/>
        <v>1301.5765241999998</v>
      </c>
      <c r="AO17" s="16"/>
      <c r="AP17" s="16">
        <f t="shared" si="12"/>
        <v>0</v>
      </c>
      <c r="AQ17" s="117">
        <f>1588.983</f>
        <v>1588.983</v>
      </c>
      <c r="AR17" s="117">
        <f t="shared" si="12"/>
        <v>286.01694</v>
      </c>
      <c r="AS17" s="97">
        <v>6567.84</v>
      </c>
      <c r="AT17" s="97"/>
      <c r="AU17" s="97">
        <f t="shared" si="14"/>
        <v>1182.2112</v>
      </c>
      <c r="AV17" s="118">
        <v>307</v>
      </c>
      <c r="AW17" s="119">
        <v>2.25</v>
      </c>
      <c r="AX17" s="16">
        <f t="shared" si="13"/>
        <v>912.8952</v>
      </c>
      <c r="AY17" s="31">
        <v>0</v>
      </c>
      <c r="AZ17" s="31">
        <v>0</v>
      </c>
      <c r="BA17" s="14">
        <f t="shared" si="0"/>
        <v>0</v>
      </c>
      <c r="BB17" s="14">
        <f>SUM(AG17:BA17)-AV17-AW17+AX14+AX15+AX16</f>
        <v>33858.5933498</v>
      </c>
      <c r="BC17" s="128"/>
      <c r="BD17" s="14">
        <f t="shared" si="15"/>
        <v>-1707.0745997999984</v>
      </c>
      <c r="BE17" s="30">
        <f t="shared" si="16"/>
        <v>-4629.379999999997</v>
      </c>
    </row>
    <row r="18" spans="1:57" ht="12.75">
      <c r="A18" s="11" t="s">
        <v>49</v>
      </c>
      <c r="B18" s="129">
        <v>4455</v>
      </c>
      <c r="C18" s="105">
        <f t="shared" si="2"/>
        <v>38535.75</v>
      </c>
      <c r="D18" s="130">
        <f aca="true" t="shared" si="17" ref="D18:D25">C18-E18-F18-G18-H18-I18-J18-K18-L18-M18-N18</f>
        <v>3848.0599999999968</v>
      </c>
      <c r="E18" s="126">
        <v>3389.54</v>
      </c>
      <c r="F18" s="126">
        <v>614.53</v>
      </c>
      <c r="G18" s="126">
        <v>4590.06</v>
      </c>
      <c r="H18" s="126">
        <v>832.99</v>
      </c>
      <c r="I18" s="126">
        <v>10999.58</v>
      </c>
      <c r="J18" s="126">
        <v>2031.12</v>
      </c>
      <c r="K18" s="126">
        <v>7640.57</v>
      </c>
      <c r="L18" s="126">
        <v>1386.13</v>
      </c>
      <c r="M18" s="126">
        <v>2711.55</v>
      </c>
      <c r="N18" s="126">
        <v>491.62</v>
      </c>
      <c r="O18" s="126">
        <v>0</v>
      </c>
      <c r="P18" s="127">
        <v>0</v>
      </c>
      <c r="Q18" s="126">
        <v>0</v>
      </c>
      <c r="R18" s="127">
        <v>0</v>
      </c>
      <c r="S18" s="91">
        <f t="shared" si="3"/>
        <v>29331.3</v>
      </c>
      <c r="T18" s="108">
        <f t="shared" si="4"/>
        <v>5356.389999999999</v>
      </c>
      <c r="U18" s="92">
        <v>2916.03</v>
      </c>
      <c r="V18" s="92">
        <v>3936.84</v>
      </c>
      <c r="W18" s="92">
        <v>9436.01</v>
      </c>
      <c r="X18" s="92">
        <v>6560.87</v>
      </c>
      <c r="Y18" s="92">
        <v>2332.78</v>
      </c>
      <c r="Z18" s="123">
        <v>0</v>
      </c>
      <c r="AA18" s="123">
        <v>0</v>
      </c>
      <c r="AB18" s="116">
        <f t="shared" si="5"/>
        <v>25182.53</v>
      </c>
      <c r="AC18" s="113">
        <f t="shared" si="6"/>
        <v>34386.979999999996</v>
      </c>
      <c r="AD18" s="102">
        <f t="shared" si="7"/>
        <v>0</v>
      </c>
      <c r="AE18" s="102">
        <f t="shared" si="8"/>
        <v>0</v>
      </c>
      <c r="AF18" s="102"/>
      <c r="AG18" s="16">
        <f aca="true" t="shared" si="18" ref="AG18:AG25">0.6*B18</f>
        <v>2673</v>
      </c>
      <c r="AH18" s="16">
        <f>B18*0.2*1.01</f>
        <v>899.91</v>
      </c>
      <c r="AI18" s="16">
        <f>0.85*B18</f>
        <v>3786.75</v>
      </c>
      <c r="AJ18" s="16">
        <f t="shared" si="9"/>
        <v>681.615</v>
      </c>
      <c r="AK18" s="16">
        <f>0.83*B18</f>
        <v>3697.6499999999996</v>
      </c>
      <c r="AL18" s="16">
        <f t="shared" si="10"/>
        <v>665.5769999999999</v>
      </c>
      <c r="AM18" s="16">
        <f>(1.91)*B18</f>
        <v>8509.05</v>
      </c>
      <c r="AN18" s="16">
        <f t="shared" si="11"/>
        <v>1531.629</v>
      </c>
      <c r="AO18" s="16"/>
      <c r="AP18" s="16">
        <f t="shared" si="12"/>
        <v>0</v>
      </c>
      <c r="AQ18" s="117"/>
      <c r="AR18" s="117">
        <f t="shared" si="12"/>
        <v>0</v>
      </c>
      <c r="AS18" s="97">
        <v>4566.97</v>
      </c>
      <c r="AT18" s="97">
        <v>600</v>
      </c>
      <c r="AU18" s="97">
        <f t="shared" si="14"/>
        <v>930.0546</v>
      </c>
      <c r="AV18" s="118">
        <v>263</v>
      </c>
      <c r="AW18" s="119">
        <v>2.25</v>
      </c>
      <c r="AX18" s="16">
        <f t="shared" si="13"/>
        <v>782.0568000000001</v>
      </c>
      <c r="AY18" s="121"/>
      <c r="AZ18" s="122"/>
      <c r="BA18" s="122">
        <f t="shared" si="0"/>
        <v>0</v>
      </c>
      <c r="BB18" s="122">
        <f>SUM(AG18:BA18)-AV18-AW18</f>
        <v>29324.262399999996</v>
      </c>
      <c r="BC18" s="128"/>
      <c r="BD18" s="14">
        <f>AC18+AF18-BB18-BC18</f>
        <v>5062.7176</v>
      </c>
      <c r="BE18" s="30">
        <f>AB18-S18</f>
        <v>-4148.77</v>
      </c>
    </row>
    <row r="19" spans="1:57" ht="12.75">
      <c r="A19" s="11" t="s">
        <v>50</v>
      </c>
      <c r="B19" s="129">
        <v>4455</v>
      </c>
      <c r="C19" s="105">
        <f t="shared" si="2"/>
        <v>38535.75</v>
      </c>
      <c r="D19" s="130">
        <f t="shared" si="17"/>
        <v>3798.0500000000043</v>
      </c>
      <c r="E19" s="126">
        <v>3394.74</v>
      </c>
      <c r="F19" s="126">
        <v>615.07</v>
      </c>
      <c r="G19" s="126">
        <v>4597.18</v>
      </c>
      <c r="H19" s="126">
        <v>833.73</v>
      </c>
      <c r="I19" s="126">
        <v>11017.76</v>
      </c>
      <c r="J19" s="126">
        <v>2031.69</v>
      </c>
      <c r="K19" s="126">
        <v>7652.4</v>
      </c>
      <c r="L19" s="126">
        <v>1387.34</v>
      </c>
      <c r="M19" s="126">
        <v>2715.73</v>
      </c>
      <c r="N19" s="126">
        <v>492.06</v>
      </c>
      <c r="O19" s="126">
        <v>0</v>
      </c>
      <c r="P19" s="127">
        <v>0</v>
      </c>
      <c r="Q19" s="126">
        <v>0</v>
      </c>
      <c r="R19" s="127">
        <v>0</v>
      </c>
      <c r="S19" s="91">
        <f t="shared" si="3"/>
        <v>29377.81</v>
      </c>
      <c r="T19" s="108">
        <f t="shared" si="4"/>
        <v>5359.889999999999</v>
      </c>
      <c r="U19" s="92">
        <v>3117.85</v>
      </c>
      <c r="V19" s="92">
        <v>4220.82</v>
      </c>
      <c r="W19" s="92">
        <v>10111.11</v>
      </c>
      <c r="X19" s="92">
        <v>7026.52</v>
      </c>
      <c r="Y19" s="92">
        <v>2494.17</v>
      </c>
      <c r="Z19" s="123">
        <v>0</v>
      </c>
      <c r="AA19" s="123">
        <v>0</v>
      </c>
      <c r="AB19" s="116">
        <f t="shared" si="5"/>
        <v>26970.47</v>
      </c>
      <c r="AC19" s="113">
        <f t="shared" si="6"/>
        <v>36128.41</v>
      </c>
      <c r="AD19" s="102">
        <f t="shared" si="7"/>
        <v>0</v>
      </c>
      <c r="AE19" s="102">
        <f t="shared" si="8"/>
        <v>0</v>
      </c>
      <c r="AF19" s="102"/>
      <c r="AG19" s="16">
        <f t="shared" si="18"/>
        <v>2673</v>
      </c>
      <c r="AH19" s="16">
        <f>B19*0.2*1.01045</f>
        <v>900.31095</v>
      </c>
      <c r="AI19" s="16">
        <f>0.85*B19</f>
        <v>3786.75</v>
      </c>
      <c r="AJ19" s="16">
        <f t="shared" si="9"/>
        <v>681.615</v>
      </c>
      <c r="AK19" s="16">
        <f>0.83*B19</f>
        <v>3697.6499999999996</v>
      </c>
      <c r="AL19" s="16">
        <f t="shared" si="10"/>
        <v>665.5769999999999</v>
      </c>
      <c r="AM19" s="16">
        <f>(1.91)*B19+0.01</f>
        <v>8509.06</v>
      </c>
      <c r="AN19" s="16">
        <f t="shared" si="11"/>
        <v>1531.6308</v>
      </c>
      <c r="AO19" s="16"/>
      <c r="AP19" s="16">
        <f t="shared" si="12"/>
        <v>0</v>
      </c>
      <c r="AQ19" s="117"/>
      <c r="AR19" s="117">
        <f t="shared" si="12"/>
        <v>0</v>
      </c>
      <c r="AS19" s="97">
        <v>42985.92</v>
      </c>
      <c r="AT19" s="97"/>
      <c r="AU19" s="97">
        <f t="shared" si="14"/>
        <v>7737.4655999999995</v>
      </c>
      <c r="AV19" s="118">
        <v>233</v>
      </c>
      <c r="AW19" s="119">
        <v>2.25</v>
      </c>
      <c r="AX19" s="16">
        <f t="shared" si="13"/>
        <v>692.8488000000001</v>
      </c>
      <c r="AY19" s="121"/>
      <c r="AZ19" s="122"/>
      <c r="BA19" s="122">
        <f t="shared" si="0"/>
        <v>0</v>
      </c>
      <c r="BB19" s="122">
        <f>SUM(AG19:BA19)-AV19-AW19</f>
        <v>73861.82815</v>
      </c>
      <c r="BC19" s="128"/>
      <c r="BD19" s="14">
        <f t="shared" si="15"/>
        <v>-37733.41815</v>
      </c>
      <c r="BE19" s="30">
        <f t="shared" si="16"/>
        <v>-2407.34</v>
      </c>
    </row>
    <row r="20" spans="1:57" ht="12.75">
      <c r="A20" s="11" t="s">
        <v>51</v>
      </c>
      <c r="B20" s="115">
        <v>4452</v>
      </c>
      <c r="C20" s="105">
        <f t="shared" si="2"/>
        <v>38509.8</v>
      </c>
      <c r="D20" s="130">
        <f t="shared" si="17"/>
        <v>3783.0799999999995</v>
      </c>
      <c r="E20" s="126">
        <v>3393.46</v>
      </c>
      <c r="F20" s="126">
        <v>615.08</v>
      </c>
      <c r="G20" s="126">
        <v>4595.45</v>
      </c>
      <c r="H20" s="126">
        <v>833.73</v>
      </c>
      <c r="I20" s="126">
        <v>11013.65</v>
      </c>
      <c r="J20" s="126">
        <v>2031.69</v>
      </c>
      <c r="K20" s="126">
        <v>7649.53</v>
      </c>
      <c r="L20" s="126">
        <v>1387.35</v>
      </c>
      <c r="M20" s="126">
        <v>2714.72</v>
      </c>
      <c r="N20" s="126">
        <v>492.06</v>
      </c>
      <c r="O20" s="126">
        <v>0</v>
      </c>
      <c r="P20" s="127">
        <v>0</v>
      </c>
      <c r="Q20" s="126">
        <v>0</v>
      </c>
      <c r="R20" s="127">
        <v>0</v>
      </c>
      <c r="S20" s="91">
        <f t="shared" si="3"/>
        <v>29366.809999999998</v>
      </c>
      <c r="T20" s="108">
        <f t="shared" si="4"/>
        <v>5359.91</v>
      </c>
      <c r="U20" s="92">
        <v>3444.56</v>
      </c>
      <c r="V20" s="92">
        <v>4663.25</v>
      </c>
      <c r="W20" s="92">
        <v>11166.59</v>
      </c>
      <c r="X20" s="92">
        <v>7763.35</v>
      </c>
      <c r="Y20" s="92">
        <v>2755.66</v>
      </c>
      <c r="Z20" s="123">
        <v>0</v>
      </c>
      <c r="AA20" s="123">
        <v>0</v>
      </c>
      <c r="AB20" s="116">
        <f t="shared" si="5"/>
        <v>29793.41</v>
      </c>
      <c r="AC20" s="113">
        <f t="shared" si="6"/>
        <v>38936.4</v>
      </c>
      <c r="AD20" s="102">
        <f t="shared" si="7"/>
        <v>0</v>
      </c>
      <c r="AE20" s="102">
        <f t="shared" si="8"/>
        <v>0</v>
      </c>
      <c r="AF20" s="102">
        <f>'[2]Т07-09'!$I$49</f>
        <v>442.72774</v>
      </c>
      <c r="AG20" s="16">
        <f t="shared" si="18"/>
        <v>2671.2</v>
      </c>
      <c r="AH20" s="16">
        <f>B20*0.2*0.99425</f>
        <v>885.2802</v>
      </c>
      <c r="AI20" s="16">
        <f>0.85*B20*0.9857</f>
        <v>3730.08594</v>
      </c>
      <c r="AJ20" s="16">
        <f t="shared" si="9"/>
        <v>671.4154692</v>
      </c>
      <c r="AK20" s="16">
        <f>0.83*B20*0.9905</f>
        <v>3660.05598</v>
      </c>
      <c r="AL20" s="16">
        <f t="shared" si="10"/>
        <v>658.8100764</v>
      </c>
      <c r="AM20" s="16">
        <f>(1.91)*B20*0.9904</f>
        <v>8421.688128</v>
      </c>
      <c r="AN20" s="16">
        <f t="shared" si="11"/>
        <v>1515.9038630399998</v>
      </c>
      <c r="AO20" s="16"/>
      <c r="AP20" s="16">
        <f t="shared" si="12"/>
        <v>0</v>
      </c>
      <c r="AQ20" s="117"/>
      <c r="AR20" s="117">
        <f t="shared" si="12"/>
        <v>0</v>
      </c>
      <c r="AS20" s="97">
        <v>3977.74</v>
      </c>
      <c r="AT20" s="97"/>
      <c r="AU20" s="97">
        <f t="shared" si="14"/>
        <v>715.9931999999999</v>
      </c>
      <c r="AV20" s="118">
        <v>248</v>
      </c>
      <c r="AW20" s="119">
        <v>2.25</v>
      </c>
      <c r="AX20" s="16">
        <f t="shared" si="13"/>
        <v>737.4528</v>
      </c>
      <c r="AY20" s="121"/>
      <c r="AZ20" s="122"/>
      <c r="BA20" s="122">
        <f t="shared" si="0"/>
        <v>0</v>
      </c>
      <c r="BB20" s="122">
        <f>SUM(AG20:BA20)-AV20-AW20</f>
        <v>27645.62565664</v>
      </c>
      <c r="BC20" s="128">
        <f>'[3]Т07-09'!$O$49</f>
        <v>209.21513678</v>
      </c>
      <c r="BD20" s="14">
        <f t="shared" si="15"/>
        <v>11524.286946580003</v>
      </c>
      <c r="BE20" s="30">
        <f t="shared" si="16"/>
        <v>426.6000000000022</v>
      </c>
    </row>
    <row r="21" spans="1:57" ht="12.75">
      <c r="A21" s="11" t="s">
        <v>52</v>
      </c>
      <c r="B21" s="115">
        <v>4452.08</v>
      </c>
      <c r="C21" s="105">
        <f t="shared" si="2"/>
        <v>38510.492</v>
      </c>
      <c r="D21" s="130">
        <f t="shared" si="17"/>
        <v>4031.9919999999993</v>
      </c>
      <c r="E21" s="126">
        <v>3341.47</v>
      </c>
      <c r="F21" s="126">
        <v>624.21</v>
      </c>
      <c r="G21" s="126">
        <v>4549.58</v>
      </c>
      <c r="H21" s="126">
        <v>846.12</v>
      </c>
      <c r="I21" s="126">
        <v>10891.39</v>
      </c>
      <c r="J21" s="126">
        <v>2061.44</v>
      </c>
      <c r="K21" s="126">
        <v>7559.86</v>
      </c>
      <c r="L21" s="126">
        <v>1407.95</v>
      </c>
      <c r="M21" s="126">
        <v>2697.11</v>
      </c>
      <c r="N21" s="126">
        <v>499.37</v>
      </c>
      <c r="O21" s="126">
        <v>0</v>
      </c>
      <c r="P21" s="127">
        <v>0</v>
      </c>
      <c r="Q21" s="92">
        <v>0</v>
      </c>
      <c r="R21" s="92">
        <v>0</v>
      </c>
      <c r="S21" s="91">
        <f t="shared" si="3"/>
        <v>29039.41</v>
      </c>
      <c r="T21" s="108">
        <f t="shared" si="4"/>
        <v>5439.09</v>
      </c>
      <c r="U21" s="92">
        <v>2578.93</v>
      </c>
      <c r="V21" s="92">
        <v>3492.86</v>
      </c>
      <c r="W21" s="92">
        <v>8361.88</v>
      </c>
      <c r="X21" s="92">
        <v>5813.7</v>
      </c>
      <c r="Y21" s="92">
        <v>2063.11</v>
      </c>
      <c r="Z21" s="123">
        <v>0</v>
      </c>
      <c r="AA21" s="123">
        <v>0</v>
      </c>
      <c r="AB21" s="116">
        <f t="shared" si="5"/>
        <v>22310.48</v>
      </c>
      <c r="AC21" s="113">
        <f t="shared" si="6"/>
        <v>31781.561999999998</v>
      </c>
      <c r="AD21" s="102">
        <f t="shared" si="7"/>
        <v>0</v>
      </c>
      <c r="AE21" s="102">
        <f t="shared" si="8"/>
        <v>0</v>
      </c>
      <c r="AF21" s="102">
        <f>'[2]Т07-09'!$I$49</f>
        <v>442.72774</v>
      </c>
      <c r="AG21" s="16">
        <f t="shared" si="18"/>
        <v>2671.248</v>
      </c>
      <c r="AH21" s="16">
        <f>B21*0.2*0.99875</f>
        <v>889.30298</v>
      </c>
      <c r="AI21" s="16">
        <f>0.85*B21*0.98526</f>
        <v>3728.48788968</v>
      </c>
      <c r="AJ21" s="16">
        <f t="shared" si="9"/>
        <v>671.1278201424</v>
      </c>
      <c r="AK21" s="16">
        <f>0.83*B21*0.99</f>
        <v>3658.2741359999995</v>
      </c>
      <c r="AL21" s="16">
        <f t="shared" si="10"/>
        <v>658.4893444799999</v>
      </c>
      <c r="AM21" s="16">
        <f>(1.91)*B21*0.9899+0.01</f>
        <v>8417.597724719999</v>
      </c>
      <c r="AN21" s="16">
        <f t="shared" si="11"/>
        <v>1515.1675904495999</v>
      </c>
      <c r="AO21" s="16"/>
      <c r="AP21" s="16">
        <f t="shared" si="12"/>
        <v>0</v>
      </c>
      <c r="AQ21" s="117"/>
      <c r="AR21" s="117">
        <f t="shared" si="12"/>
        <v>0</v>
      </c>
      <c r="AS21" s="97">
        <v>5979</v>
      </c>
      <c r="AT21" s="97"/>
      <c r="AU21" s="97">
        <f t="shared" si="14"/>
        <v>1076.22</v>
      </c>
      <c r="AV21" s="118">
        <v>293</v>
      </c>
      <c r="AW21" s="119">
        <v>2.25</v>
      </c>
      <c r="AX21" s="16">
        <f t="shared" si="13"/>
        <v>871.2647999999999</v>
      </c>
      <c r="AY21" s="121"/>
      <c r="AZ21" s="122"/>
      <c r="BA21" s="122">
        <f t="shared" si="0"/>
        <v>0</v>
      </c>
      <c r="BB21" s="122">
        <f>SUM(AG21:BA21)-AV21-AW21</f>
        <v>30136.180285472</v>
      </c>
      <c r="BC21" s="128">
        <f>'[3]Т08-09'!$O$49</f>
        <v>209.12007633399998</v>
      </c>
      <c r="BD21" s="14">
        <f t="shared" si="15"/>
        <v>1878.9893781939957</v>
      </c>
      <c r="BE21" s="30">
        <f t="shared" si="16"/>
        <v>-6728.93</v>
      </c>
    </row>
    <row r="22" spans="1:57" ht="12.75">
      <c r="A22" s="11" t="s">
        <v>53</v>
      </c>
      <c r="B22" s="104">
        <v>4452.08</v>
      </c>
      <c r="C22" s="105">
        <f t="shared" si="2"/>
        <v>38510.492</v>
      </c>
      <c r="D22" s="130">
        <f t="shared" si="17"/>
        <v>5664.082000000003</v>
      </c>
      <c r="E22" s="107">
        <v>3175.86</v>
      </c>
      <c r="F22" s="107">
        <v>615.59</v>
      </c>
      <c r="G22" s="107">
        <v>4300.85</v>
      </c>
      <c r="H22" s="107">
        <v>834.43</v>
      </c>
      <c r="I22" s="107">
        <v>10334.91</v>
      </c>
      <c r="J22" s="107">
        <v>2004.08</v>
      </c>
      <c r="K22" s="107">
        <v>7159.13</v>
      </c>
      <c r="L22" s="107">
        <v>1388.48</v>
      </c>
      <c r="M22" s="107">
        <v>2540.61</v>
      </c>
      <c r="N22" s="107">
        <v>492.47</v>
      </c>
      <c r="O22" s="107">
        <v>0</v>
      </c>
      <c r="P22" s="114">
        <v>0</v>
      </c>
      <c r="Q22" s="107">
        <v>0</v>
      </c>
      <c r="R22" s="114">
        <v>0</v>
      </c>
      <c r="S22" s="91">
        <f t="shared" si="3"/>
        <v>27511.360000000004</v>
      </c>
      <c r="T22" s="108">
        <f t="shared" si="4"/>
        <v>5335.05</v>
      </c>
      <c r="U22" s="91">
        <v>3411.51</v>
      </c>
      <c r="V22" s="91">
        <v>4642.93</v>
      </c>
      <c r="W22" s="91">
        <v>11110.9</v>
      </c>
      <c r="X22" s="91">
        <v>7716.22</v>
      </c>
      <c r="Y22" s="91">
        <v>2753.16</v>
      </c>
      <c r="Z22" s="109">
        <v>0</v>
      </c>
      <c r="AA22" s="109">
        <v>0</v>
      </c>
      <c r="AB22" s="116">
        <f t="shared" si="5"/>
        <v>29634.72</v>
      </c>
      <c r="AC22" s="113">
        <f t="shared" si="6"/>
        <v>40633.852000000006</v>
      </c>
      <c r="AD22" s="102">
        <f t="shared" si="7"/>
        <v>0</v>
      </c>
      <c r="AE22" s="102">
        <f t="shared" si="8"/>
        <v>0</v>
      </c>
      <c r="AF22" s="102">
        <f>'[2]Т07-09'!$I$49</f>
        <v>442.72774</v>
      </c>
      <c r="AG22" s="16">
        <f t="shared" si="18"/>
        <v>2671.248</v>
      </c>
      <c r="AH22" s="16">
        <f>B22*0.2*0.9997</f>
        <v>890.1488752000001</v>
      </c>
      <c r="AI22" s="16">
        <f>0.85*B22*0.98508</f>
        <v>3727.80672144</v>
      </c>
      <c r="AJ22" s="16">
        <f t="shared" si="9"/>
        <v>671.0052098591999</v>
      </c>
      <c r="AK22" s="16">
        <f>0.83*B22*0.98981</f>
        <v>3657.5720429839994</v>
      </c>
      <c r="AL22" s="16">
        <f t="shared" si="10"/>
        <v>658.3629677371199</v>
      </c>
      <c r="AM22" s="16">
        <f>(1.91)*B22*0.98981</f>
        <v>8416.822412168</v>
      </c>
      <c r="AN22" s="16">
        <f t="shared" si="11"/>
        <v>1515.0280341902399</v>
      </c>
      <c r="AO22" s="16"/>
      <c r="AP22" s="16">
        <f t="shared" si="12"/>
        <v>0</v>
      </c>
      <c r="AQ22" s="117"/>
      <c r="AR22" s="117">
        <f t="shared" si="12"/>
        <v>0</v>
      </c>
      <c r="AS22" s="97"/>
      <c r="AT22" s="97"/>
      <c r="AU22" s="97">
        <f t="shared" si="14"/>
        <v>0</v>
      </c>
      <c r="AV22" s="118">
        <v>349</v>
      </c>
      <c r="AW22" s="119">
        <v>2.25</v>
      </c>
      <c r="AX22" s="16">
        <f t="shared" si="13"/>
        <v>1037.7864000000002</v>
      </c>
      <c r="AY22" s="121"/>
      <c r="AZ22" s="122"/>
      <c r="BA22" s="122">
        <f t="shared" si="0"/>
        <v>0</v>
      </c>
      <c r="BB22" s="122">
        <f>SUM(AG22:BA22)-AV22-AW22</f>
        <v>23245.780663578556</v>
      </c>
      <c r="BC22" s="128">
        <f>'[3]Т09-09'!$O$49</f>
        <v>209.0884481686</v>
      </c>
      <c r="BD22" s="14">
        <f t="shared" si="15"/>
        <v>17621.71062825285</v>
      </c>
      <c r="BE22" s="30">
        <f>AB22-S22</f>
        <v>2123.359999999997</v>
      </c>
    </row>
    <row r="23" spans="1:57" ht="12.75">
      <c r="A23" s="11" t="s">
        <v>41</v>
      </c>
      <c r="B23" s="104">
        <v>4452.08</v>
      </c>
      <c r="C23" s="131">
        <f t="shared" si="2"/>
        <v>38510.492</v>
      </c>
      <c r="D23" s="130">
        <f t="shared" si="17"/>
        <v>3764.2120000000004</v>
      </c>
      <c r="E23" s="93">
        <v>3369.34</v>
      </c>
      <c r="F23" s="91">
        <v>641.53</v>
      </c>
      <c r="G23" s="91">
        <v>4562.56</v>
      </c>
      <c r="H23" s="91">
        <v>869.57</v>
      </c>
      <c r="I23" s="91">
        <v>10964.24</v>
      </c>
      <c r="J23" s="91">
        <v>2088.49</v>
      </c>
      <c r="K23" s="91">
        <v>7594.94</v>
      </c>
      <c r="L23" s="91">
        <v>1446.98</v>
      </c>
      <c r="M23" s="91">
        <v>2695.42</v>
      </c>
      <c r="N23" s="91">
        <v>513.21</v>
      </c>
      <c r="O23" s="91">
        <v>0</v>
      </c>
      <c r="P23" s="109">
        <v>0</v>
      </c>
      <c r="Q23" s="91">
        <v>0</v>
      </c>
      <c r="R23" s="91">
        <v>0</v>
      </c>
      <c r="S23" s="91">
        <f t="shared" si="3"/>
        <v>29186.5</v>
      </c>
      <c r="T23" s="108">
        <f t="shared" si="4"/>
        <v>5559.78</v>
      </c>
      <c r="U23" s="94">
        <f>2937.68+642.57</f>
        <v>3580.25</v>
      </c>
      <c r="V23" s="91">
        <f>3979.28+869.54</f>
        <v>4848.82</v>
      </c>
      <c r="W23" s="91">
        <f>9560.94+2088.74</f>
        <v>11649.68</v>
      </c>
      <c r="X23" s="91">
        <f>6623.41+1447.84</f>
        <v>8071.25</v>
      </c>
      <c r="Y23" s="91">
        <f>2350.03+514.05</f>
        <v>2864.08</v>
      </c>
      <c r="Z23" s="109">
        <v>0</v>
      </c>
      <c r="AA23" s="109">
        <v>0</v>
      </c>
      <c r="AB23" s="109">
        <f>SUM(U23:AA23)</f>
        <v>31014.08</v>
      </c>
      <c r="AC23" s="113">
        <f>AB23+T23+D23</f>
        <v>40338.072</v>
      </c>
      <c r="AD23" s="102">
        <f t="shared" si="7"/>
        <v>0</v>
      </c>
      <c r="AE23" s="102">
        <f t="shared" si="8"/>
        <v>0</v>
      </c>
      <c r="AF23" s="102">
        <f>'[1]Т10'!$I$50</f>
        <v>442.72774</v>
      </c>
      <c r="AG23" s="16">
        <f t="shared" si="18"/>
        <v>2671.248</v>
      </c>
      <c r="AH23" s="16">
        <f>B23*0.2</f>
        <v>890.416</v>
      </c>
      <c r="AI23" s="16">
        <f>0.847*B23</f>
        <v>3770.91176</v>
      </c>
      <c r="AJ23" s="16">
        <f t="shared" si="9"/>
        <v>678.7641168</v>
      </c>
      <c r="AK23" s="16">
        <f>0.83*B23</f>
        <v>3695.2263999999996</v>
      </c>
      <c r="AL23" s="16">
        <f t="shared" si="10"/>
        <v>665.1407519999999</v>
      </c>
      <c r="AM23" s="16">
        <f>(2.25/1.18)*B23</f>
        <v>8489.135593220339</v>
      </c>
      <c r="AN23" s="16">
        <f t="shared" si="11"/>
        <v>1528.044406779661</v>
      </c>
      <c r="AO23" s="16"/>
      <c r="AP23" s="16">
        <f t="shared" si="12"/>
        <v>0</v>
      </c>
      <c r="AQ23" s="117">
        <f>5542.04+1198.59+13579.2</f>
        <v>20319.83</v>
      </c>
      <c r="AR23" s="117">
        <f t="shared" si="12"/>
        <v>3657.5694000000003</v>
      </c>
      <c r="AS23" s="97">
        <v>11133.74</v>
      </c>
      <c r="AT23" s="97"/>
      <c r="AU23" s="97">
        <f t="shared" si="14"/>
        <v>2004.0731999999998</v>
      </c>
      <c r="AV23" s="118">
        <v>425</v>
      </c>
      <c r="AW23" s="134">
        <v>2.25</v>
      </c>
      <c r="AX23" s="16">
        <f>AV23*AW23*1.12*1.18</f>
        <v>1263.78</v>
      </c>
      <c r="AY23" s="121"/>
      <c r="AZ23" s="135"/>
      <c r="BA23" s="122">
        <f t="shared" si="0"/>
        <v>0</v>
      </c>
      <c r="BB23" s="122">
        <f>SUM(AG23:AU23)+AX23+AY23+AZ23+BA23</f>
        <v>60767.8796288</v>
      </c>
      <c r="BC23" s="128">
        <f>'[4]Т10'!$O$50</f>
        <v>210.735438</v>
      </c>
      <c r="BD23" s="14">
        <f t="shared" si="15"/>
        <v>-20197.8153268</v>
      </c>
      <c r="BE23" s="30">
        <f>AB23-S23</f>
        <v>1827.5800000000017</v>
      </c>
    </row>
    <row r="24" spans="1:57" ht="12.75">
      <c r="A24" s="11" t="s">
        <v>42</v>
      </c>
      <c r="B24" s="115">
        <v>4452.08</v>
      </c>
      <c r="C24" s="131">
        <f t="shared" si="2"/>
        <v>38510.492</v>
      </c>
      <c r="D24" s="130">
        <f t="shared" si="17"/>
        <v>3764.2019999999957</v>
      </c>
      <c r="E24" s="107">
        <v>3363.37</v>
      </c>
      <c r="F24" s="107">
        <v>647.5</v>
      </c>
      <c r="G24" s="107">
        <v>4554.46</v>
      </c>
      <c r="H24" s="107">
        <v>877.67</v>
      </c>
      <c r="I24" s="107">
        <v>10944.79</v>
      </c>
      <c r="J24" s="107">
        <v>2107.94</v>
      </c>
      <c r="K24" s="107">
        <v>7581.46</v>
      </c>
      <c r="L24" s="107">
        <v>1460.46</v>
      </c>
      <c r="M24" s="107">
        <v>2690.65</v>
      </c>
      <c r="N24" s="107">
        <v>517.99</v>
      </c>
      <c r="O24" s="107">
        <v>0</v>
      </c>
      <c r="P24" s="114">
        <v>0</v>
      </c>
      <c r="Q24" s="114">
        <v>0</v>
      </c>
      <c r="R24" s="114">
        <v>0</v>
      </c>
      <c r="S24" s="91">
        <f t="shared" si="3"/>
        <v>29134.730000000003</v>
      </c>
      <c r="T24" s="108">
        <f t="shared" si="4"/>
        <v>5611.56</v>
      </c>
      <c r="U24" s="91">
        <v>3752.38</v>
      </c>
      <c r="V24" s="91">
        <v>5081.14</v>
      </c>
      <c r="W24" s="91">
        <v>12208.56</v>
      </c>
      <c r="X24" s="91">
        <v>8458.03</v>
      </c>
      <c r="Y24" s="91">
        <v>3001.78</v>
      </c>
      <c r="Z24" s="109">
        <v>0</v>
      </c>
      <c r="AA24" s="109">
        <v>0</v>
      </c>
      <c r="AB24" s="109">
        <f>SUM(U24:AA24)</f>
        <v>32501.89</v>
      </c>
      <c r="AC24" s="113">
        <f>D24+T24+AB24</f>
        <v>41877.651999999995</v>
      </c>
      <c r="AD24" s="102">
        <f t="shared" si="7"/>
        <v>0</v>
      </c>
      <c r="AE24" s="102">
        <f t="shared" si="8"/>
        <v>0</v>
      </c>
      <c r="AF24" s="102">
        <f>'[1]Т11'!$I$50</f>
        <v>442.72774</v>
      </c>
      <c r="AG24" s="16">
        <f t="shared" si="18"/>
        <v>2671.248</v>
      </c>
      <c r="AH24" s="16">
        <f>B24*0.2</f>
        <v>890.416</v>
      </c>
      <c r="AI24" s="16">
        <f>0.85*B24</f>
        <v>3784.268</v>
      </c>
      <c r="AJ24" s="16">
        <f t="shared" si="9"/>
        <v>681.16824</v>
      </c>
      <c r="AK24" s="16">
        <f>0.83*B24</f>
        <v>3695.2263999999996</v>
      </c>
      <c r="AL24" s="16">
        <f t="shared" si="10"/>
        <v>665.1407519999999</v>
      </c>
      <c r="AM24" s="16">
        <f>(1.91)*B24</f>
        <v>8503.4728</v>
      </c>
      <c r="AN24" s="16">
        <f t="shared" si="11"/>
        <v>1530.625104</v>
      </c>
      <c r="AO24" s="16"/>
      <c r="AP24" s="16">
        <f t="shared" si="12"/>
        <v>0</v>
      </c>
      <c r="AQ24" s="117"/>
      <c r="AR24" s="117">
        <f t="shared" si="12"/>
        <v>0</v>
      </c>
      <c r="AS24" s="97">
        <v>2926</v>
      </c>
      <c r="AT24" s="97"/>
      <c r="AU24" s="97">
        <f t="shared" si="14"/>
        <v>526.68</v>
      </c>
      <c r="AV24" s="118">
        <v>470</v>
      </c>
      <c r="AW24" s="134">
        <v>2.25</v>
      </c>
      <c r="AX24" s="16">
        <f>AV24*AW24*1.12*1.18</f>
        <v>1397.592</v>
      </c>
      <c r="AY24" s="121"/>
      <c r="AZ24" s="122"/>
      <c r="BA24" s="122">
        <f t="shared" si="0"/>
        <v>0</v>
      </c>
      <c r="BB24" s="122">
        <f>SUM(AG24:AU24)+AX24+AY24+AZ24+BA24</f>
        <v>27271.837295999998</v>
      </c>
      <c r="BC24" s="132">
        <f>'[1]Т11'!$O$50</f>
        <v>211.01886</v>
      </c>
      <c r="BD24" s="14">
        <f t="shared" si="15"/>
        <v>14837.523583999999</v>
      </c>
      <c r="BE24" s="30">
        <f t="shared" si="16"/>
        <v>3367.159999999996</v>
      </c>
    </row>
    <row r="25" spans="1:57" ht="12.75">
      <c r="A25" s="11" t="s">
        <v>43</v>
      </c>
      <c r="B25" s="104">
        <v>4452.08</v>
      </c>
      <c r="C25" s="131">
        <f t="shared" si="2"/>
        <v>38510.492</v>
      </c>
      <c r="D25" s="130">
        <f t="shared" si="17"/>
        <v>3585.2320000000045</v>
      </c>
      <c r="E25" s="107">
        <v>3384.02</v>
      </c>
      <c r="F25" s="107">
        <v>647.5</v>
      </c>
      <c r="G25" s="107">
        <v>4582.46</v>
      </c>
      <c r="H25" s="107">
        <v>877.67</v>
      </c>
      <c r="I25" s="107">
        <v>11012.03</v>
      </c>
      <c r="J25" s="107">
        <v>2107.94</v>
      </c>
      <c r="K25" s="107">
        <v>7628.03</v>
      </c>
      <c r="L25" s="107">
        <v>1460.46</v>
      </c>
      <c r="M25" s="107">
        <v>2707.16</v>
      </c>
      <c r="N25" s="107">
        <v>517.99</v>
      </c>
      <c r="O25" s="107">
        <v>0</v>
      </c>
      <c r="P25" s="114">
        <v>0</v>
      </c>
      <c r="Q25" s="114"/>
      <c r="R25" s="114"/>
      <c r="S25" s="91">
        <f t="shared" si="3"/>
        <v>29313.7</v>
      </c>
      <c r="T25" s="108">
        <f t="shared" si="4"/>
        <v>5611.56</v>
      </c>
      <c r="U25" s="91">
        <v>3738.85</v>
      </c>
      <c r="V25" s="91">
        <v>5062.69</v>
      </c>
      <c r="W25" s="91">
        <v>12163.11</v>
      </c>
      <c r="X25" s="91">
        <v>8427.74</v>
      </c>
      <c r="Y25" s="91">
        <v>2991.08</v>
      </c>
      <c r="Z25" s="109">
        <v>0</v>
      </c>
      <c r="AA25" s="109">
        <v>0</v>
      </c>
      <c r="AB25" s="109">
        <f>SUM(U25:AA25)</f>
        <v>32383.47</v>
      </c>
      <c r="AC25" s="113">
        <f>D25+T25+AB25</f>
        <v>41580.262</v>
      </c>
      <c r="AD25" s="102">
        <f t="shared" si="7"/>
        <v>0</v>
      </c>
      <c r="AE25" s="102">
        <f t="shared" si="8"/>
        <v>0</v>
      </c>
      <c r="AF25" s="102">
        <f>'[1]Т12'!$I$51</f>
        <v>442.72774</v>
      </c>
      <c r="AG25" s="16">
        <f t="shared" si="18"/>
        <v>2671.248</v>
      </c>
      <c r="AH25" s="16">
        <f>B25*0.2</f>
        <v>890.416</v>
      </c>
      <c r="AI25" s="16">
        <f>0.85*B25</f>
        <v>3784.268</v>
      </c>
      <c r="AJ25" s="16">
        <f t="shared" si="9"/>
        <v>681.16824</v>
      </c>
      <c r="AK25" s="16">
        <f>0.83*B25</f>
        <v>3695.2263999999996</v>
      </c>
      <c r="AL25" s="16">
        <f t="shared" si="10"/>
        <v>665.1407519999999</v>
      </c>
      <c r="AM25" s="16">
        <f>(1.91)*B25</f>
        <v>8503.4728</v>
      </c>
      <c r="AN25" s="16">
        <f t="shared" si="11"/>
        <v>1530.625104</v>
      </c>
      <c r="AO25" s="16"/>
      <c r="AP25" s="16">
        <f t="shared" si="12"/>
        <v>0</v>
      </c>
      <c r="AQ25" s="117"/>
      <c r="AR25" s="117">
        <f t="shared" si="12"/>
        <v>0</v>
      </c>
      <c r="AS25" s="97">
        <v>6696</v>
      </c>
      <c r="AT25" s="97">
        <f>15000</f>
        <v>15000</v>
      </c>
      <c r="AU25" s="97">
        <f t="shared" si="14"/>
        <v>3905.2799999999997</v>
      </c>
      <c r="AV25" s="118">
        <v>514</v>
      </c>
      <c r="AW25" s="134">
        <v>2.25</v>
      </c>
      <c r="AX25" s="16">
        <f>AV25*AW25*1.12*1.18</f>
        <v>1528.4304000000002</v>
      </c>
      <c r="AY25" s="121"/>
      <c r="AZ25" s="122"/>
      <c r="BA25" s="122">
        <f t="shared" si="0"/>
        <v>0</v>
      </c>
      <c r="BB25" s="122">
        <f>SUM(AG25:BA25)-AV25-AW25</f>
        <v>49551.275696</v>
      </c>
      <c r="BC25" s="132">
        <f>'[1]Т12'!$O$51</f>
        <v>211.01886</v>
      </c>
      <c r="BD25" s="14">
        <f>AC25+AF25-BB25-BC25</f>
        <v>-7739.304815999993</v>
      </c>
      <c r="BE25" s="30">
        <f>AB25-S25</f>
        <v>3069.7700000000004</v>
      </c>
    </row>
    <row r="26" spans="1:57" s="20" customFormat="1" ht="12.75">
      <c r="A26" s="17" t="s">
        <v>5</v>
      </c>
      <c r="B26" s="60"/>
      <c r="C26" s="60">
        <f aca="true" t="shared" si="19" ref="C26:BC26">SUM(C14:C25)</f>
        <v>462272.4349999998</v>
      </c>
      <c r="D26" s="60">
        <f t="shared" si="19"/>
        <v>51506.244375</v>
      </c>
      <c r="E26" s="57">
        <f t="shared" si="19"/>
        <v>39168.60999999999</v>
      </c>
      <c r="F26" s="57">
        <f t="shared" si="19"/>
        <v>7269.150000000001</v>
      </c>
      <c r="G26" s="57">
        <f t="shared" si="19"/>
        <v>53014.689999999995</v>
      </c>
      <c r="H26" s="57">
        <f t="shared" si="19"/>
        <v>9840.919999999998</v>
      </c>
      <c r="I26" s="57">
        <f t="shared" si="19"/>
        <v>127227.34000000003</v>
      </c>
      <c r="J26" s="57">
        <f t="shared" si="19"/>
        <v>23879.799999999996</v>
      </c>
      <c r="K26" s="57">
        <f t="shared" si="19"/>
        <v>88268.6</v>
      </c>
      <c r="L26" s="57">
        <f t="shared" si="19"/>
        <v>16383.27</v>
      </c>
      <c r="M26" s="57">
        <f t="shared" si="19"/>
        <v>31357.940000000006</v>
      </c>
      <c r="N26" s="57">
        <f t="shared" si="19"/>
        <v>5815.289999999999</v>
      </c>
      <c r="O26" s="57">
        <f t="shared" si="19"/>
        <v>0</v>
      </c>
      <c r="P26" s="57">
        <f t="shared" si="19"/>
        <v>0</v>
      </c>
      <c r="Q26" s="57">
        <f t="shared" si="19"/>
        <v>0</v>
      </c>
      <c r="R26" s="57">
        <f t="shared" si="19"/>
        <v>0</v>
      </c>
      <c r="S26" s="57">
        <f t="shared" si="19"/>
        <v>339037.18</v>
      </c>
      <c r="T26" s="57">
        <f t="shared" si="19"/>
        <v>63188.42999999999</v>
      </c>
      <c r="U26" s="61">
        <f t="shared" si="19"/>
        <v>38084.36</v>
      </c>
      <c r="V26" s="61">
        <f t="shared" si="19"/>
        <v>51512.780000000006</v>
      </c>
      <c r="W26" s="61">
        <f t="shared" si="19"/>
        <v>123433.68999999999</v>
      </c>
      <c r="X26" s="61">
        <f t="shared" si="19"/>
        <v>85787.25</v>
      </c>
      <c r="Y26" s="61">
        <f t="shared" si="19"/>
        <v>30484.1</v>
      </c>
      <c r="Z26" s="61">
        <f t="shared" si="19"/>
        <v>0</v>
      </c>
      <c r="AA26" s="61">
        <f t="shared" si="19"/>
        <v>0</v>
      </c>
      <c r="AB26" s="61">
        <f t="shared" si="19"/>
        <v>329302.18000000005</v>
      </c>
      <c r="AC26" s="61">
        <f t="shared" si="19"/>
        <v>443996.85437499994</v>
      </c>
      <c r="AD26" s="61">
        <f t="shared" si="19"/>
        <v>0</v>
      </c>
      <c r="AE26" s="100">
        <f t="shared" si="19"/>
        <v>0</v>
      </c>
      <c r="AF26" s="100">
        <f t="shared" si="19"/>
        <v>2656.36644</v>
      </c>
      <c r="AG26" s="18">
        <f t="shared" si="19"/>
        <v>30995.969999999998</v>
      </c>
      <c r="AH26" s="18">
        <f t="shared" si="19"/>
        <v>10377.470805199999</v>
      </c>
      <c r="AI26" s="18">
        <f t="shared" si="19"/>
        <v>43329.46566111999</v>
      </c>
      <c r="AJ26" s="18">
        <f t="shared" si="19"/>
        <v>7799.3038190016</v>
      </c>
      <c r="AK26" s="18">
        <f t="shared" si="19"/>
        <v>42120.232609984</v>
      </c>
      <c r="AL26" s="18">
        <f t="shared" si="19"/>
        <v>7581.641869797119</v>
      </c>
      <c r="AM26" s="18">
        <f t="shared" si="19"/>
        <v>96912.10529010835</v>
      </c>
      <c r="AN26" s="18">
        <f t="shared" si="19"/>
        <v>17444.1789522195</v>
      </c>
      <c r="AO26" s="18">
        <f t="shared" si="19"/>
        <v>0</v>
      </c>
      <c r="AP26" s="18">
        <f t="shared" si="19"/>
        <v>0</v>
      </c>
      <c r="AQ26" s="18">
        <f>SUM(AQ14:AQ25)</f>
        <v>21908.813000000002</v>
      </c>
      <c r="AR26" s="18">
        <f>SUM(AR14:AR25)</f>
        <v>3943.5863400000003</v>
      </c>
      <c r="AS26" s="18">
        <f>SUM(AS14:AS25)</f>
        <v>94656.21</v>
      </c>
      <c r="AT26" s="18">
        <f>SUM(AT14:AT25)</f>
        <v>15600</v>
      </c>
      <c r="AU26" s="18">
        <f>SUM(AU14:AU25)</f>
        <v>19846.1178</v>
      </c>
      <c r="AV26" s="18"/>
      <c r="AW26" s="18"/>
      <c r="AX26" s="18">
        <f t="shared" si="19"/>
        <v>13083.84</v>
      </c>
      <c r="AY26" s="18">
        <f t="shared" si="19"/>
        <v>0</v>
      </c>
      <c r="AZ26" s="18">
        <f t="shared" si="19"/>
        <v>0</v>
      </c>
      <c r="BA26" s="18">
        <f t="shared" si="19"/>
        <v>0</v>
      </c>
      <c r="BB26" s="18">
        <f t="shared" si="19"/>
        <v>425598.93614743045</v>
      </c>
      <c r="BC26" s="18">
        <f t="shared" si="19"/>
        <v>1260.1968192825998</v>
      </c>
      <c r="BD26" s="18">
        <f>SUM(BD14:BD25)</f>
        <v>19794.087848286847</v>
      </c>
      <c r="BE26" s="19">
        <f>SUM(BE14:BE25)</f>
        <v>-9735.000000000004</v>
      </c>
    </row>
    <row r="27" spans="1:57" ht="12.75">
      <c r="A27" s="11"/>
      <c r="B27" s="12"/>
      <c r="C27" s="13"/>
      <c r="D27" s="13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8"/>
      <c r="T27" s="48"/>
      <c r="U27" s="52"/>
      <c r="V27" s="52"/>
      <c r="W27" s="52"/>
      <c r="X27" s="52"/>
      <c r="Y27" s="52"/>
      <c r="Z27" s="52"/>
      <c r="AA27" s="52"/>
      <c r="AB27" s="52"/>
      <c r="AC27" s="101"/>
      <c r="AD27" s="101"/>
      <c r="AE27" s="102"/>
      <c r="AF27" s="102"/>
      <c r="AG27" s="16"/>
      <c r="AH27" s="16"/>
      <c r="AI27" s="16"/>
      <c r="AJ27" s="16"/>
      <c r="AK27" s="16"/>
      <c r="AL27" s="16"/>
      <c r="AM27" s="16"/>
      <c r="AN27" s="16"/>
      <c r="AO27" s="15"/>
      <c r="AP27" s="15"/>
      <c r="AQ27" s="15"/>
      <c r="AR27" s="15"/>
      <c r="AS27" s="96"/>
      <c r="AT27" s="96"/>
      <c r="AU27" s="97"/>
      <c r="AV27" s="97"/>
      <c r="AW27" s="97"/>
      <c r="AX27" s="21"/>
      <c r="AY27" s="15"/>
      <c r="AZ27" s="15"/>
      <c r="BA27" s="16"/>
      <c r="BB27" s="16"/>
      <c r="BC27" s="16"/>
      <c r="BD27" s="16"/>
      <c r="BE27" s="10"/>
    </row>
    <row r="28" spans="1:57" s="20" customFormat="1" ht="13.5" thickBot="1">
      <c r="A28" s="22" t="s">
        <v>54</v>
      </c>
      <c r="B28" s="23"/>
      <c r="C28" s="23">
        <f>C12+C26</f>
        <v>577866.7099999998</v>
      </c>
      <c r="D28" s="23">
        <f>D12+D26</f>
        <v>79330.17168175001</v>
      </c>
      <c r="E28" s="50">
        <f aca="true" t="shared" si="20" ref="E28:BC28">E12+E26</f>
        <v>48137.06999999999</v>
      </c>
      <c r="F28" s="50">
        <f t="shared" si="20"/>
        <v>9047.25</v>
      </c>
      <c r="G28" s="50">
        <f t="shared" si="20"/>
        <v>65122.31</v>
      </c>
      <c r="H28" s="50">
        <f t="shared" si="20"/>
        <v>12241.349999999999</v>
      </c>
      <c r="I28" s="50">
        <f t="shared" si="20"/>
        <v>156300.68000000002</v>
      </c>
      <c r="J28" s="50">
        <f t="shared" si="20"/>
        <v>29740.319999999996</v>
      </c>
      <c r="K28" s="50">
        <f t="shared" si="20"/>
        <v>108447.82</v>
      </c>
      <c r="L28" s="50">
        <f t="shared" si="20"/>
        <v>20383.85</v>
      </c>
      <c r="M28" s="50">
        <f t="shared" si="20"/>
        <v>38532.48</v>
      </c>
      <c r="N28" s="50">
        <f>N12+N26</f>
        <v>7237.769999999999</v>
      </c>
      <c r="O28" s="50">
        <f t="shared" si="20"/>
        <v>0</v>
      </c>
      <c r="P28" s="50">
        <f t="shared" si="20"/>
        <v>0</v>
      </c>
      <c r="Q28" s="50">
        <f t="shared" si="20"/>
        <v>0</v>
      </c>
      <c r="R28" s="50">
        <f t="shared" si="20"/>
        <v>0</v>
      </c>
      <c r="S28" s="50">
        <f t="shared" si="20"/>
        <v>416540.36</v>
      </c>
      <c r="T28" s="50">
        <f t="shared" si="20"/>
        <v>78650.54</v>
      </c>
      <c r="U28" s="53">
        <f t="shared" si="20"/>
        <v>43528.57</v>
      </c>
      <c r="V28" s="53">
        <f t="shared" si="20"/>
        <v>58883.87000000001</v>
      </c>
      <c r="W28" s="53">
        <f t="shared" si="20"/>
        <v>141321.18</v>
      </c>
      <c r="X28" s="53">
        <f t="shared" si="20"/>
        <v>98061.44</v>
      </c>
      <c r="Y28" s="53">
        <f t="shared" si="20"/>
        <v>34845.81</v>
      </c>
      <c r="Z28" s="53">
        <f t="shared" si="20"/>
        <v>0</v>
      </c>
      <c r="AA28" s="53">
        <f t="shared" si="20"/>
        <v>0</v>
      </c>
      <c r="AB28" s="53">
        <f t="shared" si="20"/>
        <v>376640.87000000005</v>
      </c>
      <c r="AC28" s="53">
        <f t="shared" si="20"/>
        <v>534621.5816817499</v>
      </c>
      <c r="AD28" s="53">
        <f t="shared" si="20"/>
        <v>0</v>
      </c>
      <c r="AE28" s="53">
        <f>AE12+AE26</f>
        <v>0</v>
      </c>
      <c r="AF28" s="53">
        <f t="shared" si="20"/>
        <v>2656.36644</v>
      </c>
      <c r="AG28" s="23">
        <f t="shared" si="20"/>
        <v>39014.07</v>
      </c>
      <c r="AH28" s="23">
        <f t="shared" si="20"/>
        <v>13129.0054552</v>
      </c>
      <c r="AI28" s="23">
        <f t="shared" si="20"/>
        <v>54701.42780111999</v>
      </c>
      <c r="AJ28" s="23">
        <f t="shared" si="20"/>
        <v>9846.2570042016</v>
      </c>
      <c r="AK28" s="23">
        <f t="shared" si="20"/>
        <v>55353.622010384</v>
      </c>
      <c r="AL28" s="23">
        <f t="shared" si="20"/>
        <v>9963.65196186912</v>
      </c>
      <c r="AM28" s="23">
        <f t="shared" si="20"/>
        <v>121215.63390045834</v>
      </c>
      <c r="AN28" s="23">
        <f t="shared" si="20"/>
        <v>21818.8141020825</v>
      </c>
      <c r="AO28" s="23">
        <f t="shared" si="20"/>
        <v>0</v>
      </c>
      <c r="AP28" s="23">
        <f t="shared" si="20"/>
        <v>0</v>
      </c>
      <c r="AQ28" s="23">
        <f t="shared" si="20"/>
        <v>21908.813000000002</v>
      </c>
      <c r="AR28" s="23">
        <f t="shared" si="20"/>
        <v>3943.5863400000003</v>
      </c>
      <c r="AS28" s="23">
        <f t="shared" si="20"/>
        <v>130146.40000000001</v>
      </c>
      <c r="AT28" s="23">
        <f t="shared" si="20"/>
        <v>15600</v>
      </c>
      <c r="AU28" s="23">
        <f t="shared" si="20"/>
        <v>26234.352</v>
      </c>
      <c r="AV28" s="23"/>
      <c r="AW28" s="23"/>
      <c r="AX28" s="23">
        <f t="shared" si="20"/>
        <v>13083.84</v>
      </c>
      <c r="AY28" s="23">
        <f t="shared" si="20"/>
        <v>0</v>
      </c>
      <c r="AZ28" s="23">
        <f t="shared" si="20"/>
        <v>0</v>
      </c>
      <c r="BA28" s="23">
        <f t="shared" si="20"/>
        <v>0</v>
      </c>
      <c r="BB28" s="23">
        <f t="shared" si="20"/>
        <v>535959.4735753154</v>
      </c>
      <c r="BC28" s="23">
        <f t="shared" si="20"/>
        <v>1260.1968192825998</v>
      </c>
      <c r="BD28" s="23">
        <f>BD12+BD26</f>
        <v>58.277727151860745</v>
      </c>
      <c r="BE28" s="24">
        <f>BE12+BE26</f>
        <v>-39899.490000000005</v>
      </c>
    </row>
    <row r="29" spans="1:57" ht="15" customHeight="1">
      <c r="A29" s="5" t="s">
        <v>91</v>
      </c>
      <c r="B29" s="58"/>
      <c r="C29" s="59"/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5"/>
      <c r="R29" s="55"/>
      <c r="S29" s="55"/>
      <c r="T29" s="55"/>
      <c r="U29" s="62"/>
      <c r="V29" s="62"/>
      <c r="W29" s="62"/>
      <c r="X29" s="62"/>
      <c r="Y29" s="62"/>
      <c r="Z29" s="62"/>
      <c r="AA29" s="54"/>
      <c r="AB29" s="54"/>
      <c r="AC29" s="98"/>
      <c r="AD29" s="98"/>
      <c r="AE29" s="99"/>
      <c r="AF29" s="99"/>
      <c r="AG29" s="14"/>
      <c r="AH29" s="14"/>
      <c r="AI29" s="14"/>
      <c r="AJ29" s="14"/>
      <c r="AK29" s="14"/>
      <c r="AL29" s="14"/>
      <c r="AM29" s="14"/>
      <c r="AN29" s="14"/>
      <c r="AO29" s="31"/>
      <c r="AP29" s="31"/>
      <c r="AQ29" s="31"/>
      <c r="AR29" s="31"/>
      <c r="AS29" s="95"/>
      <c r="AT29" s="95"/>
      <c r="AU29" s="48"/>
      <c r="AV29" s="48"/>
      <c r="AW29" s="48"/>
      <c r="AX29" s="31"/>
      <c r="AY29" s="31"/>
      <c r="AZ29" s="31"/>
      <c r="BA29" s="14"/>
      <c r="BB29" s="14"/>
      <c r="BC29" s="14"/>
      <c r="BD29" s="14"/>
      <c r="BE29" s="30"/>
    </row>
    <row r="30" spans="1:57" ht="12.75">
      <c r="A30" s="11" t="s">
        <v>45</v>
      </c>
      <c r="B30" s="104">
        <v>4452.08</v>
      </c>
      <c r="C30" s="131">
        <f aca="true" t="shared" si="21" ref="C30:C41">B30*8.65</f>
        <v>38510.492</v>
      </c>
      <c r="D30" s="130">
        <f aca="true" t="shared" si="22" ref="D30:D41">C30-E30-F30-G30-H30-I30-J30-K30-L30-M30-N30</f>
        <v>3739.2420000000047</v>
      </c>
      <c r="E30" s="107">
        <v>3381.41</v>
      </c>
      <c r="F30" s="107">
        <v>634.27</v>
      </c>
      <c r="G30" s="107">
        <v>4578.74</v>
      </c>
      <c r="H30" s="107">
        <v>859.75</v>
      </c>
      <c r="I30" s="107">
        <v>10994.99</v>
      </c>
      <c r="J30" s="107">
        <v>2064.87</v>
      </c>
      <c r="K30" s="107">
        <v>7616.19</v>
      </c>
      <c r="L30" s="107">
        <v>1430.62</v>
      </c>
      <c r="M30" s="107">
        <v>2702.99</v>
      </c>
      <c r="N30" s="107">
        <v>507.42</v>
      </c>
      <c r="O30" s="107">
        <v>0</v>
      </c>
      <c r="P30" s="114">
        <v>0</v>
      </c>
      <c r="Q30" s="114"/>
      <c r="R30" s="114"/>
      <c r="S30" s="91">
        <f aca="true" t="shared" si="23" ref="S30:S41">E30+G30+I30+K30+M30+O30+Q30</f>
        <v>29274.32</v>
      </c>
      <c r="T30" s="108">
        <f aca="true" t="shared" si="24" ref="T30:T41">P30+N30+L30+J30+H30+F30+R30</f>
        <v>5496.93</v>
      </c>
      <c r="U30" s="91">
        <v>2310.74</v>
      </c>
      <c r="V30" s="91">
        <v>3101.44</v>
      </c>
      <c r="W30" s="91">
        <v>7441.21</v>
      </c>
      <c r="X30" s="91">
        <v>5157.7</v>
      </c>
      <c r="Y30" s="91">
        <v>1796.73</v>
      </c>
      <c r="Z30" s="109">
        <v>0</v>
      </c>
      <c r="AA30" s="109">
        <v>0</v>
      </c>
      <c r="AB30" s="109">
        <f>SUM(U30:AA30)</f>
        <v>19807.82</v>
      </c>
      <c r="AC30" s="113">
        <f aca="true" t="shared" si="25" ref="AC30:AC41">D30+T30+AB30</f>
        <v>29043.992000000006</v>
      </c>
      <c r="AD30" s="102">
        <f aca="true" t="shared" si="26" ref="AD30:AD41">P30+Z30</f>
        <v>0</v>
      </c>
      <c r="AE30" s="102">
        <f aca="true" t="shared" si="27" ref="AE30:AE41">R30+AA30</f>
        <v>0</v>
      </c>
      <c r="AF30" s="102">
        <f>'[5]Т01-10'!$I$48</f>
        <v>442.72774</v>
      </c>
      <c r="AG30" s="16">
        <f aca="true" t="shared" si="28" ref="AG30:AG41">0.6*B30</f>
        <v>2671.248</v>
      </c>
      <c r="AH30" s="16">
        <f aca="true" t="shared" si="29" ref="AH30:AH41">B30*0.2</f>
        <v>890.416</v>
      </c>
      <c r="AI30" s="16">
        <f aca="true" t="shared" si="30" ref="AI30:AI41">1*B30</f>
        <v>4452.08</v>
      </c>
      <c r="AJ30" s="16">
        <v>0</v>
      </c>
      <c r="AK30" s="16">
        <f aca="true" t="shared" si="31" ref="AK30:AK41">0.98*B30</f>
        <v>4363.0383999999995</v>
      </c>
      <c r="AL30" s="16">
        <v>0</v>
      </c>
      <c r="AM30" s="16">
        <f aca="true" t="shared" si="32" ref="AM30:AM41">2.25*B30</f>
        <v>10017.18</v>
      </c>
      <c r="AN30" s="16">
        <v>0</v>
      </c>
      <c r="AO30" s="16"/>
      <c r="AP30" s="16">
        <v>0</v>
      </c>
      <c r="AQ30" s="117"/>
      <c r="AR30" s="117"/>
      <c r="AS30" s="97">
        <v>2503</v>
      </c>
      <c r="AT30" s="97"/>
      <c r="AU30" s="97">
        <f aca="true" t="shared" si="33" ref="AU30:AU36">AT30*0.18</f>
        <v>0</v>
      </c>
      <c r="AV30" s="118">
        <v>508</v>
      </c>
      <c r="AW30" s="134">
        <v>2.25</v>
      </c>
      <c r="AX30" s="16">
        <f aca="true" t="shared" si="34" ref="AX30:AX38">AV30*AW30*1.4</f>
        <v>1600.1999999999998</v>
      </c>
      <c r="AY30" s="121"/>
      <c r="AZ30" s="122"/>
      <c r="BA30" s="122">
        <f aca="true" t="shared" si="35" ref="BA30:BA41">AZ30*0.18</f>
        <v>0</v>
      </c>
      <c r="BB30" s="122">
        <f aca="true" t="shared" si="36" ref="BB30:BB41">SUM(AG30:BA30)-AV30-AW30</f>
        <v>26497.1624</v>
      </c>
      <c r="BC30" s="132">
        <f>'[5]Т03-10'!$M$49</f>
        <v>210.76899999999998</v>
      </c>
      <c r="BD30" s="14">
        <f>AC30+AF30-BB30-BC30</f>
        <v>2778.7883400000032</v>
      </c>
      <c r="BE30" s="30">
        <f>AB30-S30</f>
        <v>-9466.5</v>
      </c>
    </row>
    <row r="31" spans="1:57" ht="12.75">
      <c r="A31" s="11" t="s">
        <v>46</v>
      </c>
      <c r="B31" s="115">
        <v>4452.08</v>
      </c>
      <c r="C31" s="131">
        <f t="shared" si="21"/>
        <v>38510.492</v>
      </c>
      <c r="D31" s="130">
        <f t="shared" si="22"/>
        <v>3739.2219999999998</v>
      </c>
      <c r="E31" s="136">
        <v>3379.54</v>
      </c>
      <c r="F31" s="107">
        <v>634.27</v>
      </c>
      <c r="G31" s="107">
        <v>4576.21</v>
      </c>
      <c r="H31" s="107">
        <v>859.74</v>
      </c>
      <c r="I31" s="107">
        <v>10997.27</v>
      </c>
      <c r="J31" s="107">
        <v>2064.87</v>
      </c>
      <c r="K31" s="107">
        <v>7617.77</v>
      </c>
      <c r="L31" s="107">
        <v>1430.62</v>
      </c>
      <c r="M31" s="107">
        <v>2703.57</v>
      </c>
      <c r="N31" s="107">
        <v>507.41</v>
      </c>
      <c r="O31" s="107">
        <v>0</v>
      </c>
      <c r="P31" s="114">
        <v>0</v>
      </c>
      <c r="Q31" s="109">
        <v>0</v>
      </c>
      <c r="R31" s="109">
        <v>0</v>
      </c>
      <c r="S31" s="91">
        <f t="shared" si="23"/>
        <v>29274.36</v>
      </c>
      <c r="T31" s="108">
        <f t="shared" si="24"/>
        <v>5496.91</v>
      </c>
      <c r="U31" s="91">
        <v>3313.49</v>
      </c>
      <c r="V31" s="91">
        <v>4526.08</v>
      </c>
      <c r="W31" s="91">
        <v>10855.16</v>
      </c>
      <c r="X31" s="91">
        <v>7522.56</v>
      </c>
      <c r="Y31" s="91">
        <v>2669.24</v>
      </c>
      <c r="Z31" s="109">
        <v>0</v>
      </c>
      <c r="AA31" s="109">
        <v>0</v>
      </c>
      <c r="AB31" s="109">
        <f>SUM(U31:AA31)</f>
        <v>28886.53</v>
      </c>
      <c r="AC31" s="113">
        <f t="shared" si="25"/>
        <v>38122.662</v>
      </c>
      <c r="AD31" s="102">
        <f t="shared" si="26"/>
        <v>0</v>
      </c>
      <c r="AE31" s="102">
        <f t="shared" si="27"/>
        <v>0</v>
      </c>
      <c r="AF31" s="102">
        <f>'[5]Т01-10'!$I$48</f>
        <v>442.72774</v>
      </c>
      <c r="AG31" s="16">
        <f t="shared" si="28"/>
        <v>2671.248</v>
      </c>
      <c r="AH31" s="16">
        <f t="shared" si="29"/>
        <v>890.416</v>
      </c>
      <c r="AI31" s="16">
        <f t="shared" si="30"/>
        <v>4452.08</v>
      </c>
      <c r="AJ31" s="16">
        <v>0</v>
      </c>
      <c r="AK31" s="16">
        <f t="shared" si="31"/>
        <v>4363.0383999999995</v>
      </c>
      <c r="AL31" s="16">
        <v>0</v>
      </c>
      <c r="AM31" s="16">
        <f t="shared" si="32"/>
        <v>10017.18</v>
      </c>
      <c r="AN31" s="16">
        <v>0</v>
      </c>
      <c r="AO31" s="16"/>
      <c r="AP31" s="16"/>
      <c r="AQ31" s="117"/>
      <c r="AR31" s="117"/>
      <c r="AS31" s="97">
        <v>4487</v>
      </c>
      <c r="AT31" s="97"/>
      <c r="AU31" s="97">
        <f t="shared" si="33"/>
        <v>0</v>
      </c>
      <c r="AV31" s="118">
        <v>407</v>
      </c>
      <c r="AW31" s="134">
        <v>2.25</v>
      </c>
      <c r="AX31" s="16">
        <f t="shared" si="34"/>
        <v>1282.05</v>
      </c>
      <c r="AY31" s="121"/>
      <c r="AZ31" s="122"/>
      <c r="BA31" s="122">
        <f t="shared" si="35"/>
        <v>0</v>
      </c>
      <c r="BB31" s="122">
        <f t="shared" si="36"/>
        <v>28163.0124</v>
      </c>
      <c r="BC31" s="132">
        <f>'[5]Т03-10'!$M$49</f>
        <v>210.76899999999998</v>
      </c>
      <c r="BD31" s="14">
        <f aca="true" t="shared" si="37" ref="BD31:BD41">AC31+AF31-BB31-BC31</f>
        <v>10191.608339999999</v>
      </c>
      <c r="BE31" s="30">
        <f aca="true" t="shared" si="38" ref="BE31:BE41">AB31-S31</f>
        <v>-387.83000000000175</v>
      </c>
    </row>
    <row r="32" spans="1:57" ht="12.75">
      <c r="A32" s="11" t="s">
        <v>47</v>
      </c>
      <c r="B32" s="104">
        <v>4452.08</v>
      </c>
      <c r="C32" s="131">
        <f t="shared" si="21"/>
        <v>38510.492</v>
      </c>
      <c r="D32" s="130">
        <f t="shared" si="22"/>
        <v>3739.2219999999998</v>
      </c>
      <c r="E32" s="107">
        <v>3379.54</v>
      </c>
      <c r="F32" s="107">
        <v>634.27</v>
      </c>
      <c r="G32" s="107">
        <v>4576.21</v>
      </c>
      <c r="H32" s="107">
        <v>859.74</v>
      </c>
      <c r="I32" s="107">
        <v>10997.27</v>
      </c>
      <c r="J32" s="107">
        <v>2064.87</v>
      </c>
      <c r="K32" s="107">
        <v>7617.77</v>
      </c>
      <c r="L32" s="107">
        <v>1430.62</v>
      </c>
      <c r="M32" s="107">
        <v>2703.57</v>
      </c>
      <c r="N32" s="107">
        <v>507.41</v>
      </c>
      <c r="O32" s="107">
        <v>0</v>
      </c>
      <c r="P32" s="114">
        <v>0</v>
      </c>
      <c r="Q32" s="114">
        <v>0</v>
      </c>
      <c r="R32" s="114">
        <v>0</v>
      </c>
      <c r="S32" s="91">
        <f t="shared" si="23"/>
        <v>29274.36</v>
      </c>
      <c r="T32" s="108">
        <f t="shared" si="24"/>
        <v>5496.91</v>
      </c>
      <c r="U32" s="91">
        <v>3367.98</v>
      </c>
      <c r="V32" s="91">
        <v>4554.49</v>
      </c>
      <c r="W32" s="91">
        <v>10945.77</v>
      </c>
      <c r="X32" s="91">
        <v>7580.51</v>
      </c>
      <c r="Y32" s="91">
        <v>2725.67</v>
      </c>
      <c r="Z32" s="109">
        <v>0</v>
      </c>
      <c r="AA32" s="109">
        <v>0</v>
      </c>
      <c r="AB32" s="109">
        <f>SUM(U32:AA32)</f>
        <v>29174.42</v>
      </c>
      <c r="AC32" s="113">
        <f t="shared" si="25"/>
        <v>38410.551999999996</v>
      </c>
      <c r="AD32" s="102">
        <f t="shared" si="26"/>
        <v>0</v>
      </c>
      <c r="AE32" s="102">
        <f t="shared" si="27"/>
        <v>0</v>
      </c>
      <c r="AF32" s="102">
        <f>'[5]Т01-10'!$I$48</f>
        <v>442.72774</v>
      </c>
      <c r="AG32" s="16">
        <f t="shared" si="28"/>
        <v>2671.248</v>
      </c>
      <c r="AH32" s="16">
        <f t="shared" si="29"/>
        <v>890.416</v>
      </c>
      <c r="AI32" s="16">
        <f t="shared" si="30"/>
        <v>4452.08</v>
      </c>
      <c r="AJ32" s="16">
        <v>0</v>
      </c>
      <c r="AK32" s="16">
        <f t="shared" si="31"/>
        <v>4363.0383999999995</v>
      </c>
      <c r="AL32" s="16">
        <v>0</v>
      </c>
      <c r="AM32" s="16">
        <f t="shared" si="32"/>
        <v>10017.18</v>
      </c>
      <c r="AN32" s="16">
        <v>0</v>
      </c>
      <c r="AO32" s="16"/>
      <c r="AP32" s="16"/>
      <c r="AQ32" s="117"/>
      <c r="AR32" s="117"/>
      <c r="AS32" s="97">
        <v>8297</v>
      </c>
      <c r="AT32" s="97"/>
      <c r="AU32" s="97">
        <f t="shared" si="33"/>
        <v>0</v>
      </c>
      <c r="AV32" s="118">
        <v>383</v>
      </c>
      <c r="AW32" s="134">
        <v>2.25</v>
      </c>
      <c r="AX32" s="16">
        <f t="shared" si="34"/>
        <v>1206.4499999999998</v>
      </c>
      <c r="AY32" s="121"/>
      <c r="AZ32" s="122"/>
      <c r="BA32" s="122">
        <f t="shared" si="35"/>
        <v>0</v>
      </c>
      <c r="BB32" s="122">
        <f t="shared" si="36"/>
        <v>31897.4124</v>
      </c>
      <c r="BC32" s="132">
        <f>'[5]Т03-10'!$M$49</f>
        <v>210.76899999999998</v>
      </c>
      <c r="BD32" s="14">
        <f t="shared" si="37"/>
        <v>6745.098339999997</v>
      </c>
      <c r="BE32" s="30">
        <f t="shared" si="38"/>
        <v>-99.94000000000233</v>
      </c>
    </row>
    <row r="33" spans="1:57" ht="12.75">
      <c r="A33" s="11" t="s">
        <v>48</v>
      </c>
      <c r="B33" s="104">
        <v>4452.08</v>
      </c>
      <c r="C33" s="131">
        <f t="shared" si="21"/>
        <v>38510.492</v>
      </c>
      <c r="D33" s="130">
        <f t="shared" si="22"/>
        <v>3749.8419999999987</v>
      </c>
      <c r="E33" s="107">
        <v>3378.29</v>
      </c>
      <c r="F33" s="107">
        <v>634.27</v>
      </c>
      <c r="G33" s="107">
        <v>4574.59</v>
      </c>
      <c r="H33" s="107">
        <v>859.74</v>
      </c>
      <c r="I33" s="107">
        <v>10993.27</v>
      </c>
      <c r="J33" s="107">
        <v>2064.87</v>
      </c>
      <c r="K33" s="107">
        <v>7615.02</v>
      </c>
      <c r="L33" s="107">
        <v>1430.62</v>
      </c>
      <c r="M33" s="107">
        <v>2702.57</v>
      </c>
      <c r="N33" s="107">
        <v>507.41</v>
      </c>
      <c r="O33" s="107">
        <v>0</v>
      </c>
      <c r="P33" s="114">
        <v>0</v>
      </c>
      <c r="Q33" s="114"/>
      <c r="R33" s="114"/>
      <c r="S33" s="91">
        <f t="shared" si="23"/>
        <v>29263.74</v>
      </c>
      <c r="T33" s="108">
        <f t="shared" si="24"/>
        <v>5496.91</v>
      </c>
      <c r="U33" s="91">
        <v>2609.9</v>
      </c>
      <c r="V33" s="91">
        <v>3523.1</v>
      </c>
      <c r="W33" s="91">
        <v>8435.69</v>
      </c>
      <c r="X33" s="91">
        <v>5872.42</v>
      </c>
      <c r="Y33" s="91">
        <v>2087.9</v>
      </c>
      <c r="Z33" s="109">
        <v>0</v>
      </c>
      <c r="AA33" s="109">
        <v>0</v>
      </c>
      <c r="AB33" s="109">
        <f>SUM(U33:AA33)</f>
        <v>22529.010000000002</v>
      </c>
      <c r="AC33" s="113">
        <f t="shared" si="25"/>
        <v>31775.762000000002</v>
      </c>
      <c r="AD33" s="102">
        <f t="shared" si="26"/>
        <v>0</v>
      </c>
      <c r="AE33" s="102">
        <f t="shared" si="27"/>
        <v>0</v>
      </c>
      <c r="AF33" s="102">
        <f>'[6]Т04-10'!$I$49</f>
        <v>442.72774</v>
      </c>
      <c r="AG33" s="16">
        <f t="shared" si="28"/>
        <v>2671.248</v>
      </c>
      <c r="AH33" s="16">
        <f t="shared" si="29"/>
        <v>890.416</v>
      </c>
      <c r="AI33" s="16">
        <f t="shared" si="30"/>
        <v>4452.08</v>
      </c>
      <c r="AJ33" s="16">
        <v>0</v>
      </c>
      <c r="AK33" s="16">
        <f t="shared" si="31"/>
        <v>4363.0383999999995</v>
      </c>
      <c r="AL33" s="16">
        <v>0</v>
      </c>
      <c r="AM33" s="16">
        <f t="shared" si="32"/>
        <v>10017.18</v>
      </c>
      <c r="AN33" s="16">
        <v>0</v>
      </c>
      <c r="AO33" s="16"/>
      <c r="AP33" s="16"/>
      <c r="AQ33" s="117"/>
      <c r="AR33" s="117"/>
      <c r="AS33" s="97">
        <v>4030</v>
      </c>
      <c r="AT33" s="97"/>
      <c r="AU33" s="97">
        <f t="shared" si="33"/>
        <v>0</v>
      </c>
      <c r="AV33" s="118">
        <v>307</v>
      </c>
      <c r="AW33" s="134">
        <v>2.25</v>
      </c>
      <c r="AX33" s="16">
        <f t="shared" si="34"/>
        <v>967.05</v>
      </c>
      <c r="AY33" s="121"/>
      <c r="AZ33" s="122"/>
      <c r="BA33" s="122">
        <f t="shared" si="35"/>
        <v>0</v>
      </c>
      <c r="BB33" s="122">
        <f t="shared" si="36"/>
        <v>27391.0124</v>
      </c>
      <c r="BC33" s="132">
        <f>'[6]Т04-10'!$M$49</f>
        <v>210.76899999999998</v>
      </c>
      <c r="BD33" s="14">
        <f t="shared" si="37"/>
        <v>4616.708340000001</v>
      </c>
      <c r="BE33" s="30">
        <f t="shared" si="38"/>
        <v>-6734.73</v>
      </c>
    </row>
    <row r="34" spans="1:57" ht="12.75">
      <c r="A34" s="11" t="s">
        <v>49</v>
      </c>
      <c r="B34" s="104">
        <v>4452.76</v>
      </c>
      <c r="C34" s="131">
        <f t="shared" si="21"/>
        <v>38516.374</v>
      </c>
      <c r="D34" s="130">
        <f t="shared" si="22"/>
        <v>3751.794000000011</v>
      </c>
      <c r="E34" s="107">
        <v>3378.7</v>
      </c>
      <c r="F34" s="107">
        <v>634.27</v>
      </c>
      <c r="G34" s="107">
        <v>4575.19</v>
      </c>
      <c r="H34" s="107">
        <v>859.74</v>
      </c>
      <c r="I34" s="107">
        <v>10994.78</v>
      </c>
      <c r="J34" s="107">
        <v>2064.87</v>
      </c>
      <c r="K34" s="107">
        <v>7616.04</v>
      </c>
      <c r="L34" s="107">
        <v>1430.62</v>
      </c>
      <c r="M34" s="107">
        <v>2702.96</v>
      </c>
      <c r="N34" s="107">
        <v>507.41</v>
      </c>
      <c r="O34" s="107">
        <v>0</v>
      </c>
      <c r="P34" s="114">
        <v>0</v>
      </c>
      <c r="Q34" s="114"/>
      <c r="R34" s="114"/>
      <c r="S34" s="91">
        <f t="shared" si="23"/>
        <v>29267.67</v>
      </c>
      <c r="T34" s="108">
        <f t="shared" si="24"/>
        <v>5496.91</v>
      </c>
      <c r="U34" s="137">
        <v>3107.97</v>
      </c>
      <c r="V34" s="137">
        <v>4206.76</v>
      </c>
      <c r="W34" s="137">
        <v>10113.48</v>
      </c>
      <c r="X34" s="137">
        <v>7006.25</v>
      </c>
      <c r="Y34" s="137">
        <v>2486.51</v>
      </c>
      <c r="Z34" s="138">
        <v>0</v>
      </c>
      <c r="AA34" s="138">
        <v>0</v>
      </c>
      <c r="AB34" s="109">
        <f aca="true" t="shared" si="39" ref="AB34:AB41">SUM(U34:AA34)</f>
        <v>26920.97</v>
      </c>
      <c r="AC34" s="113">
        <f t="shared" si="25"/>
        <v>36169.67400000001</v>
      </c>
      <c r="AD34" s="102">
        <f t="shared" si="26"/>
        <v>0</v>
      </c>
      <c r="AE34" s="102">
        <f t="shared" si="27"/>
        <v>0</v>
      </c>
      <c r="AF34" s="102">
        <f>'[6]Т04-10'!$I$49</f>
        <v>442.72774</v>
      </c>
      <c r="AG34" s="16">
        <f t="shared" si="28"/>
        <v>2671.656</v>
      </c>
      <c r="AH34" s="16">
        <f t="shared" si="29"/>
        <v>890.5520000000001</v>
      </c>
      <c r="AI34" s="16">
        <f t="shared" si="30"/>
        <v>4452.76</v>
      </c>
      <c r="AJ34" s="16">
        <v>0</v>
      </c>
      <c r="AK34" s="16">
        <f t="shared" si="31"/>
        <v>4363.7048</v>
      </c>
      <c r="AL34" s="16">
        <v>0</v>
      </c>
      <c r="AM34" s="16">
        <f t="shared" si="32"/>
        <v>10018.710000000001</v>
      </c>
      <c r="AN34" s="16">
        <v>0</v>
      </c>
      <c r="AO34" s="16">
        <v>5517.72</v>
      </c>
      <c r="AP34" s="16"/>
      <c r="AQ34" s="117"/>
      <c r="AR34" s="117"/>
      <c r="AS34" s="97">
        <v>5006</v>
      </c>
      <c r="AT34" s="97"/>
      <c r="AU34" s="97">
        <f t="shared" si="33"/>
        <v>0</v>
      </c>
      <c r="AV34" s="118">
        <v>263</v>
      </c>
      <c r="AW34" s="134">
        <v>2.25</v>
      </c>
      <c r="AX34" s="16">
        <f t="shared" si="34"/>
        <v>828.4499999999999</v>
      </c>
      <c r="AY34" s="121"/>
      <c r="AZ34" s="122"/>
      <c r="BA34" s="122">
        <f t="shared" si="35"/>
        <v>0</v>
      </c>
      <c r="BB34" s="122">
        <f t="shared" si="36"/>
        <v>33749.5528</v>
      </c>
      <c r="BC34" s="132">
        <f>'[6]Т04-10'!$M$49</f>
        <v>210.76899999999998</v>
      </c>
      <c r="BD34" s="14">
        <f t="shared" si="37"/>
        <v>2652.0799400000183</v>
      </c>
      <c r="BE34" s="30">
        <f t="shared" si="38"/>
        <v>-2346.699999999997</v>
      </c>
    </row>
    <row r="35" spans="1:57" ht="12.75">
      <c r="A35" s="11" t="s">
        <v>50</v>
      </c>
      <c r="B35" s="104">
        <v>4452.76</v>
      </c>
      <c r="C35" s="131">
        <f t="shared" si="21"/>
        <v>38516.374</v>
      </c>
      <c r="D35" s="130">
        <f t="shared" si="22"/>
        <v>3747.9040000000045</v>
      </c>
      <c r="E35" s="107">
        <v>3381.21</v>
      </c>
      <c r="F35" s="107">
        <v>632.22</v>
      </c>
      <c r="G35" s="107">
        <v>4578.57</v>
      </c>
      <c r="H35" s="107">
        <v>856.96</v>
      </c>
      <c r="I35" s="107">
        <v>11002.91</v>
      </c>
      <c r="J35" s="107">
        <v>2058.19</v>
      </c>
      <c r="K35" s="107">
        <v>7621.67</v>
      </c>
      <c r="L35" s="107">
        <v>1425.99</v>
      </c>
      <c r="M35" s="107">
        <v>2704.98</v>
      </c>
      <c r="N35" s="107">
        <v>505.77</v>
      </c>
      <c r="O35" s="107">
        <v>0</v>
      </c>
      <c r="P35" s="114">
        <v>0</v>
      </c>
      <c r="Q35" s="107">
        <v>0</v>
      </c>
      <c r="R35" s="114">
        <v>0</v>
      </c>
      <c r="S35" s="91">
        <f t="shared" si="23"/>
        <v>29289.34</v>
      </c>
      <c r="T35" s="108">
        <f t="shared" si="24"/>
        <v>5479.13</v>
      </c>
      <c r="U35" s="91">
        <v>2809.61</v>
      </c>
      <c r="V35" s="91">
        <v>3803.68</v>
      </c>
      <c r="W35" s="91">
        <v>9142.14</v>
      </c>
      <c r="X35" s="91">
        <v>6333.5</v>
      </c>
      <c r="Y35" s="91">
        <v>2234.33</v>
      </c>
      <c r="Z35" s="109">
        <v>0</v>
      </c>
      <c r="AA35" s="109">
        <v>0</v>
      </c>
      <c r="AB35" s="109">
        <f t="shared" si="39"/>
        <v>24323.260000000002</v>
      </c>
      <c r="AC35" s="113">
        <f t="shared" si="25"/>
        <v>33550.29400000001</v>
      </c>
      <c r="AD35" s="102">
        <f t="shared" si="26"/>
        <v>0</v>
      </c>
      <c r="AE35" s="102">
        <f t="shared" si="27"/>
        <v>0</v>
      </c>
      <c r="AF35" s="102">
        <f>'[6]Т04-10'!$I$49</f>
        <v>442.72774</v>
      </c>
      <c r="AG35" s="16">
        <f t="shared" si="28"/>
        <v>2671.656</v>
      </c>
      <c r="AH35" s="16">
        <f t="shared" si="29"/>
        <v>890.5520000000001</v>
      </c>
      <c r="AI35" s="16">
        <f t="shared" si="30"/>
        <v>4452.76</v>
      </c>
      <c r="AJ35" s="16">
        <v>0</v>
      </c>
      <c r="AK35" s="16">
        <f t="shared" si="31"/>
        <v>4363.7048</v>
      </c>
      <c r="AL35" s="16">
        <v>0</v>
      </c>
      <c r="AM35" s="16">
        <f t="shared" si="32"/>
        <v>10018.710000000001</v>
      </c>
      <c r="AN35" s="16">
        <v>0</v>
      </c>
      <c r="AO35" s="16"/>
      <c r="AP35" s="16"/>
      <c r="AQ35" s="117"/>
      <c r="AR35" s="117"/>
      <c r="AS35" s="97">
        <v>9123</v>
      </c>
      <c r="AT35" s="97">
        <f>72137.78+766.27</f>
        <v>72904.05</v>
      </c>
      <c r="AU35" s="97">
        <f t="shared" si="33"/>
        <v>13122.729</v>
      </c>
      <c r="AV35" s="118">
        <v>233</v>
      </c>
      <c r="AW35" s="134">
        <v>2.25</v>
      </c>
      <c r="AX35" s="16">
        <f t="shared" si="34"/>
        <v>733.9499999999999</v>
      </c>
      <c r="AY35" s="121"/>
      <c r="AZ35" s="122"/>
      <c r="BA35" s="122">
        <f t="shared" si="35"/>
        <v>0</v>
      </c>
      <c r="BB35" s="122">
        <f t="shared" si="36"/>
        <v>118281.1118</v>
      </c>
      <c r="BC35" s="132">
        <f>'[6]Т06-10'!$M$49</f>
        <v>210.76899999999998</v>
      </c>
      <c r="BD35" s="14">
        <f t="shared" si="37"/>
        <v>-84498.85905999999</v>
      </c>
      <c r="BE35" s="30">
        <f t="shared" si="38"/>
        <v>-4966.079999999998</v>
      </c>
    </row>
    <row r="36" spans="1:57" ht="12.75">
      <c r="A36" s="11" t="s">
        <v>51</v>
      </c>
      <c r="B36" s="104">
        <v>4452.76</v>
      </c>
      <c r="C36" s="131">
        <f t="shared" si="21"/>
        <v>38516.374</v>
      </c>
      <c r="D36" s="130">
        <f t="shared" si="22"/>
        <v>3733.0539999999996</v>
      </c>
      <c r="E36" s="136">
        <v>4015.19</v>
      </c>
      <c r="F36" s="107">
        <v>0</v>
      </c>
      <c r="G36" s="107">
        <v>5437.79</v>
      </c>
      <c r="H36" s="107">
        <v>0</v>
      </c>
      <c r="I36" s="107">
        <v>13066.69</v>
      </c>
      <c r="J36" s="107">
        <v>0</v>
      </c>
      <c r="K36" s="107">
        <v>9051.51</v>
      </c>
      <c r="L36" s="107">
        <v>0</v>
      </c>
      <c r="M36" s="107">
        <v>3212.14</v>
      </c>
      <c r="N36" s="107">
        <v>0</v>
      </c>
      <c r="O36" s="107">
        <v>0</v>
      </c>
      <c r="P36" s="114">
        <v>0</v>
      </c>
      <c r="Q36" s="114"/>
      <c r="R36" s="114"/>
      <c r="S36" s="91">
        <f t="shared" si="23"/>
        <v>34783.32</v>
      </c>
      <c r="T36" s="108">
        <f t="shared" si="24"/>
        <v>0</v>
      </c>
      <c r="U36" s="93">
        <v>3500.03</v>
      </c>
      <c r="V36" s="91">
        <v>4738.98</v>
      </c>
      <c r="W36" s="91">
        <v>11389.7</v>
      </c>
      <c r="X36" s="91">
        <v>7890.05</v>
      </c>
      <c r="Y36" s="91">
        <v>2800.09</v>
      </c>
      <c r="Z36" s="109">
        <v>0</v>
      </c>
      <c r="AA36" s="109">
        <v>0</v>
      </c>
      <c r="AB36" s="109">
        <f t="shared" si="39"/>
        <v>30318.85</v>
      </c>
      <c r="AC36" s="113">
        <f t="shared" si="25"/>
        <v>34051.903999999995</v>
      </c>
      <c r="AD36" s="102">
        <f t="shared" si="26"/>
        <v>0</v>
      </c>
      <c r="AE36" s="102">
        <f t="shared" si="27"/>
        <v>0</v>
      </c>
      <c r="AF36" s="102">
        <f>'[7]Т07-10'!$I$49</f>
        <v>442.71774</v>
      </c>
      <c r="AG36" s="16">
        <f t="shared" si="28"/>
        <v>2671.656</v>
      </c>
      <c r="AH36" s="16">
        <f t="shared" si="29"/>
        <v>890.5520000000001</v>
      </c>
      <c r="AI36" s="16">
        <f t="shared" si="30"/>
        <v>4452.76</v>
      </c>
      <c r="AJ36" s="16">
        <v>0</v>
      </c>
      <c r="AK36" s="16">
        <f t="shared" si="31"/>
        <v>4363.7048</v>
      </c>
      <c r="AL36" s="16">
        <v>0</v>
      </c>
      <c r="AM36" s="16">
        <f t="shared" si="32"/>
        <v>10018.710000000001</v>
      </c>
      <c r="AN36" s="16">
        <v>0</v>
      </c>
      <c r="AO36" s="16"/>
      <c r="AP36" s="16"/>
      <c r="AQ36" s="117"/>
      <c r="AR36" s="117"/>
      <c r="AS36" s="97"/>
      <c r="AT36" s="97">
        <f>636+277.79</f>
        <v>913.79</v>
      </c>
      <c r="AU36" s="97">
        <f t="shared" si="33"/>
        <v>164.48219999999998</v>
      </c>
      <c r="AV36" s="118">
        <v>248</v>
      </c>
      <c r="AW36" s="134">
        <v>2.25</v>
      </c>
      <c r="AX36" s="16">
        <f t="shared" si="34"/>
        <v>781.1999999999999</v>
      </c>
      <c r="AY36" s="121"/>
      <c r="AZ36" s="122"/>
      <c r="BA36" s="122">
        <f t="shared" si="35"/>
        <v>0</v>
      </c>
      <c r="BB36" s="122">
        <f t="shared" si="36"/>
        <v>24256.855</v>
      </c>
      <c r="BC36" s="132">
        <f>'[6]Т06-10'!$M$49</f>
        <v>210.76899999999998</v>
      </c>
      <c r="BD36" s="14">
        <f t="shared" si="37"/>
        <v>10026.997739999995</v>
      </c>
      <c r="BE36" s="30">
        <f t="shared" si="38"/>
        <v>-4464.470000000001</v>
      </c>
    </row>
    <row r="37" spans="1:57" ht="12.75">
      <c r="A37" s="11" t="s">
        <v>52</v>
      </c>
      <c r="B37" s="104">
        <v>4452.76</v>
      </c>
      <c r="C37" s="131">
        <f t="shared" si="21"/>
        <v>38516.374</v>
      </c>
      <c r="D37" s="130">
        <f t="shared" si="22"/>
        <v>3728.1340000000023</v>
      </c>
      <c r="E37" s="136">
        <v>4015.78</v>
      </c>
      <c r="F37" s="107">
        <v>0</v>
      </c>
      <c r="G37" s="107">
        <v>5438.54</v>
      </c>
      <c r="H37" s="107">
        <v>0</v>
      </c>
      <c r="I37" s="107">
        <v>13068.54</v>
      </c>
      <c r="J37" s="107">
        <v>0</v>
      </c>
      <c r="K37" s="107">
        <v>9052.78</v>
      </c>
      <c r="L37" s="107">
        <v>0</v>
      </c>
      <c r="M37" s="107">
        <v>3212.6</v>
      </c>
      <c r="N37" s="107">
        <v>0</v>
      </c>
      <c r="O37" s="107">
        <v>0</v>
      </c>
      <c r="P37" s="114">
        <v>0</v>
      </c>
      <c r="Q37" s="114"/>
      <c r="R37" s="114"/>
      <c r="S37" s="91">
        <f t="shared" si="23"/>
        <v>34788.24</v>
      </c>
      <c r="T37" s="108">
        <f t="shared" si="24"/>
        <v>0</v>
      </c>
      <c r="U37" s="137">
        <v>4116.7</v>
      </c>
      <c r="V37" s="137">
        <v>5209.93</v>
      </c>
      <c r="W37" s="137">
        <v>13207.83</v>
      </c>
      <c r="X37" s="137">
        <v>8671.89</v>
      </c>
      <c r="Y37" s="137">
        <v>3090.78</v>
      </c>
      <c r="Z37" s="138">
        <v>0</v>
      </c>
      <c r="AA37" s="138">
        <v>0</v>
      </c>
      <c r="AB37" s="109">
        <f t="shared" si="39"/>
        <v>34297.13</v>
      </c>
      <c r="AC37" s="113">
        <f t="shared" si="25"/>
        <v>38025.264</v>
      </c>
      <c r="AD37" s="102">
        <f t="shared" si="26"/>
        <v>0</v>
      </c>
      <c r="AE37" s="102">
        <f t="shared" si="27"/>
        <v>0</v>
      </c>
      <c r="AF37" s="102">
        <f>'[7]Т08-10 '!$I$49</f>
        <v>442.71774</v>
      </c>
      <c r="AG37" s="16">
        <f t="shared" si="28"/>
        <v>2671.656</v>
      </c>
      <c r="AH37" s="16">
        <f t="shared" si="29"/>
        <v>890.5520000000001</v>
      </c>
      <c r="AI37" s="16">
        <f t="shared" si="30"/>
        <v>4452.76</v>
      </c>
      <c r="AJ37" s="16">
        <v>0</v>
      </c>
      <c r="AK37" s="16">
        <f t="shared" si="31"/>
        <v>4363.7048</v>
      </c>
      <c r="AL37" s="16">
        <v>0</v>
      </c>
      <c r="AM37" s="16">
        <f t="shared" si="32"/>
        <v>10018.710000000001</v>
      </c>
      <c r="AN37" s="16">
        <v>0</v>
      </c>
      <c r="AO37" s="16"/>
      <c r="AP37" s="16"/>
      <c r="AQ37" s="117"/>
      <c r="AR37" s="117"/>
      <c r="AS37" s="97">
        <v>13475</v>
      </c>
      <c r="AT37" s="97">
        <f>9000+47.8+84+42+2234</f>
        <v>11407.8</v>
      </c>
      <c r="AU37" s="97">
        <f>(47.8+84+42+2234)*0.18</f>
        <v>433.404</v>
      </c>
      <c r="AV37" s="118">
        <v>293</v>
      </c>
      <c r="AW37" s="134">
        <v>2.25</v>
      </c>
      <c r="AX37" s="16">
        <f t="shared" si="34"/>
        <v>922.9499999999999</v>
      </c>
      <c r="AY37" s="121"/>
      <c r="AZ37" s="122"/>
      <c r="BA37" s="122">
        <f t="shared" si="35"/>
        <v>0</v>
      </c>
      <c r="BB37" s="122">
        <f t="shared" si="36"/>
        <v>48636.536799999994</v>
      </c>
      <c r="BC37" s="132">
        <f>'[6]Т06-10'!$M$49</f>
        <v>210.76899999999998</v>
      </c>
      <c r="BD37" s="14">
        <f t="shared" si="37"/>
        <v>-10379.324059999992</v>
      </c>
      <c r="BE37" s="30">
        <f t="shared" si="38"/>
        <v>-491.1100000000006</v>
      </c>
    </row>
    <row r="38" spans="1:57" ht="12.75">
      <c r="A38" s="11" t="s">
        <v>53</v>
      </c>
      <c r="B38" s="104">
        <v>4452.76</v>
      </c>
      <c r="C38" s="131">
        <f t="shared" si="21"/>
        <v>38516.374</v>
      </c>
      <c r="D38" s="130">
        <f t="shared" si="22"/>
        <v>3726.3839999999987</v>
      </c>
      <c r="E38" s="107">
        <v>4015.98</v>
      </c>
      <c r="F38" s="107">
        <v>0</v>
      </c>
      <c r="G38" s="107">
        <v>5438.81</v>
      </c>
      <c r="H38" s="107">
        <v>0</v>
      </c>
      <c r="I38" s="107">
        <v>13069.18</v>
      </c>
      <c r="J38" s="107">
        <v>0</v>
      </c>
      <c r="K38" s="107">
        <v>9053.24</v>
      </c>
      <c r="L38" s="107">
        <v>0</v>
      </c>
      <c r="M38" s="107">
        <v>3212.78</v>
      </c>
      <c r="N38" s="107">
        <v>0</v>
      </c>
      <c r="O38" s="107">
        <v>0</v>
      </c>
      <c r="P38" s="114">
        <v>0</v>
      </c>
      <c r="Q38" s="114"/>
      <c r="R38" s="114"/>
      <c r="S38" s="91">
        <f t="shared" si="23"/>
        <v>34789.99</v>
      </c>
      <c r="T38" s="108">
        <f t="shared" si="24"/>
        <v>0</v>
      </c>
      <c r="U38" s="91">
        <v>4457.31</v>
      </c>
      <c r="V38" s="91">
        <v>6036.18</v>
      </c>
      <c r="W38" s="91">
        <v>16754.18</v>
      </c>
      <c r="X38" s="91">
        <v>10047.59</v>
      </c>
      <c r="Y38" s="91">
        <v>3565.75</v>
      </c>
      <c r="Z38" s="109">
        <v>0</v>
      </c>
      <c r="AA38" s="109">
        <v>0</v>
      </c>
      <c r="AB38" s="109">
        <f t="shared" si="39"/>
        <v>40861.01</v>
      </c>
      <c r="AC38" s="113">
        <f t="shared" si="25"/>
        <v>44587.394</v>
      </c>
      <c r="AD38" s="102">
        <f t="shared" si="26"/>
        <v>0</v>
      </c>
      <c r="AE38" s="102">
        <f t="shared" si="27"/>
        <v>0</v>
      </c>
      <c r="AF38" s="102">
        <f>'[7]Т09-10'!$I$49</f>
        <v>442.71774</v>
      </c>
      <c r="AG38" s="16">
        <f t="shared" si="28"/>
        <v>2671.656</v>
      </c>
      <c r="AH38" s="16">
        <f t="shared" si="29"/>
        <v>890.5520000000001</v>
      </c>
      <c r="AI38" s="16">
        <f t="shared" si="30"/>
        <v>4452.76</v>
      </c>
      <c r="AJ38" s="16">
        <v>0</v>
      </c>
      <c r="AK38" s="16">
        <f t="shared" si="31"/>
        <v>4363.7048</v>
      </c>
      <c r="AL38" s="16">
        <v>0</v>
      </c>
      <c r="AM38" s="16">
        <f t="shared" si="32"/>
        <v>10018.710000000001</v>
      </c>
      <c r="AN38" s="16">
        <v>0</v>
      </c>
      <c r="AO38" s="16"/>
      <c r="AP38" s="16"/>
      <c r="AQ38" s="117"/>
      <c r="AR38" s="117"/>
      <c r="AS38" s="97">
        <v>8854</v>
      </c>
      <c r="AT38" s="97">
        <f>12617.77+5885</f>
        <v>18502.77</v>
      </c>
      <c r="AU38" s="139">
        <f>0*0.18</f>
        <v>0</v>
      </c>
      <c r="AV38" s="118">
        <v>349</v>
      </c>
      <c r="AW38" s="134">
        <v>2.25</v>
      </c>
      <c r="AX38" s="16">
        <f t="shared" si="34"/>
        <v>1099.35</v>
      </c>
      <c r="AY38" s="121"/>
      <c r="AZ38" s="122"/>
      <c r="BA38" s="122">
        <f t="shared" si="35"/>
        <v>0</v>
      </c>
      <c r="BB38" s="122">
        <f t="shared" si="36"/>
        <v>50853.502799999995</v>
      </c>
      <c r="BC38" s="132">
        <f>'[6]Т06-10'!$M$49</f>
        <v>210.76899999999998</v>
      </c>
      <c r="BD38" s="14">
        <f t="shared" si="37"/>
        <v>-6034.160059999995</v>
      </c>
      <c r="BE38" s="30">
        <f t="shared" si="38"/>
        <v>6071.020000000004</v>
      </c>
    </row>
    <row r="39" spans="1:57" ht="12.75">
      <c r="A39" s="11" t="s">
        <v>41</v>
      </c>
      <c r="B39" s="104">
        <v>4452.76</v>
      </c>
      <c r="C39" s="131">
        <f t="shared" si="21"/>
        <v>38516.374</v>
      </c>
      <c r="D39" s="130">
        <f t="shared" si="22"/>
        <v>3723.844000000005</v>
      </c>
      <c r="E39" s="126">
        <v>4016.28</v>
      </c>
      <c r="F39" s="126">
        <v>0</v>
      </c>
      <c r="G39" s="126">
        <v>5439.2</v>
      </c>
      <c r="H39" s="126">
        <v>0</v>
      </c>
      <c r="I39" s="126">
        <v>13070.14</v>
      </c>
      <c r="J39" s="126">
        <v>0</v>
      </c>
      <c r="K39" s="126">
        <v>9053.89</v>
      </c>
      <c r="L39" s="126">
        <v>0</v>
      </c>
      <c r="M39" s="126">
        <v>3213.02</v>
      </c>
      <c r="N39" s="126">
        <v>0</v>
      </c>
      <c r="O39" s="126">
        <v>0</v>
      </c>
      <c r="P39" s="127">
        <v>0</v>
      </c>
      <c r="Q39" s="127"/>
      <c r="R39" s="127"/>
      <c r="S39" s="91">
        <f t="shared" si="23"/>
        <v>34792.53</v>
      </c>
      <c r="T39" s="108">
        <f t="shared" si="24"/>
        <v>0</v>
      </c>
      <c r="U39" s="91">
        <v>4023.26</v>
      </c>
      <c r="V39" s="91">
        <v>5448.55</v>
      </c>
      <c r="W39" s="91">
        <v>13092.6</v>
      </c>
      <c r="X39" s="91">
        <v>9069.54</v>
      </c>
      <c r="Y39" s="91">
        <v>3218.64</v>
      </c>
      <c r="Z39" s="109">
        <v>0</v>
      </c>
      <c r="AA39" s="109">
        <v>0</v>
      </c>
      <c r="AB39" s="109">
        <f t="shared" si="39"/>
        <v>34852.590000000004</v>
      </c>
      <c r="AC39" s="113">
        <f t="shared" si="25"/>
        <v>38576.43400000001</v>
      </c>
      <c r="AD39" s="102">
        <f t="shared" si="26"/>
        <v>0</v>
      </c>
      <c r="AE39" s="102">
        <f t="shared" si="27"/>
        <v>0</v>
      </c>
      <c r="AF39" s="102">
        <f>'[7]Т10-10'!$I$49+150</f>
        <v>592.71774</v>
      </c>
      <c r="AG39" s="16">
        <f t="shared" si="28"/>
        <v>2671.656</v>
      </c>
      <c r="AH39" s="16">
        <f t="shared" si="29"/>
        <v>890.5520000000001</v>
      </c>
      <c r="AI39" s="16">
        <f t="shared" si="30"/>
        <v>4452.76</v>
      </c>
      <c r="AJ39" s="16">
        <v>0</v>
      </c>
      <c r="AK39" s="16">
        <f t="shared" si="31"/>
        <v>4363.7048</v>
      </c>
      <c r="AL39" s="16">
        <v>0</v>
      </c>
      <c r="AM39" s="16">
        <f t="shared" si="32"/>
        <v>10018.710000000001</v>
      </c>
      <c r="AN39" s="16">
        <v>0</v>
      </c>
      <c r="AO39" s="16"/>
      <c r="AP39" s="16"/>
      <c r="AQ39" s="117"/>
      <c r="AR39" s="117"/>
      <c r="AS39" s="97">
        <v>246</v>
      </c>
      <c r="AT39" s="97">
        <f>11999.06+4839.7</f>
        <v>16838.76</v>
      </c>
      <c r="AU39" s="97">
        <f>4839.7*0.18</f>
        <v>871.146</v>
      </c>
      <c r="AV39" s="118">
        <v>425</v>
      </c>
      <c r="AW39" s="134">
        <v>2.25</v>
      </c>
      <c r="AX39" s="16">
        <f>AV39*AW39*1.4</f>
        <v>1338.75</v>
      </c>
      <c r="AY39" s="121"/>
      <c r="AZ39" s="122"/>
      <c r="BA39" s="122">
        <f t="shared" si="35"/>
        <v>0</v>
      </c>
      <c r="BB39" s="122">
        <f>SUM(AG39:BA39)-AV39-AW39</f>
        <v>41692.0388</v>
      </c>
      <c r="BC39" s="132">
        <f>'[7]Т10-10'!$M$49+37.5</f>
        <v>248.26899999999998</v>
      </c>
      <c r="BD39" s="14">
        <f t="shared" si="37"/>
        <v>-2771.1560599999934</v>
      </c>
      <c r="BE39" s="30">
        <f t="shared" si="38"/>
        <v>60.06000000000495</v>
      </c>
    </row>
    <row r="40" spans="1:57" ht="12.75">
      <c r="A40" s="11" t="s">
        <v>42</v>
      </c>
      <c r="B40" s="104">
        <v>4452.76</v>
      </c>
      <c r="C40" s="131">
        <f t="shared" si="21"/>
        <v>38516.374</v>
      </c>
      <c r="D40" s="130">
        <f t="shared" si="22"/>
        <v>3723.7640000000056</v>
      </c>
      <c r="E40" s="107">
        <v>4016.28</v>
      </c>
      <c r="F40" s="107">
        <v>0</v>
      </c>
      <c r="G40" s="107">
        <v>5439.21</v>
      </c>
      <c r="H40" s="107">
        <v>0</v>
      </c>
      <c r="I40" s="107">
        <v>13070.18</v>
      </c>
      <c r="J40" s="107">
        <v>0</v>
      </c>
      <c r="K40" s="107">
        <v>9053.9</v>
      </c>
      <c r="L40" s="107">
        <v>0</v>
      </c>
      <c r="M40" s="107">
        <v>3213.04</v>
      </c>
      <c r="N40" s="107">
        <v>0</v>
      </c>
      <c r="O40" s="107">
        <v>0</v>
      </c>
      <c r="P40" s="114">
        <v>0</v>
      </c>
      <c r="Q40" s="114"/>
      <c r="R40" s="114"/>
      <c r="S40" s="91">
        <f t="shared" si="23"/>
        <v>34792.61</v>
      </c>
      <c r="T40" s="108">
        <f t="shared" si="24"/>
        <v>0</v>
      </c>
      <c r="U40" s="93">
        <v>4130.19</v>
      </c>
      <c r="V40" s="91">
        <v>5593.6</v>
      </c>
      <c r="W40" s="91">
        <v>13440.35</v>
      </c>
      <c r="X40" s="91">
        <v>9310.8</v>
      </c>
      <c r="Y40" s="91">
        <v>3304.05</v>
      </c>
      <c r="Z40" s="109">
        <v>0</v>
      </c>
      <c r="AA40" s="109">
        <v>0</v>
      </c>
      <c r="AB40" s="109">
        <f t="shared" si="39"/>
        <v>35778.99</v>
      </c>
      <c r="AC40" s="113">
        <f t="shared" si="25"/>
        <v>39502.754</v>
      </c>
      <c r="AD40" s="102">
        <f t="shared" si="26"/>
        <v>0</v>
      </c>
      <c r="AE40" s="102">
        <f t="shared" si="27"/>
        <v>0</v>
      </c>
      <c r="AF40" s="102">
        <f>'[7]Т10-10'!$I$49+150</f>
        <v>592.71774</v>
      </c>
      <c r="AG40" s="16">
        <f t="shared" si="28"/>
        <v>2671.656</v>
      </c>
      <c r="AH40" s="16">
        <f t="shared" si="29"/>
        <v>890.5520000000001</v>
      </c>
      <c r="AI40" s="16">
        <f t="shared" si="30"/>
        <v>4452.76</v>
      </c>
      <c r="AJ40" s="16">
        <v>0</v>
      </c>
      <c r="AK40" s="16">
        <f t="shared" si="31"/>
        <v>4363.7048</v>
      </c>
      <c r="AL40" s="16">
        <v>0</v>
      </c>
      <c r="AM40" s="16">
        <f t="shared" si="32"/>
        <v>10018.710000000001</v>
      </c>
      <c r="AN40" s="16">
        <v>0</v>
      </c>
      <c r="AO40" s="16"/>
      <c r="AP40" s="16"/>
      <c r="AQ40" s="117"/>
      <c r="AR40" s="117"/>
      <c r="AS40" s="97">
        <v>9998</v>
      </c>
      <c r="AT40" s="97">
        <f>909</f>
        <v>909</v>
      </c>
      <c r="AU40" s="97">
        <f>0*0.18</f>
        <v>0</v>
      </c>
      <c r="AV40" s="118">
        <v>470</v>
      </c>
      <c r="AW40" s="134">
        <v>2.25</v>
      </c>
      <c r="AX40" s="16">
        <f>AV40*AW40*1.4</f>
        <v>1480.5</v>
      </c>
      <c r="AY40" s="121"/>
      <c r="AZ40" s="122"/>
      <c r="BA40" s="122">
        <f t="shared" si="35"/>
        <v>0</v>
      </c>
      <c r="BB40" s="122">
        <f t="shared" si="36"/>
        <v>34784.8828</v>
      </c>
      <c r="BC40" s="132">
        <f>'[7]Т10-10'!$M$49+37.5</f>
        <v>248.26899999999998</v>
      </c>
      <c r="BD40" s="14">
        <f t="shared" si="37"/>
        <v>5062.319940000001</v>
      </c>
      <c r="BE40" s="30">
        <f t="shared" si="38"/>
        <v>986.3799999999974</v>
      </c>
    </row>
    <row r="41" spans="1:57" ht="12.75">
      <c r="A41" s="11" t="s">
        <v>43</v>
      </c>
      <c r="B41" s="104">
        <v>4452.76</v>
      </c>
      <c r="C41" s="131">
        <f t="shared" si="21"/>
        <v>38516.374</v>
      </c>
      <c r="D41" s="130">
        <f t="shared" si="22"/>
        <v>3708.384000000005</v>
      </c>
      <c r="E41" s="107">
        <v>4018.11</v>
      </c>
      <c r="F41" s="107">
        <v>0</v>
      </c>
      <c r="G41" s="107">
        <v>5441.55</v>
      </c>
      <c r="H41" s="107">
        <v>0</v>
      </c>
      <c r="I41" s="107">
        <v>13075.97</v>
      </c>
      <c r="J41" s="107">
        <v>0</v>
      </c>
      <c r="K41" s="107">
        <v>9057.89</v>
      </c>
      <c r="L41" s="107">
        <v>0</v>
      </c>
      <c r="M41" s="107">
        <v>3214.47</v>
      </c>
      <c r="N41" s="107">
        <v>0</v>
      </c>
      <c r="O41" s="107">
        <v>0</v>
      </c>
      <c r="P41" s="114">
        <v>0</v>
      </c>
      <c r="Q41" s="114"/>
      <c r="R41" s="114"/>
      <c r="S41" s="91">
        <f t="shared" si="23"/>
        <v>34807.99</v>
      </c>
      <c r="T41" s="108">
        <f t="shared" si="24"/>
        <v>0</v>
      </c>
      <c r="U41" s="91">
        <v>4462.79</v>
      </c>
      <c r="V41" s="91">
        <v>6044.52</v>
      </c>
      <c r="W41" s="91">
        <v>16523.73</v>
      </c>
      <c r="X41" s="91">
        <v>10061.24</v>
      </c>
      <c r="Y41" s="91">
        <v>3570.3</v>
      </c>
      <c r="Z41" s="109">
        <v>0</v>
      </c>
      <c r="AA41" s="109">
        <v>0</v>
      </c>
      <c r="AB41" s="109">
        <f t="shared" si="39"/>
        <v>40662.58</v>
      </c>
      <c r="AC41" s="113">
        <f t="shared" si="25"/>
        <v>44370.96400000001</v>
      </c>
      <c r="AD41" s="102">
        <f t="shared" si="26"/>
        <v>0</v>
      </c>
      <c r="AE41" s="102">
        <f t="shared" si="27"/>
        <v>0</v>
      </c>
      <c r="AF41" s="102">
        <f>'[7]Т10-10'!$I$49+150</f>
        <v>592.71774</v>
      </c>
      <c r="AG41" s="16">
        <f t="shared" si="28"/>
        <v>2671.656</v>
      </c>
      <c r="AH41" s="16">
        <f t="shared" si="29"/>
        <v>890.5520000000001</v>
      </c>
      <c r="AI41" s="16">
        <f t="shared" si="30"/>
        <v>4452.76</v>
      </c>
      <c r="AJ41" s="16">
        <v>0</v>
      </c>
      <c r="AK41" s="16">
        <f t="shared" si="31"/>
        <v>4363.7048</v>
      </c>
      <c r="AL41" s="16">
        <v>0</v>
      </c>
      <c r="AM41" s="16">
        <f t="shared" si="32"/>
        <v>10018.710000000001</v>
      </c>
      <c r="AN41" s="16">
        <v>0</v>
      </c>
      <c r="AO41" s="16"/>
      <c r="AP41" s="16"/>
      <c r="AQ41" s="117"/>
      <c r="AR41" s="117"/>
      <c r="AS41" s="97">
        <v>13613</v>
      </c>
      <c r="AT41" s="97">
        <f>1435.59</f>
        <v>1435.59</v>
      </c>
      <c r="AU41" s="97">
        <f>1435.59*0.18</f>
        <v>258.40619999999996</v>
      </c>
      <c r="AV41" s="118">
        <v>514</v>
      </c>
      <c r="AW41" s="134">
        <v>2.25</v>
      </c>
      <c r="AX41" s="16">
        <f>AV41*AW41*1.4</f>
        <v>1619.1</v>
      </c>
      <c r="AY41" s="121"/>
      <c r="AZ41" s="122"/>
      <c r="BA41" s="122">
        <f t="shared" si="35"/>
        <v>0</v>
      </c>
      <c r="BB41" s="122">
        <f t="shared" si="36"/>
        <v>39323.47899999999</v>
      </c>
      <c r="BC41" s="132">
        <f>'[7]Т10-10'!$M$49+37.5</f>
        <v>248.26899999999998</v>
      </c>
      <c r="BD41" s="14">
        <f t="shared" si="37"/>
        <v>5391.933740000015</v>
      </c>
      <c r="BE41" s="30">
        <f t="shared" si="38"/>
        <v>5854.590000000004</v>
      </c>
    </row>
    <row r="42" spans="1:57" s="20" customFormat="1" ht="12.75">
      <c r="A42" s="17" t="s">
        <v>5</v>
      </c>
      <c r="B42" s="60"/>
      <c r="C42" s="60">
        <f aca="true" t="shared" si="40" ref="C42:AU42">SUM(C30:C41)</f>
        <v>462172.9600000001</v>
      </c>
      <c r="D42" s="60">
        <f t="shared" si="40"/>
        <v>44810.79000000004</v>
      </c>
      <c r="E42" s="57">
        <f t="shared" si="40"/>
        <v>44376.31</v>
      </c>
      <c r="F42" s="57">
        <f t="shared" si="40"/>
        <v>3803.5699999999997</v>
      </c>
      <c r="G42" s="57">
        <f t="shared" si="40"/>
        <v>60094.60999999999</v>
      </c>
      <c r="H42" s="57">
        <f t="shared" si="40"/>
        <v>5155.67</v>
      </c>
      <c r="I42" s="57">
        <f t="shared" si="40"/>
        <v>144401.19</v>
      </c>
      <c r="J42" s="57">
        <f t="shared" si="40"/>
        <v>12382.539999999999</v>
      </c>
      <c r="K42" s="57">
        <f t="shared" si="40"/>
        <v>100027.67</v>
      </c>
      <c r="L42" s="57">
        <f t="shared" si="40"/>
        <v>8579.09</v>
      </c>
      <c r="M42" s="57">
        <f t="shared" si="40"/>
        <v>35498.689999999995</v>
      </c>
      <c r="N42" s="57">
        <f t="shared" si="40"/>
        <v>3042.83</v>
      </c>
      <c r="O42" s="57">
        <f t="shared" si="40"/>
        <v>0</v>
      </c>
      <c r="P42" s="57">
        <f t="shared" si="40"/>
        <v>0</v>
      </c>
      <c r="Q42" s="57">
        <f t="shared" si="40"/>
        <v>0</v>
      </c>
      <c r="R42" s="57">
        <f t="shared" si="40"/>
        <v>0</v>
      </c>
      <c r="S42" s="57">
        <f t="shared" si="40"/>
        <v>384398.47</v>
      </c>
      <c r="T42" s="57">
        <f t="shared" si="40"/>
        <v>32963.7</v>
      </c>
      <c r="U42" s="61">
        <f t="shared" si="40"/>
        <v>42209.97</v>
      </c>
      <c r="V42" s="61">
        <f t="shared" si="40"/>
        <v>56787.31000000001</v>
      </c>
      <c r="W42" s="61">
        <f t="shared" si="40"/>
        <v>141341.84000000003</v>
      </c>
      <c r="X42" s="61">
        <f t="shared" si="40"/>
        <v>94524.05000000002</v>
      </c>
      <c r="Y42" s="61">
        <f t="shared" si="40"/>
        <v>33549.99</v>
      </c>
      <c r="Z42" s="61">
        <f t="shared" si="40"/>
        <v>0</v>
      </c>
      <c r="AA42" s="61">
        <f t="shared" si="40"/>
        <v>0</v>
      </c>
      <c r="AB42" s="61">
        <f t="shared" si="40"/>
        <v>368413.16000000003</v>
      </c>
      <c r="AC42" s="61">
        <f t="shared" si="40"/>
        <v>446187.65</v>
      </c>
      <c r="AD42" s="61">
        <f t="shared" si="40"/>
        <v>0</v>
      </c>
      <c r="AE42" s="100">
        <f t="shared" si="40"/>
        <v>0</v>
      </c>
      <c r="AF42" s="100">
        <f t="shared" si="40"/>
        <v>5762.67288</v>
      </c>
      <c r="AG42" s="18">
        <f t="shared" si="40"/>
        <v>32058.239999999994</v>
      </c>
      <c r="AH42" s="18">
        <f t="shared" si="40"/>
        <v>10686.079999999998</v>
      </c>
      <c r="AI42" s="18">
        <f t="shared" si="40"/>
        <v>53430.400000000016</v>
      </c>
      <c r="AJ42" s="18">
        <f t="shared" si="40"/>
        <v>0</v>
      </c>
      <c r="AK42" s="18">
        <f t="shared" si="40"/>
        <v>52361.791999999994</v>
      </c>
      <c r="AL42" s="18">
        <f t="shared" si="40"/>
        <v>0</v>
      </c>
      <c r="AM42" s="18">
        <f t="shared" si="40"/>
        <v>120218.40000000004</v>
      </c>
      <c r="AN42" s="18">
        <f t="shared" si="40"/>
        <v>0</v>
      </c>
      <c r="AO42" s="18">
        <f t="shared" si="40"/>
        <v>5517.72</v>
      </c>
      <c r="AP42" s="18">
        <f t="shared" si="40"/>
        <v>0</v>
      </c>
      <c r="AQ42" s="18">
        <f t="shared" si="40"/>
        <v>0</v>
      </c>
      <c r="AR42" s="18">
        <f t="shared" si="40"/>
        <v>0</v>
      </c>
      <c r="AS42" s="18">
        <f t="shared" si="40"/>
        <v>79632</v>
      </c>
      <c r="AT42" s="18">
        <f t="shared" si="40"/>
        <v>122911.76</v>
      </c>
      <c r="AU42" s="18">
        <f t="shared" si="40"/>
        <v>14850.1674</v>
      </c>
      <c r="AV42" s="18"/>
      <c r="AW42" s="18"/>
      <c r="AX42" s="18">
        <f aca="true" t="shared" si="41" ref="AX42:BE42">SUM(AX30:AX41)</f>
        <v>13860</v>
      </c>
      <c r="AY42" s="18">
        <f t="shared" si="41"/>
        <v>0</v>
      </c>
      <c r="AZ42" s="18">
        <f t="shared" si="41"/>
        <v>0</v>
      </c>
      <c r="BA42" s="18">
        <f t="shared" si="41"/>
        <v>0</v>
      </c>
      <c r="BB42" s="18">
        <f t="shared" si="41"/>
        <v>505526.5594</v>
      </c>
      <c r="BC42" s="18">
        <f t="shared" si="41"/>
        <v>2641.727999999999</v>
      </c>
      <c r="BD42" s="18">
        <f t="shared" si="41"/>
        <v>-56217.96451999993</v>
      </c>
      <c r="BE42" s="19">
        <f t="shared" si="41"/>
        <v>-15985.30999999999</v>
      </c>
    </row>
    <row r="43" spans="1:57" ht="12.75">
      <c r="A43" s="11"/>
      <c r="B43" s="12"/>
      <c r="C43" s="13"/>
      <c r="D43" s="13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52"/>
      <c r="V43" s="52"/>
      <c r="W43" s="52"/>
      <c r="X43" s="52"/>
      <c r="Y43" s="52"/>
      <c r="Z43" s="52"/>
      <c r="AA43" s="52"/>
      <c r="AB43" s="52"/>
      <c r="AC43" s="101"/>
      <c r="AD43" s="101"/>
      <c r="AE43" s="102"/>
      <c r="AF43" s="102"/>
      <c r="AG43" s="16"/>
      <c r="AH43" s="16"/>
      <c r="AI43" s="16"/>
      <c r="AJ43" s="16"/>
      <c r="AK43" s="16"/>
      <c r="AL43" s="16"/>
      <c r="AM43" s="16"/>
      <c r="AN43" s="16"/>
      <c r="AO43" s="15"/>
      <c r="AP43" s="15"/>
      <c r="AQ43" s="15"/>
      <c r="AR43" s="15"/>
      <c r="AS43" s="96"/>
      <c r="AT43" s="96"/>
      <c r="AU43" s="97"/>
      <c r="AV43" s="97"/>
      <c r="AW43" s="97"/>
      <c r="AX43" s="21"/>
      <c r="AY43" s="15"/>
      <c r="AZ43" s="15"/>
      <c r="BA43" s="16"/>
      <c r="BB43" s="16"/>
      <c r="BC43" s="16"/>
      <c r="BD43" s="16"/>
      <c r="BE43" s="10"/>
    </row>
    <row r="44" spans="1:57" s="20" customFormat="1" ht="13.5" thickBot="1">
      <c r="A44" s="22" t="s">
        <v>54</v>
      </c>
      <c r="B44" s="23"/>
      <c r="C44" s="23">
        <f aca="true" t="shared" si="42" ref="C44:N44">C28+C42</f>
        <v>1040039.6699999999</v>
      </c>
      <c r="D44" s="23">
        <f t="shared" si="42"/>
        <v>124140.96168175005</v>
      </c>
      <c r="E44" s="50">
        <f t="shared" si="42"/>
        <v>92513.37999999999</v>
      </c>
      <c r="F44" s="50">
        <f t="shared" si="42"/>
        <v>12850.82</v>
      </c>
      <c r="G44" s="50">
        <f t="shared" si="42"/>
        <v>125216.91999999998</v>
      </c>
      <c r="H44" s="50">
        <f t="shared" si="42"/>
        <v>17397.019999999997</v>
      </c>
      <c r="I44" s="50">
        <f t="shared" si="42"/>
        <v>300701.87</v>
      </c>
      <c r="J44" s="50">
        <f t="shared" si="42"/>
        <v>42122.85999999999</v>
      </c>
      <c r="K44" s="50">
        <f t="shared" si="42"/>
        <v>208475.49</v>
      </c>
      <c r="L44" s="50">
        <f t="shared" si="42"/>
        <v>28962.94</v>
      </c>
      <c r="M44" s="50">
        <f t="shared" si="42"/>
        <v>74031.17</v>
      </c>
      <c r="N44" s="50">
        <f t="shared" si="42"/>
        <v>10280.599999999999</v>
      </c>
      <c r="O44" s="50">
        <f aca="true" t="shared" si="43" ref="O44:AD44">O28+O42</f>
        <v>0</v>
      </c>
      <c r="P44" s="50">
        <f t="shared" si="43"/>
        <v>0</v>
      </c>
      <c r="Q44" s="50">
        <f t="shared" si="43"/>
        <v>0</v>
      </c>
      <c r="R44" s="50">
        <f t="shared" si="43"/>
        <v>0</v>
      </c>
      <c r="S44" s="50">
        <f t="shared" si="43"/>
        <v>800938.83</v>
      </c>
      <c r="T44" s="50">
        <f t="shared" si="43"/>
        <v>111614.23999999999</v>
      </c>
      <c r="U44" s="53">
        <f t="shared" si="43"/>
        <v>85738.54000000001</v>
      </c>
      <c r="V44" s="53">
        <f t="shared" si="43"/>
        <v>115671.18000000002</v>
      </c>
      <c r="W44" s="53">
        <f t="shared" si="43"/>
        <v>282663.02</v>
      </c>
      <c r="X44" s="53">
        <f t="shared" si="43"/>
        <v>192585.49000000002</v>
      </c>
      <c r="Y44" s="53">
        <f t="shared" si="43"/>
        <v>68395.79999999999</v>
      </c>
      <c r="Z44" s="53">
        <f t="shared" si="43"/>
        <v>0</v>
      </c>
      <c r="AA44" s="53">
        <f t="shared" si="43"/>
        <v>0</v>
      </c>
      <c r="AB44" s="53">
        <f t="shared" si="43"/>
        <v>745054.03</v>
      </c>
      <c r="AC44" s="53">
        <f t="shared" si="43"/>
        <v>980809.2316817499</v>
      </c>
      <c r="AD44" s="53">
        <f t="shared" si="43"/>
        <v>0</v>
      </c>
      <c r="AE44" s="53">
        <f>AE28+AE42</f>
        <v>0</v>
      </c>
      <c r="AF44" s="53">
        <f aca="true" t="shared" si="44" ref="AF44:AU44">AF28+AF42</f>
        <v>8419.03932</v>
      </c>
      <c r="AG44" s="23">
        <f t="shared" si="44"/>
        <v>71072.31</v>
      </c>
      <c r="AH44" s="23">
        <f t="shared" si="44"/>
        <v>23815.0854552</v>
      </c>
      <c r="AI44" s="23">
        <f t="shared" si="44"/>
        <v>108131.82780112</v>
      </c>
      <c r="AJ44" s="23">
        <f t="shared" si="44"/>
        <v>9846.2570042016</v>
      </c>
      <c r="AK44" s="23">
        <f t="shared" si="44"/>
        <v>107715.414010384</v>
      </c>
      <c r="AL44" s="23">
        <f t="shared" si="44"/>
        <v>9963.65196186912</v>
      </c>
      <c r="AM44" s="23">
        <f t="shared" si="44"/>
        <v>241434.03390045837</v>
      </c>
      <c r="AN44" s="23">
        <f t="shared" si="44"/>
        <v>21818.8141020825</v>
      </c>
      <c r="AO44" s="23">
        <f t="shared" si="44"/>
        <v>5517.72</v>
      </c>
      <c r="AP44" s="23">
        <f t="shared" si="44"/>
        <v>0</v>
      </c>
      <c r="AQ44" s="23">
        <f t="shared" si="44"/>
        <v>21908.813000000002</v>
      </c>
      <c r="AR44" s="23">
        <f t="shared" si="44"/>
        <v>3943.5863400000003</v>
      </c>
      <c r="AS44" s="23">
        <f t="shared" si="44"/>
        <v>209778.40000000002</v>
      </c>
      <c r="AT44" s="23">
        <f t="shared" si="44"/>
        <v>138511.76</v>
      </c>
      <c r="AU44" s="23">
        <f t="shared" si="44"/>
        <v>41084.5194</v>
      </c>
      <c r="AV44" s="23"/>
      <c r="AW44" s="23"/>
      <c r="AX44" s="23">
        <f aca="true" t="shared" si="45" ref="AX44:BC44">AX28+AX42</f>
        <v>26943.84</v>
      </c>
      <c r="AY44" s="23">
        <f t="shared" si="45"/>
        <v>0</v>
      </c>
      <c r="AZ44" s="23">
        <f t="shared" si="45"/>
        <v>0</v>
      </c>
      <c r="BA44" s="23">
        <f t="shared" si="45"/>
        <v>0</v>
      </c>
      <c r="BB44" s="23">
        <f t="shared" si="45"/>
        <v>1041486.0329753155</v>
      </c>
      <c r="BC44" s="23">
        <f t="shared" si="45"/>
        <v>3901.924819282599</v>
      </c>
      <c r="BD44" s="23">
        <f>BD28+BD42</f>
        <v>-56159.686792848064</v>
      </c>
      <c r="BE44" s="24">
        <f>BE28+BE42</f>
        <v>-55884.799999999996</v>
      </c>
    </row>
  </sheetData>
  <sheetProtection/>
  <mergeCells count="67"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BE3:BE6"/>
    <mergeCell ref="AH5:AH6"/>
    <mergeCell ref="AI5:AI6"/>
    <mergeCell ref="AJ5:AJ6"/>
    <mergeCell ref="AK5:AK6"/>
    <mergeCell ref="AL5:AL6"/>
    <mergeCell ref="AM5:AM6"/>
    <mergeCell ref="AP5:AP6"/>
    <mergeCell ref="AS5:AS6"/>
    <mergeCell ref="BC3:BC6"/>
    <mergeCell ref="K5:K6"/>
    <mergeCell ref="BD3:BD6"/>
    <mergeCell ref="S3:T4"/>
    <mergeCell ref="U3:AB4"/>
    <mergeCell ref="AC3:AC6"/>
    <mergeCell ref="AE3:AE6"/>
    <mergeCell ref="T5:T6"/>
    <mergeCell ref="U5:U6"/>
    <mergeCell ref="M4:N4"/>
    <mergeCell ref="O4:P4"/>
    <mergeCell ref="Q4:R4"/>
    <mergeCell ref="R5:R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  <mergeCell ref="P5:P6"/>
    <mergeCell ref="Q5:Q6"/>
    <mergeCell ref="BB5:BB6"/>
    <mergeCell ref="AU5:AU6"/>
    <mergeCell ref="AG5:AG6"/>
    <mergeCell ref="AF3:AF6"/>
    <mergeCell ref="AG3:BB4"/>
    <mergeCell ref="AN5:AN6"/>
    <mergeCell ref="AO5:AO6"/>
    <mergeCell ref="AY5:AY6"/>
    <mergeCell ref="AB5:AB6"/>
    <mergeCell ref="AV5:AX5"/>
    <mergeCell ref="AD3:AD6"/>
    <mergeCell ref="BA5:BA6"/>
    <mergeCell ref="AQ5:AQ6"/>
    <mergeCell ref="AR5:AR6"/>
    <mergeCell ref="AT5:AT6"/>
    <mergeCell ref="AZ5:AZ6"/>
    <mergeCell ref="S5:S6"/>
    <mergeCell ref="Z5:Z6"/>
    <mergeCell ref="AA5:AA6"/>
    <mergeCell ref="V5:V6"/>
    <mergeCell ref="W5:W6"/>
    <mergeCell ref="X5:X6"/>
    <mergeCell ref="Y5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 topLeftCell="A34">
      <selection activeCell="C55" sqref="C55:D55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875" style="2" customWidth="1"/>
    <col min="10" max="10" width="9.25390625" style="2" customWidth="1"/>
    <col min="11" max="11" width="9.875" style="2" customWidth="1"/>
    <col min="12" max="12" width="10.875" style="2" customWidth="1"/>
    <col min="13" max="13" width="10.125" style="2" customWidth="1"/>
    <col min="14" max="14" width="9.375" style="2" customWidth="1"/>
    <col min="15" max="15" width="11.625" style="2" customWidth="1"/>
    <col min="16" max="16" width="9.375" style="2" customWidth="1"/>
    <col min="17" max="17" width="10.75390625" style="2" customWidth="1"/>
    <col min="18" max="18" width="10.25390625" style="2" customWidth="1"/>
    <col min="19" max="16384" width="9.125" style="2" customWidth="1"/>
  </cols>
  <sheetData>
    <row r="1" spans="2:8" ht="20.25" customHeight="1">
      <c r="B1" s="229" t="s">
        <v>55</v>
      </c>
      <c r="C1" s="229"/>
      <c r="D1" s="229"/>
      <c r="E1" s="229"/>
      <c r="F1" s="229"/>
      <c r="G1" s="229"/>
      <c r="H1" s="229"/>
    </row>
    <row r="2" spans="2:8" ht="21" customHeight="1">
      <c r="B2" s="229" t="s">
        <v>56</v>
      </c>
      <c r="C2" s="229"/>
      <c r="D2" s="229"/>
      <c r="E2" s="229"/>
      <c r="F2" s="229"/>
      <c r="G2" s="229"/>
      <c r="H2" s="229"/>
    </row>
    <row r="5" spans="1:17" ht="12.75">
      <c r="A5" s="231" t="s">
        <v>90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2.75">
      <c r="A6" s="232" t="s">
        <v>93</v>
      </c>
      <c r="B6" s="232"/>
      <c r="C6" s="232"/>
      <c r="D6" s="232"/>
      <c r="E6" s="232"/>
      <c r="F6" s="232"/>
      <c r="G6" s="232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6" ht="13.5" thickBot="1">
      <c r="A8" s="230" t="s">
        <v>57</v>
      </c>
      <c r="B8" s="230"/>
      <c r="C8" s="230"/>
      <c r="D8" s="230"/>
      <c r="E8" s="230">
        <v>8.65</v>
      </c>
      <c r="F8" s="230"/>
    </row>
    <row r="9" spans="1:18" ht="12.75" customHeight="1">
      <c r="A9" s="181" t="s">
        <v>58</v>
      </c>
      <c r="B9" s="206" t="s">
        <v>1</v>
      </c>
      <c r="C9" s="223" t="s">
        <v>59</v>
      </c>
      <c r="D9" s="226" t="s">
        <v>3</v>
      </c>
      <c r="E9" s="215" t="s">
        <v>60</v>
      </c>
      <c r="F9" s="216"/>
      <c r="G9" s="219" t="s">
        <v>61</v>
      </c>
      <c r="H9" s="220"/>
      <c r="I9" s="195" t="str">
        <f>Лист1!AF3</f>
        <v>Доходы по нежил.помещениям</v>
      </c>
      <c r="J9" s="198" t="s">
        <v>10</v>
      </c>
      <c r="K9" s="161"/>
      <c r="L9" s="161"/>
      <c r="M9" s="161"/>
      <c r="N9" s="161"/>
      <c r="O9" s="199"/>
      <c r="P9" s="177" t="s">
        <v>76</v>
      </c>
      <c r="Q9" s="202" t="s">
        <v>62</v>
      </c>
      <c r="R9" s="202" t="s">
        <v>12</v>
      </c>
    </row>
    <row r="10" spans="1:18" ht="12.75">
      <c r="A10" s="182"/>
      <c r="B10" s="207"/>
      <c r="C10" s="224"/>
      <c r="D10" s="227"/>
      <c r="E10" s="217"/>
      <c r="F10" s="218"/>
      <c r="G10" s="221"/>
      <c r="H10" s="222"/>
      <c r="I10" s="196"/>
      <c r="J10" s="200"/>
      <c r="K10" s="150"/>
      <c r="L10" s="150"/>
      <c r="M10" s="150"/>
      <c r="N10" s="150"/>
      <c r="O10" s="201"/>
      <c r="P10" s="178"/>
      <c r="Q10" s="203"/>
      <c r="R10" s="203"/>
    </row>
    <row r="11" spans="1:18" ht="26.25" customHeight="1">
      <c r="A11" s="182"/>
      <c r="B11" s="207"/>
      <c r="C11" s="224"/>
      <c r="D11" s="227"/>
      <c r="E11" s="209" t="s">
        <v>63</v>
      </c>
      <c r="F11" s="210"/>
      <c r="G11" s="89" t="s">
        <v>64</v>
      </c>
      <c r="H11" s="190" t="s">
        <v>7</v>
      </c>
      <c r="I11" s="196"/>
      <c r="J11" s="211" t="s">
        <v>65</v>
      </c>
      <c r="K11" s="213" t="s">
        <v>32</v>
      </c>
      <c r="L11" s="213" t="s">
        <v>66</v>
      </c>
      <c r="M11" s="213" t="s">
        <v>37</v>
      </c>
      <c r="N11" s="213" t="s">
        <v>67</v>
      </c>
      <c r="O11" s="190" t="s">
        <v>39</v>
      </c>
      <c r="P11" s="178"/>
      <c r="Q11" s="203"/>
      <c r="R11" s="203"/>
    </row>
    <row r="12" spans="1:18" ht="66.75" customHeight="1" thickBot="1">
      <c r="A12" s="205"/>
      <c r="B12" s="208"/>
      <c r="C12" s="225"/>
      <c r="D12" s="228"/>
      <c r="E12" s="63" t="s">
        <v>68</v>
      </c>
      <c r="F12" s="67" t="s">
        <v>21</v>
      </c>
      <c r="G12" s="82" t="s">
        <v>69</v>
      </c>
      <c r="H12" s="191"/>
      <c r="I12" s="197"/>
      <c r="J12" s="212"/>
      <c r="K12" s="214"/>
      <c r="L12" s="214"/>
      <c r="M12" s="214"/>
      <c r="N12" s="214"/>
      <c r="O12" s="191"/>
      <c r="P12" s="179"/>
      <c r="Q12" s="204"/>
      <c r="R12" s="204"/>
    </row>
    <row r="13" spans="1:18" ht="13.5" thickBot="1">
      <c r="A13" s="64">
        <v>1</v>
      </c>
      <c r="B13" s="65">
        <v>2</v>
      </c>
      <c r="C13" s="64">
        <v>3</v>
      </c>
      <c r="D13" s="65">
        <v>4</v>
      </c>
      <c r="E13" s="64">
        <v>5</v>
      </c>
      <c r="F13" s="65">
        <v>6</v>
      </c>
      <c r="G13" s="64">
        <v>7</v>
      </c>
      <c r="H13" s="65">
        <v>8</v>
      </c>
      <c r="I13" s="64">
        <v>9</v>
      </c>
      <c r="J13" s="65">
        <v>10</v>
      </c>
      <c r="K13" s="64">
        <v>11</v>
      </c>
      <c r="L13" s="65">
        <v>12</v>
      </c>
      <c r="M13" s="64">
        <v>13</v>
      </c>
      <c r="N13" s="65">
        <v>14</v>
      </c>
      <c r="O13" s="64">
        <v>15</v>
      </c>
      <c r="P13" s="65">
        <v>16</v>
      </c>
      <c r="Q13" s="64">
        <v>17</v>
      </c>
      <c r="R13" s="66">
        <v>18</v>
      </c>
    </row>
    <row r="14" spans="1:18" ht="12.75">
      <c r="A14" s="7" t="s">
        <v>40</v>
      </c>
      <c r="B14" s="8"/>
      <c r="C14" s="26"/>
      <c r="D14" s="7"/>
      <c r="E14" s="8"/>
      <c r="F14" s="9"/>
      <c r="G14" s="7"/>
      <c r="H14" s="9"/>
      <c r="I14" s="86"/>
      <c r="J14" s="7"/>
      <c r="K14" s="8"/>
      <c r="L14" s="8"/>
      <c r="M14" s="8"/>
      <c r="N14" s="8"/>
      <c r="O14" s="9"/>
      <c r="P14" s="83"/>
      <c r="Q14" s="77"/>
      <c r="R14" s="74"/>
    </row>
    <row r="15" spans="1:18" ht="12.75">
      <c r="A15" s="11" t="s">
        <v>41</v>
      </c>
      <c r="B15" s="84">
        <f>Лист1!B9</f>
        <v>4454.5</v>
      </c>
      <c r="C15" s="27">
        <f>B15*8.65</f>
        <v>38531.425</v>
      </c>
      <c r="D15" s="28">
        <f>Лист1!D9</f>
        <v>9281.449654000002</v>
      </c>
      <c r="E15" s="14">
        <f>Лист1!S9</f>
        <v>26907.260000000002</v>
      </c>
      <c r="F15" s="30">
        <f>Лист1!T9</f>
        <v>5303.620000000001</v>
      </c>
      <c r="G15" s="29">
        <f>Лист1!AB9</f>
        <v>447</v>
      </c>
      <c r="H15" s="30">
        <f>Лист1!AC9</f>
        <v>15032.069654000003</v>
      </c>
      <c r="I15" s="87">
        <f>Лист1!AD9</f>
        <v>0</v>
      </c>
      <c r="J15" s="29">
        <f>Лист1!AG9</f>
        <v>2672.7</v>
      </c>
      <c r="K15" s="14">
        <f>Лист1!AI9+Лист1!AJ9</f>
        <v>4477.313058</v>
      </c>
      <c r="L15" s="14">
        <f>Лист1!AH9+Лист1!AK9+Лист1!AL9+Лист1!AM9+Лист1!AN9+Лист1!AO9+Лист1!AP9</f>
        <v>15721.68156395</v>
      </c>
      <c r="M15" s="31">
        <f>Лист1!AS9+Лист1!AU9</f>
        <v>27874.184199999996</v>
      </c>
      <c r="N15" s="31">
        <f>Лист1!AX9</f>
        <v>0</v>
      </c>
      <c r="O15" s="30">
        <f>Лист1!BB9</f>
        <v>50745.87882195</v>
      </c>
      <c r="P15" s="90">
        <f>Лист1!BC9</f>
        <v>0</v>
      </c>
      <c r="Q15" s="75">
        <f>Лист1!BD9</f>
        <v>-35713.80916794999</v>
      </c>
      <c r="R15" s="75">
        <f>Лист1!BE9</f>
        <v>-26460.260000000002</v>
      </c>
    </row>
    <row r="16" spans="1:18" ht="12.75">
      <c r="A16" s="11" t="s">
        <v>42</v>
      </c>
      <c r="B16" s="84">
        <f>Лист1!B10</f>
        <v>4454.5</v>
      </c>
      <c r="C16" s="27">
        <f aca="true" t="shared" si="0" ref="C16:C31">B16*8.65</f>
        <v>38531.425</v>
      </c>
      <c r="D16" s="28">
        <f>Лист1!D10</f>
        <v>9281.449654000002</v>
      </c>
      <c r="E16" s="14">
        <f>Лист1!S10</f>
        <v>25491.690000000002</v>
      </c>
      <c r="F16" s="30">
        <f>Лист1!T10</f>
        <v>5029.01</v>
      </c>
      <c r="G16" s="29">
        <f>Лист1!AB10</f>
        <v>18217.569999999996</v>
      </c>
      <c r="H16" s="30">
        <f>Лист1!AC10</f>
        <v>32528.029653999998</v>
      </c>
      <c r="I16" s="87">
        <f>Лист1!AD10</f>
        <v>0</v>
      </c>
      <c r="J16" s="29">
        <f>Лист1!AG10</f>
        <v>2672.7</v>
      </c>
      <c r="K16" s="14">
        <f>Лист1!AI10+Лист1!AJ10</f>
        <v>4477.313058</v>
      </c>
      <c r="L16" s="14">
        <f>Лист1!AH10+Лист1!AK10+Лист1!AL10+Лист1!AM10+Лист1!AN10+Лист1!AO10+Лист1!AP10</f>
        <v>15674.23222995</v>
      </c>
      <c r="M16" s="31">
        <f>Лист1!AS10+Лист1!AU10</f>
        <v>9189.84</v>
      </c>
      <c r="N16" s="31">
        <f>Лист1!AX10</f>
        <v>0</v>
      </c>
      <c r="O16" s="30">
        <f>Лист1!BB10</f>
        <v>32014.085287949994</v>
      </c>
      <c r="P16" s="90">
        <f>Лист1!BC10</f>
        <v>0</v>
      </c>
      <c r="Q16" s="75">
        <f>Лист1!BD10</f>
        <v>513.9443660500037</v>
      </c>
      <c r="R16" s="75">
        <f>Лист1!BE10</f>
        <v>-7274.120000000006</v>
      </c>
    </row>
    <row r="17" spans="1:20" ht="13.5" thickBot="1">
      <c r="A17" s="32" t="s">
        <v>43</v>
      </c>
      <c r="B17" s="84">
        <f>Лист1!B11</f>
        <v>4454.5</v>
      </c>
      <c r="C17" s="33">
        <f t="shared" si="0"/>
        <v>38531.425</v>
      </c>
      <c r="D17" s="28">
        <f>Лист1!D11</f>
        <v>9261.027998750002</v>
      </c>
      <c r="E17" s="14">
        <f>Лист1!S11</f>
        <v>25104.229999999996</v>
      </c>
      <c r="F17" s="30">
        <f>Лист1!T11</f>
        <v>5129.4800000000005</v>
      </c>
      <c r="G17" s="29">
        <f>Лист1!AB11</f>
        <v>28674.12</v>
      </c>
      <c r="H17" s="30">
        <f>Лист1!AC11</f>
        <v>43064.62799875</v>
      </c>
      <c r="I17" s="87">
        <f>Лист1!AD11</f>
        <v>0</v>
      </c>
      <c r="J17" s="29">
        <f>Лист1!AG11</f>
        <v>2672.7</v>
      </c>
      <c r="K17" s="14">
        <f>Лист1!AI11+Лист1!AJ11</f>
        <v>4464.2892092</v>
      </c>
      <c r="L17" s="14">
        <f>Лист1!AH11+Лист1!AK11+Лист1!AL11+Лист1!AM11+Лист1!AN11+Лист1!AO11+Лист1!AP11</f>
        <v>15649.184108784999</v>
      </c>
      <c r="M17" s="31">
        <f>Лист1!AS11+Лист1!AU11</f>
        <v>4814.4</v>
      </c>
      <c r="N17" s="31">
        <f>Лист1!AX11</f>
        <v>0</v>
      </c>
      <c r="O17" s="30">
        <f>Лист1!BB11</f>
        <v>27600.573317985</v>
      </c>
      <c r="P17" s="90">
        <f>Лист1!BC11</f>
        <v>0</v>
      </c>
      <c r="Q17" s="75">
        <f>Лист1!BD11</f>
        <v>15464.054680765003</v>
      </c>
      <c r="R17" s="75">
        <f>Лист1!BE11</f>
        <v>3569.890000000003</v>
      </c>
      <c r="S17" s="1"/>
      <c r="T17" s="1"/>
    </row>
    <row r="18" spans="1:20" s="20" customFormat="1" ht="13.5" thickBot="1">
      <c r="A18" s="34" t="s">
        <v>5</v>
      </c>
      <c r="B18" s="35"/>
      <c r="C18" s="36">
        <f>SUM(C15:C17)</f>
        <v>115594.27500000001</v>
      </c>
      <c r="D18" s="68">
        <f aca="true" t="shared" si="1" ref="D18:J18">SUM(D15:D17)</f>
        <v>27823.927306750003</v>
      </c>
      <c r="E18" s="36">
        <f t="shared" si="1"/>
        <v>77503.18</v>
      </c>
      <c r="F18" s="69">
        <f t="shared" si="1"/>
        <v>15462.11</v>
      </c>
      <c r="G18" s="68">
        <f t="shared" si="1"/>
        <v>47338.689999999995</v>
      </c>
      <c r="H18" s="69">
        <f t="shared" si="1"/>
        <v>90624.72730675</v>
      </c>
      <c r="I18" s="69">
        <f t="shared" si="1"/>
        <v>0</v>
      </c>
      <c r="J18" s="68">
        <f t="shared" si="1"/>
        <v>8018.099999999999</v>
      </c>
      <c r="K18" s="36">
        <f aca="true" t="shared" si="2" ref="K18:R18">SUM(K15:K17)</f>
        <v>13418.9153252</v>
      </c>
      <c r="L18" s="36">
        <f t="shared" si="2"/>
        <v>47045.097902685</v>
      </c>
      <c r="M18" s="36">
        <f t="shared" si="2"/>
        <v>41878.4242</v>
      </c>
      <c r="N18" s="36">
        <f t="shared" si="2"/>
        <v>0</v>
      </c>
      <c r="O18" s="69">
        <f t="shared" si="2"/>
        <v>110360.53742788499</v>
      </c>
      <c r="P18" s="69">
        <f t="shared" si="2"/>
        <v>0</v>
      </c>
      <c r="Q18" s="76">
        <f t="shared" si="2"/>
        <v>-19735.810121134986</v>
      </c>
      <c r="R18" s="76">
        <f t="shared" si="2"/>
        <v>-30164.49</v>
      </c>
      <c r="S18" s="71"/>
      <c r="T18" s="72"/>
    </row>
    <row r="19" spans="1:20" ht="12.75">
      <c r="A19" s="7" t="s">
        <v>44</v>
      </c>
      <c r="B19" s="40"/>
      <c r="C19" s="41"/>
      <c r="D19" s="42"/>
      <c r="E19" s="43"/>
      <c r="F19" s="45"/>
      <c r="G19" s="44"/>
      <c r="H19" s="45"/>
      <c r="I19" s="88"/>
      <c r="J19" s="44"/>
      <c r="K19" s="14"/>
      <c r="L19" s="14"/>
      <c r="M19" s="31"/>
      <c r="N19" s="70"/>
      <c r="O19" s="30"/>
      <c r="P19" s="90"/>
      <c r="Q19" s="75"/>
      <c r="R19" s="75"/>
      <c r="S19" s="1"/>
      <c r="T19" s="1"/>
    </row>
    <row r="20" spans="1:20" ht="12.75" customHeight="1">
      <c r="A20" s="11" t="s">
        <v>45</v>
      </c>
      <c r="B20" s="84">
        <f>Лист1!B14</f>
        <v>4454.5</v>
      </c>
      <c r="C20" s="27">
        <f t="shared" si="0"/>
        <v>38531.425</v>
      </c>
      <c r="D20" s="28">
        <f>Лист1!D14</f>
        <v>4816.428125</v>
      </c>
      <c r="E20" s="14">
        <f>Лист1!S14</f>
        <v>26607.079999999998</v>
      </c>
      <c r="F20" s="30">
        <f>Лист1!T14</f>
        <v>4953.0199999999995</v>
      </c>
      <c r="G20" s="29">
        <f>Лист1!AB14</f>
        <v>17107.719999999998</v>
      </c>
      <c r="H20" s="30">
        <f>Лист1!AC14</f>
        <v>26877.168124999997</v>
      </c>
      <c r="I20" s="87">
        <f>Лист1!AF14</f>
        <v>0</v>
      </c>
      <c r="J20" s="29">
        <f>Лист1!AG14</f>
        <v>2405.43</v>
      </c>
      <c r="K20" s="14">
        <f>Лист1!AI14+Лист1!AJ14</f>
        <v>3873.6140545</v>
      </c>
      <c r="L20" s="14">
        <f>Лист1!AH14+Лист1!AK14+Лист1!AL14+Лист1!AM14+Лист1!AN14+Лист1!AO14+Лист1!AP14+Лист1!AQ14+Лист1!AR14</f>
        <v>13303.62047284</v>
      </c>
      <c r="M20" s="31">
        <f>Лист1!AS14+Лист1!AT14+Лист1!AU14+Лист1!AZ14+Лист1!BA14</f>
        <v>317.42</v>
      </c>
      <c r="N20" s="31">
        <f>Лист1!AX14</f>
        <v>1510.5888</v>
      </c>
      <c r="O20" s="30">
        <f>Лист1!BB14</f>
        <v>19900.084527339997</v>
      </c>
      <c r="P20" s="90">
        <f>Лист1!BC14</f>
        <v>0</v>
      </c>
      <c r="Q20" s="75">
        <f>Лист1!BD14</f>
        <v>6977.083597659999</v>
      </c>
      <c r="R20" s="75">
        <f>Лист1!BE14</f>
        <v>-9499.36</v>
      </c>
      <c r="S20" s="1"/>
      <c r="T20" s="1"/>
    </row>
    <row r="21" spans="1:20" ht="12.75">
      <c r="A21" s="11" t="s">
        <v>46</v>
      </c>
      <c r="B21" s="84">
        <f>Лист1!B15</f>
        <v>4455</v>
      </c>
      <c r="C21" s="27">
        <f t="shared" si="0"/>
        <v>38535.75</v>
      </c>
      <c r="D21" s="28">
        <f>Лист1!D15</f>
        <v>4816.96875</v>
      </c>
      <c r="E21" s="14">
        <f>Лист1!S15</f>
        <v>26607.539999999997</v>
      </c>
      <c r="F21" s="30">
        <f>Лист1!T15</f>
        <v>4954.66</v>
      </c>
      <c r="G21" s="29">
        <f>Лист1!AB15</f>
        <v>20517.36</v>
      </c>
      <c r="H21" s="30">
        <f>Лист1!AC15</f>
        <v>30288.98875</v>
      </c>
      <c r="I21" s="87">
        <f>Лист1!AF15</f>
        <v>0</v>
      </c>
      <c r="J21" s="29">
        <f>Лист1!AG15</f>
        <v>2405.7000000000003</v>
      </c>
      <c r="K21" s="14">
        <f>Лист1!AI15+Лист1!AJ15</f>
        <v>3869.60409</v>
      </c>
      <c r="L21" s="14">
        <f>Лист1!AH15+Лист1!AK15+Лист1!AL15+Лист1!AM15+Лист1!AN15+Лист1!AO15+Лист1!AP15+Лист1!AQ15+Лист1!AR15</f>
        <v>13323.884270399998</v>
      </c>
      <c r="M21" s="31">
        <f>Лист1!AS15+Лист1!AT15+Лист1!AU15+Лист1!AZ15+Лист1!BA15</f>
        <v>9305.48</v>
      </c>
      <c r="N21" s="31">
        <f>Лист1!AX15</f>
        <v>1210.2552</v>
      </c>
      <c r="O21" s="30">
        <f>Лист1!BB15</f>
        <v>28904.6683604</v>
      </c>
      <c r="P21" s="90">
        <f>Лист1!BC15</f>
        <v>0</v>
      </c>
      <c r="Q21" s="75">
        <f>Лист1!BD15</f>
        <v>1384.3203896000014</v>
      </c>
      <c r="R21" s="75">
        <f>Лист1!BE15</f>
        <v>-6090.179999999997</v>
      </c>
      <c r="S21" s="1"/>
      <c r="T21" s="1"/>
    </row>
    <row r="22" spans="1:20" ht="12.75">
      <c r="A22" s="11" t="s">
        <v>47</v>
      </c>
      <c r="B22" s="84">
        <f>Лист1!B16</f>
        <v>4455</v>
      </c>
      <c r="C22" s="27">
        <f t="shared" si="0"/>
        <v>38535.75</v>
      </c>
      <c r="D22" s="28">
        <f>Лист1!D16</f>
        <v>4816.96875</v>
      </c>
      <c r="E22" s="14">
        <f>Лист1!S16</f>
        <v>26402.55</v>
      </c>
      <c r="F22" s="30">
        <f>Лист1!T16</f>
        <v>4841.98</v>
      </c>
      <c r="G22" s="29">
        <f>Лист1!AB16</f>
        <v>39357.03999999999</v>
      </c>
      <c r="H22" s="30">
        <f>Лист1!AC16</f>
        <v>49015.98874999999</v>
      </c>
      <c r="I22" s="87">
        <f>Лист1!AF16</f>
        <v>0</v>
      </c>
      <c r="J22" s="29">
        <f>Лист1!AG16</f>
        <v>2405.7000000000003</v>
      </c>
      <c r="K22" s="14">
        <f>Лист1!AI16+Лист1!AJ16</f>
        <v>3876.3066375000003</v>
      </c>
      <c r="L22" s="14">
        <f>Лист1!AH16+Лист1!AK16+Лист1!AL16+Лист1!AM16+Лист1!AN16+Лист1!AO16+Лист1!AP16+Лист1!AQ16+Лист1!AR16</f>
        <v>12880.673495899997</v>
      </c>
      <c r="M22" s="31">
        <f>Лист1!AS16+Лист1!AT16+Лист1!AU16+Лист1!AZ16+Лист1!BA16</f>
        <v>1968.24</v>
      </c>
      <c r="N22" s="31">
        <f>Лист1!AX16</f>
        <v>1138.8888</v>
      </c>
      <c r="O22" s="30">
        <f>Лист1!BB16</f>
        <v>21130.920133400003</v>
      </c>
      <c r="P22" s="90">
        <f>Лист1!BC16</f>
        <v>0</v>
      </c>
      <c r="Q22" s="75">
        <f>Лист1!BD16</f>
        <v>27885.068616599987</v>
      </c>
      <c r="R22" s="75">
        <f>Лист1!BE16</f>
        <v>12954.489999999994</v>
      </c>
      <c r="S22" s="1"/>
      <c r="T22" s="1"/>
    </row>
    <row r="23" spans="1:20" ht="12.75">
      <c r="A23" s="11" t="s">
        <v>48</v>
      </c>
      <c r="B23" s="84">
        <f>Лист1!B17</f>
        <v>4455</v>
      </c>
      <c r="C23" s="27">
        <f t="shared" si="0"/>
        <v>38535.75</v>
      </c>
      <c r="D23" s="28">
        <f>Лист1!D17</f>
        <v>4816.96875</v>
      </c>
      <c r="E23" s="14">
        <f>Лист1!S17</f>
        <v>27158.39</v>
      </c>
      <c r="F23" s="30">
        <f>Лист1!T17</f>
        <v>4805.54</v>
      </c>
      <c r="G23" s="29">
        <f>Лист1!AB17</f>
        <v>22529.010000000002</v>
      </c>
      <c r="H23" s="30">
        <f>Лист1!AC17</f>
        <v>32151.518750000003</v>
      </c>
      <c r="I23" s="87">
        <f>Лист1!AF17</f>
        <v>0</v>
      </c>
      <c r="J23" s="29">
        <f>Лист1!AG17</f>
        <v>2405.7000000000003</v>
      </c>
      <c r="K23" s="14">
        <f>Лист1!AI17+Лист1!AJ17</f>
        <v>3992.0372909999996</v>
      </c>
      <c r="L23" s="14">
        <f>Лист1!AH17+Лист1!AK17+Лист1!AL17+Лист1!AM17+Лист1!AN17+Лист1!AO17+Лист1!AP17+Лист1!AQ17+Лист1!AR17</f>
        <v>14938.176858799998</v>
      </c>
      <c r="M23" s="31">
        <f>Лист1!AS17+Лист1!AT17+Лист1!AU17+Лист1!AZ17+Лист1!BA17</f>
        <v>7750.0512</v>
      </c>
      <c r="N23" s="31">
        <f>Лист1!AX17</f>
        <v>912.8952</v>
      </c>
      <c r="O23" s="30">
        <f>Лист1!BB17</f>
        <v>33858.5933498</v>
      </c>
      <c r="P23" s="90">
        <f>Лист1!BC17</f>
        <v>0</v>
      </c>
      <c r="Q23" s="75">
        <f>Лист1!BD17</f>
        <v>-1707.0745997999984</v>
      </c>
      <c r="R23" s="75">
        <f>Лист1!BE17</f>
        <v>-4629.379999999997</v>
      </c>
      <c r="S23" s="1"/>
      <c r="T23" s="1"/>
    </row>
    <row r="24" spans="1:20" ht="12.75">
      <c r="A24" s="11" t="s">
        <v>49</v>
      </c>
      <c r="B24" s="84">
        <f>Лист1!B18</f>
        <v>4455</v>
      </c>
      <c r="C24" s="27">
        <f t="shared" si="0"/>
        <v>38535.75</v>
      </c>
      <c r="D24" s="28">
        <f>Лист1!D18</f>
        <v>3848.0599999999968</v>
      </c>
      <c r="E24" s="14">
        <f>Лист1!S18</f>
        <v>29331.3</v>
      </c>
      <c r="F24" s="30">
        <f>Лист1!T18</f>
        <v>5356.389999999999</v>
      </c>
      <c r="G24" s="29">
        <f>Лист1!AB18</f>
        <v>25182.53</v>
      </c>
      <c r="H24" s="30">
        <f>Лист1!AC18</f>
        <v>34386.979999999996</v>
      </c>
      <c r="I24" s="87">
        <f>Лист1!AF18</f>
        <v>0</v>
      </c>
      <c r="J24" s="29">
        <f>Лист1!AG18</f>
        <v>2673</v>
      </c>
      <c r="K24" s="14">
        <f>Лист1!AI18+Лист1!AJ18</f>
        <v>4468.365</v>
      </c>
      <c r="L24" s="14">
        <f>Лист1!AH18+Лист1!AK18+Лист1!AL18+Лист1!AM18+Лист1!AN18+Лист1!AO18+Лист1!AP18+Лист1!AQ18+Лист1!AR18</f>
        <v>15303.815999999999</v>
      </c>
      <c r="M24" s="31">
        <f>Лист1!AS18+Лист1!AT18+Лист1!AU18+Лист1!AZ18+Лист1!BA18</f>
        <v>6097.024600000001</v>
      </c>
      <c r="N24" s="31">
        <f>Лист1!AX18</f>
        <v>782.0568000000001</v>
      </c>
      <c r="O24" s="30">
        <f>Лист1!BB18</f>
        <v>29324.262399999996</v>
      </c>
      <c r="P24" s="90">
        <f>Лист1!BC18</f>
        <v>0</v>
      </c>
      <c r="Q24" s="75">
        <f>Лист1!BD18</f>
        <v>5062.7176</v>
      </c>
      <c r="R24" s="75">
        <f>Лист1!BE18</f>
        <v>-4148.77</v>
      </c>
      <c r="S24" s="1"/>
      <c r="T24" s="1"/>
    </row>
    <row r="25" spans="1:20" ht="12.75">
      <c r="A25" s="11" t="s">
        <v>50</v>
      </c>
      <c r="B25" s="84">
        <f>Лист1!B19</f>
        <v>4455</v>
      </c>
      <c r="C25" s="27">
        <f t="shared" si="0"/>
        <v>38535.75</v>
      </c>
      <c r="D25" s="28">
        <f>Лист1!D19</f>
        <v>3798.0500000000043</v>
      </c>
      <c r="E25" s="14">
        <f>Лист1!S19</f>
        <v>29377.81</v>
      </c>
      <c r="F25" s="30">
        <f>Лист1!T19</f>
        <v>5359.889999999999</v>
      </c>
      <c r="G25" s="29">
        <f>Лист1!AB19</f>
        <v>26970.47</v>
      </c>
      <c r="H25" s="30">
        <f>Лист1!AC19</f>
        <v>36128.41</v>
      </c>
      <c r="I25" s="87">
        <f>Лист1!AF19</f>
        <v>0</v>
      </c>
      <c r="J25" s="29">
        <f>Лист1!AG19</f>
        <v>2673</v>
      </c>
      <c r="K25" s="14">
        <f>Лист1!AI19+Лист1!AJ19</f>
        <v>4468.365</v>
      </c>
      <c r="L25" s="14">
        <f>Лист1!AH19+Лист1!AK19+Лист1!AL19+Лист1!AM19+Лист1!AN19+Лист1!AO19+Лист1!AP19+Лист1!AQ19+Лист1!AR19</f>
        <v>15304.228749999998</v>
      </c>
      <c r="M25" s="31">
        <f>Лист1!AS19+Лист1!AT19+Лист1!AU19+Лист1!AZ19+Лист1!BA19</f>
        <v>50723.385599999994</v>
      </c>
      <c r="N25" s="31">
        <f>Лист1!AX19</f>
        <v>692.8488000000001</v>
      </c>
      <c r="O25" s="30">
        <f>Лист1!BB19</f>
        <v>73861.82815</v>
      </c>
      <c r="P25" s="90">
        <f>Лист1!BC19</f>
        <v>0</v>
      </c>
      <c r="Q25" s="75">
        <f>Лист1!BD19</f>
        <v>-37733.41815</v>
      </c>
      <c r="R25" s="75">
        <f>Лист1!BE19</f>
        <v>-2407.34</v>
      </c>
      <c r="S25" s="1"/>
      <c r="T25" s="1"/>
    </row>
    <row r="26" spans="1:20" ht="12.75">
      <c r="A26" s="11" t="s">
        <v>51</v>
      </c>
      <c r="B26" s="84">
        <f>Лист1!B20</f>
        <v>4452</v>
      </c>
      <c r="C26" s="27">
        <f t="shared" si="0"/>
        <v>38509.8</v>
      </c>
      <c r="D26" s="28">
        <f>Лист1!D20</f>
        <v>3783.0799999999995</v>
      </c>
      <c r="E26" s="14">
        <f>Лист1!S20</f>
        <v>29366.809999999998</v>
      </c>
      <c r="F26" s="30">
        <f>Лист1!T20</f>
        <v>5359.91</v>
      </c>
      <c r="G26" s="29">
        <f>Лист1!AB20</f>
        <v>29793.41</v>
      </c>
      <c r="H26" s="30">
        <f>Лист1!AC20</f>
        <v>38936.4</v>
      </c>
      <c r="I26" s="87">
        <f>Лист1!AF20</f>
        <v>442.72774</v>
      </c>
      <c r="J26" s="29">
        <f>Лист1!AG20</f>
        <v>2671.2</v>
      </c>
      <c r="K26" s="14">
        <f>Лист1!AI20+Лист1!AJ20</f>
        <v>4401.5014092</v>
      </c>
      <c r="L26" s="14">
        <f>Лист1!AH20+Лист1!AK20+Лист1!AL20+Лист1!AM20+Лист1!AN20+Лист1!AO20+Лист1!AP20+Лист1!AQ20+Лист1!AR20</f>
        <v>15141.73824744</v>
      </c>
      <c r="M26" s="31">
        <f>Лист1!AS20+Лист1!AT20+Лист1!AU20+Лист1!AZ20+Лист1!BA20</f>
        <v>4693.7332</v>
      </c>
      <c r="N26" s="31">
        <f>Лист1!AX20</f>
        <v>737.4528</v>
      </c>
      <c r="O26" s="30">
        <f>Лист1!BB20</f>
        <v>27645.62565664</v>
      </c>
      <c r="P26" s="90">
        <f>Лист1!BC20</f>
        <v>209.21513678</v>
      </c>
      <c r="Q26" s="75">
        <f>Лист1!BD20</f>
        <v>11524.286946580003</v>
      </c>
      <c r="R26" s="75">
        <f>Лист1!BE20</f>
        <v>426.6000000000022</v>
      </c>
      <c r="S26" s="1"/>
      <c r="T26" s="1"/>
    </row>
    <row r="27" spans="1:20" ht="12.75">
      <c r="A27" s="11" t="s">
        <v>52</v>
      </c>
      <c r="B27" s="84">
        <f>Лист1!B21</f>
        <v>4452.08</v>
      </c>
      <c r="C27" s="27">
        <f t="shared" si="0"/>
        <v>38510.492</v>
      </c>
      <c r="D27" s="28">
        <f>Лист1!D21</f>
        <v>4031.9919999999993</v>
      </c>
      <c r="E27" s="14">
        <f>Лист1!S21</f>
        <v>29039.41</v>
      </c>
      <c r="F27" s="30">
        <f>Лист1!T21</f>
        <v>5439.09</v>
      </c>
      <c r="G27" s="29">
        <f>Лист1!AB21</f>
        <v>22310.48</v>
      </c>
      <c r="H27" s="30">
        <f>Лист1!AC21</f>
        <v>31781.561999999998</v>
      </c>
      <c r="I27" s="87">
        <f>Лист1!AF21</f>
        <v>442.72774</v>
      </c>
      <c r="J27" s="29">
        <f>Лист1!AG21</f>
        <v>2671.248</v>
      </c>
      <c r="K27" s="14">
        <f>Лист1!AI21+Лист1!AJ21</f>
        <v>4399.6157098224</v>
      </c>
      <c r="L27" s="14">
        <f>Лист1!AH21+Лист1!AK21+Лист1!AL21+Лист1!AM21+Лист1!AN21+Лист1!AO21+Лист1!AP21+Лист1!AQ21+Лист1!AR21</f>
        <v>15138.8317756496</v>
      </c>
      <c r="M27" s="31">
        <f>Лист1!AS21+Лист1!AT21+Лист1!AU21+Лист1!AZ21+Лист1!BA21</f>
        <v>7055.22</v>
      </c>
      <c r="N27" s="31">
        <f>Лист1!AX21</f>
        <v>871.2647999999999</v>
      </c>
      <c r="O27" s="30">
        <f>Лист1!BB21</f>
        <v>30136.180285472</v>
      </c>
      <c r="P27" s="90">
        <f>Лист1!BC21</f>
        <v>209.12007633399998</v>
      </c>
      <c r="Q27" s="75">
        <f>Лист1!BD21</f>
        <v>1878.9893781939957</v>
      </c>
      <c r="R27" s="75">
        <f>Лист1!BE21</f>
        <v>-6728.93</v>
      </c>
      <c r="S27" s="1"/>
      <c r="T27" s="1"/>
    </row>
    <row r="28" spans="1:20" ht="12.75">
      <c r="A28" s="11" t="s">
        <v>53</v>
      </c>
      <c r="B28" s="84">
        <f>Лист1!B22</f>
        <v>4452.08</v>
      </c>
      <c r="C28" s="27">
        <f t="shared" si="0"/>
        <v>38510.492</v>
      </c>
      <c r="D28" s="28">
        <f>Лист1!D22</f>
        <v>5664.082000000003</v>
      </c>
      <c r="E28" s="14">
        <f>Лист1!S22</f>
        <v>27511.360000000004</v>
      </c>
      <c r="F28" s="30">
        <f>Лист1!T22</f>
        <v>5335.05</v>
      </c>
      <c r="G28" s="29">
        <f>Лист1!AB22</f>
        <v>29634.72</v>
      </c>
      <c r="H28" s="30">
        <f>Лист1!AC22</f>
        <v>40633.852000000006</v>
      </c>
      <c r="I28" s="87">
        <f>Лист1!AF22</f>
        <v>442.72774</v>
      </c>
      <c r="J28" s="29">
        <f>Лист1!AG22</f>
        <v>2671.248</v>
      </c>
      <c r="K28" s="14">
        <f>Лист1!AI22+Лист1!AJ22</f>
        <v>4398.811931299199</v>
      </c>
      <c r="L28" s="14">
        <f>Лист1!AH22+Лист1!AK22+Лист1!AL22+Лист1!AM22+Лист1!AN22+Лист1!AO22+Лист1!AP22+Лист1!AQ22+Лист1!AR22</f>
        <v>15137.93433227936</v>
      </c>
      <c r="M28" s="31">
        <f>Лист1!AS22+Лист1!AT22+Лист1!AU22+Лист1!AZ22+Лист1!BA22</f>
        <v>0</v>
      </c>
      <c r="N28" s="31">
        <f>Лист1!AX22</f>
        <v>1037.7864000000002</v>
      </c>
      <c r="O28" s="30">
        <f>Лист1!BB22</f>
        <v>23245.780663578556</v>
      </c>
      <c r="P28" s="90">
        <f>Лист1!BC22</f>
        <v>209.0884481686</v>
      </c>
      <c r="Q28" s="75">
        <f>Лист1!BD22</f>
        <v>17621.71062825285</v>
      </c>
      <c r="R28" s="75">
        <f>Лист1!BE22</f>
        <v>2123.359999999997</v>
      </c>
      <c r="S28" s="1"/>
      <c r="T28" s="1"/>
    </row>
    <row r="29" spans="1:20" ht="12.75">
      <c r="A29" s="11" t="s">
        <v>41</v>
      </c>
      <c r="B29" s="84">
        <f>Лист1!B23</f>
        <v>4452.08</v>
      </c>
      <c r="C29" s="27">
        <f>B29*8.65</f>
        <v>38510.492</v>
      </c>
      <c r="D29" s="28">
        <f>Лист1!D23</f>
        <v>3764.2120000000004</v>
      </c>
      <c r="E29" s="14">
        <f>Лист1!S23</f>
        <v>29186.5</v>
      </c>
      <c r="F29" s="30">
        <f>Лист1!T23</f>
        <v>5559.78</v>
      </c>
      <c r="G29" s="29">
        <f>Лист1!AB23</f>
        <v>31014.08</v>
      </c>
      <c r="H29" s="30">
        <f>Лист1!AC23</f>
        <v>40338.072</v>
      </c>
      <c r="I29" s="87">
        <f>Лист1!AF23</f>
        <v>442.72774</v>
      </c>
      <c r="J29" s="29">
        <f>Лист1!AG23</f>
        <v>2671.248</v>
      </c>
      <c r="K29" s="14">
        <f>Лист1!AI23+Лист1!AJ23</f>
        <v>4449.6758768</v>
      </c>
      <c r="L29" s="14">
        <f>Лист1!AH23+Лист1!AK23+Лист1!AL23+Лист1!AM23+Лист1!AN23+Лист1!AO23+Лист1!AP23+Лист1!AQ23+Лист1!AR23</f>
        <v>39245.362552</v>
      </c>
      <c r="M29" s="31">
        <f>Лист1!AS23+Лист1!AT23+Лист1!AU23+Лист1!AZ23+Лист1!BA23</f>
        <v>13137.8132</v>
      </c>
      <c r="N29" s="31">
        <f>Лист1!AX23</f>
        <v>1263.78</v>
      </c>
      <c r="O29" s="30">
        <f>Лист1!BB23</f>
        <v>60767.8796288</v>
      </c>
      <c r="P29" s="90">
        <f>Лист1!BC23</f>
        <v>210.735438</v>
      </c>
      <c r="Q29" s="75">
        <f>Лист1!BD23</f>
        <v>-20197.8153268</v>
      </c>
      <c r="R29" s="75">
        <f>Лист1!BE23</f>
        <v>1827.5800000000017</v>
      </c>
      <c r="S29" s="1"/>
      <c r="T29" s="1"/>
    </row>
    <row r="30" spans="1:20" ht="12.75">
      <c r="A30" s="11" t="s">
        <v>42</v>
      </c>
      <c r="B30" s="84">
        <f>Лист1!B24</f>
        <v>4452.08</v>
      </c>
      <c r="C30" s="27">
        <f t="shared" si="0"/>
        <v>38510.492</v>
      </c>
      <c r="D30" s="28">
        <f>Лист1!D24</f>
        <v>3764.2019999999957</v>
      </c>
      <c r="E30" s="14">
        <f>Лист1!S24</f>
        <v>29134.730000000003</v>
      </c>
      <c r="F30" s="30">
        <f>Лист1!T24</f>
        <v>5611.56</v>
      </c>
      <c r="G30" s="29">
        <f>Лист1!AB24</f>
        <v>32501.89</v>
      </c>
      <c r="H30" s="30">
        <f>Лист1!AC24</f>
        <v>41877.651999999995</v>
      </c>
      <c r="I30" s="87">
        <f>Лист1!AF24</f>
        <v>442.72774</v>
      </c>
      <c r="J30" s="29">
        <f>Лист1!AG24</f>
        <v>2671.248</v>
      </c>
      <c r="K30" s="14">
        <f>Лист1!AI24+Лист1!AJ24</f>
        <v>4465.43624</v>
      </c>
      <c r="L30" s="14">
        <f>Лист1!AH24+Лист1!AK24+Лист1!AL24+Лист1!AM24+Лист1!AN24+Лист1!AO24+Лист1!AP24+Лист1!AQ24+Лист1!AR24</f>
        <v>15284.881056</v>
      </c>
      <c r="M30" s="31">
        <f>Лист1!AS24+Лист1!AT24+Лист1!AU24+Лист1!AZ24+Лист1!BA24</f>
        <v>3452.68</v>
      </c>
      <c r="N30" s="31">
        <f>Лист1!AX24</f>
        <v>1397.592</v>
      </c>
      <c r="O30" s="30">
        <f>Лист1!BB24</f>
        <v>27271.837295999998</v>
      </c>
      <c r="P30" s="90">
        <f>Лист1!BC24</f>
        <v>211.01886</v>
      </c>
      <c r="Q30" s="75">
        <f>Лист1!BD24</f>
        <v>14837.523583999999</v>
      </c>
      <c r="R30" s="75">
        <f>Лист1!BE24</f>
        <v>3367.159999999996</v>
      </c>
      <c r="S30" s="1"/>
      <c r="T30" s="1"/>
    </row>
    <row r="31" spans="1:20" ht="13.5" thickBot="1">
      <c r="A31" s="32" t="s">
        <v>43</v>
      </c>
      <c r="B31" s="84">
        <f>Лист1!B25</f>
        <v>4452.08</v>
      </c>
      <c r="C31" s="33">
        <f t="shared" si="0"/>
        <v>38510.492</v>
      </c>
      <c r="D31" s="28">
        <f>Лист1!D25</f>
        <v>3585.2320000000045</v>
      </c>
      <c r="E31" s="14">
        <f>Лист1!S25</f>
        <v>29313.7</v>
      </c>
      <c r="F31" s="30">
        <f>Лист1!T25</f>
        <v>5611.56</v>
      </c>
      <c r="G31" s="29">
        <f>Лист1!AB25</f>
        <v>32383.47</v>
      </c>
      <c r="H31" s="30">
        <f>Лист1!AC25</f>
        <v>41580.262</v>
      </c>
      <c r="I31" s="87">
        <f>Лист1!AF25</f>
        <v>442.72774</v>
      </c>
      <c r="J31" s="29">
        <f>Лист1!AG25</f>
        <v>2671.248</v>
      </c>
      <c r="K31" s="14">
        <f>Лист1!AI25+Лист1!AJ25</f>
        <v>4465.43624</v>
      </c>
      <c r="L31" s="14">
        <f>Лист1!AH25+Лист1!AK25+Лист1!AL25+Лист1!AM25+Лист1!AN25+Лист1!AO25+Лист1!AP25+Лист1!AQ25+Лист1!AR25</f>
        <v>15284.881056</v>
      </c>
      <c r="M31" s="31">
        <f>Лист1!AS25+Лист1!AT25+Лист1!AU25+Лист1!AZ25+Лист1!BA25</f>
        <v>25601.28</v>
      </c>
      <c r="N31" s="31">
        <f>Лист1!AX25</f>
        <v>1528.4304000000002</v>
      </c>
      <c r="O31" s="30">
        <f>Лист1!BB25</f>
        <v>49551.275696</v>
      </c>
      <c r="P31" s="90">
        <f>Лист1!BC25</f>
        <v>211.01886</v>
      </c>
      <c r="Q31" s="75">
        <f>Лист1!BD25</f>
        <v>-7739.304815999993</v>
      </c>
      <c r="R31" s="75">
        <f>Лист1!BE25</f>
        <v>3069.7700000000004</v>
      </c>
      <c r="S31" s="1"/>
      <c r="T31" s="1"/>
    </row>
    <row r="32" spans="1:20" s="20" customFormat="1" ht="13.5" thickBot="1">
      <c r="A32" s="34" t="s">
        <v>5</v>
      </c>
      <c r="B32" s="35"/>
      <c r="C32" s="36">
        <f aca="true" t="shared" si="3" ref="C32:R32">SUM(C20:C31)</f>
        <v>462272.4349999998</v>
      </c>
      <c r="D32" s="68">
        <f t="shared" si="3"/>
        <v>51506.244375</v>
      </c>
      <c r="E32" s="36">
        <f t="shared" si="3"/>
        <v>339037.18</v>
      </c>
      <c r="F32" s="69">
        <f t="shared" si="3"/>
        <v>63188.42999999999</v>
      </c>
      <c r="G32" s="68">
        <f t="shared" si="3"/>
        <v>329302.18000000005</v>
      </c>
      <c r="H32" s="69">
        <f t="shared" si="3"/>
        <v>443996.85437499994</v>
      </c>
      <c r="I32" s="69">
        <f t="shared" si="3"/>
        <v>2656.36644</v>
      </c>
      <c r="J32" s="68">
        <f t="shared" si="3"/>
        <v>30995.969999999998</v>
      </c>
      <c r="K32" s="36">
        <f t="shared" si="3"/>
        <v>51128.7694801216</v>
      </c>
      <c r="L32" s="36">
        <f t="shared" si="3"/>
        <v>200288.02886730895</v>
      </c>
      <c r="M32" s="36">
        <f>SUM(M20:M31)</f>
        <v>130102.3278</v>
      </c>
      <c r="N32" s="36">
        <f t="shared" si="3"/>
        <v>13083.84</v>
      </c>
      <c r="O32" s="69">
        <f t="shared" si="3"/>
        <v>425598.93614743045</v>
      </c>
      <c r="P32" s="69">
        <f t="shared" si="3"/>
        <v>1260.1968192825998</v>
      </c>
      <c r="Q32" s="76">
        <f>SUM(Q20:Q31)</f>
        <v>19794.087848286847</v>
      </c>
      <c r="R32" s="76">
        <f t="shared" si="3"/>
        <v>-9735.000000000004</v>
      </c>
      <c r="S32" s="72"/>
      <c r="T32" s="72"/>
    </row>
    <row r="33" spans="1:20" ht="13.5" thickBot="1">
      <c r="A33" s="192" t="s">
        <v>70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80"/>
      <c r="S33" s="1"/>
      <c r="T33" s="1"/>
    </row>
    <row r="34" spans="1:20" s="20" customFormat="1" ht="13.5" thickBot="1">
      <c r="A34" s="81" t="s">
        <v>54</v>
      </c>
      <c r="B34" s="38"/>
      <c r="C34" s="39">
        <f>C18+C32</f>
        <v>577866.7099999998</v>
      </c>
      <c r="D34" s="37">
        <f aca="true" t="shared" si="4" ref="D34:R34">D18+D32</f>
        <v>79330.17168175001</v>
      </c>
      <c r="E34" s="38">
        <f t="shared" si="4"/>
        <v>416540.36</v>
      </c>
      <c r="F34" s="39">
        <f t="shared" si="4"/>
        <v>78650.54</v>
      </c>
      <c r="G34" s="37">
        <f t="shared" si="4"/>
        <v>376640.87000000005</v>
      </c>
      <c r="H34" s="39">
        <f t="shared" si="4"/>
        <v>534621.5816817499</v>
      </c>
      <c r="I34" s="39">
        <f t="shared" si="4"/>
        <v>2656.36644</v>
      </c>
      <c r="J34" s="37">
        <f t="shared" si="4"/>
        <v>39014.07</v>
      </c>
      <c r="K34" s="38">
        <f t="shared" si="4"/>
        <v>64547.684805321594</v>
      </c>
      <c r="L34" s="38">
        <f t="shared" si="4"/>
        <v>247333.12676999395</v>
      </c>
      <c r="M34" s="38">
        <f t="shared" si="4"/>
        <v>171980.752</v>
      </c>
      <c r="N34" s="38">
        <f t="shared" si="4"/>
        <v>13083.84</v>
      </c>
      <c r="O34" s="79">
        <f t="shared" si="4"/>
        <v>535959.4735753154</v>
      </c>
      <c r="P34" s="79">
        <f>P18+P32</f>
        <v>1260.1968192825998</v>
      </c>
      <c r="Q34" s="78">
        <f>Q18+Q32</f>
        <v>58.277727151860745</v>
      </c>
      <c r="R34" s="78">
        <f t="shared" si="4"/>
        <v>-39899.490000000005</v>
      </c>
      <c r="S34" s="73"/>
      <c r="T34" s="72"/>
    </row>
    <row r="35" spans="1:20" ht="12.75">
      <c r="A35" s="7" t="s">
        <v>91</v>
      </c>
      <c r="B35" s="40"/>
      <c r="C35" s="41"/>
      <c r="D35" s="42"/>
      <c r="E35" s="43"/>
      <c r="F35" s="45"/>
      <c r="G35" s="44"/>
      <c r="H35" s="45"/>
      <c r="I35" s="88"/>
      <c r="J35" s="44"/>
      <c r="K35" s="14"/>
      <c r="L35" s="14"/>
      <c r="M35" s="31"/>
      <c r="N35" s="70"/>
      <c r="O35" s="30"/>
      <c r="P35" s="90"/>
      <c r="Q35" s="75"/>
      <c r="R35" s="75"/>
      <c r="S35" s="1"/>
      <c r="T35" s="1"/>
    </row>
    <row r="36" spans="1:20" ht="12.75" customHeight="1">
      <c r="A36" s="11" t="s">
        <v>45</v>
      </c>
      <c r="B36" s="84">
        <f>Лист1!B30</f>
        <v>4452.08</v>
      </c>
      <c r="C36" s="27">
        <f aca="true" t="shared" si="5" ref="C36:C47">B36*8.65</f>
        <v>38510.492</v>
      </c>
      <c r="D36" s="28">
        <f>Лист1!D30</f>
        <v>3739.2420000000047</v>
      </c>
      <c r="E36" s="14">
        <f>Лист1!S30</f>
        <v>29274.32</v>
      </c>
      <c r="F36" s="30">
        <f>Лист1!T30</f>
        <v>5496.93</v>
      </c>
      <c r="G36" s="29">
        <f>Лист1!AB30</f>
        <v>19807.82</v>
      </c>
      <c r="H36" s="30">
        <f>Лист1!AC30</f>
        <v>29043.992000000006</v>
      </c>
      <c r="I36" s="87">
        <f>Лист1!AF30</f>
        <v>442.72774</v>
      </c>
      <c r="J36" s="29">
        <f>Лист1!AG30</f>
        <v>2671.248</v>
      </c>
      <c r="K36" s="14">
        <f>Лист1!AI30+Лист1!AJ30</f>
        <v>4452.08</v>
      </c>
      <c r="L36" s="14">
        <f>Лист1!AH30+Лист1!AK30+Лист1!AL30+Лист1!AM30+Лист1!AN30+Лист1!AO30+Лист1!AP30+Лист1!AQ30+Лист1!AR30</f>
        <v>15270.634399999999</v>
      </c>
      <c r="M36" s="31">
        <f>Лист1!AS30+Лист1!AT30+Лист1!AU30+Лист1!AZ30+Лист1!BA30</f>
        <v>2503</v>
      </c>
      <c r="N36" s="31">
        <f>Лист1!AX30</f>
        <v>1600.1999999999998</v>
      </c>
      <c r="O36" s="30">
        <f>Лист1!BB30</f>
        <v>26497.1624</v>
      </c>
      <c r="P36" s="90">
        <f>Лист1!BC30</f>
        <v>210.76899999999998</v>
      </c>
      <c r="Q36" s="75">
        <f>Лист1!BD30</f>
        <v>2778.7883400000032</v>
      </c>
      <c r="R36" s="75">
        <f>Лист1!BE30</f>
        <v>-9466.5</v>
      </c>
      <c r="S36" s="1"/>
      <c r="T36" s="1"/>
    </row>
    <row r="37" spans="1:20" ht="12.75">
      <c r="A37" s="11" t="s">
        <v>46</v>
      </c>
      <c r="B37" s="84">
        <f>Лист1!B31</f>
        <v>4452.08</v>
      </c>
      <c r="C37" s="27">
        <f t="shared" si="5"/>
        <v>38510.492</v>
      </c>
      <c r="D37" s="28">
        <f>Лист1!D31</f>
        <v>3739.2219999999998</v>
      </c>
      <c r="E37" s="14">
        <f>Лист1!S31</f>
        <v>29274.36</v>
      </c>
      <c r="F37" s="30">
        <f>Лист1!T31</f>
        <v>5496.91</v>
      </c>
      <c r="G37" s="29">
        <f>Лист1!AB31</f>
        <v>28886.53</v>
      </c>
      <c r="H37" s="30">
        <f>Лист1!AC31</f>
        <v>38122.662</v>
      </c>
      <c r="I37" s="87">
        <f>Лист1!AF31</f>
        <v>442.72774</v>
      </c>
      <c r="J37" s="29">
        <f>Лист1!AG31</f>
        <v>2671.248</v>
      </c>
      <c r="K37" s="14">
        <f>Лист1!AI31+Лист1!AJ31</f>
        <v>4452.08</v>
      </c>
      <c r="L37" s="14">
        <f>Лист1!AH31+Лист1!AK31+Лист1!AL31+Лист1!AM31+Лист1!AN31+Лист1!AO31+Лист1!AP31+Лист1!AQ31+Лист1!AR31</f>
        <v>15270.634399999999</v>
      </c>
      <c r="M37" s="31">
        <f>Лист1!AS31+Лист1!AT31+Лист1!AU31+Лист1!AZ31+Лист1!BA31</f>
        <v>4487</v>
      </c>
      <c r="N37" s="31">
        <f>Лист1!AX31</f>
        <v>1282.05</v>
      </c>
      <c r="O37" s="30">
        <f>Лист1!BB31</f>
        <v>28163.0124</v>
      </c>
      <c r="P37" s="90">
        <f>Лист1!BC31</f>
        <v>210.76899999999998</v>
      </c>
      <c r="Q37" s="75">
        <f>Лист1!BD31</f>
        <v>10191.608339999999</v>
      </c>
      <c r="R37" s="75">
        <f>Лист1!BE31</f>
        <v>-387.83000000000175</v>
      </c>
      <c r="S37" s="1"/>
      <c r="T37" s="1"/>
    </row>
    <row r="38" spans="1:20" ht="12.75">
      <c r="A38" s="11" t="s">
        <v>47</v>
      </c>
      <c r="B38" s="84">
        <f>Лист1!B32</f>
        <v>4452.08</v>
      </c>
      <c r="C38" s="27">
        <f t="shared" si="5"/>
        <v>38510.492</v>
      </c>
      <c r="D38" s="28">
        <f>Лист1!D32</f>
        <v>3739.2219999999998</v>
      </c>
      <c r="E38" s="14">
        <f>Лист1!S32</f>
        <v>29274.36</v>
      </c>
      <c r="F38" s="30">
        <f>Лист1!T32</f>
        <v>5496.91</v>
      </c>
      <c r="G38" s="29">
        <f>Лист1!AB32</f>
        <v>29174.42</v>
      </c>
      <c r="H38" s="30">
        <f>Лист1!AC32</f>
        <v>38410.551999999996</v>
      </c>
      <c r="I38" s="87">
        <f>Лист1!AF32</f>
        <v>442.72774</v>
      </c>
      <c r="J38" s="29">
        <f>Лист1!AG32</f>
        <v>2671.248</v>
      </c>
      <c r="K38" s="14">
        <f>Лист1!AI32+Лист1!AJ32</f>
        <v>4452.08</v>
      </c>
      <c r="L38" s="14">
        <f>Лист1!AH32+Лист1!AK32+Лист1!AL32+Лист1!AM32+Лист1!AN32+Лист1!AO32+Лист1!AP32+Лист1!AQ32+Лист1!AR32</f>
        <v>15270.634399999999</v>
      </c>
      <c r="M38" s="31">
        <f>Лист1!AS32+Лист1!AT32+Лист1!AU32+Лист1!AZ32+Лист1!BA32</f>
        <v>8297</v>
      </c>
      <c r="N38" s="31">
        <f>Лист1!AX32</f>
        <v>1206.4499999999998</v>
      </c>
      <c r="O38" s="30">
        <f>Лист1!BB32</f>
        <v>31897.4124</v>
      </c>
      <c r="P38" s="90">
        <f>Лист1!BC32</f>
        <v>210.76899999999998</v>
      </c>
      <c r="Q38" s="75">
        <f>Лист1!BD32</f>
        <v>6745.098339999997</v>
      </c>
      <c r="R38" s="75">
        <f>Лист1!BE32</f>
        <v>-99.94000000000233</v>
      </c>
      <c r="S38" s="1"/>
      <c r="T38" s="1"/>
    </row>
    <row r="39" spans="1:20" ht="12.75">
      <c r="A39" s="11" t="s">
        <v>48</v>
      </c>
      <c r="B39" s="84">
        <f>Лист1!B33</f>
        <v>4452.08</v>
      </c>
      <c r="C39" s="27">
        <f t="shared" si="5"/>
        <v>38510.492</v>
      </c>
      <c r="D39" s="28">
        <f>Лист1!D33</f>
        <v>3749.8419999999987</v>
      </c>
      <c r="E39" s="14">
        <f>Лист1!S33</f>
        <v>29263.74</v>
      </c>
      <c r="F39" s="30">
        <f>Лист1!T33</f>
        <v>5496.91</v>
      </c>
      <c r="G39" s="29">
        <f>Лист1!AB33</f>
        <v>22529.010000000002</v>
      </c>
      <c r="H39" s="30">
        <f>Лист1!AC33</f>
        <v>31775.762000000002</v>
      </c>
      <c r="I39" s="87">
        <f>Лист1!AF33</f>
        <v>442.72774</v>
      </c>
      <c r="J39" s="29">
        <f>Лист1!AG33</f>
        <v>2671.248</v>
      </c>
      <c r="K39" s="14">
        <f>Лист1!AI33+Лист1!AJ33</f>
        <v>4452.08</v>
      </c>
      <c r="L39" s="14">
        <f>Лист1!AH33+Лист1!AK33+Лист1!AL33+Лист1!AM33+Лист1!AN33+Лист1!AO33+Лист1!AP33+Лист1!AQ33+Лист1!AR33</f>
        <v>15270.634399999999</v>
      </c>
      <c r="M39" s="31">
        <f>Лист1!AS33+Лист1!AT33+Лист1!AU33+Лист1!AZ33+Лист1!BA33</f>
        <v>4030</v>
      </c>
      <c r="N39" s="31">
        <f>Лист1!AX33</f>
        <v>967.05</v>
      </c>
      <c r="O39" s="30">
        <f>Лист1!BB33</f>
        <v>27391.0124</v>
      </c>
      <c r="P39" s="90">
        <f>Лист1!BC33</f>
        <v>210.76899999999998</v>
      </c>
      <c r="Q39" s="75">
        <f>Лист1!BD33</f>
        <v>4616.708340000001</v>
      </c>
      <c r="R39" s="75">
        <f>Лист1!BE33</f>
        <v>-6734.73</v>
      </c>
      <c r="S39" s="1"/>
      <c r="T39" s="1"/>
    </row>
    <row r="40" spans="1:20" ht="12.75">
      <c r="A40" s="11" t="s">
        <v>49</v>
      </c>
      <c r="B40" s="84">
        <f>Лист1!B34</f>
        <v>4452.76</v>
      </c>
      <c r="C40" s="27">
        <f t="shared" si="5"/>
        <v>38516.374</v>
      </c>
      <c r="D40" s="28">
        <f>Лист1!D34</f>
        <v>3751.794000000011</v>
      </c>
      <c r="E40" s="14">
        <f>Лист1!S34</f>
        <v>29267.67</v>
      </c>
      <c r="F40" s="30">
        <f>Лист1!T34</f>
        <v>5496.91</v>
      </c>
      <c r="G40" s="29">
        <f>Лист1!AB34</f>
        <v>26920.97</v>
      </c>
      <c r="H40" s="30">
        <f>Лист1!AC34</f>
        <v>36169.67400000001</v>
      </c>
      <c r="I40" s="87">
        <f>Лист1!AF34</f>
        <v>442.72774</v>
      </c>
      <c r="J40" s="29">
        <f>Лист1!AG34</f>
        <v>2671.656</v>
      </c>
      <c r="K40" s="14">
        <f>Лист1!AI34+Лист1!AJ34</f>
        <v>4452.76</v>
      </c>
      <c r="L40" s="14">
        <f>Лист1!AH34+Лист1!AK34+Лист1!AL34+Лист1!AM34+Лист1!AN34+Лист1!AO34+Лист1!AP34+Лист1!AQ34+Лист1!AR34</f>
        <v>20790.686800000003</v>
      </c>
      <c r="M40" s="31">
        <f>Лист1!AS34+Лист1!AT34+Лист1!AU34+Лист1!AZ34+Лист1!BA34</f>
        <v>5006</v>
      </c>
      <c r="N40" s="31">
        <f>Лист1!AX34</f>
        <v>828.4499999999999</v>
      </c>
      <c r="O40" s="30">
        <f>Лист1!BB34</f>
        <v>33749.5528</v>
      </c>
      <c r="P40" s="90">
        <f>Лист1!BC34</f>
        <v>210.76899999999998</v>
      </c>
      <c r="Q40" s="75">
        <f>Лист1!BD34</f>
        <v>2652.0799400000183</v>
      </c>
      <c r="R40" s="75">
        <f>Лист1!BE34</f>
        <v>-2346.699999999997</v>
      </c>
      <c r="S40" s="1"/>
      <c r="T40" s="1"/>
    </row>
    <row r="41" spans="1:20" ht="12.75">
      <c r="A41" s="11" t="s">
        <v>50</v>
      </c>
      <c r="B41" s="84">
        <f>Лист1!B35</f>
        <v>4452.76</v>
      </c>
      <c r="C41" s="27">
        <f t="shared" si="5"/>
        <v>38516.374</v>
      </c>
      <c r="D41" s="28">
        <f>Лист1!D35</f>
        <v>3747.9040000000045</v>
      </c>
      <c r="E41" s="14">
        <f>Лист1!S35</f>
        <v>29289.34</v>
      </c>
      <c r="F41" s="30">
        <f>Лист1!T35</f>
        <v>5479.13</v>
      </c>
      <c r="G41" s="29">
        <f>Лист1!AB35</f>
        <v>24323.260000000002</v>
      </c>
      <c r="H41" s="30">
        <f>Лист1!AC35</f>
        <v>33550.29400000001</v>
      </c>
      <c r="I41" s="87">
        <f>Лист1!AF35</f>
        <v>442.72774</v>
      </c>
      <c r="J41" s="29">
        <f>Лист1!AG35</f>
        <v>2671.656</v>
      </c>
      <c r="K41" s="14">
        <f>Лист1!AI35+Лист1!AJ35</f>
        <v>4452.76</v>
      </c>
      <c r="L41" s="14">
        <f>Лист1!AH35+Лист1!AK35+Лист1!AL35+Лист1!AM35+Лист1!AN35+Лист1!AO35+Лист1!AP35+Лист1!AQ35+Лист1!AR35</f>
        <v>15272.966800000002</v>
      </c>
      <c r="M41" s="31">
        <f>Лист1!AS35+Лист1!AT35+Лист1!AU35+Лист1!AZ35+Лист1!BA35</f>
        <v>95149.77900000001</v>
      </c>
      <c r="N41" s="31">
        <f>Лист1!AX35</f>
        <v>733.9499999999999</v>
      </c>
      <c r="O41" s="30">
        <f>Лист1!BB35</f>
        <v>118281.1118</v>
      </c>
      <c r="P41" s="90">
        <f>Лист1!BC35</f>
        <v>210.76899999999998</v>
      </c>
      <c r="Q41" s="75">
        <f>Лист1!BD35</f>
        <v>-84498.85905999999</v>
      </c>
      <c r="R41" s="75">
        <f>Лист1!BE35</f>
        <v>-4966.079999999998</v>
      </c>
      <c r="S41" s="1"/>
      <c r="T41" s="1"/>
    </row>
    <row r="42" spans="1:20" ht="12.75">
      <c r="A42" s="11" t="s">
        <v>51</v>
      </c>
      <c r="B42" s="84">
        <f>Лист1!B36</f>
        <v>4452.76</v>
      </c>
      <c r="C42" s="27">
        <f t="shared" si="5"/>
        <v>38516.374</v>
      </c>
      <c r="D42" s="28">
        <f>Лист1!D36</f>
        <v>3733.0539999999996</v>
      </c>
      <c r="E42" s="14">
        <f>Лист1!S36</f>
        <v>34783.32</v>
      </c>
      <c r="F42" s="30">
        <f>Лист1!T36</f>
        <v>0</v>
      </c>
      <c r="G42" s="29">
        <f>Лист1!AB36</f>
        <v>30318.85</v>
      </c>
      <c r="H42" s="30">
        <f>Лист1!AC36</f>
        <v>34051.903999999995</v>
      </c>
      <c r="I42" s="87">
        <f>Лист1!AF36</f>
        <v>442.71774</v>
      </c>
      <c r="J42" s="29">
        <f>Лист1!AG36</f>
        <v>2671.656</v>
      </c>
      <c r="K42" s="14">
        <f>Лист1!AI36+Лист1!AJ36</f>
        <v>4452.76</v>
      </c>
      <c r="L42" s="14">
        <f>Лист1!AH36+Лист1!AK36+Лист1!AL36+Лист1!AM36+Лист1!AN36+Лист1!AO36+Лист1!AP36+Лист1!AQ36+Лист1!AR36</f>
        <v>15272.966800000002</v>
      </c>
      <c r="M42" s="31">
        <f>Лист1!AS36+Лист1!AT36+Лист1!AU36+Лист1!AZ36+Лист1!BA36</f>
        <v>1078.2721999999999</v>
      </c>
      <c r="N42" s="31">
        <f>Лист1!AX36</f>
        <v>781.1999999999999</v>
      </c>
      <c r="O42" s="30">
        <f>Лист1!BB36</f>
        <v>24256.855</v>
      </c>
      <c r="P42" s="90">
        <f>Лист1!BC36</f>
        <v>210.76899999999998</v>
      </c>
      <c r="Q42" s="75">
        <f>Лист1!BD36</f>
        <v>10026.997739999995</v>
      </c>
      <c r="R42" s="75">
        <f>Лист1!BE36</f>
        <v>-4464.470000000001</v>
      </c>
      <c r="S42" s="1"/>
      <c r="T42" s="1"/>
    </row>
    <row r="43" spans="1:20" ht="12.75">
      <c r="A43" s="11" t="s">
        <v>52</v>
      </c>
      <c r="B43" s="84">
        <f>Лист1!B37</f>
        <v>4452.76</v>
      </c>
      <c r="C43" s="27">
        <f t="shared" si="5"/>
        <v>38516.374</v>
      </c>
      <c r="D43" s="28">
        <f>Лист1!D37</f>
        <v>3728.1340000000023</v>
      </c>
      <c r="E43" s="14">
        <f>Лист1!S37</f>
        <v>34788.24</v>
      </c>
      <c r="F43" s="30">
        <f>Лист1!T37</f>
        <v>0</v>
      </c>
      <c r="G43" s="29">
        <f>Лист1!AB37</f>
        <v>34297.13</v>
      </c>
      <c r="H43" s="30">
        <f>Лист1!AC37</f>
        <v>38025.264</v>
      </c>
      <c r="I43" s="87">
        <f>Лист1!AF37</f>
        <v>442.71774</v>
      </c>
      <c r="J43" s="29">
        <f>Лист1!AG37</f>
        <v>2671.656</v>
      </c>
      <c r="K43" s="14">
        <f>Лист1!AI37+Лист1!AJ37</f>
        <v>4452.76</v>
      </c>
      <c r="L43" s="14">
        <f>Лист1!AH37+Лист1!AK37+Лист1!AL37+Лист1!AM37+Лист1!AN37+Лист1!AO37+Лист1!AP37+Лист1!AQ37+Лист1!AR37</f>
        <v>15272.966800000002</v>
      </c>
      <c r="M43" s="31">
        <f>Лист1!AS37+Лист1!AT37+Лист1!AU37+Лист1!AZ37+Лист1!BA37</f>
        <v>25316.203999999998</v>
      </c>
      <c r="N43" s="31">
        <f>Лист1!AX37</f>
        <v>922.9499999999999</v>
      </c>
      <c r="O43" s="30">
        <f>Лист1!BB37</f>
        <v>48636.536799999994</v>
      </c>
      <c r="P43" s="90">
        <f>Лист1!BC37</f>
        <v>210.76899999999998</v>
      </c>
      <c r="Q43" s="75">
        <f>Лист1!BD37</f>
        <v>-10379.324059999992</v>
      </c>
      <c r="R43" s="75">
        <f>Лист1!BE37</f>
        <v>-491.1100000000006</v>
      </c>
      <c r="S43" s="1"/>
      <c r="T43" s="1"/>
    </row>
    <row r="44" spans="1:20" ht="12.75">
      <c r="A44" s="11" t="s">
        <v>53</v>
      </c>
      <c r="B44" s="84">
        <f>Лист1!B38</f>
        <v>4452.76</v>
      </c>
      <c r="C44" s="27">
        <f t="shared" si="5"/>
        <v>38516.374</v>
      </c>
      <c r="D44" s="28">
        <f>Лист1!D38</f>
        <v>3726.3839999999987</v>
      </c>
      <c r="E44" s="14">
        <f>Лист1!S38</f>
        <v>34789.99</v>
      </c>
      <c r="F44" s="30">
        <f>Лист1!T38</f>
        <v>0</v>
      </c>
      <c r="G44" s="29">
        <f>Лист1!AB38</f>
        <v>40861.01</v>
      </c>
      <c r="H44" s="30">
        <f>Лист1!AC38</f>
        <v>44587.394</v>
      </c>
      <c r="I44" s="87">
        <f>Лист1!AF38</f>
        <v>442.71774</v>
      </c>
      <c r="J44" s="29">
        <f>Лист1!AG38</f>
        <v>2671.656</v>
      </c>
      <c r="K44" s="14">
        <f>Лист1!AI38+Лист1!AJ38</f>
        <v>4452.76</v>
      </c>
      <c r="L44" s="14">
        <f>Лист1!AH38+Лист1!AK38+Лист1!AL38+Лист1!AM38+Лист1!AN38+Лист1!AO38+Лист1!AP38+Лист1!AQ38+Лист1!AR38</f>
        <v>15272.966800000002</v>
      </c>
      <c r="M44" s="31">
        <f>Лист1!AS38+Лист1!AT38+Лист1!AU38+Лист1!AZ38+Лист1!BA38</f>
        <v>27356.77</v>
      </c>
      <c r="N44" s="31">
        <f>Лист1!AX38</f>
        <v>1099.35</v>
      </c>
      <c r="O44" s="30">
        <f>Лист1!BB38</f>
        <v>50853.502799999995</v>
      </c>
      <c r="P44" s="90">
        <f>Лист1!BC38</f>
        <v>210.76899999999998</v>
      </c>
      <c r="Q44" s="75">
        <f>Лист1!BD38</f>
        <v>-6034.160059999995</v>
      </c>
      <c r="R44" s="75">
        <f>Лист1!BE38</f>
        <v>6071.020000000004</v>
      </c>
      <c r="S44" s="1"/>
      <c r="T44" s="1"/>
    </row>
    <row r="45" spans="1:20" ht="12.75">
      <c r="A45" s="11" t="s">
        <v>41</v>
      </c>
      <c r="B45" s="84">
        <f>Лист1!B39</f>
        <v>4452.76</v>
      </c>
      <c r="C45" s="27">
        <f>B45*8.65</f>
        <v>38516.374</v>
      </c>
      <c r="D45" s="28">
        <f>Лист1!D39</f>
        <v>3723.844000000005</v>
      </c>
      <c r="E45" s="14">
        <f>Лист1!S39</f>
        <v>34792.53</v>
      </c>
      <c r="F45" s="30">
        <f>Лист1!T39</f>
        <v>0</v>
      </c>
      <c r="G45" s="29">
        <f>Лист1!AB39</f>
        <v>34852.590000000004</v>
      </c>
      <c r="H45" s="30">
        <f>Лист1!AC39</f>
        <v>38576.43400000001</v>
      </c>
      <c r="I45" s="87">
        <f>Лист1!AF39</f>
        <v>592.71774</v>
      </c>
      <c r="J45" s="29">
        <f>Лист1!AG39</f>
        <v>2671.656</v>
      </c>
      <c r="K45" s="14">
        <f>Лист1!AI39+Лист1!AJ39</f>
        <v>4452.76</v>
      </c>
      <c r="L45" s="14">
        <f>Лист1!AH39+Лист1!AK39+Лист1!AL39+Лист1!AM39+Лист1!AN39+Лист1!AO39+Лист1!AP39+Лист1!AQ39+Лист1!AR39</f>
        <v>15272.966800000002</v>
      </c>
      <c r="M45" s="31">
        <f>Лист1!AS39+Лист1!AT39+Лист1!AU39+Лист1!AZ39+Лист1!BA39</f>
        <v>17955.906</v>
      </c>
      <c r="N45" s="31">
        <f>Лист1!AX39</f>
        <v>1338.75</v>
      </c>
      <c r="O45" s="30">
        <f>Лист1!BB39</f>
        <v>41692.0388</v>
      </c>
      <c r="P45" s="90">
        <f>Лист1!BC39</f>
        <v>248.26899999999998</v>
      </c>
      <c r="Q45" s="75">
        <f>Лист1!BD39</f>
        <v>-2771.1560599999934</v>
      </c>
      <c r="R45" s="75">
        <f>Лист1!BE39</f>
        <v>60.06000000000495</v>
      </c>
      <c r="S45" s="1"/>
      <c r="T45" s="1"/>
    </row>
    <row r="46" spans="1:20" ht="12.75">
      <c r="A46" s="11" t="s">
        <v>42</v>
      </c>
      <c r="B46" s="84">
        <f>Лист1!B40</f>
        <v>4452.76</v>
      </c>
      <c r="C46" s="27">
        <f t="shared" si="5"/>
        <v>38516.374</v>
      </c>
      <c r="D46" s="28">
        <f>Лист1!D40</f>
        <v>3723.7640000000056</v>
      </c>
      <c r="E46" s="14">
        <f>Лист1!S40</f>
        <v>34792.61</v>
      </c>
      <c r="F46" s="30">
        <f>Лист1!T40</f>
        <v>0</v>
      </c>
      <c r="G46" s="29">
        <f>Лист1!AB40</f>
        <v>35778.99</v>
      </c>
      <c r="H46" s="30">
        <f>Лист1!AC40</f>
        <v>39502.754</v>
      </c>
      <c r="I46" s="87">
        <f>Лист1!AF40</f>
        <v>592.71774</v>
      </c>
      <c r="J46" s="29">
        <f>Лист1!AG40</f>
        <v>2671.656</v>
      </c>
      <c r="K46" s="14">
        <f>Лист1!AI40+Лист1!AJ40</f>
        <v>4452.76</v>
      </c>
      <c r="L46" s="14">
        <f>Лист1!AH40+Лист1!AK40+Лист1!AL40+Лист1!AM40+Лист1!AN40+Лист1!AO40+Лист1!AP40+Лист1!AQ40+Лист1!AR40</f>
        <v>15272.966800000002</v>
      </c>
      <c r="M46" s="31">
        <f>Лист1!AS40+Лист1!AT40+Лист1!AU40+Лист1!AZ40+Лист1!BA40</f>
        <v>10907</v>
      </c>
      <c r="N46" s="31">
        <f>Лист1!AX40</f>
        <v>1480.5</v>
      </c>
      <c r="O46" s="30">
        <f>Лист1!BB40</f>
        <v>34784.8828</v>
      </c>
      <c r="P46" s="90">
        <f>Лист1!BC40</f>
        <v>248.26899999999998</v>
      </c>
      <c r="Q46" s="75">
        <f>Лист1!BD40</f>
        <v>5062.319940000001</v>
      </c>
      <c r="R46" s="75">
        <f>Лист1!BE40</f>
        <v>986.3799999999974</v>
      </c>
      <c r="S46" s="1"/>
      <c r="T46" s="1"/>
    </row>
    <row r="47" spans="1:20" ht="13.5" thickBot="1">
      <c r="A47" s="32" t="s">
        <v>43</v>
      </c>
      <c r="B47" s="84">
        <f>Лист1!B41</f>
        <v>4452.76</v>
      </c>
      <c r="C47" s="33">
        <f t="shared" si="5"/>
        <v>38516.374</v>
      </c>
      <c r="D47" s="28">
        <f>Лист1!D41</f>
        <v>3708.384000000005</v>
      </c>
      <c r="E47" s="14">
        <f>Лист1!S41</f>
        <v>34807.99</v>
      </c>
      <c r="F47" s="30">
        <f>Лист1!T41</f>
        <v>0</v>
      </c>
      <c r="G47" s="29">
        <f>Лист1!AB41</f>
        <v>40662.58</v>
      </c>
      <c r="H47" s="30">
        <f>Лист1!AC41</f>
        <v>44370.96400000001</v>
      </c>
      <c r="I47" s="87">
        <f>Лист1!AF41</f>
        <v>592.71774</v>
      </c>
      <c r="J47" s="29">
        <f>Лист1!AG41</f>
        <v>2671.656</v>
      </c>
      <c r="K47" s="14">
        <f>Лист1!AI41+Лист1!AJ41</f>
        <v>4452.76</v>
      </c>
      <c r="L47" s="14">
        <f>Лист1!AH41+Лист1!AK41+Лист1!AL41+Лист1!AM41+Лист1!AN41+Лист1!AO41+Лист1!AP41+Лист1!AQ41+Лист1!AR41</f>
        <v>15272.966800000002</v>
      </c>
      <c r="M47" s="31">
        <f>Лист1!AS41+Лист1!AT41+Лист1!AU41+Лист1!AZ41+Лист1!BA41</f>
        <v>15306.9962</v>
      </c>
      <c r="N47" s="31">
        <f>Лист1!AX41</f>
        <v>1619.1</v>
      </c>
      <c r="O47" s="30">
        <f>Лист1!BB41</f>
        <v>39323.47899999999</v>
      </c>
      <c r="P47" s="90">
        <f>Лист1!BC41</f>
        <v>248.26899999999998</v>
      </c>
      <c r="Q47" s="75">
        <f>Лист1!BD41</f>
        <v>5391.933740000015</v>
      </c>
      <c r="R47" s="75">
        <f>Лист1!BE41</f>
        <v>5854.590000000004</v>
      </c>
      <c r="S47" s="1"/>
      <c r="T47" s="1"/>
    </row>
    <row r="48" spans="1:20" s="20" customFormat="1" ht="13.5" thickBot="1">
      <c r="A48" s="34" t="s">
        <v>5</v>
      </c>
      <c r="B48" s="35"/>
      <c r="C48" s="36">
        <f aca="true" t="shared" si="6" ref="C48:R48">SUM(C36:C47)</f>
        <v>462172.9600000001</v>
      </c>
      <c r="D48" s="68">
        <f t="shared" si="6"/>
        <v>44810.79000000004</v>
      </c>
      <c r="E48" s="36">
        <f t="shared" si="6"/>
        <v>384398.47</v>
      </c>
      <c r="F48" s="69">
        <f t="shared" si="6"/>
        <v>32963.7</v>
      </c>
      <c r="G48" s="68">
        <f t="shared" si="6"/>
        <v>368413.16000000003</v>
      </c>
      <c r="H48" s="69">
        <f t="shared" si="6"/>
        <v>446187.65</v>
      </c>
      <c r="I48" s="69">
        <f t="shared" si="6"/>
        <v>5762.67288</v>
      </c>
      <c r="J48" s="68">
        <f t="shared" si="6"/>
        <v>32058.239999999994</v>
      </c>
      <c r="K48" s="36">
        <f t="shared" si="6"/>
        <v>53430.400000000016</v>
      </c>
      <c r="L48" s="36">
        <f t="shared" si="6"/>
        <v>188783.99199999997</v>
      </c>
      <c r="M48" s="36">
        <f t="shared" si="6"/>
        <v>217393.9274</v>
      </c>
      <c r="N48" s="36">
        <f t="shared" si="6"/>
        <v>13860</v>
      </c>
      <c r="O48" s="69">
        <f t="shared" si="6"/>
        <v>505526.5594</v>
      </c>
      <c r="P48" s="69">
        <f t="shared" si="6"/>
        <v>2641.727999999999</v>
      </c>
      <c r="Q48" s="76">
        <f t="shared" si="6"/>
        <v>-56217.96451999993</v>
      </c>
      <c r="R48" s="76">
        <f t="shared" si="6"/>
        <v>-15985.30999999999</v>
      </c>
      <c r="S48" s="72"/>
      <c r="T48" s="72"/>
    </row>
    <row r="49" spans="1:20" ht="13.5" thickBot="1">
      <c r="A49" s="192" t="s">
        <v>70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80"/>
      <c r="S49" s="1"/>
      <c r="T49" s="1"/>
    </row>
    <row r="50" spans="1:20" s="20" customFormat="1" ht="13.5" thickBot="1">
      <c r="A50" s="81" t="s">
        <v>54</v>
      </c>
      <c r="B50" s="38"/>
      <c r="C50" s="39">
        <f>C34+C48</f>
        <v>1040039.6699999999</v>
      </c>
      <c r="D50" s="37">
        <f aca="true" t="shared" si="7" ref="D50:O50">D34+D48</f>
        <v>124140.96168175005</v>
      </c>
      <c r="E50" s="38">
        <f t="shared" si="7"/>
        <v>800938.83</v>
      </c>
      <c r="F50" s="39">
        <f t="shared" si="7"/>
        <v>111614.23999999999</v>
      </c>
      <c r="G50" s="37">
        <f t="shared" si="7"/>
        <v>745054.03</v>
      </c>
      <c r="H50" s="39">
        <f t="shared" si="7"/>
        <v>980809.2316817499</v>
      </c>
      <c r="I50" s="39">
        <f t="shared" si="7"/>
        <v>8419.03932</v>
      </c>
      <c r="J50" s="37">
        <f t="shared" si="7"/>
        <v>71072.31</v>
      </c>
      <c r="K50" s="38">
        <f t="shared" si="7"/>
        <v>117978.08480532162</v>
      </c>
      <c r="L50" s="38">
        <f t="shared" si="7"/>
        <v>436117.1187699939</v>
      </c>
      <c r="M50" s="38">
        <f t="shared" si="7"/>
        <v>389374.6794</v>
      </c>
      <c r="N50" s="38">
        <f t="shared" si="7"/>
        <v>26943.84</v>
      </c>
      <c r="O50" s="79">
        <f t="shared" si="7"/>
        <v>1041486.0329753155</v>
      </c>
      <c r="P50" s="79">
        <f>P34+P48</f>
        <v>3901.924819282599</v>
      </c>
      <c r="Q50" s="78">
        <f>Q34+Q48</f>
        <v>-56159.686792848064</v>
      </c>
      <c r="R50" s="78">
        <f>R34+R48</f>
        <v>-55884.799999999996</v>
      </c>
      <c r="S50" s="73"/>
      <c r="T50" s="72"/>
    </row>
    <row r="53" spans="1:20" ht="12.75">
      <c r="A53" s="20" t="s">
        <v>71</v>
      </c>
      <c r="D53" s="85" t="s">
        <v>92</v>
      </c>
      <c r="S53" s="1"/>
      <c r="T53" s="1"/>
    </row>
    <row r="54" spans="1:20" ht="12.75">
      <c r="A54" s="21" t="s">
        <v>72</v>
      </c>
      <c r="B54" s="21" t="s">
        <v>73</v>
      </c>
      <c r="C54" s="194" t="s">
        <v>74</v>
      </c>
      <c r="D54" s="194"/>
      <c r="S54" s="1"/>
      <c r="T54" s="1"/>
    </row>
    <row r="55" spans="1:20" ht="12.75">
      <c r="A55" s="133">
        <v>302913.03</v>
      </c>
      <c r="B55" s="133">
        <v>44789.72</v>
      </c>
      <c r="C55" s="188">
        <f>A55-B55</f>
        <v>258123.31000000003</v>
      </c>
      <c r="D55" s="189"/>
      <c r="S55" s="1"/>
      <c r="T55" s="1"/>
    </row>
    <row r="56" spans="1:20" ht="12.75">
      <c r="A56" s="46"/>
      <c r="S56" s="1"/>
      <c r="T56" s="1"/>
    </row>
    <row r="57" spans="1:20" ht="12.75">
      <c r="A57" s="2" t="s">
        <v>77</v>
      </c>
      <c r="G57" s="2" t="s">
        <v>78</v>
      </c>
      <c r="S57" s="1"/>
      <c r="T57" s="1"/>
    </row>
    <row r="58" ht="12.75">
      <c r="A58" s="1"/>
    </row>
    <row r="59" ht="12.75">
      <c r="A59" s="1"/>
    </row>
    <row r="60" ht="12.75">
      <c r="A60" s="2" t="s">
        <v>88</v>
      </c>
    </row>
    <row r="61" ht="12.75">
      <c r="A61" s="2" t="s">
        <v>79</v>
      </c>
    </row>
  </sheetData>
  <sheetProtection/>
  <mergeCells count="29">
    <mergeCell ref="A49:Q49"/>
    <mergeCell ref="C9:C12"/>
    <mergeCell ref="D9:D12"/>
    <mergeCell ref="B1:H1"/>
    <mergeCell ref="B2:H2"/>
    <mergeCell ref="A8:D8"/>
    <mergeCell ref="E8:F8"/>
    <mergeCell ref="A5:Q5"/>
    <mergeCell ref="A6:G6"/>
    <mergeCell ref="R9:R12"/>
    <mergeCell ref="E11:F11"/>
    <mergeCell ref="H11:H12"/>
    <mergeCell ref="J11:J12"/>
    <mergeCell ref="K11:K12"/>
    <mergeCell ref="L11:L12"/>
    <mergeCell ref="M11:M12"/>
    <mergeCell ref="N11:N12"/>
    <mergeCell ref="E9:F10"/>
    <mergeCell ref="G9:H10"/>
    <mergeCell ref="C55:D55"/>
    <mergeCell ref="O11:O12"/>
    <mergeCell ref="A33:Q33"/>
    <mergeCell ref="C54:D54"/>
    <mergeCell ref="I9:I12"/>
    <mergeCell ref="P9:P12"/>
    <mergeCell ref="J9:O10"/>
    <mergeCell ref="Q9:Q12"/>
    <mergeCell ref="A9:A12"/>
    <mergeCell ref="B9:B12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2010-07-02T04:14:53Z</cp:lastPrinted>
  <dcterms:created xsi:type="dcterms:W3CDTF">2010-04-02T05:03:24Z</dcterms:created>
  <dcterms:modified xsi:type="dcterms:W3CDTF">2011-04-12T03:13:07Z</dcterms:modified>
  <cp:category/>
  <cp:version/>
  <cp:contentType/>
  <cp:contentStatus/>
</cp:coreProperties>
</file>