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<sst xmlns="http://schemas.openxmlformats.org/spreadsheetml/2006/main" count="169" uniqueCount="89">
  <si>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</si>
  <si>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</si>
  <si>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</si>
  <si>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</si>
  <si>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</si>
  <si>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</si>
  <si>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</si>
  <si>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</si>
  <si>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</si>
  <si>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</si>
  <si>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</si>
  <si>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</si>
  <si>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</si>
  <si>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</si>
  <si>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</si>
  <si>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</si>
  <si>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</si>
  <si>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</si>
  <si>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</si>
  <si>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</si>
  <si>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</si>
  <si>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</si>
  <si>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</si>
  <si>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</si>
  <si>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</si>
  <si>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</si>
  <si>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</si>
  <si>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</si>
  <si>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</si>
  <si>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</si>
  <si>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</si>
  <si>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</si>
  <si>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</si>
  <si>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</si>
  <si>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</si>
  <si>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</si>
  <si>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</si>
  <si>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</si>
  <si>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</si>
  <si>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</si>
  <si>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</si>
  <si>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</si>
  <si>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</si>
  <si>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</si>
  <si>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</si>
  <si>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</si>
  <si>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</si>
  <si>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</si>
  <si>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</si>
  <si>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</si>
  <si>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</si>
  <si>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</si>
  <si>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</si>
  <si>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</si>
  <si>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</si>
  <si>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</si>
  <si>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</si>
  <si>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</si>
  <si>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</si>
  <si>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</si>
  <si>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</si>
  <si>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</si>
  <si>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</si>
  <si>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</si>
  <si>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</si>
  <si>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</si>
  <si>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</si>
  <si>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</si>
  <si>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</si>
  <si>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</si>
  <si>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</si>
  <si>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</si>
  <si>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Лицевой счет по адресу г. Таштагол, ул. Поспелова, д. 11</t>
  </si>
  <si>
    <t>Выписка по лицевому счету по адресу г. Таштагол, ул. Поспелова, д. 11</t>
  </si>
  <si>
    <t>Доп. работы по содержанию ТУК</t>
  </si>
  <si>
    <t>Собрано по отоплению</t>
  </si>
  <si>
    <t>Собрано по лифтам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</si>
  <si>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</si>
  <si>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</si>
  <si>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</si>
  <si>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</si>
  <si>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</si>
  <si>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</si>
  <si>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</si>
  <si>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Собрано квартплаты от населения</t>
  </si>
  <si>
    <t>от населения по содержанию и тек.рем.</t>
  </si>
  <si>
    <t>Расходы по нежилым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</si>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</sst>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33" borderId="3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3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2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>
      <alignment/>
    </xf>
    <xf numFmtId="4" fontId="2" fillId="0" borderId="30" xfId="3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0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 horizontal="center" wrapText="1"/>
    </xf>
    <xf numFmtId="4" fontId="2" fillId="0" borderId="37" xfId="33" applyNumberFormat="1" applyFont="1" applyFill="1" applyBorder="1" applyAlignment="1">
      <alignment horizontal="center" vertical="center" wrapText="1"/>
      <protection/>
    </xf>
    <xf numFmtId="4" fontId="2" fillId="34" borderId="18" xfId="33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37" borderId="19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wrapText="1"/>
    </xf>
    <xf numFmtId="4" fontId="1" fillId="33" borderId="41" xfId="0" applyNumberFormat="1" applyFont="1" applyFill="1" applyBorder="1" applyAlignment="1">
      <alignment wrapText="1"/>
    </xf>
    <xf numFmtId="4" fontId="1" fillId="34" borderId="41" xfId="0" applyNumberFormat="1" applyFont="1" applyFill="1" applyBorder="1" applyAlignment="1">
      <alignment wrapText="1"/>
    </xf>
    <xf numFmtId="4" fontId="1" fillId="34" borderId="41" xfId="0" applyNumberFormat="1" applyFont="1" applyFill="1" applyBorder="1" applyAlignment="1">
      <alignment horizontal="right" wrapText="1"/>
    </xf>
    <xf numFmtId="4" fontId="1" fillId="0" borderId="41" xfId="0" applyNumberFormat="1" applyFont="1" applyFill="1" applyBorder="1" applyAlignment="1">
      <alignment horizontal="right" wrapText="1"/>
    </xf>
    <xf numFmtId="4" fontId="1" fillId="33" borderId="41" xfId="0" applyNumberFormat="1" applyFont="1" applyFill="1" applyBorder="1" applyAlignment="1">
      <alignment horizontal="right" wrapText="1"/>
    </xf>
    <xf numFmtId="4" fontId="1" fillId="0" borderId="42" xfId="0" applyNumberFormat="1" applyFont="1" applyFill="1" applyBorder="1" applyAlignment="1">
      <alignment horizontal="right" wrapText="1"/>
    </xf>
    <xf numFmtId="4" fontId="1" fillId="0" borderId="43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6" borderId="18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4" borderId="3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32" xfId="0" applyFont="1" applyFill="1" applyBorder="1" applyAlignment="1">
      <alignment horizontal="center" textRotation="90"/>
    </xf>
    <xf numFmtId="0" fontId="1" fillId="33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1">
        <row r="39">
          <cell r="I39">
            <v>0</v>
          </cell>
          <cell r="O39">
            <v>0</v>
          </cell>
        </row>
      </sheetData>
      <sheetData sheetId="2">
        <row r="39">
          <cell r="I39">
            <v>0</v>
          </cell>
          <cell r="O39">
            <v>0</v>
          </cell>
        </row>
      </sheetData>
      <sheetData sheetId="3">
        <row r="40">
          <cell r="I40">
            <v>1717.5299720000003</v>
          </cell>
          <cell r="O40">
            <v>260.9439498400001</v>
          </cell>
        </row>
      </sheetData>
      <sheetData sheetId="4">
        <row r="40">
          <cell r="I40">
            <v>608.6133199999999</v>
          </cell>
          <cell r="O40">
            <v>291.29335844400003</v>
          </cell>
        </row>
      </sheetData>
      <sheetData sheetId="5">
        <row r="40">
          <cell r="I40">
            <v>608.6133199999999</v>
          </cell>
          <cell r="O40">
            <v>275.76443596</v>
          </cell>
        </row>
      </sheetData>
      <sheetData sheetId="6">
        <row r="41">
          <cell r="O41">
            <v>287.60592004</v>
          </cell>
        </row>
        <row r="52">
          <cell r="O52">
            <v>218.55973346000002</v>
          </cell>
        </row>
      </sheetData>
      <sheetData sheetId="7">
        <row r="41">
          <cell r="O41">
            <v>287.47524141200006</v>
          </cell>
        </row>
        <row r="52">
          <cell r="O52">
            <v>218.46042713800003</v>
          </cell>
        </row>
      </sheetData>
      <sheetData sheetId="8">
        <row r="41">
          <cell r="O41">
            <v>287.4317624948</v>
          </cell>
        </row>
        <row r="52">
          <cell r="O52">
            <v>218.4273863002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2">
          <cell r="O42">
            <v>289.676684</v>
          </cell>
        </row>
        <row r="54">
          <cell r="O54">
            <v>220.12486600000003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1">
          <cell r="I41">
            <v>608.6133199999999</v>
          </cell>
        </row>
        <row r="52">
          <cell r="I52">
            <v>462.50218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2">
          <cell r="I42">
            <v>608.6133199999999</v>
          </cell>
        </row>
        <row r="54">
          <cell r="I54">
            <v>462.50218</v>
          </cell>
        </row>
      </sheetData>
      <sheetData sheetId="1">
        <row r="42">
          <cell r="I42">
            <v>608.6133199999999</v>
          </cell>
          <cell r="O42">
            <v>290.08548</v>
          </cell>
        </row>
        <row r="54">
          <cell r="I54">
            <v>462.50218</v>
          </cell>
          <cell r="O54">
            <v>220.44402000000002</v>
          </cell>
        </row>
      </sheetData>
      <sheetData sheetId="2">
        <row r="42">
          <cell r="I42">
            <v>608.6133199999999</v>
          </cell>
          <cell r="O42">
            <v>290.08548</v>
          </cell>
        </row>
        <row r="55">
          <cell r="I55">
            <v>462.50218</v>
          </cell>
          <cell r="O55">
            <v>220.44402000000002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0">
          <cell r="I40">
            <v>608.6133199999999</v>
          </cell>
        </row>
        <row r="52">
          <cell r="I52">
            <v>462.50218</v>
          </cell>
        </row>
      </sheetData>
      <sheetData sheetId="2">
        <row r="41">
          <cell r="M41">
            <v>289.742</v>
          </cell>
        </row>
        <row r="53">
          <cell r="M53">
            <v>220.183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1">
          <cell r="I41">
            <v>608.6133199999999</v>
          </cell>
          <cell r="M41">
            <v>289.742</v>
          </cell>
        </row>
        <row r="53">
          <cell r="I53">
            <v>462.50218</v>
          </cell>
          <cell r="M53">
            <v>220.183</v>
          </cell>
        </row>
      </sheetData>
      <sheetData sheetId="5">
        <row r="41">
          <cell r="M41">
            <v>289.742</v>
          </cell>
        </row>
        <row r="53">
          <cell r="M53">
            <v>220.183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1">
          <cell r="I41">
            <v>608.6133199999999</v>
          </cell>
        </row>
        <row r="53">
          <cell r="I53">
            <v>462.50218</v>
          </cell>
        </row>
      </sheetData>
      <sheetData sheetId="9">
        <row r="41">
          <cell r="I41">
            <v>608.6133199999999</v>
          </cell>
          <cell r="M41">
            <v>289.742</v>
          </cell>
        </row>
        <row r="53">
          <cell r="I53">
            <v>462.50218</v>
          </cell>
          <cell r="M53">
            <v>220.183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7" topLeftCell="AQ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2" sqref="G32"/>
    </sheetView>
  </sheetViews>
  <sheetFormatPr defaultColWidth="9.00390625" defaultRowHeight="12.75"/>
  <cols>
    <col min="1" max="1" width="11.00390625" style="2" customWidth="1"/>
    <col min="2" max="2" width="9.375" style="2" bestFit="1" customWidth="1"/>
    <col min="3" max="3" width="13.25390625" style="2" customWidth="1"/>
    <col min="4" max="4" width="10.375" style="2" customWidth="1"/>
    <col min="5" max="5" width="11.3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10.00390625" style="2" customWidth="1"/>
    <col min="28" max="28" width="10.125" style="2" bestFit="1" customWidth="1"/>
    <col min="29" max="31" width="11.375" style="2" customWidth="1"/>
    <col min="32" max="32" width="10.25390625" style="2" customWidth="1"/>
    <col min="33" max="35" width="9.25390625" style="2" bestFit="1" customWidth="1"/>
    <col min="36" max="36" width="10.25390625" style="2" customWidth="1"/>
    <col min="37" max="37" width="9.25390625" style="2" bestFit="1" customWidth="1"/>
    <col min="38" max="38" width="10.125" style="2" bestFit="1" customWidth="1"/>
    <col min="39" max="41" width="9.25390625" style="2" bestFit="1" customWidth="1"/>
    <col min="42" max="43" width="9.25390625" style="2" customWidth="1"/>
    <col min="44" max="44" width="10.125" style="2" bestFit="1" customWidth="1"/>
    <col min="45" max="45" width="10.125" style="2" customWidth="1"/>
    <col min="46" max="46" width="9.25390625" style="2" bestFit="1" customWidth="1"/>
    <col min="47" max="47" width="10.625" style="2" customWidth="1"/>
    <col min="48" max="48" width="10.375" style="2" customWidth="1"/>
    <col min="49" max="50" width="10.125" style="2" bestFit="1" customWidth="1"/>
    <col min="51" max="51" width="10.375" style="2" customWidth="1"/>
    <col min="52" max="52" width="10.75390625" style="2" customWidth="1"/>
    <col min="53" max="55" width="14.00390625" style="2" customWidth="1"/>
    <col min="56" max="56" width="10.125" style="2" customWidth="1"/>
    <col min="57" max="57" width="10.625" style="2" customWidth="1"/>
    <col min="58" max="16384" width="9.125" style="2" customWidth="1"/>
  </cols>
  <sheetData>
    <row r="1" spans="1:18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4" t="s">
        <v>0</v>
      </c>
      <c r="B3" s="187" t="s">
        <v>1</v>
      </c>
      <c r="C3" s="187" t="s">
        <v>2</v>
      </c>
      <c r="D3" s="187" t="s">
        <v>3</v>
      </c>
      <c r="E3" s="190" t="s">
        <v>4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4" t="s">
        <v>5</v>
      </c>
      <c r="T3" s="194"/>
      <c r="U3" s="195" t="s">
        <v>6</v>
      </c>
      <c r="V3" s="195"/>
      <c r="W3" s="195"/>
      <c r="X3" s="195"/>
      <c r="Y3" s="195"/>
      <c r="Z3" s="195"/>
      <c r="AA3" s="195"/>
      <c r="AB3" s="195"/>
      <c r="AC3" s="179" t="s">
        <v>7</v>
      </c>
      <c r="AD3" s="179" t="s">
        <v>75</v>
      </c>
      <c r="AE3" s="179" t="s">
        <v>76</v>
      </c>
      <c r="AF3" s="86"/>
      <c r="AG3" s="182" t="s">
        <v>8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79"/>
      <c r="BD3" s="164" t="s">
        <v>9</v>
      </c>
      <c r="BE3" s="167" t="s">
        <v>10</v>
      </c>
    </row>
    <row r="4" spans="1:57" ht="36" customHeight="1" thickBot="1">
      <c r="A4" s="185"/>
      <c r="B4" s="188"/>
      <c r="C4" s="188"/>
      <c r="D4" s="188"/>
      <c r="E4" s="191" t="s">
        <v>11</v>
      </c>
      <c r="F4" s="191"/>
      <c r="G4" s="191" t="s">
        <v>12</v>
      </c>
      <c r="H4" s="191"/>
      <c r="I4" s="191" t="s">
        <v>13</v>
      </c>
      <c r="J4" s="191"/>
      <c r="K4" s="191" t="s">
        <v>14</v>
      </c>
      <c r="L4" s="191"/>
      <c r="M4" s="191" t="s">
        <v>15</v>
      </c>
      <c r="N4" s="191"/>
      <c r="O4" s="191" t="s">
        <v>16</v>
      </c>
      <c r="P4" s="191"/>
      <c r="Q4" s="191" t="s">
        <v>17</v>
      </c>
      <c r="R4" s="191"/>
      <c r="S4" s="191"/>
      <c r="T4" s="191"/>
      <c r="U4" s="196"/>
      <c r="V4" s="196"/>
      <c r="W4" s="196"/>
      <c r="X4" s="196"/>
      <c r="Y4" s="196"/>
      <c r="Z4" s="196"/>
      <c r="AA4" s="196"/>
      <c r="AB4" s="196"/>
      <c r="AC4" s="180"/>
      <c r="AD4" s="180"/>
      <c r="AE4" s="180"/>
      <c r="AF4" s="84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80"/>
      <c r="BD4" s="165"/>
      <c r="BE4" s="168"/>
    </row>
    <row r="5" spans="1:57" ht="29.25" customHeight="1" thickBot="1">
      <c r="A5" s="185"/>
      <c r="B5" s="188"/>
      <c r="C5" s="188"/>
      <c r="D5" s="188"/>
      <c r="E5" s="192" t="s">
        <v>18</v>
      </c>
      <c r="F5" s="192" t="s">
        <v>19</v>
      </c>
      <c r="G5" s="192" t="s">
        <v>18</v>
      </c>
      <c r="H5" s="192" t="s">
        <v>19</v>
      </c>
      <c r="I5" s="192" t="s">
        <v>18</v>
      </c>
      <c r="J5" s="192" t="s">
        <v>19</v>
      </c>
      <c r="K5" s="192" t="s">
        <v>18</v>
      </c>
      <c r="L5" s="192" t="s">
        <v>19</v>
      </c>
      <c r="M5" s="192" t="s">
        <v>18</v>
      </c>
      <c r="N5" s="192" t="s">
        <v>19</v>
      </c>
      <c r="O5" s="192" t="s">
        <v>18</v>
      </c>
      <c r="P5" s="192" t="s">
        <v>19</v>
      </c>
      <c r="Q5" s="192" t="s">
        <v>18</v>
      </c>
      <c r="R5" s="192" t="s">
        <v>19</v>
      </c>
      <c r="S5" s="192" t="s">
        <v>18</v>
      </c>
      <c r="T5" s="192" t="s">
        <v>19</v>
      </c>
      <c r="U5" s="180" t="s">
        <v>20</v>
      </c>
      <c r="V5" s="180" t="s">
        <v>21</v>
      </c>
      <c r="W5" s="180" t="s">
        <v>22</v>
      </c>
      <c r="X5" s="180" t="s">
        <v>23</v>
      </c>
      <c r="Y5" s="180" t="s">
        <v>24</v>
      </c>
      <c r="Z5" s="180" t="s">
        <v>25</v>
      </c>
      <c r="AA5" s="180" t="s">
        <v>26</v>
      </c>
      <c r="AB5" s="180" t="s">
        <v>27</v>
      </c>
      <c r="AC5" s="180"/>
      <c r="AD5" s="180"/>
      <c r="AE5" s="180"/>
      <c r="AF5" s="84"/>
      <c r="AG5" s="173" t="s">
        <v>28</v>
      </c>
      <c r="AH5" s="173" t="s">
        <v>29</v>
      </c>
      <c r="AI5" s="173" t="s">
        <v>30</v>
      </c>
      <c r="AJ5" s="173" t="s">
        <v>31</v>
      </c>
      <c r="AK5" s="173" t="s">
        <v>32</v>
      </c>
      <c r="AL5" s="173" t="s">
        <v>31</v>
      </c>
      <c r="AM5" s="173" t="s">
        <v>33</v>
      </c>
      <c r="AN5" s="173" t="s">
        <v>31</v>
      </c>
      <c r="AO5" s="173" t="s">
        <v>34</v>
      </c>
      <c r="AP5" s="173" t="s">
        <v>31</v>
      </c>
      <c r="AQ5" s="175" t="s">
        <v>74</v>
      </c>
      <c r="AR5" s="199" t="s">
        <v>31</v>
      </c>
      <c r="AS5" s="177" t="s">
        <v>77</v>
      </c>
      <c r="AT5" s="197" t="s">
        <v>78</v>
      </c>
      <c r="AU5" s="197" t="s">
        <v>31</v>
      </c>
      <c r="AV5" s="170" t="s">
        <v>79</v>
      </c>
      <c r="AW5" s="171"/>
      <c r="AX5" s="172"/>
      <c r="AY5" s="173" t="s">
        <v>17</v>
      </c>
      <c r="AZ5" s="173" t="s">
        <v>36</v>
      </c>
      <c r="BA5" s="173" t="s">
        <v>31</v>
      </c>
      <c r="BB5" s="173" t="s">
        <v>37</v>
      </c>
      <c r="BC5" s="80"/>
      <c r="BD5" s="165"/>
      <c r="BE5" s="168"/>
    </row>
    <row r="6" spans="1:57" ht="54" customHeight="1" thickBot="1">
      <c r="A6" s="186"/>
      <c r="B6" s="189"/>
      <c r="C6" s="189"/>
      <c r="D6" s="18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85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6"/>
      <c r="AR6" s="200"/>
      <c r="AS6" s="178"/>
      <c r="AT6" s="198"/>
      <c r="AU6" s="198"/>
      <c r="AV6" s="87" t="s">
        <v>80</v>
      </c>
      <c r="AW6" s="87" t="s">
        <v>81</v>
      </c>
      <c r="AX6" s="87" t="s">
        <v>82</v>
      </c>
      <c r="AY6" s="174"/>
      <c r="AZ6" s="174"/>
      <c r="BA6" s="174"/>
      <c r="BB6" s="174"/>
      <c r="BC6" s="83" t="s">
        <v>86</v>
      </c>
      <c r="BD6" s="166"/>
      <c r="BE6" s="169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39"/>
      <c r="BD7" s="152">
        <v>55</v>
      </c>
      <c r="BE7" s="7">
        <v>56</v>
      </c>
    </row>
    <row r="8" spans="1:57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153"/>
      <c r="BE8" s="30"/>
    </row>
    <row r="9" spans="1:57" ht="12.75">
      <c r="A9" s="12" t="s">
        <v>39</v>
      </c>
      <c r="B9" s="88">
        <v>4422.4</v>
      </c>
      <c r="C9" s="89">
        <f>B9*8.65</f>
        <v>38253.76</v>
      </c>
      <c r="D9" s="90">
        <f>C9*0.24088</f>
        <v>9214.5657088</v>
      </c>
      <c r="E9" s="72">
        <v>3019.7</v>
      </c>
      <c r="F9" s="72">
        <v>668.85</v>
      </c>
      <c r="G9" s="72">
        <v>4046.72</v>
      </c>
      <c r="H9" s="72">
        <v>902.96</v>
      </c>
      <c r="I9" s="72">
        <v>9814.14</v>
      </c>
      <c r="J9" s="72">
        <v>2173.77</v>
      </c>
      <c r="K9" s="72">
        <v>6794.44</v>
      </c>
      <c r="L9" s="72">
        <v>1504.92</v>
      </c>
      <c r="M9" s="72">
        <v>2415.75</v>
      </c>
      <c r="N9" s="72">
        <v>535.08</v>
      </c>
      <c r="O9" s="72">
        <v>0</v>
      </c>
      <c r="P9" s="72">
        <v>0</v>
      </c>
      <c r="Q9" s="72">
        <v>0</v>
      </c>
      <c r="R9" s="72">
        <v>0</v>
      </c>
      <c r="S9" s="64">
        <f>E9+G9+I9+K9+M9+O9+Q9</f>
        <v>26090.749999999996</v>
      </c>
      <c r="T9" s="91">
        <f>P9+N9+L9+J9+H9+F9+R9</f>
        <v>5785.580000000001</v>
      </c>
      <c r="U9" s="64">
        <v>33.09</v>
      </c>
      <c r="V9" s="64">
        <v>44.66</v>
      </c>
      <c r="W9" s="64">
        <v>107.53</v>
      </c>
      <c r="X9" s="64">
        <v>74.44</v>
      </c>
      <c r="Y9" s="64">
        <v>26.47</v>
      </c>
      <c r="Z9" s="69">
        <v>0</v>
      </c>
      <c r="AA9" s="69">
        <v>0</v>
      </c>
      <c r="AB9" s="69">
        <f>SUM(U9:AA9)</f>
        <v>286.19000000000005</v>
      </c>
      <c r="AC9" s="92">
        <f>D9+T9+AB9</f>
        <v>15286.335708800003</v>
      </c>
      <c r="AD9" s="93">
        <f>P9+Z9</f>
        <v>0</v>
      </c>
      <c r="AE9" s="94">
        <f>R9+AA9</f>
        <v>0</v>
      </c>
      <c r="AF9" s="94"/>
      <c r="AG9" s="29">
        <f>0.6*B9</f>
        <v>2653.4399999999996</v>
      </c>
      <c r="AH9" s="29">
        <f>B9*0.2*1.05826</f>
        <v>936.0098048</v>
      </c>
      <c r="AI9" s="29">
        <f>0.8518*B9-0.01</f>
        <v>3766.9903199999994</v>
      </c>
      <c r="AJ9" s="29">
        <f>AI9*0.18</f>
        <v>678.0582575999998</v>
      </c>
      <c r="AK9" s="29">
        <f>1.04*B9*0.9531</f>
        <v>4383.589017599999</v>
      </c>
      <c r="AL9" s="29">
        <f>AK9*0.18</f>
        <v>789.0460231679998</v>
      </c>
      <c r="AM9" s="29">
        <f>(1.91)*B9*0.9531</f>
        <v>8050.629830399999</v>
      </c>
      <c r="AN9" s="29">
        <f>AM9*0.18</f>
        <v>1449.1133694719997</v>
      </c>
      <c r="AO9" s="29"/>
      <c r="AP9" s="29">
        <f>AO9*0.18</f>
        <v>0</v>
      </c>
      <c r="AQ9" s="82"/>
      <c r="AR9" s="82"/>
      <c r="AS9" s="67">
        <v>20152.55</v>
      </c>
      <c r="AT9" s="67"/>
      <c r="AU9" s="67">
        <f>(AS9+AT9)*0.18</f>
        <v>3627.459</v>
      </c>
      <c r="AV9" s="95"/>
      <c r="AW9" s="127"/>
      <c r="AX9" s="29">
        <f>AV9*AW9*1.12*1.18</f>
        <v>0</v>
      </c>
      <c r="AY9" s="97"/>
      <c r="AZ9" s="98"/>
      <c r="BA9" s="98">
        <f>AZ9*0.18</f>
        <v>0</v>
      </c>
      <c r="BB9" s="98">
        <f>SUM(AG9:BA9)-AV9-AW9</f>
        <v>46486.88562304</v>
      </c>
      <c r="BC9" s="128"/>
      <c r="BD9" s="63">
        <f>AC9-BB9</f>
        <v>-31200.549914239993</v>
      </c>
      <c r="BE9" s="29">
        <f>AB9-S9</f>
        <v>-25804.559999999998</v>
      </c>
    </row>
    <row r="10" spans="1:57" ht="12.75">
      <c r="A10" s="12" t="s">
        <v>40</v>
      </c>
      <c r="B10" s="88">
        <v>4422.4</v>
      </c>
      <c r="C10" s="89">
        <f>B10*8.65</f>
        <v>38253.76</v>
      </c>
      <c r="D10" s="90">
        <f>C10*0.24088</f>
        <v>9214.5657088</v>
      </c>
      <c r="E10" s="72">
        <v>2632.62</v>
      </c>
      <c r="F10" s="72">
        <v>652.55</v>
      </c>
      <c r="G10" s="72">
        <v>3553.99</v>
      </c>
      <c r="H10" s="72">
        <v>880.98</v>
      </c>
      <c r="I10" s="72">
        <v>8555.99</v>
      </c>
      <c r="J10" s="72">
        <v>2120.71</v>
      </c>
      <c r="K10" s="72">
        <v>5923.4</v>
      </c>
      <c r="L10" s="72">
        <v>1468.2</v>
      </c>
      <c r="M10" s="72">
        <v>2106.09</v>
      </c>
      <c r="N10" s="72">
        <v>522.03</v>
      </c>
      <c r="O10" s="72">
        <v>0</v>
      </c>
      <c r="P10" s="72">
        <v>0</v>
      </c>
      <c r="Q10" s="72">
        <v>0</v>
      </c>
      <c r="R10" s="72">
        <v>0</v>
      </c>
      <c r="S10" s="64">
        <f>E10+G10+I10+K10+M10+O10+Q10</f>
        <v>22772.09</v>
      </c>
      <c r="T10" s="91">
        <f>P10+N10+L10+J10+H10+F10+R10</f>
        <v>5644.47</v>
      </c>
      <c r="U10" s="64">
        <v>1687.02</v>
      </c>
      <c r="V10" s="64">
        <v>2277.58</v>
      </c>
      <c r="W10" s="64">
        <v>5488.04</v>
      </c>
      <c r="X10" s="64">
        <v>3795.86</v>
      </c>
      <c r="Y10" s="64">
        <v>1349.63</v>
      </c>
      <c r="Z10" s="69">
        <v>0</v>
      </c>
      <c r="AA10" s="69">
        <v>0</v>
      </c>
      <c r="AB10" s="99">
        <f>SUM(U10:AA10)</f>
        <v>14598.130000000001</v>
      </c>
      <c r="AC10" s="100">
        <f>D10+T10+AB10</f>
        <v>29457.165708800003</v>
      </c>
      <c r="AD10" s="94">
        <f>P10+Z10</f>
        <v>0</v>
      </c>
      <c r="AE10" s="94">
        <f>R10+AA10</f>
        <v>0</v>
      </c>
      <c r="AF10" s="94"/>
      <c r="AG10" s="29">
        <f>0.6*B10</f>
        <v>2653.4399999999996</v>
      </c>
      <c r="AH10" s="29">
        <f>B10*0.201</f>
        <v>888.9024</v>
      </c>
      <c r="AI10" s="29">
        <f>0.8518*B10-0.01</f>
        <v>3766.9903199999994</v>
      </c>
      <c r="AJ10" s="29">
        <f>AI10*0.18</f>
        <v>678.0582575999998</v>
      </c>
      <c r="AK10" s="29">
        <f>1.04*B10*0.9531</f>
        <v>4383.589017599999</v>
      </c>
      <c r="AL10" s="29">
        <f>AK10*0.18</f>
        <v>789.0460231679998</v>
      </c>
      <c r="AM10" s="29">
        <f>(1.91)*B10*0.9531</f>
        <v>8050.629830399999</v>
      </c>
      <c r="AN10" s="29">
        <f>AM10*0.18</f>
        <v>1449.1133694719997</v>
      </c>
      <c r="AO10" s="29"/>
      <c r="AP10" s="29">
        <f>AO10*0.18</f>
        <v>0</v>
      </c>
      <c r="AQ10" s="82"/>
      <c r="AR10" s="82"/>
      <c r="AS10" s="67">
        <v>2440</v>
      </c>
      <c r="AT10" s="67"/>
      <c r="AU10" s="67">
        <f>(AS10+AT10)*0.18</f>
        <v>439.2</v>
      </c>
      <c r="AV10" s="95"/>
      <c r="AW10" s="127"/>
      <c r="AX10" s="29">
        <f>AV10*AW10*1.12*1.18</f>
        <v>0</v>
      </c>
      <c r="AY10" s="97"/>
      <c r="AZ10" s="98"/>
      <c r="BA10" s="98">
        <f>AZ10*0.18</f>
        <v>0</v>
      </c>
      <c r="BB10" s="98">
        <f>SUM(AG10:BA10)-AV10-AW10</f>
        <v>25538.969218239996</v>
      </c>
      <c r="BC10" s="128"/>
      <c r="BD10" s="63">
        <f>AC10-BB10</f>
        <v>3918.196490560007</v>
      </c>
      <c r="BE10" s="29">
        <f>AB10-S10</f>
        <v>-8173.959999999999</v>
      </c>
    </row>
    <row r="11" spans="1:57" ht="12.75">
      <c r="A11" s="12" t="s">
        <v>41</v>
      </c>
      <c r="B11" s="88">
        <v>4422.4</v>
      </c>
      <c r="C11" s="89">
        <f>B11*8.65</f>
        <v>38253.76</v>
      </c>
      <c r="D11" s="90">
        <f>C11*0.24035</f>
        <v>9194.291216000001</v>
      </c>
      <c r="E11" s="72">
        <v>2484.27</v>
      </c>
      <c r="F11" s="72">
        <v>667.36</v>
      </c>
      <c r="G11" s="72">
        <v>3353.86</v>
      </c>
      <c r="H11" s="72">
        <v>900.96</v>
      </c>
      <c r="I11" s="72">
        <v>8074.08</v>
      </c>
      <c r="J11" s="72">
        <v>2168.88</v>
      </c>
      <c r="K11" s="72">
        <v>5589.86</v>
      </c>
      <c r="L11" s="72">
        <v>1501.54</v>
      </c>
      <c r="M11" s="72">
        <v>1987.43</v>
      </c>
      <c r="N11" s="72">
        <v>533.88</v>
      </c>
      <c r="O11" s="72">
        <v>0</v>
      </c>
      <c r="P11" s="73">
        <v>0</v>
      </c>
      <c r="Q11" s="72">
        <v>0</v>
      </c>
      <c r="R11" s="73">
        <v>0</v>
      </c>
      <c r="S11" s="64">
        <f>E11+G11+I11+K11+M11+O11+Q11</f>
        <v>21489.5</v>
      </c>
      <c r="T11" s="91">
        <f>P11+N11+L11+J11+H11+F11+R11</f>
        <v>5772.62</v>
      </c>
      <c r="U11" s="64">
        <v>2801.36</v>
      </c>
      <c r="V11" s="64">
        <v>3781.88</v>
      </c>
      <c r="W11" s="64">
        <v>9104.71</v>
      </c>
      <c r="X11" s="64">
        <v>6303.29</v>
      </c>
      <c r="Y11" s="64">
        <v>2241.2</v>
      </c>
      <c r="Z11" s="69">
        <v>0</v>
      </c>
      <c r="AA11" s="69">
        <v>0</v>
      </c>
      <c r="AB11" s="99">
        <f>SUM(U11:AA11)</f>
        <v>24232.44</v>
      </c>
      <c r="AC11" s="100">
        <f>D11+T11+AB11</f>
        <v>39199.351215999995</v>
      </c>
      <c r="AD11" s="94">
        <f>P11+Z11</f>
        <v>0</v>
      </c>
      <c r="AE11" s="94">
        <f>R11+AA11</f>
        <v>0</v>
      </c>
      <c r="AF11" s="94"/>
      <c r="AG11" s="29">
        <f>0.6*B11</f>
        <v>2653.4399999999996</v>
      </c>
      <c r="AH11" s="29">
        <f>B11*0.2*1.02524</f>
        <v>906.8042752</v>
      </c>
      <c r="AI11" s="29">
        <f>0.84932*B11</f>
        <v>3756.0327679999996</v>
      </c>
      <c r="AJ11" s="29">
        <f>AI11*0.18</f>
        <v>676.0858982399999</v>
      </c>
      <c r="AK11" s="29">
        <f>1.04*B11*0.95033</f>
        <v>4370.848967679999</v>
      </c>
      <c r="AL11" s="29">
        <f>AK11*0.18</f>
        <v>786.7528141823998</v>
      </c>
      <c r="AM11" s="29">
        <f>(1.91)*B11*0.95033-0.1</f>
        <v>8027.13223872</v>
      </c>
      <c r="AN11" s="29">
        <f>AM11*0.18</f>
        <v>1444.8838029695999</v>
      </c>
      <c r="AO11" s="29"/>
      <c r="AP11" s="29">
        <f>AO11*0.18</f>
        <v>0</v>
      </c>
      <c r="AQ11" s="82"/>
      <c r="AR11" s="82"/>
      <c r="AS11" s="67">
        <v>25326</v>
      </c>
      <c r="AT11" s="67"/>
      <c r="AU11" s="67">
        <f>(AS11+AT11)*0.18</f>
        <v>4558.679999999999</v>
      </c>
      <c r="AV11" s="95"/>
      <c r="AW11" s="127"/>
      <c r="AX11" s="29">
        <f>AV11*AW11*1.12*1.18</f>
        <v>0</v>
      </c>
      <c r="AY11" s="97"/>
      <c r="AZ11" s="98"/>
      <c r="BA11" s="98">
        <f>AZ11*0.18</f>
        <v>0</v>
      </c>
      <c r="BB11" s="98">
        <f>SUM(AG11:BA11)-AV11-AW11</f>
        <v>52506.660764992</v>
      </c>
      <c r="BC11" s="128"/>
      <c r="BD11" s="63">
        <f>AC11-BB11</f>
        <v>-13307.309548992002</v>
      </c>
      <c r="BE11" s="29">
        <f>AB11-S11</f>
        <v>2742.9399999999987</v>
      </c>
    </row>
    <row r="12" spans="1:57" s="26" customFormat="1" ht="15" customHeight="1">
      <c r="A12" s="21" t="s">
        <v>5</v>
      </c>
      <c r="B12" s="22"/>
      <c r="C12" s="22">
        <f>SUM(C9:C11)+C26</f>
        <v>573483.0630000002</v>
      </c>
      <c r="D12" s="22">
        <f aca="true" t="shared" si="0" ref="D12:BB12">SUM(D9:D11)</f>
        <v>27623.422633600003</v>
      </c>
      <c r="E12" s="22">
        <f t="shared" si="0"/>
        <v>8136.59</v>
      </c>
      <c r="F12" s="22">
        <f t="shared" si="0"/>
        <v>1988.7600000000002</v>
      </c>
      <c r="G12" s="22">
        <f t="shared" si="0"/>
        <v>10954.57</v>
      </c>
      <c r="H12" s="22">
        <f t="shared" si="0"/>
        <v>2684.9</v>
      </c>
      <c r="I12" s="22">
        <f t="shared" si="0"/>
        <v>26444.21</v>
      </c>
      <c r="J12" s="22">
        <f t="shared" si="0"/>
        <v>6463.36</v>
      </c>
      <c r="K12" s="22">
        <f t="shared" si="0"/>
        <v>18307.7</v>
      </c>
      <c r="L12" s="22">
        <f t="shared" si="0"/>
        <v>4474.66</v>
      </c>
      <c r="M12" s="22">
        <f t="shared" si="0"/>
        <v>6509.27</v>
      </c>
      <c r="N12" s="22">
        <f t="shared" si="0"/>
        <v>1590.9900000000002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3">
        <f t="shared" si="0"/>
        <v>70352.34</v>
      </c>
      <c r="T12" s="23">
        <f t="shared" si="0"/>
        <v>17202.670000000002</v>
      </c>
      <c r="U12" s="24">
        <f t="shared" si="0"/>
        <v>4521.47</v>
      </c>
      <c r="V12" s="24">
        <f t="shared" si="0"/>
        <v>6104.12</v>
      </c>
      <c r="W12" s="24">
        <f t="shared" si="0"/>
        <v>14700.279999999999</v>
      </c>
      <c r="X12" s="24">
        <f t="shared" si="0"/>
        <v>10173.59</v>
      </c>
      <c r="Y12" s="24">
        <f t="shared" si="0"/>
        <v>3617.3</v>
      </c>
      <c r="Z12" s="24">
        <f t="shared" si="0"/>
        <v>0</v>
      </c>
      <c r="AA12" s="24">
        <f t="shared" si="0"/>
        <v>0</v>
      </c>
      <c r="AB12" s="24">
        <f t="shared" si="0"/>
        <v>39116.76</v>
      </c>
      <c r="AC12" s="24">
        <f t="shared" si="0"/>
        <v>83942.8526336</v>
      </c>
      <c r="AD12" s="101">
        <f t="shared" si="0"/>
        <v>0</v>
      </c>
      <c r="AE12" s="101">
        <f t="shared" si="0"/>
        <v>0</v>
      </c>
      <c r="AF12" s="101"/>
      <c r="AG12" s="25">
        <f t="shared" si="0"/>
        <v>7960.319999999999</v>
      </c>
      <c r="AH12" s="25">
        <f t="shared" si="0"/>
        <v>2731.71648</v>
      </c>
      <c r="AI12" s="25">
        <f t="shared" si="0"/>
        <v>11290.013407999999</v>
      </c>
      <c r="AJ12" s="25">
        <f t="shared" si="0"/>
        <v>2032.2024134399994</v>
      </c>
      <c r="AK12" s="25">
        <f t="shared" si="0"/>
        <v>13138.027002879997</v>
      </c>
      <c r="AL12" s="25">
        <f t="shared" si="0"/>
        <v>2364.8448605183994</v>
      </c>
      <c r="AM12" s="25">
        <f>SUM(AM9:AM11)</f>
        <v>24128.39189952</v>
      </c>
      <c r="AN12" s="25">
        <f>SUM(AN9:AN11)</f>
        <v>4343.110541913599</v>
      </c>
      <c r="AO12" s="25">
        <f t="shared" si="0"/>
        <v>0</v>
      </c>
      <c r="AP12" s="25">
        <f t="shared" si="0"/>
        <v>0</v>
      </c>
      <c r="AQ12" s="25"/>
      <c r="AR12" s="25"/>
      <c r="AS12" s="62">
        <f t="shared" si="0"/>
        <v>47918.55</v>
      </c>
      <c r="AT12" s="62">
        <f t="shared" si="0"/>
        <v>0</v>
      </c>
      <c r="AU12" s="62">
        <f t="shared" si="0"/>
        <v>8625.339</v>
      </c>
      <c r="AV12" s="25"/>
      <c r="AW12" s="25"/>
      <c r="AX12" s="25">
        <f t="shared" si="0"/>
        <v>0</v>
      </c>
      <c r="AY12" s="25">
        <f t="shared" si="0"/>
        <v>0</v>
      </c>
      <c r="AZ12" s="25">
        <f t="shared" si="0"/>
        <v>0</v>
      </c>
      <c r="BA12" s="25">
        <f t="shared" si="0"/>
        <v>0</v>
      </c>
      <c r="BB12" s="25">
        <f t="shared" si="0"/>
        <v>124532.515606272</v>
      </c>
      <c r="BC12" s="25">
        <f>SUM(BC9:BC11)</f>
        <v>0</v>
      </c>
      <c r="BD12" s="71">
        <f>SUM(BD9:BD11)</f>
        <v>-40589.662972671984</v>
      </c>
      <c r="BE12" s="25">
        <f>SUM(BE9:BE11)</f>
        <v>-31235.579999999998</v>
      </c>
    </row>
    <row r="13" spans="1:57" ht="15" customHeight="1">
      <c r="A13" s="5" t="s">
        <v>42</v>
      </c>
      <c r="B13" s="13"/>
      <c r="C13" s="14"/>
      <c r="D13" s="14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61"/>
      <c r="P13" s="16"/>
      <c r="Q13" s="15"/>
      <c r="R13" s="15"/>
      <c r="S13" s="15"/>
      <c r="T13" s="15"/>
      <c r="U13" s="27"/>
      <c r="V13" s="27"/>
      <c r="W13" s="27"/>
      <c r="X13" s="27"/>
      <c r="Y13" s="27"/>
      <c r="Z13" s="27"/>
      <c r="AA13" s="17"/>
      <c r="AB13" s="17"/>
      <c r="AC13" s="103"/>
      <c r="AD13" s="104"/>
      <c r="AE13" s="104"/>
      <c r="AF13" s="104"/>
      <c r="AG13" s="18"/>
      <c r="AH13" s="18"/>
      <c r="AI13" s="18"/>
      <c r="AJ13" s="18"/>
      <c r="AK13" s="18"/>
      <c r="AL13" s="18"/>
      <c r="AM13" s="18"/>
      <c r="AN13" s="18"/>
      <c r="AO13" s="19"/>
      <c r="AP13" s="19"/>
      <c r="AQ13" s="19"/>
      <c r="AR13" s="19"/>
      <c r="AS13" s="66"/>
      <c r="AT13" s="66"/>
      <c r="AU13" s="28"/>
      <c r="AV13" s="18"/>
      <c r="AW13" s="18"/>
      <c r="AX13" s="19"/>
      <c r="AY13" s="19"/>
      <c r="AZ13" s="19"/>
      <c r="BA13" s="18"/>
      <c r="BB13" s="18"/>
      <c r="BC13" s="18"/>
      <c r="BD13" s="63"/>
      <c r="BE13" s="30"/>
    </row>
    <row r="14" spans="1:57" ht="12.75">
      <c r="A14" s="12" t="s">
        <v>43</v>
      </c>
      <c r="B14" s="105">
        <v>4422.4</v>
      </c>
      <c r="C14" s="89">
        <f>B14*8.65</f>
        <v>38253.76</v>
      </c>
      <c r="D14" s="90">
        <f>C14*0.125</f>
        <v>4781.72</v>
      </c>
      <c r="E14" s="72">
        <v>2971.26</v>
      </c>
      <c r="F14" s="72">
        <v>667.59</v>
      </c>
      <c r="G14" s="72">
        <v>4011.27</v>
      </c>
      <c r="H14" s="72">
        <v>901.27</v>
      </c>
      <c r="I14" s="72">
        <v>9656.65</v>
      </c>
      <c r="J14" s="72">
        <v>2169.62</v>
      </c>
      <c r="K14" s="72">
        <v>6685.44</v>
      </c>
      <c r="L14" s="72">
        <v>1502.04</v>
      </c>
      <c r="M14" s="72">
        <v>2376.98</v>
      </c>
      <c r="N14" s="72">
        <v>534.08</v>
      </c>
      <c r="O14" s="72">
        <v>0</v>
      </c>
      <c r="P14" s="73">
        <v>0</v>
      </c>
      <c r="Q14" s="72">
        <v>0</v>
      </c>
      <c r="R14" s="73">
        <v>0</v>
      </c>
      <c r="S14" s="64">
        <f>E14+G14+I14+K14+M14+O14+Q14</f>
        <v>25701.6</v>
      </c>
      <c r="T14" s="91">
        <f>P14+N14+L14+J14+H14+F14+R14</f>
        <v>5774.6</v>
      </c>
      <c r="U14" s="64">
        <v>2194.73</v>
      </c>
      <c r="V14" s="64">
        <v>2962.89</v>
      </c>
      <c r="W14" s="64">
        <v>7132.81</v>
      </c>
      <c r="X14" s="64">
        <v>4938.18</v>
      </c>
      <c r="Y14" s="64">
        <v>1755.71</v>
      </c>
      <c r="Z14" s="69">
        <v>0</v>
      </c>
      <c r="AA14" s="69">
        <v>0</v>
      </c>
      <c r="AB14" s="106">
        <f>SUM(U14:AA14)</f>
        <v>18984.32</v>
      </c>
      <c r="AC14" s="100">
        <f>D14+T14+AB14</f>
        <v>29540.64</v>
      </c>
      <c r="AD14" s="94">
        <f>P14+Z14</f>
        <v>0</v>
      </c>
      <c r="AE14" s="94">
        <f>R14+AA14</f>
        <v>0</v>
      </c>
      <c r="AF14" s="94"/>
      <c r="AG14" s="29">
        <f>0.6*B14*0.9</f>
        <v>2388.0959999999995</v>
      </c>
      <c r="AH14" s="29">
        <f>B14*0.2*0.891</f>
        <v>788.07168</v>
      </c>
      <c r="AI14" s="29">
        <f>0.85*B14*0.867-0.02</f>
        <v>3259.0676799999997</v>
      </c>
      <c r="AJ14" s="29">
        <f>AI14*0.18</f>
        <v>586.6321823999999</v>
      </c>
      <c r="AK14" s="29">
        <f>0.83*B14*0.8685</f>
        <v>3187.9091519999997</v>
      </c>
      <c r="AL14" s="29">
        <f>AK14*0.18</f>
        <v>573.8236473599999</v>
      </c>
      <c r="AM14" s="29">
        <f>1.91*B14*0.8686</f>
        <v>7336.8765824</v>
      </c>
      <c r="AN14" s="29">
        <f>AM14*0.18</f>
        <v>1320.637784832</v>
      </c>
      <c r="AO14" s="29"/>
      <c r="AP14" s="29">
        <f>AO14*0.18</f>
        <v>0</v>
      </c>
      <c r="AQ14" s="82"/>
      <c r="AR14" s="82">
        <f>AQ14*0.18</f>
        <v>0</v>
      </c>
      <c r="AS14" s="67">
        <v>269</v>
      </c>
      <c r="AT14" s="67"/>
      <c r="AU14" s="67">
        <f aca="true" t="shared" si="1" ref="AU14:AU19">(AS14+AT14)*0.18</f>
        <v>48.42</v>
      </c>
      <c r="AV14" s="95"/>
      <c r="AW14" s="96">
        <v>1159</v>
      </c>
      <c r="AX14" s="29">
        <f>AW14*1.12*1.18</f>
        <v>1531.7344</v>
      </c>
      <c r="AY14" s="97"/>
      <c r="AZ14" s="98"/>
      <c r="BA14" s="98">
        <f>AZ14*0.18</f>
        <v>0</v>
      </c>
      <c r="BB14" s="98">
        <f>SUM(AG14:AU14)</f>
        <v>19758.534708991996</v>
      </c>
      <c r="BC14" s="128"/>
      <c r="BD14" s="63">
        <f>AC14+AF14-BB14-BC14</f>
        <v>9782.105291008003</v>
      </c>
      <c r="BE14" s="29">
        <f>AB14-S14</f>
        <v>-6717.279999999999</v>
      </c>
    </row>
    <row r="15" spans="1:57" ht="12.75">
      <c r="A15" s="12" t="s">
        <v>44</v>
      </c>
      <c r="B15" s="105">
        <v>4420.5</v>
      </c>
      <c r="C15" s="89">
        <f>B15*8.65</f>
        <v>38237.325000000004</v>
      </c>
      <c r="D15" s="90">
        <f>C15*0.125</f>
        <v>4779.665625000001</v>
      </c>
      <c r="E15" s="72">
        <v>2945.05</v>
      </c>
      <c r="F15" s="72">
        <v>664.99</v>
      </c>
      <c r="G15" s="72">
        <v>3979.89</v>
      </c>
      <c r="H15" s="72">
        <v>901.76</v>
      </c>
      <c r="I15" s="72">
        <v>9581.12</v>
      </c>
      <c r="J15" s="72">
        <v>2170.79</v>
      </c>
      <c r="K15" s="72">
        <v>6633.14</v>
      </c>
      <c r="L15" s="72">
        <v>1502.86</v>
      </c>
      <c r="M15" s="72">
        <v>2358.4</v>
      </c>
      <c r="N15" s="72">
        <v>534.35</v>
      </c>
      <c r="O15" s="72">
        <v>0</v>
      </c>
      <c r="P15" s="73">
        <v>0</v>
      </c>
      <c r="Q15" s="72">
        <v>0</v>
      </c>
      <c r="R15" s="73">
        <v>0</v>
      </c>
      <c r="S15" s="64">
        <f>E15+G15+I15+K15+M15+O15+Q15</f>
        <v>25497.600000000002</v>
      </c>
      <c r="T15" s="91">
        <f>P15+N15+L15+J15+H15+F15+R15</f>
        <v>5774.75</v>
      </c>
      <c r="U15" s="64">
        <v>1943.63</v>
      </c>
      <c r="V15" s="64">
        <v>2624.02</v>
      </c>
      <c r="W15" s="64">
        <v>6317.22</v>
      </c>
      <c r="X15" s="64">
        <v>4373.27</v>
      </c>
      <c r="Y15" s="64">
        <v>1554.91</v>
      </c>
      <c r="Z15" s="69">
        <v>0</v>
      </c>
      <c r="AA15" s="69">
        <v>0</v>
      </c>
      <c r="AB15" s="99">
        <f>SUM(U15:AA15)</f>
        <v>16813.05</v>
      </c>
      <c r="AC15" s="100">
        <f>D15+T15+AB15</f>
        <v>27367.465625</v>
      </c>
      <c r="AD15" s="94">
        <f>P15+Z15</f>
        <v>0</v>
      </c>
      <c r="AE15" s="94">
        <f>R15+AA15</f>
        <v>0</v>
      </c>
      <c r="AF15" s="94">
        <f>'[1]Т02-09'!$I$39</f>
        <v>0</v>
      </c>
      <c r="AG15" s="29">
        <f>0.6*B15*0.9</f>
        <v>2387.0699999999997</v>
      </c>
      <c r="AH15" s="29">
        <f>B15*0.2*0.9153</f>
        <v>809.21673</v>
      </c>
      <c r="AI15" s="29">
        <f>0.85*B15*0.866</f>
        <v>3253.93005</v>
      </c>
      <c r="AJ15" s="29">
        <f>AI15*0.18</f>
        <v>585.707409</v>
      </c>
      <c r="AK15" s="29">
        <f>0.83*B15*0.8684</f>
        <v>3186.1726259999996</v>
      </c>
      <c r="AL15" s="29">
        <f>AK15*0.18</f>
        <v>573.5110726799999</v>
      </c>
      <c r="AM15" s="29">
        <f>(1.91)*B15*0.8684</f>
        <v>7332.0358019999985</v>
      </c>
      <c r="AN15" s="29">
        <f>AM15*0.18</f>
        <v>1319.7664443599997</v>
      </c>
      <c r="AO15" s="29"/>
      <c r="AP15" s="29">
        <f>AO15*0.18</f>
        <v>0</v>
      </c>
      <c r="AQ15" s="82"/>
      <c r="AR15" s="82">
        <f>AQ15*0.18</f>
        <v>0</v>
      </c>
      <c r="AS15" s="67">
        <v>14680</v>
      </c>
      <c r="AT15" s="67">
        <f>756*6</f>
        <v>4536</v>
      </c>
      <c r="AU15" s="67">
        <f t="shared" si="1"/>
        <v>3458.8799999999997</v>
      </c>
      <c r="AV15" s="95"/>
      <c r="AW15" s="96">
        <v>1016</v>
      </c>
      <c r="AX15" s="29">
        <f>AW15*1.12*1.18</f>
        <v>1342.7456</v>
      </c>
      <c r="AY15" s="97"/>
      <c r="AZ15" s="98"/>
      <c r="BA15" s="98">
        <f>AZ15*0.18</f>
        <v>0</v>
      </c>
      <c r="BB15" s="98">
        <f>SUM(AG15:AU15)+AY15</f>
        <v>42122.29013403999</v>
      </c>
      <c r="BC15" s="78">
        <f>'[1]Т02-09'!$O$39</f>
        <v>0</v>
      </c>
      <c r="BD15" s="63">
        <f aca="true" t="shared" si="2" ref="BD15:BD25">AC15+AF15-BB15-BC15</f>
        <v>-14754.82450903999</v>
      </c>
      <c r="BE15" s="29">
        <f aca="true" t="shared" si="3" ref="BE15:BE25">AB15-S15</f>
        <v>-8684.550000000003</v>
      </c>
    </row>
    <row r="16" spans="1:57" ht="12.75">
      <c r="A16" s="12" t="s">
        <v>45</v>
      </c>
      <c r="B16" s="129">
        <v>4419.2</v>
      </c>
      <c r="C16" s="89">
        <f>B16*8.65</f>
        <v>38226.08</v>
      </c>
      <c r="D16" s="90">
        <f>C16*0.125</f>
        <v>4778.26</v>
      </c>
      <c r="E16" s="74">
        <v>2893.23</v>
      </c>
      <c r="F16" s="74">
        <v>667.43</v>
      </c>
      <c r="G16" s="74">
        <v>3905.95</v>
      </c>
      <c r="H16" s="74">
        <v>901.06</v>
      </c>
      <c r="I16" s="74">
        <v>9403.1</v>
      </c>
      <c r="J16" s="74">
        <v>2169.1</v>
      </c>
      <c r="K16" s="74">
        <v>6509.9</v>
      </c>
      <c r="L16" s="74">
        <v>1501.69</v>
      </c>
      <c r="M16" s="74">
        <v>2314.58</v>
      </c>
      <c r="N16" s="74">
        <v>533.93</v>
      </c>
      <c r="O16" s="74">
        <v>0</v>
      </c>
      <c r="P16" s="75">
        <v>0</v>
      </c>
      <c r="Q16" s="74">
        <v>0</v>
      </c>
      <c r="R16" s="75">
        <v>0</v>
      </c>
      <c r="S16" s="64">
        <f>E16+G16+I16+K16+M16+O16+Q16</f>
        <v>25026.760000000002</v>
      </c>
      <c r="T16" s="91">
        <f>P16+N16+L16+J16+H16+F16+R16</f>
        <v>5773.209999999999</v>
      </c>
      <c r="U16" s="65">
        <v>3164.37</v>
      </c>
      <c r="V16" s="65">
        <v>4276.1</v>
      </c>
      <c r="W16" s="65">
        <v>10293.61</v>
      </c>
      <c r="X16" s="65">
        <v>7126.68</v>
      </c>
      <c r="Y16" s="65">
        <v>2533.85</v>
      </c>
      <c r="Z16" s="108">
        <v>0</v>
      </c>
      <c r="AA16" s="108">
        <v>0</v>
      </c>
      <c r="AB16" s="106">
        <f>SUM(U16:AA16)</f>
        <v>27394.61</v>
      </c>
      <c r="AC16" s="100">
        <f>D16+T16+AB16</f>
        <v>37946.08</v>
      </c>
      <c r="AD16" s="94">
        <f>P16+Z16</f>
        <v>0</v>
      </c>
      <c r="AE16" s="94">
        <f>R16+AA16</f>
        <v>0</v>
      </c>
      <c r="AF16" s="94">
        <f>'[1]Т03-09'!$I$39</f>
        <v>0</v>
      </c>
      <c r="AG16" s="29">
        <f>0.6*B16*0.9</f>
        <v>2386.368</v>
      </c>
      <c r="AH16" s="76">
        <f>B16*0.2*0.9082-0.01</f>
        <v>802.693488</v>
      </c>
      <c r="AI16" s="29">
        <f>0.85*B16*0.8675</f>
        <v>3258.6076</v>
      </c>
      <c r="AJ16" s="29">
        <f>AI16*0.18</f>
        <v>586.549368</v>
      </c>
      <c r="AK16" s="76">
        <f>0.83*B16*0.838</f>
        <v>3073.7303679999995</v>
      </c>
      <c r="AL16" s="29">
        <f>AK16*0.18</f>
        <v>553.2714662399999</v>
      </c>
      <c r="AM16" s="29">
        <f>1.91*B16*0.8381</f>
        <v>7074.127203199999</v>
      </c>
      <c r="AN16" s="29">
        <f>AM16*0.18</f>
        <v>1273.3428965759997</v>
      </c>
      <c r="AO16" s="29"/>
      <c r="AP16" s="29">
        <f>AO16*0.18</f>
        <v>0</v>
      </c>
      <c r="AQ16" s="82">
        <v>10563.7</v>
      </c>
      <c r="AR16" s="82">
        <f>AQ16*0.18</f>
        <v>1901.4660000000001</v>
      </c>
      <c r="AS16" s="67">
        <v>3312</v>
      </c>
      <c r="AT16" s="67"/>
      <c r="AU16" s="67">
        <f t="shared" si="1"/>
        <v>596.16</v>
      </c>
      <c r="AV16" s="95"/>
      <c r="AW16" s="109">
        <v>875</v>
      </c>
      <c r="AX16" s="29">
        <f>AW16*1.12*1.18</f>
        <v>1156.4</v>
      </c>
      <c r="AY16" s="97"/>
      <c r="AZ16" s="98"/>
      <c r="BA16" s="98">
        <f>AZ16*0.18</f>
        <v>0</v>
      </c>
      <c r="BB16" s="98">
        <f>SUM(AG16:AU16)</f>
        <v>35382.016390016</v>
      </c>
      <c r="BC16" s="78">
        <f>'[1]Т03-09'!$O$39</f>
        <v>0</v>
      </c>
      <c r="BD16" s="63">
        <f t="shared" si="2"/>
        <v>2564.063609984005</v>
      </c>
      <c r="BE16" s="29">
        <f t="shared" si="3"/>
        <v>2367.8499999999985</v>
      </c>
    </row>
    <row r="17" spans="1:57" ht="12.75">
      <c r="A17" s="12" t="s">
        <v>46</v>
      </c>
      <c r="B17" s="110">
        <v>4419.2</v>
      </c>
      <c r="C17" s="89">
        <f aca="true" t="shared" si="4" ref="C17:C25">B17*8.65</f>
        <v>38226.08</v>
      </c>
      <c r="D17" s="90">
        <f>C17*0.125</f>
        <v>4778.26</v>
      </c>
      <c r="E17" s="74">
        <v>2909.56</v>
      </c>
      <c r="F17" s="74">
        <v>667.43</v>
      </c>
      <c r="G17" s="74">
        <v>3927.96</v>
      </c>
      <c r="H17" s="74">
        <v>901.04</v>
      </c>
      <c r="I17" s="74">
        <v>9456.14</v>
      </c>
      <c r="J17" s="74">
        <v>2169.1</v>
      </c>
      <c r="K17" s="74">
        <v>6546.62</v>
      </c>
      <c r="L17" s="74">
        <v>1501.69</v>
      </c>
      <c r="M17" s="74">
        <v>2327.59</v>
      </c>
      <c r="N17" s="74">
        <v>533.92</v>
      </c>
      <c r="O17" s="74">
        <v>0</v>
      </c>
      <c r="P17" s="75">
        <v>0</v>
      </c>
      <c r="Q17" s="74">
        <v>0</v>
      </c>
      <c r="R17" s="75">
        <v>0</v>
      </c>
      <c r="S17" s="65">
        <f aca="true" t="shared" si="5" ref="S17:S25">E17+G17+I17+K17+M17+O17+Q17</f>
        <v>25167.87</v>
      </c>
      <c r="T17" s="130">
        <f aca="true" t="shared" si="6" ref="T17:T25">P17+N17+L17+J17+H17+F17+R17</f>
        <v>5773.18</v>
      </c>
      <c r="U17" s="64">
        <v>2348.09</v>
      </c>
      <c r="V17" s="64">
        <v>3169.83</v>
      </c>
      <c r="W17" s="64">
        <v>7631.13</v>
      </c>
      <c r="X17" s="64">
        <v>5283.15</v>
      </c>
      <c r="Y17" s="64">
        <v>1878.45</v>
      </c>
      <c r="Z17" s="64">
        <v>0</v>
      </c>
      <c r="AA17" s="64">
        <v>0</v>
      </c>
      <c r="AB17" s="106">
        <f aca="true" t="shared" si="7" ref="AB17:AB22">SUM(U17:AA17)</f>
        <v>20310.649999999998</v>
      </c>
      <c r="AC17" s="131">
        <f aca="true" t="shared" si="8" ref="AC17:AC22">D17+T17+AB17</f>
        <v>30862.089999999997</v>
      </c>
      <c r="AD17" s="132">
        <f aca="true" t="shared" si="9" ref="AD17:AD25">P17+Z17</f>
        <v>0</v>
      </c>
      <c r="AE17" s="132">
        <f aca="true" t="shared" si="10" ref="AE17:AE25">R17+AA17</f>
        <v>0</v>
      </c>
      <c r="AF17" s="94">
        <f>'[1]Т04-09'!$I$40</f>
        <v>1717.5299720000003</v>
      </c>
      <c r="AG17" s="29">
        <f>0.6*B17*0.9</f>
        <v>2386.368</v>
      </c>
      <c r="AH17" s="76">
        <f>B17*0.2*0.9234</f>
        <v>816.137856</v>
      </c>
      <c r="AI17" s="29">
        <f>0.85*B17*0.8934</f>
        <v>3355.8962879999995</v>
      </c>
      <c r="AJ17" s="29">
        <f aca="true" t="shared" si="11" ref="AJ17:AJ25">AI17*0.18</f>
        <v>604.0613318399999</v>
      </c>
      <c r="AK17" s="29">
        <f>0.83*B17*0.8498</f>
        <v>3117.0120128</v>
      </c>
      <c r="AL17" s="29">
        <f aca="true" t="shared" si="12" ref="AL17:AL25">AK17*0.18</f>
        <v>561.0621623039999</v>
      </c>
      <c r="AM17" s="29">
        <f>(1.91)*B17*0.8498-0.01</f>
        <v>7172.873065599999</v>
      </c>
      <c r="AN17" s="29">
        <f aca="true" t="shared" si="13" ref="AN17:AN25">AM17*0.18</f>
        <v>1291.1171518079998</v>
      </c>
      <c r="AO17" s="77"/>
      <c r="AP17" s="29">
        <f aca="true" t="shared" si="14" ref="AP17:AR25">AO17*0.18</f>
        <v>0</v>
      </c>
      <c r="AQ17" s="82">
        <f>1588.983</f>
        <v>1588.983</v>
      </c>
      <c r="AR17" s="82">
        <f t="shared" si="14"/>
        <v>286.01694</v>
      </c>
      <c r="AS17" s="67">
        <v>5587.36</v>
      </c>
      <c r="AT17" s="67"/>
      <c r="AU17" s="67">
        <f t="shared" si="1"/>
        <v>1005.7248</v>
      </c>
      <c r="AV17" s="95"/>
      <c r="AW17" s="111">
        <v>799</v>
      </c>
      <c r="AX17" s="29">
        <f>AW17*1.12*1.18+AX14+AX15+AX16</f>
        <v>5086.838400000001</v>
      </c>
      <c r="AY17" s="77"/>
      <c r="AZ17" s="107"/>
      <c r="BA17" s="107">
        <f>AZ17*0.18</f>
        <v>0</v>
      </c>
      <c r="BB17" s="98">
        <f aca="true" t="shared" si="15" ref="BB17:BB22">SUM(AG17:BA17)-AV17-AW17</f>
        <v>32859.451008352</v>
      </c>
      <c r="BC17" s="133">
        <f>'[1]Т04-09'!$O$40</f>
        <v>260.9439498400001</v>
      </c>
      <c r="BD17" s="63">
        <f t="shared" si="2"/>
        <v>-540.7749861920032</v>
      </c>
      <c r="BE17" s="29">
        <f t="shared" si="3"/>
        <v>-4857.220000000001</v>
      </c>
    </row>
    <row r="18" spans="1:57" ht="12.75">
      <c r="A18" s="12" t="s">
        <v>47</v>
      </c>
      <c r="B18" s="129">
        <v>4419.2</v>
      </c>
      <c r="C18" s="89">
        <f t="shared" si="4"/>
        <v>38226.08</v>
      </c>
      <c r="D18" s="112">
        <f>C18-E18-F18-G18-H18-I18-J18-K18-L18-M18-N18</f>
        <v>3790.9</v>
      </c>
      <c r="E18" s="74">
        <v>3251.15</v>
      </c>
      <c r="F18" s="74">
        <v>723.65</v>
      </c>
      <c r="G18" s="74">
        <v>4402.77</v>
      </c>
      <c r="H18" s="74">
        <v>980.93</v>
      </c>
      <c r="I18" s="74">
        <v>10579.9</v>
      </c>
      <c r="J18" s="74">
        <v>2355.9</v>
      </c>
      <c r="K18" s="74">
        <v>7328.76</v>
      </c>
      <c r="L18" s="74">
        <v>1632.27</v>
      </c>
      <c r="M18" s="74">
        <v>2600.95</v>
      </c>
      <c r="N18" s="74">
        <v>578.9</v>
      </c>
      <c r="O18" s="74">
        <v>0</v>
      </c>
      <c r="P18" s="75">
        <v>0</v>
      </c>
      <c r="Q18" s="74">
        <v>0</v>
      </c>
      <c r="R18" s="75">
        <v>0</v>
      </c>
      <c r="S18" s="64">
        <f t="shared" si="5"/>
        <v>28163.530000000002</v>
      </c>
      <c r="T18" s="91">
        <f t="shared" si="6"/>
        <v>6271.65</v>
      </c>
      <c r="U18" s="65">
        <v>2448.5</v>
      </c>
      <c r="V18" s="65">
        <v>3305.5</v>
      </c>
      <c r="W18" s="65">
        <v>7957.65</v>
      </c>
      <c r="X18" s="65">
        <v>5509.21</v>
      </c>
      <c r="Y18" s="65">
        <v>1958.82</v>
      </c>
      <c r="Z18" s="108">
        <v>0</v>
      </c>
      <c r="AA18" s="108">
        <v>0</v>
      </c>
      <c r="AB18" s="106">
        <f t="shared" si="7"/>
        <v>21179.68</v>
      </c>
      <c r="AC18" s="100">
        <f t="shared" si="8"/>
        <v>31242.23</v>
      </c>
      <c r="AD18" s="94">
        <f t="shared" si="9"/>
        <v>0</v>
      </c>
      <c r="AE18" s="94">
        <f t="shared" si="10"/>
        <v>0</v>
      </c>
      <c r="AF18" s="94">
        <f>'[1]Т05-09'!$I$40</f>
        <v>608.6133199999999</v>
      </c>
      <c r="AG18" s="29">
        <f>0.6*B18</f>
        <v>2651.52</v>
      </c>
      <c r="AH18" s="29">
        <f>B18*0.2*1.01</f>
        <v>892.6784</v>
      </c>
      <c r="AI18" s="29">
        <f>0.85*B18</f>
        <v>3756.3199999999997</v>
      </c>
      <c r="AJ18" s="29">
        <f t="shared" si="11"/>
        <v>676.1375999999999</v>
      </c>
      <c r="AK18" s="29">
        <f>0.83*B18</f>
        <v>3667.9359999999997</v>
      </c>
      <c r="AL18" s="29">
        <f t="shared" si="12"/>
        <v>660.2284799999999</v>
      </c>
      <c r="AM18" s="29">
        <f>(1.91)*B18</f>
        <v>8440.671999999999</v>
      </c>
      <c r="AN18" s="29">
        <f t="shared" si="13"/>
        <v>1519.3209599999998</v>
      </c>
      <c r="AO18" s="29"/>
      <c r="AP18" s="29">
        <f t="shared" si="14"/>
        <v>0</v>
      </c>
      <c r="AQ18" s="82"/>
      <c r="AR18" s="82">
        <f t="shared" si="14"/>
        <v>0</v>
      </c>
      <c r="AS18" s="67">
        <v>11374.21</v>
      </c>
      <c r="AT18" s="67">
        <v>600</v>
      </c>
      <c r="AU18" s="67">
        <f t="shared" si="1"/>
        <v>2155.3577999999998</v>
      </c>
      <c r="AV18" s="95"/>
      <c r="AW18" s="113">
        <v>580</v>
      </c>
      <c r="AX18" s="29">
        <f aca="true" t="shared" si="16" ref="AX18:AX25">AW18*1.12*1.18</f>
        <v>766.528</v>
      </c>
      <c r="AY18" s="97"/>
      <c r="AZ18" s="98"/>
      <c r="BA18" s="98">
        <f>AZ18*0.18</f>
        <v>0</v>
      </c>
      <c r="BB18" s="98">
        <f t="shared" si="15"/>
        <v>37160.90924</v>
      </c>
      <c r="BC18" s="133">
        <f>'[1]Т05-09'!$O$40</f>
        <v>291.29335844400003</v>
      </c>
      <c r="BD18" s="63">
        <f t="shared" si="2"/>
        <v>-5601.359278444001</v>
      </c>
      <c r="BE18" s="29">
        <f t="shared" si="3"/>
        <v>-6983.850000000002</v>
      </c>
    </row>
    <row r="19" spans="1:57" ht="12.75">
      <c r="A19" s="12" t="s">
        <v>48</v>
      </c>
      <c r="B19" s="129">
        <v>4419.2</v>
      </c>
      <c r="C19" s="89">
        <f t="shared" si="4"/>
        <v>38226.08</v>
      </c>
      <c r="D19" s="112">
        <f aca="true" t="shared" si="17" ref="D19:D25">C19-E19-F19-G19-H19-I19-J19-K19-L19-M19-N19</f>
        <v>3757.520000000007</v>
      </c>
      <c r="E19" s="74">
        <v>3247.64</v>
      </c>
      <c r="F19" s="74">
        <v>731.03</v>
      </c>
      <c r="G19" s="74">
        <v>4397.98</v>
      </c>
      <c r="H19" s="74">
        <v>990.92</v>
      </c>
      <c r="I19" s="74">
        <v>10568.43</v>
      </c>
      <c r="J19" s="74">
        <v>2379.9</v>
      </c>
      <c r="K19" s="74">
        <v>7320.82</v>
      </c>
      <c r="L19" s="74">
        <v>1648.9</v>
      </c>
      <c r="M19" s="74">
        <v>2598.14</v>
      </c>
      <c r="N19" s="74">
        <v>584.8</v>
      </c>
      <c r="O19" s="74">
        <v>0</v>
      </c>
      <c r="P19" s="75">
        <v>0</v>
      </c>
      <c r="Q19" s="74">
        <v>0</v>
      </c>
      <c r="R19" s="75">
        <v>0</v>
      </c>
      <c r="S19" s="64">
        <f t="shared" si="5"/>
        <v>28133.01</v>
      </c>
      <c r="T19" s="91">
        <f t="shared" si="6"/>
        <v>6335.55</v>
      </c>
      <c r="U19" s="65">
        <v>2617.42</v>
      </c>
      <c r="V19" s="65">
        <v>3542.97</v>
      </c>
      <c r="W19" s="65">
        <v>8516.06</v>
      </c>
      <c r="X19" s="65">
        <v>5898.37</v>
      </c>
      <c r="Y19" s="65">
        <v>2094.03</v>
      </c>
      <c r="Z19" s="108">
        <v>0</v>
      </c>
      <c r="AA19" s="108">
        <v>0</v>
      </c>
      <c r="AB19" s="106">
        <f t="shared" si="7"/>
        <v>22668.85</v>
      </c>
      <c r="AC19" s="100">
        <f t="shared" si="8"/>
        <v>32761.920000000006</v>
      </c>
      <c r="AD19" s="94">
        <f t="shared" si="9"/>
        <v>0</v>
      </c>
      <c r="AE19" s="94">
        <f t="shared" si="10"/>
        <v>0</v>
      </c>
      <c r="AF19" s="94">
        <f>'[1]Т06-09'!$I$40</f>
        <v>608.6133199999999</v>
      </c>
      <c r="AG19" s="29">
        <f aca="true" t="shared" si="18" ref="AG19:AG25">0.6*B19</f>
        <v>2651.52</v>
      </c>
      <c r="AH19" s="29">
        <f>B19*0.2*1.01045</f>
        <v>893.076128</v>
      </c>
      <c r="AI19" s="29">
        <f>0.85*B19</f>
        <v>3756.3199999999997</v>
      </c>
      <c r="AJ19" s="29">
        <f t="shared" si="11"/>
        <v>676.1375999999999</v>
      </c>
      <c r="AK19" s="29">
        <f>0.83*B19</f>
        <v>3667.9359999999997</v>
      </c>
      <c r="AL19" s="29">
        <f t="shared" si="12"/>
        <v>660.2284799999999</v>
      </c>
      <c r="AM19" s="29">
        <f>(1.91)*B19+0.01</f>
        <v>8440.681999999999</v>
      </c>
      <c r="AN19" s="29">
        <f t="shared" si="13"/>
        <v>1519.3227599999998</v>
      </c>
      <c r="AO19" s="29"/>
      <c r="AP19" s="29">
        <f t="shared" si="14"/>
        <v>0</v>
      </c>
      <c r="AQ19" s="82">
        <f>5344.55+16485</f>
        <v>21829.55</v>
      </c>
      <c r="AR19" s="82">
        <f t="shared" si="14"/>
        <v>3929.3189999999995</v>
      </c>
      <c r="AS19" s="67">
        <v>59.47</v>
      </c>
      <c r="AT19" s="67"/>
      <c r="AU19" s="67">
        <f t="shared" si="1"/>
        <v>10.7046</v>
      </c>
      <c r="AV19" s="95"/>
      <c r="AW19" s="113">
        <v>743</v>
      </c>
      <c r="AX19" s="29">
        <f t="shared" si="16"/>
        <v>981.9488</v>
      </c>
      <c r="AY19" s="97"/>
      <c r="AZ19" s="98"/>
      <c r="BA19" s="98">
        <f aca="true" t="shared" si="19" ref="BA19:BA25">AZ19*0.18</f>
        <v>0</v>
      </c>
      <c r="BB19" s="98">
        <f t="shared" si="15"/>
        <v>49076.21536799999</v>
      </c>
      <c r="BC19" s="133">
        <f>'[1]Т06-09'!$O$40</f>
        <v>275.76443596</v>
      </c>
      <c r="BD19" s="63">
        <f t="shared" si="2"/>
        <v>-15981.446483959988</v>
      </c>
      <c r="BE19" s="29">
        <f t="shared" si="3"/>
        <v>-5464.16</v>
      </c>
    </row>
    <row r="20" spans="1:57" ht="12.75">
      <c r="A20" s="12" t="s">
        <v>49</v>
      </c>
      <c r="B20" s="105">
        <v>4418.62</v>
      </c>
      <c r="C20" s="89">
        <f t="shared" si="4"/>
        <v>38221.063</v>
      </c>
      <c r="D20" s="112">
        <f t="shared" si="17"/>
        <v>3780.3430000000053</v>
      </c>
      <c r="E20" s="74">
        <v>3249.45</v>
      </c>
      <c r="F20" s="74">
        <v>726.01</v>
      </c>
      <c r="G20" s="74">
        <v>4400.42</v>
      </c>
      <c r="H20" s="74">
        <v>984.14</v>
      </c>
      <c r="I20" s="74">
        <v>10574.29</v>
      </c>
      <c r="J20" s="74">
        <v>2363.58</v>
      </c>
      <c r="K20" s="74">
        <v>7324.86</v>
      </c>
      <c r="L20" s="74">
        <v>1637.59</v>
      </c>
      <c r="M20" s="74">
        <v>2599.6</v>
      </c>
      <c r="N20" s="74">
        <v>580.78</v>
      </c>
      <c r="O20" s="74">
        <v>0</v>
      </c>
      <c r="P20" s="75">
        <v>0</v>
      </c>
      <c r="Q20" s="74">
        <v>0</v>
      </c>
      <c r="R20" s="75">
        <v>0</v>
      </c>
      <c r="S20" s="64">
        <f t="shared" si="5"/>
        <v>28148.62</v>
      </c>
      <c r="T20" s="91">
        <f t="shared" si="6"/>
        <v>6292.1</v>
      </c>
      <c r="U20" s="65">
        <v>2955.38</v>
      </c>
      <c r="V20" s="65">
        <v>4001.06</v>
      </c>
      <c r="W20" s="65">
        <v>9616.25</v>
      </c>
      <c r="X20" s="65">
        <v>6660.73</v>
      </c>
      <c r="Y20" s="65">
        <v>2364.34</v>
      </c>
      <c r="Z20" s="108">
        <v>0</v>
      </c>
      <c r="AA20" s="108">
        <v>0</v>
      </c>
      <c r="AB20" s="106">
        <f t="shared" si="7"/>
        <v>25597.760000000002</v>
      </c>
      <c r="AC20" s="100">
        <f t="shared" si="8"/>
        <v>35670.20300000001</v>
      </c>
      <c r="AD20" s="94">
        <f t="shared" si="9"/>
        <v>0</v>
      </c>
      <c r="AE20" s="94">
        <f t="shared" si="10"/>
        <v>0</v>
      </c>
      <c r="AF20" s="94">
        <f>'[3]Т07-09'!$I$41+'[3]Т07-09'!$I$52</f>
        <v>1071.1154999999999</v>
      </c>
      <c r="AG20" s="29">
        <f t="shared" si="18"/>
        <v>2651.172</v>
      </c>
      <c r="AH20" s="29">
        <f>B20*0.2*0.99425</f>
        <v>878.642587</v>
      </c>
      <c r="AI20" s="29">
        <f>0.85*B20*0.9857</f>
        <v>3702.1186739</v>
      </c>
      <c r="AJ20" s="29">
        <f t="shared" si="11"/>
        <v>666.381361302</v>
      </c>
      <c r="AK20" s="29">
        <f>0.83*B20*0.9905</f>
        <v>3632.6137812999996</v>
      </c>
      <c r="AL20" s="29">
        <f t="shared" si="12"/>
        <v>653.8704806339999</v>
      </c>
      <c r="AM20" s="29">
        <f>(1.91)*B20*0.9904</f>
        <v>8358.544383679999</v>
      </c>
      <c r="AN20" s="29">
        <f t="shared" si="13"/>
        <v>1504.5379890623997</v>
      </c>
      <c r="AO20" s="29"/>
      <c r="AP20" s="29">
        <f t="shared" si="14"/>
        <v>0</v>
      </c>
      <c r="AQ20" s="82"/>
      <c r="AR20" s="82">
        <f t="shared" si="14"/>
        <v>0</v>
      </c>
      <c r="AS20" s="67">
        <v>4144.11</v>
      </c>
      <c r="AT20" s="67"/>
      <c r="AU20" s="67">
        <f aca="true" t="shared" si="20" ref="AU20:AU25">(AS20+AT20)*0.18</f>
        <v>745.9397999999999</v>
      </c>
      <c r="AV20" s="95"/>
      <c r="AW20" s="113">
        <v>514</v>
      </c>
      <c r="AX20" s="29">
        <f t="shared" si="16"/>
        <v>679.3024</v>
      </c>
      <c r="AY20" s="97"/>
      <c r="AZ20" s="98"/>
      <c r="BA20" s="98">
        <f t="shared" si="19"/>
        <v>0</v>
      </c>
      <c r="BB20" s="98">
        <f t="shared" si="15"/>
        <v>27617.233456878395</v>
      </c>
      <c r="BC20" s="78">
        <f>'[1]Т07-09'!$O$41+'[1]Т07-09'!$O$52</f>
        <v>506.1656535</v>
      </c>
      <c r="BD20" s="63">
        <f t="shared" si="2"/>
        <v>8617.919389621613</v>
      </c>
      <c r="BE20" s="29">
        <f t="shared" si="3"/>
        <v>-2550.859999999997</v>
      </c>
    </row>
    <row r="21" spans="1:57" ht="12.75">
      <c r="A21" s="12" t="s">
        <v>50</v>
      </c>
      <c r="B21" s="105">
        <v>4418.62</v>
      </c>
      <c r="C21" s="89">
        <f t="shared" si="4"/>
        <v>38221.063</v>
      </c>
      <c r="D21" s="112">
        <f t="shared" si="17"/>
        <v>3767.963000000006</v>
      </c>
      <c r="E21" s="74">
        <v>3246.52</v>
      </c>
      <c r="F21" s="74">
        <v>730.35</v>
      </c>
      <c r="G21" s="74">
        <v>4396.5</v>
      </c>
      <c r="H21" s="74">
        <v>990</v>
      </c>
      <c r="I21" s="74">
        <v>10564.82</v>
      </c>
      <c r="J21" s="74">
        <v>2377.7</v>
      </c>
      <c r="K21" s="74">
        <v>7318.33</v>
      </c>
      <c r="L21" s="74">
        <v>1647.37</v>
      </c>
      <c r="M21" s="74">
        <v>2597.25</v>
      </c>
      <c r="N21" s="74">
        <v>584.26</v>
      </c>
      <c r="O21" s="74">
        <v>0</v>
      </c>
      <c r="P21" s="75">
        <v>0</v>
      </c>
      <c r="Q21" s="65">
        <v>0</v>
      </c>
      <c r="R21" s="65">
        <v>0</v>
      </c>
      <c r="S21" s="64">
        <f t="shared" si="5"/>
        <v>28123.42</v>
      </c>
      <c r="T21" s="91">
        <f t="shared" si="6"/>
        <v>6329.68</v>
      </c>
      <c r="U21" s="65">
        <v>2858.47</v>
      </c>
      <c r="V21" s="65">
        <v>3869.95</v>
      </c>
      <c r="W21" s="65">
        <v>9300.79</v>
      </c>
      <c r="X21" s="65">
        <v>6442.39</v>
      </c>
      <c r="Y21" s="65">
        <v>2286.76</v>
      </c>
      <c r="Z21" s="108">
        <v>0</v>
      </c>
      <c r="AA21" s="108">
        <v>0</v>
      </c>
      <c r="AB21" s="106">
        <f t="shared" si="7"/>
        <v>24758.36</v>
      </c>
      <c r="AC21" s="100">
        <f t="shared" si="8"/>
        <v>34856.00300000001</v>
      </c>
      <c r="AD21" s="94">
        <f t="shared" si="9"/>
        <v>0</v>
      </c>
      <c r="AE21" s="94">
        <f t="shared" si="10"/>
        <v>0</v>
      </c>
      <c r="AF21" s="94">
        <f>'[3]Т07-09'!$I$41+'[3]Т07-09'!$I$52</f>
        <v>1071.1154999999999</v>
      </c>
      <c r="AG21" s="29">
        <f t="shared" si="18"/>
        <v>2651.172</v>
      </c>
      <c r="AH21" s="29">
        <f>B21*0.2*0.99875</f>
        <v>882.6193450000001</v>
      </c>
      <c r="AI21" s="29">
        <f>0.85*B21*0.98526</f>
        <v>3700.46611002</v>
      </c>
      <c r="AJ21" s="29">
        <f t="shared" si="11"/>
        <v>666.0838998036</v>
      </c>
      <c r="AK21" s="29">
        <f>0.83*B21*0.99</f>
        <v>3630.7800539999994</v>
      </c>
      <c r="AL21" s="29">
        <f t="shared" si="12"/>
        <v>653.5404097199998</v>
      </c>
      <c r="AM21" s="29">
        <f>(1.91)*B21*0.99</f>
        <v>8355.168558</v>
      </c>
      <c r="AN21" s="29">
        <f t="shared" si="13"/>
        <v>1503.9303404399998</v>
      </c>
      <c r="AO21" s="29"/>
      <c r="AP21" s="29">
        <f t="shared" si="14"/>
        <v>0</v>
      </c>
      <c r="AQ21" s="82">
        <v>5502.55</v>
      </c>
      <c r="AR21" s="82">
        <f t="shared" si="14"/>
        <v>990.459</v>
      </c>
      <c r="AS21" s="67">
        <v>121</v>
      </c>
      <c r="AT21" s="67"/>
      <c r="AU21" s="67">
        <f t="shared" si="20"/>
        <v>21.779999999999998</v>
      </c>
      <c r="AV21" s="95"/>
      <c r="AW21" s="113">
        <v>454</v>
      </c>
      <c r="AX21" s="29">
        <f t="shared" si="16"/>
        <v>600.0064000000001</v>
      </c>
      <c r="AY21" s="97"/>
      <c r="AZ21" s="98"/>
      <c r="BA21" s="98">
        <f t="shared" si="19"/>
        <v>0</v>
      </c>
      <c r="BB21" s="98">
        <f t="shared" si="15"/>
        <v>29279.556116983593</v>
      </c>
      <c r="BC21" s="78">
        <f>'[1]Т08-09'!$O$41+'[1]Т08-09'!$O$52</f>
        <v>505.93566855000006</v>
      </c>
      <c r="BD21" s="63">
        <f t="shared" si="2"/>
        <v>6141.626714466419</v>
      </c>
      <c r="BE21" s="29">
        <f t="shared" si="3"/>
        <v>-3365.0599999999977</v>
      </c>
    </row>
    <row r="22" spans="1:57" ht="12.75">
      <c r="A22" s="12" t="s">
        <v>51</v>
      </c>
      <c r="B22" s="88">
        <v>4418.62</v>
      </c>
      <c r="C22" s="89">
        <f t="shared" si="4"/>
        <v>38221.063</v>
      </c>
      <c r="D22" s="112">
        <f t="shared" si="17"/>
        <v>3741.5329999999994</v>
      </c>
      <c r="E22" s="72">
        <v>3249.62</v>
      </c>
      <c r="F22" s="72">
        <v>730.35</v>
      </c>
      <c r="G22" s="72">
        <v>4400.57</v>
      </c>
      <c r="H22" s="72">
        <v>990</v>
      </c>
      <c r="I22" s="72">
        <v>10574.77</v>
      </c>
      <c r="J22" s="72">
        <v>2377.7</v>
      </c>
      <c r="K22" s="72">
        <v>7325.17</v>
      </c>
      <c r="L22" s="72">
        <v>1647.37</v>
      </c>
      <c r="M22" s="72">
        <v>2599.72</v>
      </c>
      <c r="N22" s="72">
        <v>584.26</v>
      </c>
      <c r="O22" s="72">
        <v>0</v>
      </c>
      <c r="P22" s="73">
        <v>0</v>
      </c>
      <c r="Q22" s="72">
        <v>0</v>
      </c>
      <c r="R22" s="73">
        <v>0</v>
      </c>
      <c r="S22" s="64">
        <f t="shared" si="5"/>
        <v>28149.85</v>
      </c>
      <c r="T22" s="91">
        <f t="shared" si="6"/>
        <v>6329.68</v>
      </c>
      <c r="U22" s="64">
        <v>3064.22</v>
      </c>
      <c r="V22" s="64">
        <v>4147.6</v>
      </c>
      <c r="W22" s="64">
        <v>9969.28</v>
      </c>
      <c r="X22" s="64">
        <v>6905.15</v>
      </c>
      <c r="Y22" s="64">
        <v>2450.94</v>
      </c>
      <c r="Z22" s="69">
        <v>0</v>
      </c>
      <c r="AA22" s="69">
        <v>0</v>
      </c>
      <c r="AB22" s="106">
        <f t="shared" si="7"/>
        <v>26537.19</v>
      </c>
      <c r="AC22" s="100">
        <f t="shared" si="8"/>
        <v>36608.403</v>
      </c>
      <c r="AD22" s="94">
        <f t="shared" si="9"/>
        <v>0</v>
      </c>
      <c r="AE22" s="94">
        <f t="shared" si="10"/>
        <v>0</v>
      </c>
      <c r="AF22" s="94">
        <f>'[3]Т07-09'!$I$41+'[3]Т07-09'!$I$52</f>
        <v>1071.1154999999999</v>
      </c>
      <c r="AG22" s="29">
        <f t="shared" si="18"/>
        <v>2651.172</v>
      </c>
      <c r="AH22" s="29">
        <f>B22*0.2*0.9997</f>
        <v>883.4588828000001</v>
      </c>
      <c r="AI22" s="29">
        <f>0.85*B22*0.98509</f>
        <v>3699.8276194299997</v>
      </c>
      <c r="AJ22" s="29">
        <f t="shared" si="11"/>
        <v>665.9689714973999</v>
      </c>
      <c r="AK22" s="29">
        <f>0.83*B22*0.98981</f>
        <v>3630.0832376259996</v>
      </c>
      <c r="AL22" s="29">
        <f t="shared" si="12"/>
        <v>653.4149827726799</v>
      </c>
      <c r="AM22" s="29">
        <f>(1.91)*B22*0.98981</f>
        <v>8353.565040802</v>
      </c>
      <c r="AN22" s="29">
        <f t="shared" si="13"/>
        <v>1503.6417073443597</v>
      </c>
      <c r="AO22" s="29"/>
      <c r="AP22" s="29">
        <f t="shared" si="14"/>
        <v>0</v>
      </c>
      <c r="AQ22" s="82">
        <v>5502.55</v>
      </c>
      <c r="AR22" s="82">
        <f t="shared" si="14"/>
        <v>990.459</v>
      </c>
      <c r="AS22" s="67"/>
      <c r="AT22" s="67"/>
      <c r="AU22" s="67">
        <f t="shared" si="20"/>
        <v>0</v>
      </c>
      <c r="AV22" s="95"/>
      <c r="AW22" s="113">
        <v>644</v>
      </c>
      <c r="AX22" s="29">
        <f t="shared" si="16"/>
        <v>851.1104</v>
      </c>
      <c r="AY22" s="97"/>
      <c r="AZ22" s="98"/>
      <c r="BA22" s="98">
        <f t="shared" si="19"/>
        <v>0</v>
      </c>
      <c r="BB22" s="98">
        <f t="shared" si="15"/>
        <v>29385.251842272435</v>
      </c>
      <c r="BC22" s="78">
        <f>'[1]Т09-09'!$O$41+'[1]Т09-09'!$O$52</f>
        <v>505.859148795</v>
      </c>
      <c r="BD22" s="63">
        <f t="shared" si="2"/>
        <v>7788.407508932563</v>
      </c>
      <c r="BE22" s="29">
        <f t="shared" si="3"/>
        <v>-1612.6599999999999</v>
      </c>
    </row>
    <row r="23" spans="1:57" ht="12.75">
      <c r="A23" s="30" t="s">
        <v>39</v>
      </c>
      <c r="B23" s="88">
        <v>4418.62</v>
      </c>
      <c r="C23" s="114">
        <f t="shared" si="4"/>
        <v>38221.063</v>
      </c>
      <c r="D23" s="112">
        <f t="shared" si="17"/>
        <v>3708.542999999995</v>
      </c>
      <c r="E23" s="68">
        <v>3270.98</v>
      </c>
      <c r="F23" s="64">
        <v>712.87</v>
      </c>
      <c r="G23" s="64">
        <v>4429.31</v>
      </c>
      <c r="H23" s="64">
        <v>966.31</v>
      </c>
      <c r="I23" s="64">
        <v>10644.05</v>
      </c>
      <c r="J23" s="64">
        <v>2320.83</v>
      </c>
      <c r="K23" s="64">
        <v>7373.13</v>
      </c>
      <c r="L23" s="64">
        <v>1607.95</v>
      </c>
      <c r="M23" s="64">
        <v>2616.81</v>
      </c>
      <c r="N23" s="64">
        <v>570.28</v>
      </c>
      <c r="O23" s="64">
        <v>0</v>
      </c>
      <c r="P23" s="69">
        <v>0</v>
      </c>
      <c r="Q23" s="64">
        <v>0</v>
      </c>
      <c r="R23" s="64">
        <v>0</v>
      </c>
      <c r="S23" s="64">
        <f t="shared" si="5"/>
        <v>28334.280000000002</v>
      </c>
      <c r="T23" s="91">
        <f t="shared" si="6"/>
        <v>6178.239999999999</v>
      </c>
      <c r="U23" s="70">
        <f>3033.19+341.9</f>
        <v>3375.09</v>
      </c>
      <c r="V23" s="64">
        <f>4108.44+462.87</f>
        <v>4571.3099999999995</v>
      </c>
      <c r="W23" s="64">
        <f>9871.66+1112.36</f>
        <v>10984.02</v>
      </c>
      <c r="X23" s="64">
        <f>6838.5+770.6</f>
        <v>7609.1</v>
      </c>
      <c r="Y23" s="64">
        <f>2427.01+273.56</f>
        <v>2700.57</v>
      </c>
      <c r="Z23" s="69">
        <v>0</v>
      </c>
      <c r="AA23" s="69">
        <v>0</v>
      </c>
      <c r="AB23" s="69">
        <f>SUM(U23:AA23)</f>
        <v>29240.089999999997</v>
      </c>
      <c r="AC23" s="100">
        <f>AB23+T23+D23</f>
        <v>39126.87299999999</v>
      </c>
      <c r="AD23" s="94">
        <f t="shared" si="9"/>
        <v>0</v>
      </c>
      <c r="AE23" s="94">
        <f t="shared" si="10"/>
        <v>0</v>
      </c>
      <c r="AF23" s="94">
        <f>'[4]Т10'!$I$42+'[4]Т10'!$I$54</f>
        <v>1071.1154999999999</v>
      </c>
      <c r="AG23" s="29">
        <f t="shared" si="18"/>
        <v>2651.172</v>
      </c>
      <c r="AH23" s="29">
        <f>B23*0.2</f>
        <v>883.724</v>
      </c>
      <c r="AI23" s="29">
        <f>0.847*B23</f>
        <v>3742.57114</v>
      </c>
      <c r="AJ23" s="29">
        <f t="shared" si="11"/>
        <v>673.6628052</v>
      </c>
      <c r="AK23" s="29">
        <f>0.83*B23</f>
        <v>3667.4545999999996</v>
      </c>
      <c r="AL23" s="29">
        <f t="shared" si="12"/>
        <v>660.1418279999999</v>
      </c>
      <c r="AM23" s="29">
        <f>(2.25/1.18)*B23</f>
        <v>8425.334745762711</v>
      </c>
      <c r="AN23" s="29">
        <f t="shared" si="13"/>
        <v>1516.560254237288</v>
      </c>
      <c r="AO23" s="29"/>
      <c r="AP23" s="29">
        <f t="shared" si="14"/>
        <v>0</v>
      </c>
      <c r="AQ23" s="82"/>
      <c r="AR23" s="82">
        <f t="shared" si="14"/>
        <v>0</v>
      </c>
      <c r="AS23" s="67">
        <v>2028.8</v>
      </c>
      <c r="AT23" s="67"/>
      <c r="AU23" s="67">
        <f t="shared" si="20"/>
        <v>365.18399999999997</v>
      </c>
      <c r="AV23" s="95"/>
      <c r="AW23" s="96">
        <v>628</v>
      </c>
      <c r="AX23" s="29">
        <f t="shared" si="16"/>
        <v>829.9648</v>
      </c>
      <c r="AY23" s="97"/>
      <c r="AZ23" s="107"/>
      <c r="BA23" s="98">
        <f t="shared" si="19"/>
        <v>0</v>
      </c>
      <c r="BB23" s="98">
        <f>SUM(AG23:AU23)+AX23+AY23+AZ23+BA23</f>
        <v>25444.570173199998</v>
      </c>
      <c r="BC23" s="78">
        <f>'[2]Т10'!$O$42+'[2]Т10'!$O$54</f>
        <v>509.80155</v>
      </c>
      <c r="BD23" s="63">
        <f t="shared" si="2"/>
        <v>14243.616776799994</v>
      </c>
      <c r="BE23" s="29">
        <f t="shared" si="3"/>
        <v>905.809999999994</v>
      </c>
    </row>
    <row r="24" spans="1:57" ht="12.75">
      <c r="A24" s="12" t="s">
        <v>40</v>
      </c>
      <c r="B24" s="105">
        <v>4418.62</v>
      </c>
      <c r="C24" s="114">
        <f t="shared" si="4"/>
        <v>38221.063</v>
      </c>
      <c r="D24" s="112">
        <f t="shared" si="17"/>
        <v>3682.8230000000067</v>
      </c>
      <c r="E24" s="72">
        <v>3272.06</v>
      </c>
      <c r="F24" s="72">
        <v>714.81</v>
      </c>
      <c r="G24" s="72">
        <v>4430.6</v>
      </c>
      <c r="H24" s="72">
        <v>968.95</v>
      </c>
      <c r="I24" s="72">
        <v>10647.39</v>
      </c>
      <c r="J24" s="72">
        <v>2327.19</v>
      </c>
      <c r="K24" s="72">
        <v>7375.37</v>
      </c>
      <c r="L24" s="72">
        <v>1612.37</v>
      </c>
      <c r="M24" s="72">
        <v>2617.66</v>
      </c>
      <c r="N24" s="72">
        <v>571.84</v>
      </c>
      <c r="O24" s="72">
        <v>0</v>
      </c>
      <c r="P24" s="73">
        <v>0</v>
      </c>
      <c r="Q24" s="73">
        <v>0</v>
      </c>
      <c r="R24" s="73">
        <v>0</v>
      </c>
      <c r="S24" s="64">
        <f t="shared" si="5"/>
        <v>28343.079999999998</v>
      </c>
      <c r="T24" s="91">
        <f t="shared" si="6"/>
        <v>6195.16</v>
      </c>
      <c r="U24" s="64">
        <v>3565.23</v>
      </c>
      <c r="V24" s="64">
        <v>4825.69</v>
      </c>
      <c r="W24" s="64">
        <v>11599.41</v>
      </c>
      <c r="X24" s="64">
        <v>8034.4</v>
      </c>
      <c r="Y24" s="64">
        <v>2852.22</v>
      </c>
      <c r="Z24" s="69">
        <v>0</v>
      </c>
      <c r="AA24" s="69">
        <v>0</v>
      </c>
      <c r="AB24" s="69">
        <f>SUM(U24:AA24)</f>
        <v>30876.950000000004</v>
      </c>
      <c r="AC24" s="100">
        <f>D24+T24+AB24</f>
        <v>40754.93300000001</v>
      </c>
      <c r="AD24" s="94">
        <f t="shared" si="9"/>
        <v>0</v>
      </c>
      <c r="AE24" s="94">
        <f t="shared" si="10"/>
        <v>0</v>
      </c>
      <c r="AF24" s="94">
        <f>'[4]Т11'!$I$42+'[4]Т11'!$I$54</f>
        <v>1071.1154999999999</v>
      </c>
      <c r="AG24" s="29">
        <f t="shared" si="18"/>
        <v>2651.172</v>
      </c>
      <c r="AH24" s="29">
        <f>B24*0.2</f>
        <v>883.724</v>
      </c>
      <c r="AI24" s="29">
        <f>0.85*B24</f>
        <v>3755.8269999999998</v>
      </c>
      <c r="AJ24" s="29">
        <f t="shared" si="11"/>
        <v>676.0488599999999</v>
      </c>
      <c r="AK24" s="29">
        <f>0.83*B24</f>
        <v>3667.4545999999996</v>
      </c>
      <c r="AL24" s="29">
        <f t="shared" si="12"/>
        <v>660.1418279999999</v>
      </c>
      <c r="AM24" s="29">
        <f>(1.91)*B24</f>
        <v>8439.564199999999</v>
      </c>
      <c r="AN24" s="29">
        <f t="shared" si="13"/>
        <v>1519.1215559999998</v>
      </c>
      <c r="AO24" s="29"/>
      <c r="AP24" s="29">
        <f t="shared" si="14"/>
        <v>0</v>
      </c>
      <c r="AQ24" s="82"/>
      <c r="AR24" s="82">
        <f t="shared" si="14"/>
        <v>0</v>
      </c>
      <c r="AS24" s="67">
        <v>847</v>
      </c>
      <c r="AT24" s="67"/>
      <c r="AU24" s="67">
        <f t="shared" si="20"/>
        <v>152.46</v>
      </c>
      <c r="AV24" s="95"/>
      <c r="AW24" s="96">
        <v>824</v>
      </c>
      <c r="AX24" s="29">
        <f t="shared" si="16"/>
        <v>1088.9984000000002</v>
      </c>
      <c r="AY24" s="97"/>
      <c r="AZ24" s="98"/>
      <c r="BA24" s="98">
        <f t="shared" si="19"/>
        <v>0</v>
      </c>
      <c r="BB24" s="98">
        <f>SUM(AG24:AU24)+AX24+AY24+AZ24+BA24</f>
        <v>24341.512443999996</v>
      </c>
      <c r="BC24" s="128">
        <f>'[4]Т11'!$O$42+'[4]Т11'!$O$54</f>
        <v>510.52950000000004</v>
      </c>
      <c r="BD24" s="63">
        <f t="shared" si="2"/>
        <v>16974.006556000015</v>
      </c>
      <c r="BE24" s="29">
        <f t="shared" si="3"/>
        <v>2533.8700000000063</v>
      </c>
    </row>
    <row r="25" spans="1:57" ht="12.75">
      <c r="A25" s="12" t="s">
        <v>41</v>
      </c>
      <c r="B25" s="88">
        <v>4418.62</v>
      </c>
      <c r="C25" s="114">
        <f t="shared" si="4"/>
        <v>38221.063</v>
      </c>
      <c r="D25" s="112">
        <f t="shared" si="17"/>
        <v>2500.953000000004</v>
      </c>
      <c r="E25" s="72">
        <v>3408.57</v>
      </c>
      <c r="F25" s="72">
        <v>714.82</v>
      </c>
      <c r="G25" s="72">
        <v>4615.23</v>
      </c>
      <c r="H25" s="72">
        <v>968.96</v>
      </c>
      <c r="I25" s="72">
        <v>11091.39</v>
      </c>
      <c r="J25" s="72">
        <v>2327.19</v>
      </c>
      <c r="K25" s="72">
        <v>7682.87</v>
      </c>
      <c r="L25" s="72">
        <v>1612.37</v>
      </c>
      <c r="M25" s="72">
        <v>2726.86</v>
      </c>
      <c r="N25" s="72">
        <v>571.85</v>
      </c>
      <c r="O25" s="72">
        <v>0</v>
      </c>
      <c r="P25" s="73">
        <v>0</v>
      </c>
      <c r="Q25" s="73"/>
      <c r="R25" s="73"/>
      <c r="S25" s="64">
        <f t="shared" si="5"/>
        <v>29524.92</v>
      </c>
      <c r="T25" s="91">
        <f t="shared" si="6"/>
        <v>6195.19</v>
      </c>
      <c r="U25" s="64">
        <v>4207.19</v>
      </c>
      <c r="V25" s="64">
        <v>5695.59</v>
      </c>
      <c r="W25" s="64">
        <v>13689.07</v>
      </c>
      <c r="X25" s="64">
        <v>9482.13</v>
      </c>
      <c r="Y25" s="64">
        <v>3365.83</v>
      </c>
      <c r="Z25" s="69">
        <v>0</v>
      </c>
      <c r="AA25" s="69">
        <v>0</v>
      </c>
      <c r="AB25" s="69">
        <f>SUM(U25:AA25)</f>
        <v>36439.81</v>
      </c>
      <c r="AC25" s="100">
        <f>D25+T25+AB25</f>
        <v>45135.953</v>
      </c>
      <c r="AD25" s="94">
        <f t="shared" si="9"/>
        <v>0</v>
      </c>
      <c r="AE25" s="94">
        <f t="shared" si="10"/>
        <v>0</v>
      </c>
      <c r="AF25" s="94">
        <f>'[4]Т12'!$I$42+'[4]Т12'!$I$55</f>
        <v>1071.1154999999999</v>
      </c>
      <c r="AG25" s="29">
        <f t="shared" si="18"/>
        <v>2651.172</v>
      </c>
      <c r="AH25" s="29">
        <f>B25*0.2</f>
        <v>883.724</v>
      </c>
      <c r="AI25" s="29">
        <f>0.85*B25</f>
        <v>3755.8269999999998</v>
      </c>
      <c r="AJ25" s="29">
        <f t="shared" si="11"/>
        <v>676.0488599999999</v>
      </c>
      <c r="AK25" s="29">
        <f>0.83*B25</f>
        <v>3667.4545999999996</v>
      </c>
      <c r="AL25" s="29">
        <f t="shared" si="12"/>
        <v>660.1418279999999</v>
      </c>
      <c r="AM25" s="29">
        <f>(1.91)*B25</f>
        <v>8439.564199999999</v>
      </c>
      <c r="AN25" s="29">
        <f t="shared" si="13"/>
        <v>1519.1215559999998</v>
      </c>
      <c r="AO25" s="29"/>
      <c r="AP25" s="29">
        <f t="shared" si="14"/>
        <v>0</v>
      </c>
      <c r="AQ25" s="82"/>
      <c r="AR25" s="82">
        <f t="shared" si="14"/>
        <v>0</v>
      </c>
      <c r="AS25" s="67">
        <v>0</v>
      </c>
      <c r="AT25" s="67"/>
      <c r="AU25" s="67">
        <f t="shared" si="20"/>
        <v>0</v>
      </c>
      <c r="AV25" s="95"/>
      <c r="AW25" s="96">
        <v>935</v>
      </c>
      <c r="AX25" s="29">
        <f t="shared" si="16"/>
        <v>1235.696</v>
      </c>
      <c r="AY25" s="97"/>
      <c r="AZ25" s="98"/>
      <c r="BA25" s="98">
        <f t="shared" si="19"/>
        <v>0</v>
      </c>
      <c r="BB25" s="98">
        <f>SUM(AG25:BA25)-AV25-AW25</f>
        <v>23488.750043999997</v>
      </c>
      <c r="BC25" s="128">
        <f>'[4]Т12'!$O$42+'[4]Т12'!$O$55</f>
        <v>510.52950000000004</v>
      </c>
      <c r="BD25" s="63">
        <f t="shared" si="2"/>
        <v>22207.788956000004</v>
      </c>
      <c r="BE25" s="29">
        <f t="shared" si="3"/>
        <v>6914.889999999999</v>
      </c>
    </row>
    <row r="26" spans="1:57" s="26" customFormat="1" ht="12.75">
      <c r="A26" s="21" t="s">
        <v>5</v>
      </c>
      <c r="B26" s="22"/>
      <c r="C26" s="22">
        <f aca="true" t="shared" si="21" ref="C26:BB26">SUM(C14:C25)</f>
        <v>458721.78300000017</v>
      </c>
      <c r="D26" s="22">
        <f t="shared" si="21"/>
        <v>47848.48362500002</v>
      </c>
      <c r="E26" s="23">
        <f t="shared" si="21"/>
        <v>37915.09</v>
      </c>
      <c r="F26" s="23">
        <f t="shared" si="21"/>
        <v>8451.33</v>
      </c>
      <c r="G26" s="23">
        <f t="shared" si="21"/>
        <v>51298.45</v>
      </c>
      <c r="H26" s="23">
        <f t="shared" si="21"/>
        <v>11445.34</v>
      </c>
      <c r="I26" s="23">
        <f t="shared" si="21"/>
        <v>123342.05000000002</v>
      </c>
      <c r="J26" s="23">
        <f t="shared" si="21"/>
        <v>27508.6</v>
      </c>
      <c r="K26" s="23">
        <f t="shared" si="21"/>
        <v>85424.40999999999</v>
      </c>
      <c r="L26" s="23">
        <f t="shared" si="21"/>
        <v>19054.469999999998</v>
      </c>
      <c r="M26" s="23">
        <f t="shared" si="21"/>
        <v>30334.54</v>
      </c>
      <c r="N26" s="23">
        <f t="shared" si="21"/>
        <v>6763.250000000001</v>
      </c>
      <c r="O26" s="23">
        <f t="shared" si="21"/>
        <v>0</v>
      </c>
      <c r="P26" s="23">
        <f t="shared" si="21"/>
        <v>0</v>
      </c>
      <c r="Q26" s="23">
        <f t="shared" si="21"/>
        <v>0</v>
      </c>
      <c r="R26" s="23">
        <f t="shared" si="21"/>
        <v>0</v>
      </c>
      <c r="S26" s="23">
        <f t="shared" si="21"/>
        <v>328314.54</v>
      </c>
      <c r="T26" s="23">
        <f t="shared" si="21"/>
        <v>73222.99</v>
      </c>
      <c r="U26" s="24">
        <f t="shared" si="21"/>
        <v>34742.32</v>
      </c>
      <c r="V26" s="24">
        <f t="shared" si="21"/>
        <v>46992.51000000001</v>
      </c>
      <c r="W26" s="24">
        <f t="shared" si="21"/>
        <v>113007.29999999999</v>
      </c>
      <c r="X26" s="24">
        <f t="shared" si="21"/>
        <v>78262.76</v>
      </c>
      <c r="Y26" s="24">
        <f t="shared" si="21"/>
        <v>27796.43</v>
      </c>
      <c r="Z26" s="24">
        <f t="shared" si="21"/>
        <v>0</v>
      </c>
      <c r="AA26" s="24">
        <f t="shared" si="21"/>
        <v>0</v>
      </c>
      <c r="AB26" s="24">
        <f t="shared" si="21"/>
        <v>300801.32</v>
      </c>
      <c r="AC26" s="24">
        <f t="shared" si="21"/>
        <v>421872.793625</v>
      </c>
      <c r="AD26" s="101">
        <f t="shared" si="21"/>
        <v>0</v>
      </c>
      <c r="AE26" s="101">
        <f t="shared" si="21"/>
        <v>0</v>
      </c>
      <c r="AF26" s="101"/>
      <c r="AG26" s="25">
        <f t="shared" si="21"/>
        <v>30757.973999999995</v>
      </c>
      <c r="AH26" s="25">
        <f t="shared" si="21"/>
        <v>10297.7670968</v>
      </c>
      <c r="AI26" s="25">
        <f t="shared" si="21"/>
        <v>42996.779161349994</v>
      </c>
      <c r="AJ26" s="25">
        <f t="shared" si="21"/>
        <v>7739.420249042999</v>
      </c>
      <c r="AK26" s="25">
        <f t="shared" si="21"/>
        <v>41796.53703172599</v>
      </c>
      <c r="AL26" s="25">
        <f t="shared" si="21"/>
        <v>7523.376665710678</v>
      </c>
      <c r="AM26" s="25">
        <f t="shared" si="21"/>
        <v>96169.00778144468</v>
      </c>
      <c r="AN26" s="25">
        <f t="shared" si="21"/>
        <v>17310.421400660045</v>
      </c>
      <c r="AO26" s="25">
        <f t="shared" si="21"/>
        <v>0</v>
      </c>
      <c r="AP26" s="25">
        <f t="shared" si="21"/>
        <v>0</v>
      </c>
      <c r="AQ26" s="25">
        <f>SUM(AQ14:AQ25)</f>
        <v>44987.333000000006</v>
      </c>
      <c r="AR26" s="25">
        <f>SUM(AR14:AR25)</f>
        <v>8097.719939999999</v>
      </c>
      <c r="AS26" s="62">
        <f t="shared" si="21"/>
        <v>42422.950000000004</v>
      </c>
      <c r="AT26" s="62">
        <f t="shared" si="21"/>
        <v>5136</v>
      </c>
      <c r="AU26" s="62">
        <f t="shared" si="21"/>
        <v>8560.610999999999</v>
      </c>
      <c r="AV26" s="25"/>
      <c r="AW26" s="25"/>
      <c r="AX26" s="25">
        <f t="shared" si="21"/>
        <v>16151.273600000002</v>
      </c>
      <c r="AY26" s="25">
        <f t="shared" si="21"/>
        <v>0</v>
      </c>
      <c r="AZ26" s="25">
        <f t="shared" si="21"/>
        <v>0</v>
      </c>
      <c r="BA26" s="25">
        <f t="shared" si="21"/>
        <v>0</v>
      </c>
      <c r="BB26" s="25">
        <f t="shared" si="21"/>
        <v>375916.29092673433</v>
      </c>
      <c r="BC26" s="25">
        <f>SUM(BC14:BC25)</f>
        <v>3876.8227650890003</v>
      </c>
      <c r="BD26" s="71">
        <f>SUM(BD14:BD25)</f>
        <v>51441.129545176635</v>
      </c>
      <c r="BE26" s="25">
        <f>SUM(BE14:BE25)</f>
        <v>-27513.22</v>
      </c>
    </row>
    <row r="27" spans="1:57" ht="12.75">
      <c r="A27" s="115"/>
      <c r="B27" s="116"/>
      <c r="C27" s="117">
        <f>C12+C26</f>
        <v>1032204.8460000004</v>
      </c>
      <c r="D27" s="117">
        <f aca="true" t="shared" si="22" ref="D27:BB27">D12+D26</f>
        <v>75471.90625860002</v>
      </c>
      <c r="E27" s="117">
        <f t="shared" si="22"/>
        <v>46051.67999999999</v>
      </c>
      <c r="F27" s="117">
        <f t="shared" si="22"/>
        <v>10440.09</v>
      </c>
      <c r="G27" s="117">
        <f t="shared" si="22"/>
        <v>62253.02</v>
      </c>
      <c r="H27" s="117">
        <f t="shared" si="22"/>
        <v>14130.24</v>
      </c>
      <c r="I27" s="117">
        <f t="shared" si="22"/>
        <v>149786.26</v>
      </c>
      <c r="J27" s="117">
        <f t="shared" si="22"/>
        <v>33971.96</v>
      </c>
      <c r="K27" s="117">
        <f t="shared" si="22"/>
        <v>103732.10999999999</v>
      </c>
      <c r="L27" s="117">
        <f t="shared" si="22"/>
        <v>23529.129999999997</v>
      </c>
      <c r="M27" s="117">
        <f t="shared" si="22"/>
        <v>36843.81</v>
      </c>
      <c r="N27" s="117">
        <f t="shared" si="22"/>
        <v>8354.240000000002</v>
      </c>
      <c r="O27" s="117">
        <f t="shared" si="22"/>
        <v>0</v>
      </c>
      <c r="P27" s="117">
        <f t="shared" si="22"/>
        <v>0</v>
      </c>
      <c r="Q27" s="117">
        <f t="shared" si="22"/>
        <v>0</v>
      </c>
      <c r="R27" s="117">
        <f t="shared" si="22"/>
        <v>0</v>
      </c>
      <c r="S27" s="117">
        <f t="shared" si="22"/>
        <v>398666.88</v>
      </c>
      <c r="T27" s="117">
        <f t="shared" si="22"/>
        <v>90425.66</v>
      </c>
      <c r="U27" s="117">
        <f t="shared" si="22"/>
        <v>39263.79</v>
      </c>
      <c r="V27" s="117">
        <f t="shared" si="22"/>
        <v>53096.63000000001</v>
      </c>
      <c r="W27" s="117">
        <f t="shared" si="22"/>
        <v>127707.57999999999</v>
      </c>
      <c r="X27" s="117">
        <f t="shared" si="22"/>
        <v>88436.34999999999</v>
      </c>
      <c r="Y27" s="117">
        <f t="shared" si="22"/>
        <v>31413.73</v>
      </c>
      <c r="Z27" s="117">
        <f t="shared" si="22"/>
        <v>0</v>
      </c>
      <c r="AA27" s="117">
        <f t="shared" si="22"/>
        <v>0</v>
      </c>
      <c r="AB27" s="117">
        <f t="shared" si="22"/>
        <v>339918.08</v>
      </c>
      <c r="AC27" s="117">
        <f t="shared" si="22"/>
        <v>505815.6462586</v>
      </c>
      <c r="AD27" s="117">
        <f t="shared" si="22"/>
        <v>0</v>
      </c>
      <c r="AE27" s="117">
        <f t="shared" si="22"/>
        <v>0</v>
      </c>
      <c r="AF27" s="117">
        <f t="shared" si="22"/>
        <v>0</v>
      </c>
      <c r="AG27" s="117">
        <f t="shared" si="22"/>
        <v>38718.293999999994</v>
      </c>
      <c r="AH27" s="117">
        <f t="shared" si="22"/>
        <v>13029.483576800001</v>
      </c>
      <c r="AI27" s="117">
        <f t="shared" si="22"/>
        <v>54286.79256934999</v>
      </c>
      <c r="AJ27" s="117">
        <f t="shared" si="22"/>
        <v>9771.622662482998</v>
      </c>
      <c r="AK27" s="117">
        <f t="shared" si="22"/>
        <v>54934.56403460598</v>
      </c>
      <c r="AL27" s="117">
        <f t="shared" si="22"/>
        <v>9888.221526229077</v>
      </c>
      <c r="AM27" s="117">
        <f t="shared" si="22"/>
        <v>120297.39968096468</v>
      </c>
      <c r="AN27" s="117">
        <f t="shared" si="22"/>
        <v>21653.531942573645</v>
      </c>
      <c r="AO27" s="117">
        <f t="shared" si="22"/>
        <v>0</v>
      </c>
      <c r="AP27" s="117">
        <f t="shared" si="22"/>
        <v>0</v>
      </c>
      <c r="AQ27" s="117">
        <f t="shared" si="22"/>
        <v>44987.333000000006</v>
      </c>
      <c r="AR27" s="117">
        <f t="shared" si="22"/>
        <v>8097.719939999999</v>
      </c>
      <c r="AS27" s="117">
        <f t="shared" si="22"/>
        <v>90341.5</v>
      </c>
      <c r="AT27" s="117">
        <f t="shared" si="22"/>
        <v>5136</v>
      </c>
      <c r="AU27" s="117">
        <f t="shared" si="22"/>
        <v>17185.949999999997</v>
      </c>
      <c r="AV27" s="117">
        <f t="shared" si="22"/>
        <v>0</v>
      </c>
      <c r="AW27" s="117">
        <f t="shared" si="22"/>
        <v>0</v>
      </c>
      <c r="AX27" s="117">
        <f t="shared" si="22"/>
        <v>16151.273600000002</v>
      </c>
      <c r="AY27" s="117">
        <f t="shared" si="22"/>
        <v>0</v>
      </c>
      <c r="AZ27" s="117">
        <f t="shared" si="22"/>
        <v>0</v>
      </c>
      <c r="BA27" s="117">
        <f t="shared" si="22"/>
        <v>0</v>
      </c>
      <c r="BB27" s="117">
        <f t="shared" si="22"/>
        <v>500448.80653300637</v>
      </c>
      <c r="BC27" s="117">
        <f>BC12+BC26</f>
        <v>3876.8227650890003</v>
      </c>
      <c r="BD27" s="117">
        <f>BD12+BD26</f>
        <v>10851.46657250465</v>
      </c>
      <c r="BE27" s="25">
        <f>BE12+BE26</f>
        <v>-58748.8</v>
      </c>
    </row>
    <row r="28" spans="1:57" ht="15" customHeight="1">
      <c r="A28" s="5" t="s">
        <v>83</v>
      </c>
      <c r="B28" s="13"/>
      <c r="C28" s="14"/>
      <c r="D28" s="14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61"/>
      <c r="P28" s="16"/>
      <c r="Q28" s="15"/>
      <c r="R28" s="15"/>
      <c r="S28" s="15"/>
      <c r="T28" s="15"/>
      <c r="U28" s="27"/>
      <c r="V28" s="27"/>
      <c r="W28" s="27"/>
      <c r="X28" s="27"/>
      <c r="Y28" s="27"/>
      <c r="Z28" s="27"/>
      <c r="AA28" s="17"/>
      <c r="AB28" s="17"/>
      <c r="AC28" s="103"/>
      <c r="AD28" s="104"/>
      <c r="AE28" s="104"/>
      <c r="AF28" s="104"/>
      <c r="AG28" s="18"/>
      <c r="AH28" s="18"/>
      <c r="AI28" s="18"/>
      <c r="AJ28" s="18"/>
      <c r="AK28" s="18"/>
      <c r="AL28" s="18"/>
      <c r="AM28" s="18"/>
      <c r="AN28" s="18"/>
      <c r="AO28" s="19"/>
      <c r="AP28" s="19"/>
      <c r="AQ28" s="19"/>
      <c r="AR28" s="19"/>
      <c r="AS28" s="66"/>
      <c r="AT28" s="66"/>
      <c r="AU28" s="28"/>
      <c r="AV28" s="18"/>
      <c r="AW28" s="18"/>
      <c r="AX28" s="19"/>
      <c r="AY28" s="19"/>
      <c r="AZ28" s="19"/>
      <c r="BA28" s="18"/>
      <c r="BB28" s="18"/>
      <c r="BC28" s="18"/>
      <c r="BD28" s="63"/>
      <c r="BE28" s="30"/>
    </row>
    <row r="29" spans="1:57" ht="12.75">
      <c r="A29" s="12" t="s">
        <v>43</v>
      </c>
      <c r="B29" s="88">
        <v>4418.62</v>
      </c>
      <c r="C29" s="114">
        <f aca="true" t="shared" si="23" ref="C29:C40">B29*8.65</f>
        <v>38221.063</v>
      </c>
      <c r="D29" s="112">
        <f aca="true" t="shared" si="24" ref="D29:D34">C29-E29-F29-G29-H29-I29-J29-K29-L29-M29-N29</f>
        <v>3667.372999999998</v>
      </c>
      <c r="E29" s="72">
        <v>3285.18</v>
      </c>
      <c r="F29" s="72">
        <v>703.51</v>
      </c>
      <c r="G29" s="72">
        <v>4448.29</v>
      </c>
      <c r="H29" s="72">
        <v>953.63</v>
      </c>
      <c r="I29" s="72">
        <v>10690.01</v>
      </c>
      <c r="J29" s="72">
        <v>2290.38</v>
      </c>
      <c r="K29" s="72">
        <v>7404.86</v>
      </c>
      <c r="L29" s="72">
        <v>1586.87</v>
      </c>
      <c r="M29" s="72">
        <v>2628.16</v>
      </c>
      <c r="N29" s="72">
        <v>562.8</v>
      </c>
      <c r="O29" s="72">
        <v>0</v>
      </c>
      <c r="P29" s="73">
        <v>0</v>
      </c>
      <c r="Q29" s="73"/>
      <c r="R29" s="73"/>
      <c r="S29" s="64">
        <f aca="true" t="shared" si="25" ref="S29:S40">E29+G29+I29+K29+M29+O29+Q29</f>
        <v>28456.5</v>
      </c>
      <c r="T29" s="91">
        <f aca="true" t="shared" si="26" ref="T29:T40">P29+N29+L29+J29+H29+F29+R29</f>
        <v>6097.1900000000005</v>
      </c>
      <c r="U29" s="64">
        <v>2220.28</v>
      </c>
      <c r="V29" s="64">
        <v>3006.38</v>
      </c>
      <c r="W29" s="64">
        <v>7224.93</v>
      </c>
      <c r="X29" s="64">
        <v>5004.56</v>
      </c>
      <c r="Y29" s="64">
        <v>1776.19</v>
      </c>
      <c r="Z29" s="69">
        <v>0</v>
      </c>
      <c r="AA29" s="69">
        <v>0</v>
      </c>
      <c r="AB29" s="69">
        <f>SUM(U29:AA29)</f>
        <v>19232.34</v>
      </c>
      <c r="AC29" s="100">
        <f aca="true" t="shared" si="27" ref="AC29:AC40">D29+T29+AB29</f>
        <v>28996.903</v>
      </c>
      <c r="AD29" s="94">
        <f aca="true" t="shared" si="28" ref="AD29:AD40">P29+Z29</f>
        <v>0</v>
      </c>
      <c r="AE29" s="94">
        <f aca="true" t="shared" si="29" ref="AE29:AE40">R29+AA29</f>
        <v>0</v>
      </c>
      <c r="AF29" s="94">
        <f>'[5]Т01-10'!$I$40+'[5]Т01-10'!$I$52</f>
        <v>1071.1154999999999</v>
      </c>
      <c r="AG29" s="29">
        <f aca="true" t="shared" si="30" ref="AG29:AG40">0.6*B29</f>
        <v>2651.172</v>
      </c>
      <c r="AH29" s="29">
        <f aca="true" t="shared" si="31" ref="AH29:AH40">B29*0.2</f>
        <v>883.724</v>
      </c>
      <c r="AI29" s="29">
        <f aca="true" t="shared" si="32" ref="AI29:AI40">1*B29</f>
        <v>4418.62</v>
      </c>
      <c r="AJ29" s="29">
        <v>0</v>
      </c>
      <c r="AK29" s="29">
        <f aca="true" t="shared" si="33" ref="AK29:AK40">0.98*B29</f>
        <v>4330.2476</v>
      </c>
      <c r="AL29" s="29">
        <v>0</v>
      </c>
      <c r="AM29" s="29">
        <f>2.25*B29</f>
        <v>9941.895</v>
      </c>
      <c r="AN29" s="29">
        <v>0</v>
      </c>
      <c r="AO29" s="29"/>
      <c r="AP29" s="29">
        <v>0</v>
      </c>
      <c r="AQ29" s="82"/>
      <c r="AR29" s="82"/>
      <c r="AS29" s="67">
        <v>0</v>
      </c>
      <c r="AT29" s="67"/>
      <c r="AU29" s="67">
        <f aca="true" t="shared" si="34" ref="AU29:AU34">AT29*0.18</f>
        <v>0</v>
      </c>
      <c r="AV29" s="95"/>
      <c r="AW29" s="96">
        <v>960</v>
      </c>
      <c r="AX29" s="29">
        <f aca="true" t="shared" si="35" ref="AX29:AX40">AW29*1.4</f>
        <v>1344</v>
      </c>
      <c r="AY29" s="97"/>
      <c r="AZ29" s="98"/>
      <c r="BA29" s="98">
        <f aca="true" t="shared" si="36" ref="BA29:BA40">AZ29*0.18</f>
        <v>0</v>
      </c>
      <c r="BB29" s="98">
        <f aca="true" t="shared" si="37" ref="BB29:BB40">SUM(AG29:BA29)-AV29-AW29</f>
        <v>23569.6586</v>
      </c>
      <c r="BC29" s="128">
        <f>'[5]Т03-10'!$M$41+'[5]Т03-10'!$M$53</f>
        <v>509.925</v>
      </c>
      <c r="BD29" s="63">
        <f>AC29+AF29-BB29-BC29</f>
        <v>5988.434899999999</v>
      </c>
      <c r="BE29" s="29">
        <f>AB29-S29</f>
        <v>-9224.16</v>
      </c>
    </row>
    <row r="30" spans="1:57" ht="12.75">
      <c r="A30" s="12" t="s">
        <v>44</v>
      </c>
      <c r="B30" s="105">
        <v>4418.62</v>
      </c>
      <c r="C30" s="114">
        <f t="shared" si="23"/>
        <v>38221.063</v>
      </c>
      <c r="D30" s="112">
        <f t="shared" si="24"/>
        <v>3642.2230000000104</v>
      </c>
      <c r="E30" s="81">
        <v>3293.38</v>
      </c>
      <c r="F30" s="72">
        <v>698.27</v>
      </c>
      <c r="G30" s="72">
        <v>4459.23</v>
      </c>
      <c r="H30" s="72">
        <v>946.53</v>
      </c>
      <c r="I30" s="72">
        <v>10716.54</v>
      </c>
      <c r="J30" s="72">
        <v>2273.32</v>
      </c>
      <c r="K30" s="72">
        <v>7423.19</v>
      </c>
      <c r="L30" s="72">
        <v>1575.06</v>
      </c>
      <c r="M30" s="72">
        <v>2634.71</v>
      </c>
      <c r="N30" s="72">
        <v>558.61</v>
      </c>
      <c r="O30" s="72">
        <v>0</v>
      </c>
      <c r="P30" s="73">
        <v>0</v>
      </c>
      <c r="Q30" s="69">
        <v>0</v>
      </c>
      <c r="R30" s="69">
        <v>0</v>
      </c>
      <c r="S30" s="64">
        <f t="shared" si="25"/>
        <v>28527.05</v>
      </c>
      <c r="T30" s="91">
        <f t="shared" si="26"/>
        <v>6051.789999999999</v>
      </c>
      <c r="U30" s="64">
        <v>3894.63</v>
      </c>
      <c r="V30" s="64">
        <v>5274.72</v>
      </c>
      <c r="W30" s="64">
        <v>12110.68</v>
      </c>
      <c r="X30" s="64">
        <v>8380.72</v>
      </c>
      <c r="Y30" s="64">
        <v>2973.85</v>
      </c>
      <c r="Z30" s="69">
        <v>0</v>
      </c>
      <c r="AA30" s="69">
        <v>0</v>
      </c>
      <c r="AB30" s="69">
        <f>SUM(U30:AA30)</f>
        <v>32634.6</v>
      </c>
      <c r="AC30" s="100">
        <f t="shared" si="27"/>
        <v>42328.61300000001</v>
      </c>
      <c r="AD30" s="94">
        <f t="shared" si="28"/>
        <v>0</v>
      </c>
      <c r="AE30" s="94">
        <f t="shared" si="29"/>
        <v>0</v>
      </c>
      <c r="AF30" s="94">
        <f>'[5]Т01-10'!$I$40+'[5]Т01-10'!$I$52</f>
        <v>1071.1154999999999</v>
      </c>
      <c r="AG30" s="29">
        <f t="shared" si="30"/>
        <v>2651.172</v>
      </c>
      <c r="AH30" s="29">
        <f t="shared" si="31"/>
        <v>883.724</v>
      </c>
      <c r="AI30" s="29">
        <f t="shared" si="32"/>
        <v>4418.62</v>
      </c>
      <c r="AJ30" s="29">
        <v>0</v>
      </c>
      <c r="AK30" s="29">
        <f t="shared" si="33"/>
        <v>4330.2476</v>
      </c>
      <c r="AL30" s="29">
        <v>0</v>
      </c>
      <c r="AM30" s="29">
        <f>2.25*B30</f>
        <v>9941.895</v>
      </c>
      <c r="AN30" s="29">
        <v>0</v>
      </c>
      <c r="AO30" s="29"/>
      <c r="AP30" s="29"/>
      <c r="AQ30" s="82"/>
      <c r="AR30" s="82"/>
      <c r="AS30" s="67">
        <v>9614</v>
      </c>
      <c r="AT30" s="67"/>
      <c r="AU30" s="67">
        <f t="shared" si="34"/>
        <v>0</v>
      </c>
      <c r="AV30" s="95"/>
      <c r="AW30" s="96">
        <v>998</v>
      </c>
      <c r="AX30" s="29">
        <f t="shared" si="35"/>
        <v>1397.1999999999998</v>
      </c>
      <c r="AY30" s="97"/>
      <c r="AZ30" s="98"/>
      <c r="BA30" s="98">
        <f t="shared" si="36"/>
        <v>0</v>
      </c>
      <c r="BB30" s="98">
        <f t="shared" si="37"/>
        <v>33236.85859999999</v>
      </c>
      <c r="BC30" s="128">
        <f>'[5]Т03-10'!$M$41+'[5]Т03-10'!$M$53</f>
        <v>509.925</v>
      </c>
      <c r="BD30" s="63">
        <f aca="true" t="shared" si="38" ref="BD30:BD40">AC30+AF30-BB30-BC30</f>
        <v>9652.94490000002</v>
      </c>
      <c r="BE30" s="29">
        <f aca="true" t="shared" si="39" ref="BE30:BE40">AB30-S30</f>
        <v>4107.549999999999</v>
      </c>
    </row>
    <row r="31" spans="1:57" ht="12.75">
      <c r="A31" s="12" t="s">
        <v>45</v>
      </c>
      <c r="B31" s="88">
        <v>4418.62</v>
      </c>
      <c r="C31" s="114">
        <f t="shared" si="23"/>
        <v>38221.063</v>
      </c>
      <c r="D31" s="112">
        <f t="shared" si="24"/>
        <v>3634.8130000000083</v>
      </c>
      <c r="E31" s="72">
        <v>3302.35</v>
      </c>
      <c r="F31" s="72">
        <v>690.17</v>
      </c>
      <c r="G31" s="72">
        <v>4471.35</v>
      </c>
      <c r="H31" s="72">
        <v>935.55</v>
      </c>
      <c r="I31" s="72">
        <v>10745.71</v>
      </c>
      <c r="J31" s="72">
        <v>2246.96</v>
      </c>
      <c r="K31" s="72">
        <v>7443.36</v>
      </c>
      <c r="L31" s="72">
        <v>1556.79</v>
      </c>
      <c r="M31" s="72">
        <v>2641.88</v>
      </c>
      <c r="N31" s="72">
        <v>552.13</v>
      </c>
      <c r="O31" s="72">
        <v>0</v>
      </c>
      <c r="P31" s="73">
        <v>0</v>
      </c>
      <c r="Q31" s="73">
        <v>0</v>
      </c>
      <c r="R31" s="73">
        <v>0</v>
      </c>
      <c r="S31" s="64">
        <f t="shared" si="25"/>
        <v>28604.65</v>
      </c>
      <c r="T31" s="91">
        <f t="shared" si="26"/>
        <v>5981.6</v>
      </c>
      <c r="U31" s="64">
        <v>3335.93</v>
      </c>
      <c r="V31" s="64">
        <v>4514.7</v>
      </c>
      <c r="W31" s="64">
        <v>11416.19</v>
      </c>
      <c r="X31" s="64">
        <v>7915.96</v>
      </c>
      <c r="Y31" s="64">
        <v>2810.62</v>
      </c>
      <c r="Z31" s="69">
        <v>0</v>
      </c>
      <c r="AA31" s="69">
        <v>0</v>
      </c>
      <c r="AB31" s="69">
        <f>SUM(U31:AA31)</f>
        <v>29993.399999999998</v>
      </c>
      <c r="AC31" s="100">
        <f t="shared" si="27"/>
        <v>39609.81300000001</v>
      </c>
      <c r="AD31" s="94">
        <f t="shared" si="28"/>
        <v>0</v>
      </c>
      <c r="AE31" s="94">
        <f t="shared" si="29"/>
        <v>0</v>
      </c>
      <c r="AF31" s="94">
        <f>'[5]Т01-10'!$I$40+'[5]Т01-10'!$I$52</f>
        <v>1071.1154999999999</v>
      </c>
      <c r="AG31" s="29">
        <f t="shared" si="30"/>
        <v>2651.172</v>
      </c>
      <c r="AH31" s="29">
        <f t="shared" si="31"/>
        <v>883.724</v>
      </c>
      <c r="AI31" s="29">
        <f t="shared" si="32"/>
        <v>4418.62</v>
      </c>
      <c r="AJ31" s="29">
        <v>0</v>
      </c>
      <c r="AK31" s="29">
        <f t="shared" si="33"/>
        <v>4330.2476</v>
      </c>
      <c r="AL31" s="29">
        <v>0</v>
      </c>
      <c r="AM31" s="29">
        <f>2.25*B31</f>
        <v>9941.895</v>
      </c>
      <c r="AN31" s="29">
        <v>0</v>
      </c>
      <c r="AO31" s="29"/>
      <c r="AP31" s="29"/>
      <c r="AQ31" s="82"/>
      <c r="AR31" s="82"/>
      <c r="AS31" s="67">
        <v>9808</v>
      </c>
      <c r="AT31" s="67"/>
      <c r="AU31" s="67">
        <f t="shared" si="34"/>
        <v>0</v>
      </c>
      <c r="AV31" s="95"/>
      <c r="AW31" s="96">
        <v>735</v>
      </c>
      <c r="AX31" s="29">
        <f t="shared" si="35"/>
        <v>1029</v>
      </c>
      <c r="AY31" s="97"/>
      <c r="AZ31" s="98"/>
      <c r="BA31" s="98">
        <f t="shared" si="36"/>
        <v>0</v>
      </c>
      <c r="BB31" s="98">
        <f t="shared" si="37"/>
        <v>33062.658599999995</v>
      </c>
      <c r="BC31" s="128">
        <f>'[5]Т03-10'!$M$41+'[5]Т03-10'!$M$53</f>
        <v>509.925</v>
      </c>
      <c r="BD31" s="63">
        <f t="shared" si="38"/>
        <v>7108.344900000014</v>
      </c>
      <c r="BE31" s="29">
        <f t="shared" si="39"/>
        <v>1388.7499999999964</v>
      </c>
    </row>
    <row r="32" spans="1:57" ht="12.75">
      <c r="A32" s="12" t="s">
        <v>46</v>
      </c>
      <c r="B32" s="88">
        <v>4418.62</v>
      </c>
      <c r="C32" s="114">
        <f t="shared" si="23"/>
        <v>38221.063</v>
      </c>
      <c r="D32" s="112">
        <f t="shared" si="24"/>
        <v>3661.623000000008</v>
      </c>
      <c r="E32" s="72">
        <v>3299.2</v>
      </c>
      <c r="F32" s="72">
        <v>690.17</v>
      </c>
      <c r="G32" s="72">
        <v>4467.24</v>
      </c>
      <c r="H32" s="72">
        <v>935.55</v>
      </c>
      <c r="I32" s="72">
        <v>10735.6</v>
      </c>
      <c r="J32" s="72">
        <v>2246.96</v>
      </c>
      <c r="K32" s="72">
        <v>7436.43</v>
      </c>
      <c r="L32" s="72">
        <v>1556.79</v>
      </c>
      <c r="M32" s="72">
        <v>2639.37</v>
      </c>
      <c r="N32" s="72">
        <v>552.13</v>
      </c>
      <c r="O32" s="72">
        <v>0</v>
      </c>
      <c r="P32" s="73">
        <v>0</v>
      </c>
      <c r="Q32" s="73"/>
      <c r="R32" s="73"/>
      <c r="S32" s="64">
        <f t="shared" si="25"/>
        <v>28577.84</v>
      </c>
      <c r="T32" s="91">
        <f t="shared" si="26"/>
        <v>5981.6</v>
      </c>
      <c r="U32" s="64">
        <v>2348.09</v>
      </c>
      <c r="V32" s="64">
        <v>3169.83</v>
      </c>
      <c r="W32" s="64">
        <v>7631.13</v>
      </c>
      <c r="X32" s="64">
        <v>5283.15</v>
      </c>
      <c r="Y32" s="64">
        <v>1878.45</v>
      </c>
      <c r="Z32" s="69">
        <v>0</v>
      </c>
      <c r="AA32" s="69">
        <v>0</v>
      </c>
      <c r="AB32" s="69">
        <f>SUM(U32:AA32)</f>
        <v>20310.649999999998</v>
      </c>
      <c r="AC32" s="100">
        <f t="shared" si="27"/>
        <v>29953.873000000007</v>
      </c>
      <c r="AD32" s="94">
        <f t="shared" si="28"/>
        <v>0</v>
      </c>
      <c r="AE32" s="94">
        <f t="shared" si="29"/>
        <v>0</v>
      </c>
      <c r="AF32" s="94">
        <f>'[6]Т04-10'!$I$41+'[6]Т04-10'!$I$53</f>
        <v>1071.1154999999999</v>
      </c>
      <c r="AG32" s="29">
        <f t="shared" si="30"/>
        <v>2651.172</v>
      </c>
      <c r="AH32" s="29">
        <f t="shared" si="31"/>
        <v>883.724</v>
      </c>
      <c r="AI32" s="29">
        <f t="shared" si="32"/>
        <v>4418.62</v>
      </c>
      <c r="AJ32" s="29">
        <v>0</v>
      </c>
      <c r="AK32" s="29">
        <f t="shared" si="33"/>
        <v>4330.2476</v>
      </c>
      <c r="AL32" s="29">
        <v>0</v>
      </c>
      <c r="AM32" s="29">
        <f>2.25*B32</f>
        <v>9941.895</v>
      </c>
      <c r="AN32" s="29">
        <v>0</v>
      </c>
      <c r="AO32" s="29"/>
      <c r="AP32" s="29"/>
      <c r="AQ32" s="82"/>
      <c r="AR32" s="82"/>
      <c r="AS32" s="67">
        <v>4188</v>
      </c>
      <c r="AT32" s="67"/>
      <c r="AU32" s="67">
        <f t="shared" si="34"/>
        <v>0</v>
      </c>
      <c r="AV32" s="95"/>
      <c r="AW32" s="96">
        <v>659</v>
      </c>
      <c r="AX32" s="29">
        <f t="shared" si="35"/>
        <v>922.5999999999999</v>
      </c>
      <c r="AY32" s="97"/>
      <c r="AZ32" s="98"/>
      <c r="BA32" s="98">
        <f t="shared" si="36"/>
        <v>0</v>
      </c>
      <c r="BB32" s="98">
        <f t="shared" si="37"/>
        <v>27336.258599999997</v>
      </c>
      <c r="BC32" s="128">
        <f>'[6]Т04-10'!$M$41+'[6]Т04-10'!$M$53</f>
        <v>509.925</v>
      </c>
      <c r="BD32" s="63">
        <f t="shared" si="38"/>
        <v>3178.804900000009</v>
      </c>
      <c r="BE32" s="29">
        <f t="shared" si="39"/>
        <v>-8267.190000000002</v>
      </c>
    </row>
    <row r="33" spans="1:57" ht="12.75">
      <c r="A33" s="12" t="s">
        <v>47</v>
      </c>
      <c r="B33" s="88">
        <v>4420.16</v>
      </c>
      <c r="C33" s="114">
        <f t="shared" si="23"/>
        <v>38234.384</v>
      </c>
      <c r="D33" s="112">
        <f t="shared" si="24"/>
        <v>3689.883999999996</v>
      </c>
      <c r="E33" s="72">
        <v>3282.69</v>
      </c>
      <c r="F33" s="72">
        <v>704.91</v>
      </c>
      <c r="G33" s="72">
        <v>4444.97</v>
      </c>
      <c r="H33" s="72">
        <v>955.53</v>
      </c>
      <c r="I33" s="72">
        <v>10681.99</v>
      </c>
      <c r="J33" s="72">
        <v>2294.98</v>
      </c>
      <c r="K33" s="72">
        <v>7399.28</v>
      </c>
      <c r="L33" s="72">
        <v>1590.05</v>
      </c>
      <c r="M33" s="72">
        <v>2626.17</v>
      </c>
      <c r="N33" s="72">
        <v>563.93</v>
      </c>
      <c r="O33" s="72">
        <v>0</v>
      </c>
      <c r="P33" s="73">
        <v>0</v>
      </c>
      <c r="Q33" s="73"/>
      <c r="R33" s="73"/>
      <c r="S33" s="64">
        <f t="shared" si="25"/>
        <v>28435.1</v>
      </c>
      <c r="T33" s="91">
        <f t="shared" si="26"/>
        <v>6109.4</v>
      </c>
      <c r="U33" s="118">
        <v>2762.09</v>
      </c>
      <c r="V33" s="118">
        <v>3740.67</v>
      </c>
      <c r="W33" s="118">
        <v>8988.87</v>
      </c>
      <c r="X33" s="118">
        <v>6227.11</v>
      </c>
      <c r="Y33" s="118">
        <v>2209.78</v>
      </c>
      <c r="Z33" s="119">
        <v>0</v>
      </c>
      <c r="AA33" s="119">
        <v>0</v>
      </c>
      <c r="AB33" s="69">
        <f aca="true" t="shared" si="40" ref="AB33:AB40">SUM(U33:AA33)</f>
        <v>23928.52</v>
      </c>
      <c r="AC33" s="100">
        <f t="shared" si="27"/>
        <v>33727.804</v>
      </c>
      <c r="AD33" s="94">
        <f t="shared" si="28"/>
        <v>0</v>
      </c>
      <c r="AE33" s="94">
        <f t="shared" si="29"/>
        <v>0</v>
      </c>
      <c r="AF33" s="94">
        <f>'[6]Т04-10'!$I$41+'[6]Т04-10'!$I$53</f>
        <v>1071.1154999999999</v>
      </c>
      <c r="AG33" s="29">
        <f t="shared" si="30"/>
        <v>2652.096</v>
      </c>
      <c r="AH33" s="29">
        <f t="shared" si="31"/>
        <v>884.032</v>
      </c>
      <c r="AI33" s="29">
        <f t="shared" si="32"/>
        <v>4420.16</v>
      </c>
      <c r="AJ33" s="29">
        <v>0</v>
      </c>
      <c r="AK33" s="29">
        <f t="shared" si="33"/>
        <v>4331.7568</v>
      </c>
      <c r="AL33" s="29">
        <v>0</v>
      </c>
      <c r="AM33" s="29">
        <f aca="true" t="shared" si="41" ref="AM33:AM40">2.25*B33</f>
        <v>9945.36</v>
      </c>
      <c r="AN33" s="29">
        <v>0</v>
      </c>
      <c r="AO33" s="29">
        <v>4914</v>
      </c>
      <c r="AP33" s="29"/>
      <c r="AQ33" s="82"/>
      <c r="AR33" s="82"/>
      <c r="AS33" s="67">
        <v>839</v>
      </c>
      <c r="AT33" s="67"/>
      <c r="AU33" s="67">
        <f t="shared" si="34"/>
        <v>0</v>
      </c>
      <c r="AV33" s="95"/>
      <c r="AW33" s="96">
        <v>493</v>
      </c>
      <c r="AX33" s="29">
        <f t="shared" si="35"/>
        <v>690.1999999999999</v>
      </c>
      <c r="AY33" s="97"/>
      <c r="AZ33" s="98"/>
      <c r="BA33" s="98">
        <f t="shared" si="36"/>
        <v>0</v>
      </c>
      <c r="BB33" s="98">
        <f t="shared" si="37"/>
        <v>28676.6048</v>
      </c>
      <c r="BC33" s="128">
        <f>'[6]Т04-10'!$M$41+'[6]Т04-10'!$M$53</f>
        <v>509.925</v>
      </c>
      <c r="BD33" s="63">
        <f t="shared" si="38"/>
        <v>5612.389699999995</v>
      </c>
      <c r="BE33" s="29">
        <f t="shared" si="39"/>
        <v>-4506.579999999998</v>
      </c>
    </row>
    <row r="34" spans="1:57" ht="12.75">
      <c r="A34" s="12" t="s">
        <v>48</v>
      </c>
      <c r="B34" s="88">
        <v>4420.16</v>
      </c>
      <c r="C34" s="114">
        <f t="shared" si="23"/>
        <v>38234.384</v>
      </c>
      <c r="D34" s="112">
        <f t="shared" si="24"/>
        <v>3703.6439999999934</v>
      </c>
      <c r="E34" s="72">
        <v>3281.09</v>
      </c>
      <c r="F34" s="72">
        <v>704.91</v>
      </c>
      <c r="G34" s="72">
        <v>4442.85</v>
      </c>
      <c r="H34" s="72">
        <v>955.53</v>
      </c>
      <c r="I34" s="72">
        <v>10676.82</v>
      </c>
      <c r="J34" s="72">
        <v>2294.98</v>
      </c>
      <c r="K34" s="72">
        <v>7395.72</v>
      </c>
      <c r="L34" s="72">
        <v>1590.05</v>
      </c>
      <c r="M34" s="72">
        <v>2624.86</v>
      </c>
      <c r="N34" s="72">
        <v>563.93</v>
      </c>
      <c r="O34" s="72">
        <v>0</v>
      </c>
      <c r="P34" s="73">
        <v>0</v>
      </c>
      <c r="Q34" s="72">
        <v>0</v>
      </c>
      <c r="R34" s="73">
        <v>0</v>
      </c>
      <c r="S34" s="64">
        <f t="shared" si="25"/>
        <v>28421.340000000004</v>
      </c>
      <c r="T34" s="91">
        <f t="shared" si="26"/>
        <v>6109.4</v>
      </c>
      <c r="U34" s="64">
        <v>2748.67</v>
      </c>
      <c r="V34" s="64">
        <v>3722.07</v>
      </c>
      <c r="W34" s="64">
        <v>8944.55</v>
      </c>
      <c r="X34" s="64">
        <v>6195.87</v>
      </c>
      <c r="Y34" s="64">
        <v>2198.93</v>
      </c>
      <c r="Z34" s="69">
        <v>0</v>
      </c>
      <c r="AA34" s="69">
        <v>0</v>
      </c>
      <c r="AB34" s="69">
        <f t="shared" si="40"/>
        <v>23810.09</v>
      </c>
      <c r="AC34" s="100">
        <f t="shared" si="27"/>
        <v>33623.13399999999</v>
      </c>
      <c r="AD34" s="94">
        <f t="shared" si="28"/>
        <v>0</v>
      </c>
      <c r="AE34" s="94">
        <f t="shared" si="29"/>
        <v>0</v>
      </c>
      <c r="AF34" s="94">
        <f>'[6]Т04-10'!$I$41+'[6]Т04-10'!$I$53</f>
        <v>1071.1154999999999</v>
      </c>
      <c r="AG34" s="29">
        <f t="shared" si="30"/>
        <v>2652.096</v>
      </c>
      <c r="AH34" s="29">
        <f t="shared" si="31"/>
        <v>884.032</v>
      </c>
      <c r="AI34" s="29">
        <f t="shared" si="32"/>
        <v>4420.16</v>
      </c>
      <c r="AJ34" s="29">
        <v>0</v>
      </c>
      <c r="AK34" s="29">
        <f t="shared" si="33"/>
        <v>4331.7568</v>
      </c>
      <c r="AL34" s="29">
        <v>0</v>
      </c>
      <c r="AM34" s="29">
        <f t="shared" si="41"/>
        <v>9945.36</v>
      </c>
      <c r="AN34" s="29">
        <v>0</v>
      </c>
      <c r="AO34" s="29"/>
      <c r="AP34" s="29"/>
      <c r="AQ34" s="82">
        <f>100</f>
        <v>100</v>
      </c>
      <c r="AR34" s="82"/>
      <c r="AS34" s="67">
        <v>4818</v>
      </c>
      <c r="AT34" s="67">
        <v>766.27</v>
      </c>
      <c r="AU34" s="67">
        <f t="shared" si="34"/>
        <v>137.9286</v>
      </c>
      <c r="AV34" s="95"/>
      <c r="AW34" s="96">
        <v>385</v>
      </c>
      <c r="AX34" s="29">
        <f t="shared" si="35"/>
        <v>539</v>
      </c>
      <c r="AY34" s="97"/>
      <c r="AZ34" s="98"/>
      <c r="BA34" s="98">
        <f t="shared" si="36"/>
        <v>0</v>
      </c>
      <c r="BB34" s="98">
        <f t="shared" si="37"/>
        <v>28594.6034</v>
      </c>
      <c r="BC34" s="128">
        <f>'[6]Т06-10'!$M$41+'[6]Т06-10'!$M$53</f>
        <v>509.925</v>
      </c>
      <c r="BD34" s="63">
        <f t="shared" si="38"/>
        <v>5589.721099999991</v>
      </c>
      <c r="BE34" s="29">
        <f t="shared" si="39"/>
        <v>-4611.250000000004</v>
      </c>
    </row>
    <row r="35" spans="1:57" ht="12.75">
      <c r="A35" s="12" t="s">
        <v>49</v>
      </c>
      <c r="B35" s="88">
        <v>4420.16</v>
      </c>
      <c r="C35" s="114">
        <f t="shared" si="23"/>
        <v>38234.384</v>
      </c>
      <c r="D35" s="112">
        <f aca="true" t="shared" si="42" ref="D35:D40">C35-E35-F35-G35-H35-I35-J35-K35-L35-M35-N35</f>
        <v>3733.0740000000014</v>
      </c>
      <c r="E35" s="81">
        <v>3989.42</v>
      </c>
      <c r="F35" s="72">
        <v>0</v>
      </c>
      <c r="G35" s="72">
        <v>5402.87</v>
      </c>
      <c r="H35" s="72">
        <v>0</v>
      </c>
      <c r="I35" s="72">
        <v>12924.17</v>
      </c>
      <c r="J35" s="72">
        <v>0</v>
      </c>
      <c r="K35" s="72">
        <v>8993.31</v>
      </c>
      <c r="L35" s="72">
        <v>0</v>
      </c>
      <c r="M35" s="72">
        <v>3191.54</v>
      </c>
      <c r="N35" s="72">
        <v>0</v>
      </c>
      <c r="O35" s="72">
        <v>0</v>
      </c>
      <c r="P35" s="73">
        <v>0</v>
      </c>
      <c r="Q35" s="73"/>
      <c r="R35" s="73"/>
      <c r="S35" s="64">
        <f t="shared" si="25"/>
        <v>34501.31</v>
      </c>
      <c r="T35" s="91">
        <f t="shared" si="26"/>
        <v>0</v>
      </c>
      <c r="U35" s="68">
        <v>4483.53</v>
      </c>
      <c r="V35" s="64">
        <v>6071.33</v>
      </c>
      <c r="W35" s="64">
        <v>14562.37</v>
      </c>
      <c r="X35" s="64">
        <v>10106.15</v>
      </c>
      <c r="Y35" s="64">
        <v>3586.73</v>
      </c>
      <c r="Z35" s="69">
        <v>0</v>
      </c>
      <c r="AA35" s="69">
        <v>0</v>
      </c>
      <c r="AB35" s="69">
        <f t="shared" si="40"/>
        <v>38810.11000000001</v>
      </c>
      <c r="AC35" s="100">
        <f t="shared" si="27"/>
        <v>42543.18400000001</v>
      </c>
      <c r="AD35" s="94">
        <f t="shared" si="28"/>
        <v>0</v>
      </c>
      <c r="AE35" s="94">
        <f t="shared" si="29"/>
        <v>0</v>
      </c>
      <c r="AF35" s="94">
        <f>'[7]Т07-10'!$I$41+'[7]Т07-10'!$I$53</f>
        <v>1071.1154999999999</v>
      </c>
      <c r="AG35" s="29">
        <f t="shared" si="30"/>
        <v>2652.096</v>
      </c>
      <c r="AH35" s="29">
        <f t="shared" si="31"/>
        <v>884.032</v>
      </c>
      <c r="AI35" s="29">
        <f t="shared" si="32"/>
        <v>4420.16</v>
      </c>
      <c r="AJ35" s="29">
        <v>0</v>
      </c>
      <c r="AK35" s="29">
        <f t="shared" si="33"/>
        <v>4331.7568</v>
      </c>
      <c r="AL35" s="29">
        <v>0</v>
      </c>
      <c r="AM35" s="29">
        <f t="shared" si="41"/>
        <v>9945.36</v>
      </c>
      <c r="AN35" s="29">
        <v>0</v>
      </c>
      <c r="AO35" s="29"/>
      <c r="AP35" s="29"/>
      <c r="AQ35" s="82"/>
      <c r="AR35" s="82"/>
      <c r="AS35" s="67"/>
      <c r="AT35" s="67">
        <f>12000</f>
        <v>12000</v>
      </c>
      <c r="AU35" s="67">
        <f>0*0.18</f>
        <v>0</v>
      </c>
      <c r="AV35" s="95"/>
      <c r="AW35" s="96">
        <v>458</v>
      </c>
      <c r="AX35" s="29">
        <f t="shared" si="35"/>
        <v>641.1999999999999</v>
      </c>
      <c r="AY35" s="97"/>
      <c r="AZ35" s="98"/>
      <c r="BA35" s="98">
        <f t="shared" si="36"/>
        <v>0</v>
      </c>
      <c r="BB35" s="98">
        <f t="shared" si="37"/>
        <v>34874.6048</v>
      </c>
      <c r="BC35" s="128">
        <f>'[6]Т06-10'!$M$41+'[6]Т06-10'!$M$53</f>
        <v>509.925</v>
      </c>
      <c r="BD35" s="63">
        <f t="shared" si="38"/>
        <v>8229.769700000008</v>
      </c>
      <c r="BE35" s="29">
        <f t="shared" si="39"/>
        <v>4308.80000000001</v>
      </c>
    </row>
    <row r="36" spans="1:57" ht="12.75">
      <c r="A36" s="12" t="s">
        <v>50</v>
      </c>
      <c r="B36" s="88">
        <v>4420.16</v>
      </c>
      <c r="C36" s="114">
        <f t="shared" si="23"/>
        <v>38234.384</v>
      </c>
      <c r="D36" s="112">
        <f t="shared" si="42"/>
        <v>3725.533999999996</v>
      </c>
      <c r="E36" s="81">
        <v>3990.29</v>
      </c>
      <c r="F36" s="72">
        <v>0</v>
      </c>
      <c r="G36" s="72">
        <v>5404.02</v>
      </c>
      <c r="H36" s="72">
        <v>0</v>
      </c>
      <c r="I36" s="72">
        <v>12927.01</v>
      </c>
      <c r="J36" s="72">
        <v>0</v>
      </c>
      <c r="K36" s="72">
        <v>8995.29</v>
      </c>
      <c r="L36" s="72">
        <v>0</v>
      </c>
      <c r="M36" s="72">
        <v>3192.24</v>
      </c>
      <c r="N36" s="72">
        <v>0</v>
      </c>
      <c r="O36" s="72">
        <v>0</v>
      </c>
      <c r="P36" s="73">
        <v>0</v>
      </c>
      <c r="Q36" s="73"/>
      <c r="R36" s="73"/>
      <c r="S36" s="64">
        <f t="shared" si="25"/>
        <v>34508.85</v>
      </c>
      <c r="T36" s="91">
        <f t="shared" si="26"/>
        <v>0</v>
      </c>
      <c r="U36" s="118">
        <v>3418.81</v>
      </c>
      <c r="V36" s="118">
        <v>4630.13</v>
      </c>
      <c r="W36" s="118">
        <v>11084.21</v>
      </c>
      <c r="X36" s="118">
        <v>7707.07</v>
      </c>
      <c r="Y36" s="118">
        <v>2735</v>
      </c>
      <c r="Z36" s="119">
        <v>0</v>
      </c>
      <c r="AA36" s="119">
        <v>0</v>
      </c>
      <c r="AB36" s="69">
        <f t="shared" si="40"/>
        <v>29575.22</v>
      </c>
      <c r="AC36" s="100">
        <f t="shared" si="27"/>
        <v>33300.754</v>
      </c>
      <c r="AD36" s="94">
        <f t="shared" si="28"/>
        <v>0</v>
      </c>
      <c r="AE36" s="94">
        <f t="shared" si="29"/>
        <v>0</v>
      </c>
      <c r="AF36" s="94">
        <f>'[7]Т07-10'!$I$41+'[7]Т07-10'!$I$53</f>
        <v>1071.1154999999999</v>
      </c>
      <c r="AG36" s="29">
        <f t="shared" si="30"/>
        <v>2652.096</v>
      </c>
      <c r="AH36" s="29">
        <f t="shared" si="31"/>
        <v>884.032</v>
      </c>
      <c r="AI36" s="29">
        <f t="shared" si="32"/>
        <v>4420.16</v>
      </c>
      <c r="AJ36" s="29">
        <v>0</v>
      </c>
      <c r="AK36" s="29">
        <f t="shared" si="33"/>
        <v>4331.7568</v>
      </c>
      <c r="AL36" s="29">
        <v>0</v>
      </c>
      <c r="AM36" s="29">
        <f t="shared" si="41"/>
        <v>9945.36</v>
      </c>
      <c r="AN36" s="29">
        <v>0</v>
      </c>
      <c r="AO36" s="29"/>
      <c r="AP36" s="29"/>
      <c r="AQ36" s="82"/>
      <c r="AR36" s="82"/>
      <c r="AS36" s="67">
        <v>1988</v>
      </c>
      <c r="AT36" s="67">
        <f>10000+47.8+54</f>
        <v>10101.8</v>
      </c>
      <c r="AU36" s="67">
        <f>(47.8+54)*0.18</f>
        <v>18.323999999999998</v>
      </c>
      <c r="AV36" s="95"/>
      <c r="AW36" s="96">
        <v>523</v>
      </c>
      <c r="AX36" s="29">
        <f t="shared" si="35"/>
        <v>732.1999999999999</v>
      </c>
      <c r="AY36" s="97"/>
      <c r="AZ36" s="98"/>
      <c r="BA36" s="98">
        <f t="shared" si="36"/>
        <v>0</v>
      </c>
      <c r="BB36" s="98">
        <f t="shared" si="37"/>
        <v>35073.7288</v>
      </c>
      <c r="BC36" s="128">
        <f>'[6]Т06-10'!$M$41+'[6]Т06-10'!$M$53</f>
        <v>509.925</v>
      </c>
      <c r="BD36" s="63">
        <f t="shared" si="38"/>
        <v>-1211.7842999999964</v>
      </c>
      <c r="BE36" s="29">
        <f t="shared" si="39"/>
        <v>-4933.629999999997</v>
      </c>
    </row>
    <row r="37" spans="1:57" ht="12.75">
      <c r="A37" s="12" t="s">
        <v>51</v>
      </c>
      <c r="B37" s="88">
        <v>4420.16</v>
      </c>
      <c r="C37" s="114">
        <f t="shared" si="23"/>
        <v>38234.384</v>
      </c>
      <c r="D37" s="112">
        <f t="shared" si="42"/>
        <v>3721.0840000000007</v>
      </c>
      <c r="E37" s="72">
        <v>3990.81</v>
      </c>
      <c r="F37" s="72">
        <v>0</v>
      </c>
      <c r="G37" s="72">
        <v>5404.69</v>
      </c>
      <c r="H37" s="72">
        <v>0</v>
      </c>
      <c r="I37" s="72">
        <v>12928.69</v>
      </c>
      <c r="J37" s="72">
        <v>0</v>
      </c>
      <c r="K37" s="72">
        <v>8996.45</v>
      </c>
      <c r="L37" s="72">
        <v>0</v>
      </c>
      <c r="M37" s="72">
        <v>3192.66</v>
      </c>
      <c r="N37" s="72">
        <v>0</v>
      </c>
      <c r="O37" s="72">
        <v>0</v>
      </c>
      <c r="P37" s="73">
        <v>0</v>
      </c>
      <c r="Q37" s="73"/>
      <c r="R37" s="73"/>
      <c r="S37" s="64">
        <f t="shared" si="25"/>
        <v>34513.3</v>
      </c>
      <c r="T37" s="91">
        <f t="shared" si="26"/>
        <v>0</v>
      </c>
      <c r="U37" s="64">
        <v>4103.79</v>
      </c>
      <c r="V37" s="64">
        <v>5557.76</v>
      </c>
      <c r="W37" s="64">
        <v>12801.72</v>
      </c>
      <c r="X37" s="64">
        <v>8751.11</v>
      </c>
      <c r="Y37" s="64">
        <v>3282.59</v>
      </c>
      <c r="Z37" s="69">
        <v>0</v>
      </c>
      <c r="AA37" s="69">
        <v>0</v>
      </c>
      <c r="AB37" s="69">
        <f t="shared" si="40"/>
        <v>34496.97</v>
      </c>
      <c r="AC37" s="100">
        <f t="shared" si="27"/>
        <v>38218.054000000004</v>
      </c>
      <c r="AD37" s="94">
        <f t="shared" si="28"/>
        <v>0</v>
      </c>
      <c r="AE37" s="94">
        <f t="shared" si="29"/>
        <v>0</v>
      </c>
      <c r="AF37" s="94">
        <f>'[7]Т07-10'!$I$41+'[7]Т07-10'!$I$53</f>
        <v>1071.1154999999999</v>
      </c>
      <c r="AG37" s="29">
        <f t="shared" si="30"/>
        <v>2652.096</v>
      </c>
      <c r="AH37" s="29">
        <f t="shared" si="31"/>
        <v>884.032</v>
      </c>
      <c r="AI37" s="29">
        <f t="shared" si="32"/>
        <v>4420.16</v>
      </c>
      <c r="AJ37" s="29">
        <v>0</v>
      </c>
      <c r="AK37" s="29">
        <f t="shared" si="33"/>
        <v>4331.7568</v>
      </c>
      <c r="AL37" s="29">
        <v>0</v>
      </c>
      <c r="AM37" s="29">
        <f t="shared" si="41"/>
        <v>9945.36</v>
      </c>
      <c r="AN37" s="29">
        <v>0</v>
      </c>
      <c r="AO37" s="29"/>
      <c r="AP37" s="29"/>
      <c r="AQ37" s="82"/>
      <c r="AR37" s="82"/>
      <c r="AS37" s="67">
        <v>4391</v>
      </c>
      <c r="AT37" s="67">
        <f>21702+2827.62</f>
        <v>24529.62</v>
      </c>
      <c r="AU37" s="134">
        <f>AT37*0.18+0.01</f>
        <v>4415.3416</v>
      </c>
      <c r="AV37" s="95"/>
      <c r="AW37" s="96">
        <v>667</v>
      </c>
      <c r="AX37" s="29">
        <f t="shared" si="35"/>
        <v>933.8</v>
      </c>
      <c r="AY37" s="97"/>
      <c r="AZ37" s="98"/>
      <c r="BA37" s="98">
        <f t="shared" si="36"/>
        <v>0</v>
      </c>
      <c r="BB37" s="98">
        <f t="shared" si="37"/>
        <v>56503.1664</v>
      </c>
      <c r="BC37" s="128">
        <f>'[6]Т06-10'!$M$41+'[6]Т06-10'!$M$53</f>
        <v>509.925</v>
      </c>
      <c r="BD37" s="63">
        <f t="shared" si="38"/>
        <v>-17723.921899999998</v>
      </c>
      <c r="BE37" s="29">
        <f t="shared" si="39"/>
        <v>-16.330000000001746</v>
      </c>
    </row>
    <row r="38" spans="1:57" ht="12.75">
      <c r="A38" s="30" t="s">
        <v>39</v>
      </c>
      <c r="B38" s="88">
        <v>4420.16</v>
      </c>
      <c r="C38" s="114">
        <f t="shared" si="23"/>
        <v>38234.384</v>
      </c>
      <c r="D38" s="112">
        <f t="shared" si="42"/>
        <v>3718.413999999999</v>
      </c>
      <c r="E38" s="74">
        <v>3991.14</v>
      </c>
      <c r="F38" s="74">
        <v>0</v>
      </c>
      <c r="G38" s="74">
        <v>5405.11</v>
      </c>
      <c r="H38" s="74">
        <v>0</v>
      </c>
      <c r="I38" s="74">
        <v>12929.67</v>
      </c>
      <c r="J38" s="74">
        <v>0</v>
      </c>
      <c r="K38" s="74">
        <v>8997.14</v>
      </c>
      <c r="L38" s="74">
        <v>0</v>
      </c>
      <c r="M38" s="74">
        <v>3192.91</v>
      </c>
      <c r="N38" s="74">
        <v>0</v>
      </c>
      <c r="O38" s="74">
        <v>0</v>
      </c>
      <c r="P38" s="75">
        <v>0</v>
      </c>
      <c r="Q38" s="75"/>
      <c r="R38" s="75"/>
      <c r="S38" s="64">
        <f t="shared" si="25"/>
        <v>34515.97</v>
      </c>
      <c r="T38" s="91">
        <f t="shared" si="26"/>
        <v>0</v>
      </c>
      <c r="U38" s="64">
        <v>3675.08</v>
      </c>
      <c r="V38" s="64">
        <v>4977.25</v>
      </c>
      <c r="W38" s="64">
        <v>11906.33</v>
      </c>
      <c r="X38" s="64">
        <v>8284.79</v>
      </c>
      <c r="Y38" s="64">
        <v>2939.99</v>
      </c>
      <c r="Z38" s="69">
        <v>0</v>
      </c>
      <c r="AA38" s="69">
        <v>0</v>
      </c>
      <c r="AB38" s="69">
        <f t="shared" si="40"/>
        <v>31783.440000000002</v>
      </c>
      <c r="AC38" s="100">
        <f t="shared" si="27"/>
        <v>35501.854</v>
      </c>
      <c r="AD38" s="94">
        <f t="shared" si="28"/>
        <v>0</v>
      </c>
      <c r="AE38" s="94">
        <f t="shared" si="29"/>
        <v>0</v>
      </c>
      <c r="AF38" s="94">
        <f>'[7]Т10-10'!$I$41+'[7]Т10-10'!$I$53+150</f>
        <v>1221.1154999999999</v>
      </c>
      <c r="AG38" s="29">
        <f t="shared" si="30"/>
        <v>2652.096</v>
      </c>
      <c r="AH38" s="29">
        <f t="shared" si="31"/>
        <v>884.032</v>
      </c>
      <c r="AI38" s="29">
        <f t="shared" si="32"/>
        <v>4420.16</v>
      </c>
      <c r="AJ38" s="29">
        <v>0</v>
      </c>
      <c r="AK38" s="29">
        <f t="shared" si="33"/>
        <v>4331.7568</v>
      </c>
      <c r="AL38" s="29">
        <v>0</v>
      </c>
      <c r="AM38" s="29">
        <f t="shared" si="41"/>
        <v>9945.36</v>
      </c>
      <c r="AN38" s="29">
        <v>0</v>
      </c>
      <c r="AO38" s="29"/>
      <c r="AP38" s="29"/>
      <c r="AQ38" s="82"/>
      <c r="AR38" s="82"/>
      <c r="AS38" s="67">
        <v>21847</v>
      </c>
      <c r="AT38" s="67">
        <v>12000</v>
      </c>
      <c r="AU38" s="67">
        <f>0*0.18</f>
        <v>0</v>
      </c>
      <c r="AV38" s="95"/>
      <c r="AW38" s="96">
        <v>593</v>
      </c>
      <c r="AX38" s="29">
        <f t="shared" si="35"/>
        <v>830.1999999999999</v>
      </c>
      <c r="AY38" s="97"/>
      <c r="AZ38" s="98"/>
      <c r="BA38" s="98">
        <f t="shared" si="36"/>
        <v>0</v>
      </c>
      <c r="BB38" s="98">
        <f t="shared" si="37"/>
        <v>56910.6048</v>
      </c>
      <c r="BC38" s="128">
        <f>'[7]Т10-10'!$M$41+'[7]Т10-10'!$M$53+37.5</f>
        <v>547.425</v>
      </c>
      <c r="BD38" s="63">
        <f t="shared" si="38"/>
        <v>-20735.0603</v>
      </c>
      <c r="BE38" s="29">
        <f t="shared" si="39"/>
        <v>-2732.529999999999</v>
      </c>
    </row>
    <row r="39" spans="1:57" ht="12.75">
      <c r="A39" s="12" t="s">
        <v>40</v>
      </c>
      <c r="B39" s="88">
        <v>4420.16</v>
      </c>
      <c r="C39" s="114">
        <f t="shared" si="23"/>
        <v>38234.384</v>
      </c>
      <c r="D39" s="112">
        <f t="shared" si="42"/>
        <v>3716.1139999999973</v>
      </c>
      <c r="E39" s="72">
        <v>3991.4</v>
      </c>
      <c r="F39" s="72">
        <v>0</v>
      </c>
      <c r="G39" s="72">
        <v>5405.45</v>
      </c>
      <c r="H39" s="72">
        <v>0</v>
      </c>
      <c r="I39" s="72">
        <v>12930.56</v>
      </c>
      <c r="J39" s="72">
        <v>0</v>
      </c>
      <c r="K39" s="72">
        <v>8997.72</v>
      </c>
      <c r="L39" s="72">
        <v>0</v>
      </c>
      <c r="M39" s="72">
        <v>3193.14</v>
      </c>
      <c r="N39" s="72">
        <v>0</v>
      </c>
      <c r="O39" s="72">
        <v>0</v>
      </c>
      <c r="P39" s="73">
        <v>0</v>
      </c>
      <c r="Q39" s="73"/>
      <c r="R39" s="73"/>
      <c r="S39" s="64">
        <f t="shared" si="25"/>
        <v>34518.27</v>
      </c>
      <c r="T39" s="91">
        <f t="shared" si="26"/>
        <v>0</v>
      </c>
      <c r="U39" s="68">
        <v>3580.15</v>
      </c>
      <c r="V39" s="64">
        <v>4848.21</v>
      </c>
      <c r="W39" s="64">
        <v>11591.98</v>
      </c>
      <c r="X39" s="64">
        <v>8070.61</v>
      </c>
      <c r="Y39" s="64">
        <v>2864.79</v>
      </c>
      <c r="Z39" s="69">
        <v>0</v>
      </c>
      <c r="AA39" s="69">
        <v>0</v>
      </c>
      <c r="AB39" s="69">
        <f t="shared" si="40"/>
        <v>30955.74</v>
      </c>
      <c r="AC39" s="100">
        <f t="shared" si="27"/>
        <v>34671.854</v>
      </c>
      <c r="AD39" s="94">
        <f t="shared" si="28"/>
        <v>0</v>
      </c>
      <c r="AE39" s="94">
        <f t="shared" si="29"/>
        <v>0</v>
      </c>
      <c r="AF39" s="94">
        <f>'[7]Т10-10'!$I$41+'[7]Т10-10'!$I$53+150</f>
        <v>1221.1154999999999</v>
      </c>
      <c r="AG39" s="29">
        <f t="shared" si="30"/>
        <v>2652.096</v>
      </c>
      <c r="AH39" s="29">
        <f t="shared" si="31"/>
        <v>884.032</v>
      </c>
      <c r="AI39" s="29">
        <f t="shared" si="32"/>
        <v>4420.16</v>
      </c>
      <c r="AJ39" s="29">
        <v>0</v>
      </c>
      <c r="AK39" s="29">
        <f t="shared" si="33"/>
        <v>4331.7568</v>
      </c>
      <c r="AL39" s="29">
        <v>0</v>
      </c>
      <c r="AM39" s="29">
        <f t="shared" si="41"/>
        <v>9945.36</v>
      </c>
      <c r="AN39" s="29">
        <v>0</v>
      </c>
      <c r="AO39" s="29"/>
      <c r="AP39" s="29"/>
      <c r="AQ39" s="82"/>
      <c r="AR39" s="82"/>
      <c r="AS39" s="67"/>
      <c r="AT39" s="67"/>
      <c r="AU39" s="67">
        <f>0*0.18</f>
        <v>0</v>
      </c>
      <c r="AV39" s="95"/>
      <c r="AW39" s="96">
        <v>860</v>
      </c>
      <c r="AX39" s="29">
        <f t="shared" si="35"/>
        <v>1204</v>
      </c>
      <c r="AY39" s="97"/>
      <c r="AZ39" s="98"/>
      <c r="BA39" s="98">
        <f t="shared" si="36"/>
        <v>0</v>
      </c>
      <c r="BB39" s="98">
        <f t="shared" si="37"/>
        <v>23437.4048</v>
      </c>
      <c r="BC39" s="128">
        <f>'[7]Т10-10'!$M$41+'[7]Т10-10'!$M$53+37.5</f>
        <v>547.425</v>
      </c>
      <c r="BD39" s="63">
        <f t="shared" si="38"/>
        <v>11908.1397</v>
      </c>
      <c r="BE39" s="29">
        <f t="shared" si="39"/>
        <v>-3562.529999999995</v>
      </c>
    </row>
    <row r="40" spans="1:57" ht="13.5" thickBot="1">
      <c r="A40" s="46" t="s">
        <v>41</v>
      </c>
      <c r="B40" s="135">
        <v>4418.66</v>
      </c>
      <c r="C40" s="136">
        <f t="shared" si="23"/>
        <v>38221.409</v>
      </c>
      <c r="D40" s="137">
        <f t="shared" si="42"/>
        <v>3706.029000000001</v>
      </c>
      <c r="E40" s="138">
        <v>3991.06</v>
      </c>
      <c r="F40" s="138">
        <v>0</v>
      </c>
      <c r="G40" s="138">
        <v>5405.01</v>
      </c>
      <c r="H40" s="138">
        <v>0</v>
      </c>
      <c r="I40" s="138">
        <v>12929.47</v>
      </c>
      <c r="J40" s="138">
        <v>0</v>
      </c>
      <c r="K40" s="138">
        <v>8996.98</v>
      </c>
      <c r="L40" s="138">
        <v>0</v>
      </c>
      <c r="M40" s="138">
        <v>3192.86</v>
      </c>
      <c r="N40" s="138">
        <v>0</v>
      </c>
      <c r="O40" s="138">
        <v>0</v>
      </c>
      <c r="P40" s="139">
        <v>0</v>
      </c>
      <c r="Q40" s="139"/>
      <c r="R40" s="139"/>
      <c r="S40" s="140">
        <f t="shared" si="25"/>
        <v>34515.38</v>
      </c>
      <c r="T40" s="141">
        <f t="shared" si="26"/>
        <v>0</v>
      </c>
      <c r="U40" s="140">
        <v>3905.54</v>
      </c>
      <c r="V40" s="140">
        <v>5288.76</v>
      </c>
      <c r="W40" s="140">
        <v>12650.85</v>
      </c>
      <c r="X40" s="140">
        <v>8803.62</v>
      </c>
      <c r="Y40" s="140">
        <v>3124.46</v>
      </c>
      <c r="Z40" s="142">
        <v>0</v>
      </c>
      <c r="AA40" s="142">
        <v>0</v>
      </c>
      <c r="AB40" s="142">
        <f t="shared" si="40"/>
        <v>33773.23</v>
      </c>
      <c r="AC40" s="143">
        <f t="shared" si="27"/>
        <v>37479.259000000005</v>
      </c>
      <c r="AD40" s="144">
        <f t="shared" si="28"/>
        <v>0</v>
      </c>
      <c r="AE40" s="144">
        <f t="shared" si="29"/>
        <v>0</v>
      </c>
      <c r="AF40" s="144">
        <f>'[7]Т10-10'!$I$41+'[7]Т10-10'!$I$53+150</f>
        <v>1221.1154999999999</v>
      </c>
      <c r="AG40" s="145">
        <f t="shared" si="30"/>
        <v>2651.196</v>
      </c>
      <c r="AH40" s="145">
        <f t="shared" si="31"/>
        <v>883.732</v>
      </c>
      <c r="AI40" s="145">
        <f t="shared" si="32"/>
        <v>4418.66</v>
      </c>
      <c r="AJ40" s="145">
        <v>0</v>
      </c>
      <c r="AK40" s="145">
        <f t="shared" si="33"/>
        <v>4330.2868</v>
      </c>
      <c r="AL40" s="145">
        <v>0</v>
      </c>
      <c r="AM40" s="145">
        <f t="shared" si="41"/>
        <v>9941.985</v>
      </c>
      <c r="AN40" s="145">
        <v>0</v>
      </c>
      <c r="AO40" s="145"/>
      <c r="AP40" s="145"/>
      <c r="AQ40" s="146"/>
      <c r="AR40" s="146"/>
      <c r="AS40" s="134"/>
      <c r="AT40" s="134">
        <v>147.46</v>
      </c>
      <c r="AU40" s="134">
        <f>147.46*0.18</f>
        <v>26.5428</v>
      </c>
      <c r="AV40" s="147"/>
      <c r="AW40" s="148">
        <v>1635</v>
      </c>
      <c r="AX40" s="145">
        <f t="shared" si="35"/>
        <v>2289</v>
      </c>
      <c r="AY40" s="149"/>
      <c r="AZ40" s="150"/>
      <c r="BA40" s="150">
        <f t="shared" si="36"/>
        <v>0</v>
      </c>
      <c r="BB40" s="150">
        <f t="shared" si="37"/>
        <v>24688.862599999997</v>
      </c>
      <c r="BC40" s="151">
        <f>'[7]Т10-10'!$M$41+'[7]Т10-10'!$M$53+37.5</f>
        <v>547.425</v>
      </c>
      <c r="BD40" s="154">
        <f t="shared" si="38"/>
        <v>13464.08690000001</v>
      </c>
      <c r="BE40" s="145">
        <f t="shared" si="39"/>
        <v>-742.1499999999942</v>
      </c>
    </row>
    <row r="41" spans="1:57" s="26" customFormat="1" ht="13.5" thickBot="1">
      <c r="A41" s="155" t="s">
        <v>5</v>
      </c>
      <c r="B41" s="156"/>
      <c r="C41" s="156">
        <f aca="true" t="shared" si="43" ref="C41:AE41">SUM(C29:C40)</f>
        <v>458746.34900000005</v>
      </c>
      <c r="D41" s="156">
        <f t="shared" si="43"/>
        <v>44319.809</v>
      </c>
      <c r="E41" s="157">
        <f t="shared" si="43"/>
        <v>43688.01</v>
      </c>
      <c r="F41" s="157">
        <f t="shared" si="43"/>
        <v>4191.94</v>
      </c>
      <c r="G41" s="157">
        <f t="shared" si="43"/>
        <v>59161.08</v>
      </c>
      <c r="H41" s="157">
        <f t="shared" si="43"/>
        <v>5682.32</v>
      </c>
      <c r="I41" s="157">
        <f t="shared" si="43"/>
        <v>141816.24</v>
      </c>
      <c r="J41" s="157">
        <f t="shared" si="43"/>
        <v>13647.58</v>
      </c>
      <c r="K41" s="157">
        <f t="shared" si="43"/>
        <v>98479.73</v>
      </c>
      <c r="L41" s="157">
        <f t="shared" si="43"/>
        <v>9455.609999999999</v>
      </c>
      <c r="M41" s="157">
        <f t="shared" si="43"/>
        <v>34950.5</v>
      </c>
      <c r="N41" s="157">
        <f t="shared" si="43"/>
        <v>3353.5299999999997</v>
      </c>
      <c r="O41" s="157">
        <f t="shared" si="43"/>
        <v>0</v>
      </c>
      <c r="P41" s="157">
        <f t="shared" si="43"/>
        <v>0</v>
      </c>
      <c r="Q41" s="157">
        <f t="shared" si="43"/>
        <v>0</v>
      </c>
      <c r="R41" s="157">
        <f t="shared" si="43"/>
        <v>0</v>
      </c>
      <c r="S41" s="157">
        <f t="shared" si="43"/>
        <v>378095.56000000006</v>
      </c>
      <c r="T41" s="157">
        <f t="shared" si="43"/>
        <v>36330.98</v>
      </c>
      <c r="U41" s="158">
        <f t="shared" si="43"/>
        <v>40476.590000000004</v>
      </c>
      <c r="V41" s="158">
        <f t="shared" si="43"/>
        <v>54801.81</v>
      </c>
      <c r="W41" s="158">
        <f t="shared" si="43"/>
        <v>130913.81</v>
      </c>
      <c r="X41" s="158">
        <f t="shared" si="43"/>
        <v>90730.72000000002</v>
      </c>
      <c r="Y41" s="158">
        <f t="shared" si="43"/>
        <v>32381.380000000005</v>
      </c>
      <c r="Z41" s="158">
        <f t="shared" si="43"/>
        <v>0</v>
      </c>
      <c r="AA41" s="158">
        <f t="shared" si="43"/>
        <v>0</v>
      </c>
      <c r="AB41" s="158">
        <f t="shared" si="43"/>
        <v>349304.31</v>
      </c>
      <c r="AC41" s="158">
        <f t="shared" si="43"/>
        <v>429955.09900000005</v>
      </c>
      <c r="AD41" s="159">
        <f t="shared" si="43"/>
        <v>0</v>
      </c>
      <c r="AE41" s="159">
        <f t="shared" si="43"/>
        <v>0</v>
      </c>
      <c r="AF41" s="159"/>
      <c r="AG41" s="160">
        <f aca="true" t="shared" si="44" ref="AG41:AU41">SUM(AG29:AG40)</f>
        <v>31820.556000000004</v>
      </c>
      <c r="AH41" s="160">
        <f t="shared" si="44"/>
        <v>10606.851999999999</v>
      </c>
      <c r="AI41" s="160">
        <f t="shared" si="44"/>
        <v>53034.26000000001</v>
      </c>
      <c r="AJ41" s="160">
        <f t="shared" si="44"/>
        <v>0</v>
      </c>
      <c r="AK41" s="160">
        <f t="shared" si="44"/>
        <v>51973.57480000001</v>
      </c>
      <c r="AL41" s="160">
        <f t="shared" si="44"/>
        <v>0</v>
      </c>
      <c r="AM41" s="160">
        <f t="shared" si="44"/>
        <v>119327.085</v>
      </c>
      <c r="AN41" s="160">
        <f t="shared" si="44"/>
        <v>0</v>
      </c>
      <c r="AO41" s="160">
        <f t="shared" si="44"/>
        <v>4914</v>
      </c>
      <c r="AP41" s="160">
        <f t="shared" si="44"/>
        <v>0</v>
      </c>
      <c r="AQ41" s="160">
        <f t="shared" si="44"/>
        <v>100</v>
      </c>
      <c r="AR41" s="160">
        <f t="shared" si="44"/>
        <v>0</v>
      </c>
      <c r="AS41" s="161">
        <f t="shared" si="44"/>
        <v>57493</v>
      </c>
      <c r="AT41" s="161">
        <f t="shared" si="44"/>
        <v>59545.15</v>
      </c>
      <c r="AU41" s="161">
        <f t="shared" si="44"/>
        <v>4598.137</v>
      </c>
      <c r="AV41" s="160"/>
      <c r="AW41" s="160"/>
      <c r="AX41" s="160">
        <f aca="true" t="shared" si="45" ref="AX41:BE41">SUM(AX29:AX40)</f>
        <v>12552.4</v>
      </c>
      <c r="AY41" s="160">
        <f t="shared" si="45"/>
        <v>0</v>
      </c>
      <c r="AZ41" s="160">
        <f t="shared" si="45"/>
        <v>0</v>
      </c>
      <c r="BA41" s="160">
        <f t="shared" si="45"/>
        <v>0</v>
      </c>
      <c r="BB41" s="160">
        <f t="shared" si="45"/>
        <v>405965.0148</v>
      </c>
      <c r="BC41" s="160">
        <f t="shared" si="45"/>
        <v>6231.600000000001</v>
      </c>
      <c r="BD41" s="162">
        <f t="shared" si="45"/>
        <v>31061.87020000005</v>
      </c>
      <c r="BE41" s="163">
        <f t="shared" si="45"/>
        <v>-28791.249999999985</v>
      </c>
    </row>
    <row r="42" spans="1:57" ht="13.5" thickBot="1">
      <c r="A42" s="47"/>
      <c r="B42" s="48"/>
      <c r="C42" s="49">
        <f aca="true" t="shared" si="46" ref="C42:AH42">C27+C41</f>
        <v>1490951.1950000003</v>
      </c>
      <c r="D42" s="49">
        <f t="shared" si="46"/>
        <v>119791.71525860002</v>
      </c>
      <c r="E42" s="49">
        <f t="shared" si="46"/>
        <v>89739.69</v>
      </c>
      <c r="F42" s="49">
        <f t="shared" si="46"/>
        <v>14632.029999999999</v>
      </c>
      <c r="G42" s="49">
        <f t="shared" si="46"/>
        <v>121414.1</v>
      </c>
      <c r="H42" s="49">
        <f t="shared" si="46"/>
        <v>19812.559999999998</v>
      </c>
      <c r="I42" s="49">
        <f t="shared" si="46"/>
        <v>291602.5</v>
      </c>
      <c r="J42" s="49">
        <f t="shared" si="46"/>
        <v>47619.54</v>
      </c>
      <c r="K42" s="49">
        <f t="shared" si="46"/>
        <v>202211.83999999997</v>
      </c>
      <c r="L42" s="49">
        <f t="shared" si="46"/>
        <v>32984.74</v>
      </c>
      <c r="M42" s="49">
        <f t="shared" si="46"/>
        <v>71794.31</v>
      </c>
      <c r="N42" s="49">
        <f t="shared" si="46"/>
        <v>11707.77</v>
      </c>
      <c r="O42" s="49">
        <f t="shared" si="46"/>
        <v>0</v>
      </c>
      <c r="P42" s="49">
        <f t="shared" si="46"/>
        <v>0</v>
      </c>
      <c r="Q42" s="49">
        <f t="shared" si="46"/>
        <v>0</v>
      </c>
      <c r="R42" s="49">
        <f t="shared" si="46"/>
        <v>0</v>
      </c>
      <c r="S42" s="49">
        <f t="shared" si="46"/>
        <v>776762.4400000001</v>
      </c>
      <c r="T42" s="49">
        <f t="shared" si="46"/>
        <v>126756.64000000001</v>
      </c>
      <c r="U42" s="49">
        <f t="shared" si="46"/>
        <v>79740.38</v>
      </c>
      <c r="V42" s="49">
        <f t="shared" si="46"/>
        <v>107898.44</v>
      </c>
      <c r="W42" s="49">
        <f t="shared" si="46"/>
        <v>258621.38999999998</v>
      </c>
      <c r="X42" s="49">
        <f t="shared" si="46"/>
        <v>179167.07</v>
      </c>
      <c r="Y42" s="49">
        <f t="shared" si="46"/>
        <v>63795.11</v>
      </c>
      <c r="Z42" s="49">
        <f t="shared" si="46"/>
        <v>0</v>
      </c>
      <c r="AA42" s="49">
        <f t="shared" si="46"/>
        <v>0</v>
      </c>
      <c r="AB42" s="49">
        <f t="shared" si="46"/>
        <v>689222.39</v>
      </c>
      <c r="AC42" s="49">
        <f t="shared" si="46"/>
        <v>935770.7452586</v>
      </c>
      <c r="AD42" s="49">
        <f t="shared" si="46"/>
        <v>0</v>
      </c>
      <c r="AE42" s="49">
        <f t="shared" si="46"/>
        <v>0</v>
      </c>
      <c r="AF42" s="49">
        <f t="shared" si="46"/>
        <v>0</v>
      </c>
      <c r="AG42" s="49">
        <f t="shared" si="46"/>
        <v>70538.85</v>
      </c>
      <c r="AH42" s="49">
        <f t="shared" si="46"/>
        <v>23636.3355768</v>
      </c>
      <c r="AI42" s="49">
        <f aca="true" t="shared" si="47" ref="AI42:BN42">AI27+AI41</f>
        <v>107321.05256935</v>
      </c>
      <c r="AJ42" s="49">
        <f t="shared" si="47"/>
        <v>9771.622662482998</v>
      </c>
      <c r="AK42" s="49">
        <f t="shared" si="47"/>
        <v>106908.13883460598</v>
      </c>
      <c r="AL42" s="49">
        <f t="shared" si="47"/>
        <v>9888.221526229077</v>
      </c>
      <c r="AM42" s="49">
        <f t="shared" si="47"/>
        <v>239624.48468096467</v>
      </c>
      <c r="AN42" s="49">
        <f t="shared" si="47"/>
        <v>21653.531942573645</v>
      </c>
      <c r="AO42" s="49">
        <f t="shared" si="47"/>
        <v>4914</v>
      </c>
      <c r="AP42" s="49">
        <f t="shared" si="47"/>
        <v>0</v>
      </c>
      <c r="AQ42" s="49">
        <f t="shared" si="47"/>
        <v>45087.333000000006</v>
      </c>
      <c r="AR42" s="49">
        <f t="shared" si="47"/>
        <v>8097.719939999999</v>
      </c>
      <c r="AS42" s="49">
        <f t="shared" si="47"/>
        <v>147834.5</v>
      </c>
      <c r="AT42" s="49">
        <f t="shared" si="47"/>
        <v>64681.15</v>
      </c>
      <c r="AU42" s="49">
        <f t="shared" si="47"/>
        <v>21784.086999999996</v>
      </c>
      <c r="AV42" s="49">
        <f t="shared" si="47"/>
        <v>0</v>
      </c>
      <c r="AW42" s="49">
        <f t="shared" si="47"/>
        <v>0</v>
      </c>
      <c r="AX42" s="49">
        <f t="shared" si="47"/>
        <v>28703.673600000002</v>
      </c>
      <c r="AY42" s="49">
        <f t="shared" si="47"/>
        <v>0</v>
      </c>
      <c r="AZ42" s="49">
        <f t="shared" si="47"/>
        <v>0</v>
      </c>
      <c r="BA42" s="49">
        <f t="shared" si="47"/>
        <v>0</v>
      </c>
      <c r="BB42" s="49">
        <f t="shared" si="47"/>
        <v>906413.8213330064</v>
      </c>
      <c r="BC42" s="49">
        <f t="shared" si="47"/>
        <v>10108.422765089002</v>
      </c>
      <c r="BD42" s="49">
        <f t="shared" si="47"/>
        <v>41913.3367725047</v>
      </c>
      <c r="BE42" s="50">
        <f t="shared" si="47"/>
        <v>-87540.04999999999</v>
      </c>
    </row>
  </sheetData>
  <sheetProtection/>
  <mergeCells count="65">
    <mergeCell ref="AD3:AD6"/>
    <mergeCell ref="AM5:AM6"/>
    <mergeCell ref="AN5:AN6"/>
    <mergeCell ref="AO5:AO6"/>
    <mergeCell ref="AR5:AR6"/>
    <mergeCell ref="AT5:AT6"/>
    <mergeCell ref="K5:K6"/>
    <mergeCell ref="L5:L6"/>
    <mergeCell ref="AU5:AU6"/>
    <mergeCell ref="P5:P6"/>
    <mergeCell ref="Q5:Q6"/>
    <mergeCell ref="R5:R6"/>
    <mergeCell ref="S5:S6"/>
    <mergeCell ref="T5:T6"/>
    <mergeCell ref="U5:U6"/>
    <mergeCell ref="V5:V6"/>
    <mergeCell ref="E5:E6"/>
    <mergeCell ref="F5:F6"/>
    <mergeCell ref="G5:G6"/>
    <mergeCell ref="H5:H6"/>
    <mergeCell ref="I5:I6"/>
    <mergeCell ref="J5:J6"/>
    <mergeCell ref="AG5:AG6"/>
    <mergeCell ref="AH5:AH6"/>
    <mergeCell ref="AI5:AI6"/>
    <mergeCell ref="AJ5:AJ6"/>
    <mergeCell ref="AK5:AK6"/>
    <mergeCell ref="AL5:AL6"/>
    <mergeCell ref="N5:N6"/>
    <mergeCell ref="O5:O6"/>
    <mergeCell ref="AB5:AB6"/>
    <mergeCell ref="S3:T4"/>
    <mergeCell ref="U3:AB4"/>
    <mergeCell ref="X5:X6"/>
    <mergeCell ref="Y5:Y6"/>
    <mergeCell ref="Z5:Z6"/>
    <mergeCell ref="AA5:AA6"/>
    <mergeCell ref="W5:W6"/>
    <mergeCell ref="E3:R3"/>
    <mergeCell ref="E4:F4"/>
    <mergeCell ref="G4:H4"/>
    <mergeCell ref="I4:J4"/>
    <mergeCell ref="K4:L4"/>
    <mergeCell ref="AC3:AC6"/>
    <mergeCell ref="M4:N4"/>
    <mergeCell ref="O4:P4"/>
    <mergeCell ref="Q4:R4"/>
    <mergeCell ref="M5:M6"/>
    <mergeCell ref="AP5:AP6"/>
    <mergeCell ref="AQ5:AQ6"/>
    <mergeCell ref="AS5:AS6"/>
    <mergeCell ref="AE3:AE6"/>
    <mergeCell ref="AG3:BB4"/>
    <mergeCell ref="A1:N1"/>
    <mergeCell ref="A3:A6"/>
    <mergeCell ref="B3:B6"/>
    <mergeCell ref="C3:C6"/>
    <mergeCell ref="D3:D6"/>
    <mergeCell ref="BD3:BD6"/>
    <mergeCell ref="BE3:BE6"/>
    <mergeCell ref="AV5:AX5"/>
    <mergeCell ref="AZ5:AZ6"/>
    <mergeCell ref="BA5:BA6"/>
    <mergeCell ref="BB5:BB6"/>
    <mergeCell ref="AY5:A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E60" sqref="E60"/>
    </sheetView>
  </sheetViews>
  <sheetFormatPr defaultColWidth="9.00390625" defaultRowHeight="12.75"/>
  <cols>
    <col min="1" max="1" width="10.125" style="2" customWidth="1"/>
    <col min="2" max="2" width="8.875" style="2" customWidth="1"/>
    <col min="3" max="3" width="12.625" style="2" customWidth="1"/>
    <col min="4" max="4" width="12.00390625" style="2" customWidth="1"/>
    <col min="5" max="5" width="11.875" style="2" customWidth="1"/>
    <col min="6" max="6" width="10.625" style="2" customWidth="1"/>
    <col min="7" max="7" width="11.875" style="2" customWidth="1"/>
    <col min="8" max="8" width="12.125" style="2" customWidth="1"/>
    <col min="9" max="9" width="10.125" style="2" customWidth="1"/>
    <col min="10" max="10" width="10.00390625" style="2" customWidth="1"/>
    <col min="11" max="11" width="12.625" style="2" customWidth="1"/>
    <col min="12" max="12" width="10.875" style="2" customWidth="1"/>
    <col min="13" max="13" width="10.375" style="2" customWidth="1"/>
    <col min="14" max="14" width="11.875" style="2" customWidth="1"/>
    <col min="15" max="15" width="10.125" style="2" customWidth="1"/>
    <col min="16" max="16" width="10.375" style="2" customWidth="1"/>
    <col min="17" max="17" width="10.75390625" style="2" customWidth="1"/>
    <col min="18" max="18" width="14.00390625" style="2" customWidth="1"/>
    <col min="19" max="16384" width="9.125" style="2" customWidth="1"/>
  </cols>
  <sheetData>
    <row r="1" ht="18.75">
      <c r="E1" s="31" t="s">
        <v>53</v>
      </c>
    </row>
    <row r="2" ht="18.75">
      <c r="E2" s="31" t="s">
        <v>54</v>
      </c>
    </row>
    <row r="6" spans="1:17" ht="12.75">
      <c r="A6" s="204" t="s">
        <v>73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>
      <c r="A7" s="204" t="s">
        <v>88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ht="12.75">
      <c r="A8" s="32"/>
      <c r="B8" s="32"/>
      <c r="C8" s="32"/>
      <c r="D8" s="32"/>
      <c r="E8" s="32"/>
      <c r="F8" s="32"/>
      <c r="H8" s="32"/>
      <c r="I8" s="32"/>
      <c r="K8" s="32"/>
      <c r="L8" s="32"/>
      <c r="M8" s="32"/>
      <c r="N8" s="32"/>
      <c r="O8" s="32"/>
      <c r="P8" s="32"/>
      <c r="Q8" s="32"/>
    </row>
    <row r="9" spans="1:5" ht="13.5" thickBot="1">
      <c r="A9" s="33" t="s">
        <v>55</v>
      </c>
      <c r="D9" s="4"/>
      <c r="E9" s="33">
        <v>8.65</v>
      </c>
    </row>
    <row r="10" spans="1:16" ht="12.75" customHeight="1">
      <c r="A10" s="184" t="s">
        <v>56</v>
      </c>
      <c r="B10" s="206" t="s">
        <v>1</v>
      </c>
      <c r="C10" s="209" t="s">
        <v>57</v>
      </c>
      <c r="D10" s="212" t="s">
        <v>3</v>
      </c>
      <c r="E10" s="230" t="s">
        <v>58</v>
      </c>
      <c r="F10" s="231"/>
      <c r="G10" s="219" t="s">
        <v>84</v>
      </c>
      <c r="H10" s="220"/>
      <c r="I10" s="223" t="s">
        <v>8</v>
      </c>
      <c r="J10" s="182"/>
      <c r="K10" s="182"/>
      <c r="L10" s="182"/>
      <c r="M10" s="182"/>
      <c r="N10" s="224"/>
      <c r="O10" s="227" t="s">
        <v>59</v>
      </c>
      <c r="P10" s="227" t="s">
        <v>10</v>
      </c>
    </row>
    <row r="11" spans="1:16" ht="12.75" customHeight="1">
      <c r="A11" s="185"/>
      <c r="B11" s="207"/>
      <c r="C11" s="210"/>
      <c r="D11" s="213"/>
      <c r="E11" s="232"/>
      <c r="F11" s="233"/>
      <c r="G11" s="221"/>
      <c r="H11" s="222"/>
      <c r="I11" s="225"/>
      <c r="J11" s="173"/>
      <c r="K11" s="173"/>
      <c r="L11" s="173"/>
      <c r="M11" s="173"/>
      <c r="N11" s="226"/>
      <c r="O11" s="228"/>
      <c r="P11" s="228"/>
    </row>
    <row r="12" spans="1:16" ht="26.25" customHeight="1">
      <c r="A12" s="185"/>
      <c r="B12" s="207"/>
      <c r="C12" s="210"/>
      <c r="D12" s="213"/>
      <c r="E12" s="234" t="s">
        <v>60</v>
      </c>
      <c r="F12" s="235"/>
      <c r="G12" s="238" t="s">
        <v>85</v>
      </c>
      <c r="H12" s="217" t="s">
        <v>7</v>
      </c>
      <c r="I12" s="236" t="s">
        <v>61</v>
      </c>
      <c r="J12" s="215" t="s">
        <v>30</v>
      </c>
      <c r="K12" s="215" t="s">
        <v>62</v>
      </c>
      <c r="L12" s="215" t="s">
        <v>35</v>
      </c>
      <c r="M12" s="215" t="s">
        <v>63</v>
      </c>
      <c r="N12" s="217" t="s">
        <v>37</v>
      </c>
      <c r="O12" s="228"/>
      <c r="P12" s="228"/>
    </row>
    <row r="13" spans="1:16" ht="66.75" customHeight="1" thickBot="1">
      <c r="A13" s="205"/>
      <c r="B13" s="208"/>
      <c r="C13" s="211"/>
      <c r="D13" s="214"/>
      <c r="E13" s="35" t="s">
        <v>64</v>
      </c>
      <c r="F13" s="36" t="s">
        <v>19</v>
      </c>
      <c r="G13" s="239"/>
      <c r="H13" s="218"/>
      <c r="I13" s="237"/>
      <c r="J13" s="216"/>
      <c r="K13" s="216"/>
      <c r="L13" s="216"/>
      <c r="M13" s="216"/>
      <c r="N13" s="218"/>
      <c r="O13" s="229"/>
      <c r="P13" s="229"/>
    </row>
    <row r="14" spans="1:16" ht="13.5" thickBot="1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38">
        <v>14</v>
      </c>
      <c r="O14" s="37">
        <v>15</v>
      </c>
      <c r="P14" s="38">
        <v>16</v>
      </c>
    </row>
    <row r="15" spans="1:16" ht="12.75">
      <c r="A15" s="8" t="s">
        <v>38</v>
      </c>
      <c r="B15" s="9"/>
      <c r="C15" s="34"/>
      <c r="D15" s="8"/>
      <c r="E15" s="9"/>
      <c r="F15" s="10"/>
      <c r="G15" s="8"/>
      <c r="H15" s="10"/>
      <c r="I15" s="8"/>
      <c r="J15" s="9"/>
      <c r="K15" s="9"/>
      <c r="L15" s="9"/>
      <c r="M15" s="9"/>
      <c r="N15" s="10"/>
      <c r="O15" s="40"/>
      <c r="P15" s="41"/>
    </row>
    <row r="16" spans="1:16" ht="12.75">
      <c r="A16" s="12" t="s">
        <v>39</v>
      </c>
      <c r="B16" s="120">
        <f>Лист1!B9</f>
        <v>4422.4</v>
      </c>
      <c r="C16" s="42">
        <f>Лист1!C9</f>
        <v>38253.76</v>
      </c>
      <c r="D16" s="43">
        <f>Лист1!D9</f>
        <v>9214.5657088</v>
      </c>
      <c r="E16" s="18">
        <f>Лист1!S9</f>
        <v>26090.749999999996</v>
      </c>
      <c r="F16" s="20">
        <f>Лист1!T9</f>
        <v>5785.580000000001</v>
      </c>
      <c r="G16" s="44">
        <f>Лист1!AB9</f>
        <v>286.19000000000005</v>
      </c>
      <c r="H16" s="20">
        <f>Лист1!AC9</f>
        <v>15286.335708800003</v>
      </c>
      <c r="I16" s="44">
        <f>Лист1!AG9</f>
        <v>2653.4399999999996</v>
      </c>
      <c r="J16" s="18">
        <f>Лист1!AI9+Лист1!AJ9</f>
        <v>4445.0485776</v>
      </c>
      <c r="K16" s="18">
        <f>Лист1!AH9+Лист1!AK9+Лист1!AL9+Лист1!AM9+Лист1!AN9+Лист1!AP9+Лист1!AO9+Лист1!AQ9+Лист1!AR9</f>
        <v>15608.388045439997</v>
      </c>
      <c r="L16" s="19">
        <f>Лист1!AS9+Лист1!AT9+Лист1!AU9</f>
        <v>23780.009</v>
      </c>
      <c r="M16" s="19">
        <f>Лист1!AX9</f>
        <v>0</v>
      </c>
      <c r="N16" s="20">
        <f>Лист1!BB9</f>
        <v>46486.88562304</v>
      </c>
      <c r="O16" s="45">
        <f>Лист1!BD9</f>
        <v>-31200.549914239993</v>
      </c>
      <c r="P16" s="45">
        <f>Лист1!BE9</f>
        <v>-25804.559999999998</v>
      </c>
    </row>
    <row r="17" spans="1:16" ht="12.75">
      <c r="A17" s="12" t="s">
        <v>40</v>
      </c>
      <c r="B17" s="120">
        <f>Лист1!B10</f>
        <v>4422.4</v>
      </c>
      <c r="C17" s="42">
        <f>Лист1!C10</f>
        <v>38253.76</v>
      </c>
      <c r="D17" s="43">
        <f>Лист1!D10</f>
        <v>9214.5657088</v>
      </c>
      <c r="E17" s="18">
        <f>Лист1!S10</f>
        <v>22772.09</v>
      </c>
      <c r="F17" s="20">
        <f>Лист1!T10</f>
        <v>5644.47</v>
      </c>
      <c r="G17" s="44">
        <f>Лист1!AB10</f>
        <v>14598.130000000001</v>
      </c>
      <c r="H17" s="20">
        <f>Лист1!AC10</f>
        <v>29457.165708800003</v>
      </c>
      <c r="I17" s="44">
        <f>Лист1!AG10</f>
        <v>2653.4399999999996</v>
      </c>
      <c r="J17" s="18">
        <f>Лист1!AI10+Лист1!AJ10</f>
        <v>4445.0485776</v>
      </c>
      <c r="K17" s="18">
        <f>Лист1!AH10+Лист1!AK10+Лист1!AL10+Лист1!AM10+Лист1!AN10+Лист1!AP10+Лист1!AO10+Лист1!AQ10+Лист1!AR10</f>
        <v>15561.280640639998</v>
      </c>
      <c r="L17" s="19">
        <f>Лист1!AS10+Лист1!AT10+Лист1!AU10</f>
        <v>2879.2</v>
      </c>
      <c r="M17" s="19">
        <f>Лист1!AX10</f>
        <v>0</v>
      </c>
      <c r="N17" s="20">
        <f>Лист1!BB10</f>
        <v>25538.969218239996</v>
      </c>
      <c r="O17" s="45">
        <f>Лист1!BD10</f>
        <v>3918.196490560007</v>
      </c>
      <c r="P17" s="45">
        <f>Лист1!BE10</f>
        <v>-8173.959999999999</v>
      </c>
    </row>
    <row r="18" spans="1:16" ht="13.5" thickBot="1">
      <c r="A18" s="46" t="s">
        <v>41</v>
      </c>
      <c r="B18" s="120">
        <f>Лист1!B11</f>
        <v>4422.4</v>
      </c>
      <c r="C18" s="42">
        <f>Лист1!C11</f>
        <v>38253.76</v>
      </c>
      <c r="D18" s="43">
        <f>Лист1!D11</f>
        <v>9194.291216000001</v>
      </c>
      <c r="E18" s="18">
        <f>Лист1!S11</f>
        <v>21489.5</v>
      </c>
      <c r="F18" s="20">
        <f>Лист1!T11</f>
        <v>5772.62</v>
      </c>
      <c r="G18" s="44">
        <f>Лист1!AB11</f>
        <v>24232.44</v>
      </c>
      <c r="H18" s="20">
        <f>Лист1!AC11</f>
        <v>39199.351215999995</v>
      </c>
      <c r="I18" s="44">
        <f>Лист1!AG11</f>
        <v>2653.4399999999996</v>
      </c>
      <c r="J18" s="18">
        <f>Лист1!AI11+Лист1!AJ11</f>
        <v>4432.11866624</v>
      </c>
      <c r="K18" s="18">
        <f>Лист1!AH11+Лист1!AK11+Лист1!AL11+Лист1!AM11+Лист1!AN11+Лист1!AP11+Лист1!AO11+Лист1!AQ11+Лист1!AR11</f>
        <v>15536.422098751998</v>
      </c>
      <c r="L18" s="19">
        <f>Лист1!AS11+Лист1!AT11+Лист1!AU11</f>
        <v>29884.68</v>
      </c>
      <c r="M18" s="19">
        <f>Лист1!AX11</f>
        <v>0</v>
      </c>
      <c r="N18" s="20">
        <f>Лист1!BB11</f>
        <v>52506.660764992</v>
      </c>
      <c r="O18" s="45">
        <f>Лист1!BD11</f>
        <v>-13307.309548992002</v>
      </c>
      <c r="P18" s="45">
        <f>Лист1!BE11</f>
        <v>2742.9399999999987</v>
      </c>
    </row>
    <row r="19" spans="1:16" s="26" customFormat="1" ht="13.5" thickBot="1">
      <c r="A19" s="47" t="s">
        <v>5</v>
      </c>
      <c r="B19" s="48"/>
      <c r="C19" s="51">
        <f aca="true" t="shared" si="0" ref="C19:N19">SUM(C16:C18)</f>
        <v>114761.28</v>
      </c>
      <c r="D19" s="51">
        <f t="shared" si="0"/>
        <v>27623.422633600003</v>
      </c>
      <c r="E19" s="51">
        <f t="shared" si="0"/>
        <v>70352.34</v>
      </c>
      <c r="F19" s="51">
        <f t="shared" si="0"/>
        <v>17202.670000000002</v>
      </c>
      <c r="G19" s="51">
        <f t="shared" si="0"/>
        <v>39116.76</v>
      </c>
      <c r="H19" s="51">
        <f t="shared" si="0"/>
        <v>83942.8526336</v>
      </c>
      <c r="I19" s="51">
        <f t="shared" si="0"/>
        <v>7960.319999999999</v>
      </c>
      <c r="J19" s="51">
        <f t="shared" si="0"/>
        <v>13322.215821439999</v>
      </c>
      <c r="K19" s="51">
        <f t="shared" si="0"/>
        <v>46706.09078483199</v>
      </c>
      <c r="L19" s="51">
        <f t="shared" si="0"/>
        <v>56543.888999999996</v>
      </c>
      <c r="M19" s="51">
        <f t="shared" si="0"/>
        <v>0</v>
      </c>
      <c r="N19" s="51">
        <f t="shared" si="0"/>
        <v>124532.515606272</v>
      </c>
      <c r="O19" s="51">
        <f>SUM(O16:O18)</f>
        <v>-40589.662972671984</v>
      </c>
      <c r="P19" s="51">
        <f>SUM(P16:P18)</f>
        <v>-31235.579999999998</v>
      </c>
    </row>
    <row r="20" spans="1:16" ht="12.75">
      <c r="A20" s="8" t="s">
        <v>42</v>
      </c>
      <c r="B20" s="121"/>
      <c r="C20" s="52"/>
      <c r="D20" s="53"/>
      <c r="E20" s="54"/>
      <c r="F20" s="55"/>
      <c r="G20" s="56"/>
      <c r="H20" s="55"/>
      <c r="I20" s="56"/>
      <c r="J20" s="18"/>
      <c r="K20" s="18"/>
      <c r="L20" s="19"/>
      <c r="M20" s="122"/>
      <c r="N20" s="20"/>
      <c r="O20" s="45"/>
      <c r="P20" s="45"/>
    </row>
    <row r="21" spans="1:16" ht="12.75">
      <c r="A21" s="12" t="s">
        <v>43</v>
      </c>
      <c r="B21" s="120">
        <f>Лист1!B14</f>
        <v>4422.4</v>
      </c>
      <c r="C21" s="42">
        <f>Лист1!C14</f>
        <v>38253.76</v>
      </c>
      <c r="D21" s="43">
        <f>Лист1!D14</f>
        <v>4781.72</v>
      </c>
      <c r="E21" s="18">
        <f>Лист1!S14</f>
        <v>25701.6</v>
      </c>
      <c r="F21" s="20">
        <f>Лист1!T14</f>
        <v>5774.6</v>
      </c>
      <c r="G21" s="44">
        <f>Лист1!AB14</f>
        <v>18984.32</v>
      </c>
      <c r="H21" s="20">
        <f>Лист1!AC14</f>
        <v>29540.64</v>
      </c>
      <c r="I21" s="44">
        <f>Лист1!AG14</f>
        <v>2388.0959999999995</v>
      </c>
      <c r="J21" s="18">
        <f>Лист1!AI14+Лист1!AJ14</f>
        <v>3845.6998624</v>
      </c>
      <c r="K21" s="18">
        <f>Лист1!AH14+Лист1!AK14+Лист1!AL14+Лист1!AM14+Лист1!AN14+Лист1!AP14+Лист1!AO14+Лист1!AQ14+Лист1!AR14</f>
        <v>13207.318846592</v>
      </c>
      <c r="L21" s="19">
        <f>Лист1!AS14+Лист1!AT14+Лист1!AU14</f>
        <v>317.42</v>
      </c>
      <c r="M21" s="19">
        <f>Лист1!AX14</f>
        <v>1531.7344</v>
      </c>
      <c r="N21" s="20">
        <f>Лист1!BB14</f>
        <v>19758.534708991996</v>
      </c>
      <c r="O21" s="45">
        <f>Лист1!BD14</f>
        <v>9782.105291008003</v>
      </c>
      <c r="P21" s="45">
        <f>Лист1!BE14</f>
        <v>-6717.279999999999</v>
      </c>
    </row>
    <row r="22" spans="1:16" ht="12.75">
      <c r="A22" s="12" t="s">
        <v>44</v>
      </c>
      <c r="B22" s="120">
        <f>Лист1!B15</f>
        <v>4420.5</v>
      </c>
      <c r="C22" s="42">
        <f>Лист1!C15</f>
        <v>38237.325000000004</v>
      </c>
      <c r="D22" s="43">
        <f>Лист1!D15</f>
        <v>4779.665625000001</v>
      </c>
      <c r="E22" s="18">
        <f>Лист1!S15</f>
        <v>25497.600000000002</v>
      </c>
      <c r="F22" s="20">
        <f>Лист1!T15</f>
        <v>5774.75</v>
      </c>
      <c r="G22" s="44">
        <f>Лист1!AB15</f>
        <v>16813.05</v>
      </c>
      <c r="H22" s="20">
        <f>Лист1!AC15</f>
        <v>27367.465625</v>
      </c>
      <c r="I22" s="44">
        <f>Лист1!AG15</f>
        <v>2387.0699999999997</v>
      </c>
      <c r="J22" s="18">
        <f>Лист1!AI15+Лист1!AJ15</f>
        <v>3839.637459</v>
      </c>
      <c r="K22" s="18">
        <f>Лист1!AH15+Лист1!AK15+Лист1!AL15+Лист1!AM15+Лист1!AN15+Лист1!AP15+Лист1!AO15+Лист1!AQ15+Лист1!AR15</f>
        <v>13220.702675039996</v>
      </c>
      <c r="L22" s="19">
        <f>Лист1!AS15+Лист1!AT15+Лист1!AU15</f>
        <v>22674.88</v>
      </c>
      <c r="M22" s="19">
        <f>Лист1!AX15</f>
        <v>1342.7456</v>
      </c>
      <c r="N22" s="20">
        <f>Лист1!BB15</f>
        <v>42122.29013403999</v>
      </c>
      <c r="O22" s="45">
        <f>Лист1!BD15</f>
        <v>-14754.82450903999</v>
      </c>
      <c r="P22" s="45">
        <f>Лист1!BE15</f>
        <v>-8684.550000000003</v>
      </c>
    </row>
    <row r="23" spans="1:16" ht="12.75">
      <c r="A23" s="12" t="s">
        <v>45</v>
      </c>
      <c r="B23" s="120">
        <f>Лист1!B16</f>
        <v>4419.2</v>
      </c>
      <c r="C23" s="42">
        <f>Лист1!C16</f>
        <v>38226.08</v>
      </c>
      <c r="D23" s="43">
        <f>Лист1!D16</f>
        <v>4778.26</v>
      </c>
      <c r="E23" s="18">
        <f>Лист1!S16</f>
        <v>25026.760000000002</v>
      </c>
      <c r="F23" s="20">
        <f>Лист1!T16</f>
        <v>5773.209999999999</v>
      </c>
      <c r="G23" s="44">
        <f>Лист1!AB16</f>
        <v>27394.61</v>
      </c>
      <c r="H23" s="20">
        <f>Лист1!AC16</f>
        <v>37946.08</v>
      </c>
      <c r="I23" s="44">
        <f>Лист1!AG16</f>
        <v>2386.368</v>
      </c>
      <c r="J23" s="18">
        <f>Лист1!AI16+Лист1!AJ16</f>
        <v>3845.156968</v>
      </c>
      <c r="K23" s="18">
        <f>Лист1!AH16+Лист1!AK16+Лист1!AL16+Лист1!AM16+Лист1!AN16+Лист1!AP16+Лист1!AO16+Лист1!AQ16+Лист1!AR16</f>
        <v>25242.331422016</v>
      </c>
      <c r="L23" s="19">
        <f>Лист1!AS16+Лист1!AT16+Лист1!AU16</f>
        <v>3908.16</v>
      </c>
      <c r="M23" s="19">
        <f>Лист1!AX16</f>
        <v>1156.4</v>
      </c>
      <c r="N23" s="20">
        <f>Лист1!BB16</f>
        <v>35382.016390016</v>
      </c>
      <c r="O23" s="45">
        <f>Лист1!BD16</f>
        <v>2564.063609984005</v>
      </c>
      <c r="P23" s="45">
        <f>Лист1!BE16</f>
        <v>2367.8499999999985</v>
      </c>
    </row>
    <row r="24" spans="1:16" ht="12.75">
      <c r="A24" s="12" t="s">
        <v>46</v>
      </c>
      <c r="B24" s="120">
        <f>Лист1!B17</f>
        <v>4419.2</v>
      </c>
      <c r="C24" s="42">
        <f>Лист1!C17</f>
        <v>38226.08</v>
      </c>
      <c r="D24" s="43">
        <f>Лист1!D17</f>
        <v>4778.26</v>
      </c>
      <c r="E24" s="18">
        <f>Лист1!S17</f>
        <v>25167.87</v>
      </c>
      <c r="F24" s="20">
        <f>Лист1!T17</f>
        <v>5773.18</v>
      </c>
      <c r="G24" s="44">
        <f>Лист1!AB17</f>
        <v>20310.649999999998</v>
      </c>
      <c r="H24" s="20">
        <f>Лист1!AC17</f>
        <v>30862.089999999997</v>
      </c>
      <c r="I24" s="44">
        <f>Лист1!AG17</f>
        <v>2386.368</v>
      </c>
      <c r="J24" s="18">
        <f>Лист1!AI17+Лист1!AJ17</f>
        <v>3959.957619839999</v>
      </c>
      <c r="K24" s="18">
        <f>Лист1!AH17+Лист1!AK17+Лист1!AL17+Лист1!AM17+Лист1!AN17+Лист1!AP17+Лист1!AO17+Лист1!AQ17+Лист1!AR17</f>
        <v>14833.202188511998</v>
      </c>
      <c r="L24" s="19">
        <f>Лист1!AS17+Лист1!AT17+Лист1!AU17</f>
        <v>6593.0848</v>
      </c>
      <c r="M24" s="19">
        <f>Лист1!AX17</f>
        <v>5086.838400000001</v>
      </c>
      <c r="N24" s="20">
        <f>Лист1!BB17</f>
        <v>32859.451008352</v>
      </c>
      <c r="O24" s="45">
        <f>Лист1!BD17</f>
        <v>-540.7749861920032</v>
      </c>
      <c r="P24" s="45">
        <f>Лист1!BE17</f>
        <v>-4857.220000000001</v>
      </c>
    </row>
    <row r="25" spans="1:16" ht="12.75">
      <c r="A25" s="12" t="s">
        <v>47</v>
      </c>
      <c r="B25" s="120">
        <f>Лист1!B18</f>
        <v>4419.2</v>
      </c>
      <c r="C25" s="42">
        <f>Лист1!C18</f>
        <v>38226.08</v>
      </c>
      <c r="D25" s="43">
        <f>Лист1!D18</f>
        <v>3790.9</v>
      </c>
      <c r="E25" s="18">
        <f>Лист1!S18</f>
        <v>28163.530000000002</v>
      </c>
      <c r="F25" s="20">
        <f>Лист1!T18</f>
        <v>6271.65</v>
      </c>
      <c r="G25" s="44">
        <f>Лист1!AB18</f>
        <v>21179.68</v>
      </c>
      <c r="H25" s="20">
        <f>Лист1!AC18</f>
        <v>31242.23</v>
      </c>
      <c r="I25" s="44">
        <f>Лист1!AG18</f>
        <v>2651.52</v>
      </c>
      <c r="J25" s="18">
        <f>Лист1!AI18+Лист1!AJ18</f>
        <v>4432.4576</v>
      </c>
      <c r="K25" s="18">
        <f>Лист1!AH18+Лист1!AK18+Лист1!AL18+Лист1!AM18+Лист1!AN18+Лист1!AP18+Лист1!AO18+Лист1!AQ18+Лист1!AR18</f>
        <v>15180.835839999998</v>
      </c>
      <c r="L25" s="19">
        <f>Лист1!AS18+Лист1!AT18+Лист1!AU18</f>
        <v>14129.567799999999</v>
      </c>
      <c r="M25" s="19">
        <f>Лист1!AX18</f>
        <v>766.528</v>
      </c>
      <c r="N25" s="20">
        <f>Лист1!BB18</f>
        <v>37160.90924</v>
      </c>
      <c r="O25" s="45">
        <f>Лист1!BD18</f>
        <v>-5601.359278444001</v>
      </c>
      <c r="P25" s="45">
        <f>Лист1!BE18</f>
        <v>-6983.850000000002</v>
      </c>
    </row>
    <row r="26" spans="1:16" ht="12.75">
      <c r="A26" s="12" t="s">
        <v>48</v>
      </c>
      <c r="B26" s="120">
        <f>Лист1!B19</f>
        <v>4419.2</v>
      </c>
      <c r="C26" s="42">
        <f>Лист1!C19</f>
        <v>38226.08</v>
      </c>
      <c r="D26" s="43">
        <f>Лист1!D19</f>
        <v>3757.520000000007</v>
      </c>
      <c r="E26" s="18">
        <f>Лист1!S19</f>
        <v>28133.01</v>
      </c>
      <c r="F26" s="20">
        <f>Лист1!T19</f>
        <v>6335.55</v>
      </c>
      <c r="G26" s="44">
        <f>Лист1!AB19</f>
        <v>22668.85</v>
      </c>
      <c r="H26" s="20">
        <f>Лист1!AC19</f>
        <v>32761.920000000006</v>
      </c>
      <c r="I26" s="44">
        <f>Лист1!AG19</f>
        <v>2651.52</v>
      </c>
      <c r="J26" s="18">
        <f>Лист1!AI19+Лист1!AJ19</f>
        <v>4432.4576</v>
      </c>
      <c r="K26" s="18">
        <f>Лист1!AH19+Лист1!AK19+Лист1!AL19+Лист1!AM19+Лист1!AN19+Лист1!AP19+Лист1!AO19+Лист1!AQ19+Лист1!AR19</f>
        <v>40940.114367999995</v>
      </c>
      <c r="L26" s="19">
        <f>Лист1!AS19+Лист1!AT19+Лист1!AU19</f>
        <v>70.1746</v>
      </c>
      <c r="M26" s="19">
        <f>Лист1!AX19</f>
        <v>981.9488</v>
      </c>
      <c r="N26" s="20">
        <f>Лист1!BB19</f>
        <v>49076.21536799999</v>
      </c>
      <c r="O26" s="45">
        <f>Лист1!BD19</f>
        <v>-15981.446483959988</v>
      </c>
      <c r="P26" s="45">
        <f>Лист1!BE19</f>
        <v>-5464.16</v>
      </c>
    </row>
    <row r="27" spans="1:16" ht="12.75">
      <c r="A27" s="12" t="s">
        <v>49</v>
      </c>
      <c r="B27" s="120">
        <f>Лист1!B20</f>
        <v>4418.62</v>
      </c>
      <c r="C27" s="42">
        <f>Лист1!C20</f>
        <v>38221.063</v>
      </c>
      <c r="D27" s="43">
        <f>Лист1!D20</f>
        <v>3780.3430000000053</v>
      </c>
      <c r="E27" s="18">
        <f>Лист1!S20</f>
        <v>28148.62</v>
      </c>
      <c r="F27" s="20">
        <f>Лист1!T20</f>
        <v>6292.1</v>
      </c>
      <c r="G27" s="44">
        <f>Лист1!AB20</f>
        <v>25597.760000000002</v>
      </c>
      <c r="H27" s="20">
        <f>Лист1!AC20</f>
        <v>35670.20300000001</v>
      </c>
      <c r="I27" s="44">
        <f>Лист1!AG20</f>
        <v>2651.172</v>
      </c>
      <c r="J27" s="18">
        <f>Лист1!AI20+Лист1!AJ20</f>
        <v>4368.500035202</v>
      </c>
      <c r="K27" s="18">
        <f>Лист1!AH20+Лист1!AK20+Лист1!AL20+Лист1!AM20+Лист1!AN20+Лист1!AP20+Лист1!AO20+Лист1!AQ20+Лист1!AR20</f>
        <v>15028.209221676398</v>
      </c>
      <c r="L27" s="19">
        <f>Лист1!AS20+Лист1!AT20+Лист1!AU20</f>
        <v>4890.0498</v>
      </c>
      <c r="M27" s="19">
        <f>Лист1!AX20</f>
        <v>679.3024</v>
      </c>
      <c r="N27" s="20">
        <f>Лист1!BB20</f>
        <v>27617.233456878395</v>
      </c>
      <c r="O27" s="45">
        <f>Лист1!BD20</f>
        <v>8617.919389621613</v>
      </c>
      <c r="P27" s="45">
        <f>Лист1!BE20</f>
        <v>-2550.859999999997</v>
      </c>
    </row>
    <row r="28" spans="1:16" ht="12.75">
      <c r="A28" s="12" t="s">
        <v>50</v>
      </c>
      <c r="B28" s="120">
        <f>Лист1!B21</f>
        <v>4418.62</v>
      </c>
      <c r="C28" s="42">
        <f>Лист1!C21</f>
        <v>38221.063</v>
      </c>
      <c r="D28" s="43">
        <f>Лист1!D21</f>
        <v>3767.963000000006</v>
      </c>
      <c r="E28" s="18">
        <f>Лист1!S21</f>
        <v>28123.42</v>
      </c>
      <c r="F28" s="20">
        <f>Лист1!T21</f>
        <v>6329.68</v>
      </c>
      <c r="G28" s="44">
        <f>Лист1!AB21</f>
        <v>24758.36</v>
      </c>
      <c r="H28" s="20">
        <f>Лист1!AC21</f>
        <v>34856.00300000001</v>
      </c>
      <c r="I28" s="44">
        <f>Лист1!AG21</f>
        <v>2651.172</v>
      </c>
      <c r="J28" s="18">
        <f>Лист1!AI21+Лист1!AJ21</f>
        <v>4366.5500098236</v>
      </c>
      <c r="K28" s="18">
        <f>Лист1!AH21+Лист1!AK21+Лист1!AL21+Лист1!AM21+Лист1!AN21+Лист1!AP21+Лист1!AO21+Лист1!AQ21+Лист1!AR21</f>
        <v>21519.04770716</v>
      </c>
      <c r="L28" s="19">
        <f>Лист1!AS21+Лист1!AT21+Лист1!AU21</f>
        <v>142.78</v>
      </c>
      <c r="M28" s="19">
        <f>Лист1!AX21</f>
        <v>600.0064000000001</v>
      </c>
      <c r="N28" s="20">
        <f>Лист1!BB21</f>
        <v>29279.556116983593</v>
      </c>
      <c r="O28" s="45">
        <f>Лист1!BD21</f>
        <v>6141.626714466419</v>
      </c>
      <c r="P28" s="45">
        <f>Лист1!BE21</f>
        <v>-3365.0599999999977</v>
      </c>
    </row>
    <row r="29" spans="1:16" ht="12.75">
      <c r="A29" s="12" t="s">
        <v>51</v>
      </c>
      <c r="B29" s="120">
        <f>Лист1!B22</f>
        <v>4418.62</v>
      </c>
      <c r="C29" s="42">
        <f>Лист1!C22</f>
        <v>38221.063</v>
      </c>
      <c r="D29" s="43">
        <f>Лист1!D22</f>
        <v>3741.5329999999994</v>
      </c>
      <c r="E29" s="18">
        <f>Лист1!S22</f>
        <v>28149.85</v>
      </c>
      <c r="F29" s="20">
        <f>Лист1!T22</f>
        <v>6329.68</v>
      </c>
      <c r="G29" s="44">
        <f>Лист1!AB22</f>
        <v>26537.19</v>
      </c>
      <c r="H29" s="20">
        <f>Лист1!AC22</f>
        <v>36608.403</v>
      </c>
      <c r="I29" s="44">
        <f>Лист1!AG22</f>
        <v>2651.172</v>
      </c>
      <c r="J29" s="18">
        <f>Лист1!AI22+Лист1!AJ22</f>
        <v>4365.7965909274</v>
      </c>
      <c r="K29" s="18">
        <f>Лист1!AH22+Лист1!AK22+Лист1!AL22+Лист1!AM22+Лист1!AN22+Лист1!AP22+Лист1!AO22+Лист1!AQ22+Лист1!AR22</f>
        <v>21517.172851345036</v>
      </c>
      <c r="L29" s="19">
        <f>Лист1!AS22+Лист1!AT22+Лист1!AU22</f>
        <v>0</v>
      </c>
      <c r="M29" s="19">
        <f>Лист1!AX22</f>
        <v>851.1104</v>
      </c>
      <c r="N29" s="20">
        <f>Лист1!BB22</f>
        <v>29385.251842272435</v>
      </c>
      <c r="O29" s="45">
        <f>Лист1!BD22</f>
        <v>7788.407508932563</v>
      </c>
      <c r="P29" s="45">
        <f>Лист1!BE22</f>
        <v>-1612.6599999999999</v>
      </c>
    </row>
    <row r="30" spans="1:16" ht="12.75">
      <c r="A30" s="12" t="s">
        <v>39</v>
      </c>
      <c r="B30" s="120">
        <f>Лист1!B23</f>
        <v>4418.62</v>
      </c>
      <c r="C30" s="42">
        <f>Лист1!C23</f>
        <v>38221.063</v>
      </c>
      <c r="D30" s="43">
        <f>Лист1!D23</f>
        <v>3708.542999999995</v>
      </c>
      <c r="E30" s="18">
        <f>Лист1!S23</f>
        <v>28334.280000000002</v>
      </c>
      <c r="F30" s="20">
        <f>Лист1!T23</f>
        <v>6178.239999999999</v>
      </c>
      <c r="G30" s="44">
        <f>Лист1!AB23</f>
        <v>29240.089999999997</v>
      </c>
      <c r="H30" s="20">
        <f>Лист1!AC23</f>
        <v>39126.87299999999</v>
      </c>
      <c r="I30" s="44">
        <f>Лист1!AG23</f>
        <v>2651.172</v>
      </c>
      <c r="J30" s="18">
        <f>Лист1!AI23+Лист1!AJ23</f>
        <v>4416.2339452</v>
      </c>
      <c r="K30" s="18">
        <f>Лист1!AH23+Лист1!AK23+Лист1!AL23+Лист1!AM23+Лист1!AN23+Лист1!AP23+Лист1!AO23+Лист1!AQ23+Лист1!AR23</f>
        <v>15153.215428</v>
      </c>
      <c r="L30" s="19">
        <f>Лист1!AS23+Лист1!AT23+Лист1!AU23</f>
        <v>2393.984</v>
      </c>
      <c r="M30" s="19">
        <f>Лист1!AX23</f>
        <v>829.9648</v>
      </c>
      <c r="N30" s="20">
        <f>Лист1!BB23</f>
        <v>25444.570173199998</v>
      </c>
      <c r="O30" s="45">
        <f>Лист1!BD23</f>
        <v>14243.616776799994</v>
      </c>
      <c r="P30" s="45">
        <f>Лист1!BE23</f>
        <v>905.809999999994</v>
      </c>
    </row>
    <row r="31" spans="1:16" ht="12.75">
      <c r="A31" s="12" t="s">
        <v>40</v>
      </c>
      <c r="B31" s="120">
        <f>Лист1!B24</f>
        <v>4418.62</v>
      </c>
      <c r="C31" s="42">
        <f>Лист1!C24</f>
        <v>38221.063</v>
      </c>
      <c r="D31" s="43">
        <f>Лист1!D24</f>
        <v>3682.8230000000067</v>
      </c>
      <c r="E31" s="18">
        <f>Лист1!S24</f>
        <v>28343.079999999998</v>
      </c>
      <c r="F31" s="20">
        <f>Лист1!T24</f>
        <v>6195.16</v>
      </c>
      <c r="G31" s="44">
        <f>Лист1!AB24</f>
        <v>30876.950000000004</v>
      </c>
      <c r="H31" s="20">
        <f>Лист1!AC24</f>
        <v>40754.93300000001</v>
      </c>
      <c r="I31" s="44">
        <f>Лист1!AG24</f>
        <v>2651.172</v>
      </c>
      <c r="J31" s="18">
        <f>Лист1!AI24+Лист1!AJ24</f>
        <v>4431.87586</v>
      </c>
      <c r="K31" s="18">
        <f>Лист1!AH24+Лист1!AK24+Лист1!AL24+Лист1!AM24+Лист1!AN24+Лист1!AP24+Лист1!AO24+Лист1!AQ24+Лист1!AR24</f>
        <v>15170.006183999998</v>
      </c>
      <c r="L31" s="19">
        <f>Лист1!AS24+Лист1!AT24+Лист1!AU24</f>
        <v>999.46</v>
      </c>
      <c r="M31" s="19">
        <f>Лист1!AX24</f>
        <v>1088.9984000000002</v>
      </c>
      <c r="N31" s="20">
        <f>Лист1!BB24</f>
        <v>24341.512443999996</v>
      </c>
      <c r="O31" s="45">
        <f>Лист1!BD24</f>
        <v>16974.006556000015</v>
      </c>
      <c r="P31" s="45">
        <f>Лист1!BE24</f>
        <v>2533.8700000000063</v>
      </c>
    </row>
    <row r="32" spans="1:16" ht="13.5" thickBot="1">
      <c r="A32" s="46" t="s">
        <v>41</v>
      </c>
      <c r="B32" s="120">
        <f>Лист1!B25</f>
        <v>4418.62</v>
      </c>
      <c r="C32" s="42">
        <f>Лист1!C25</f>
        <v>38221.063</v>
      </c>
      <c r="D32" s="43">
        <f>Лист1!D25</f>
        <v>2500.953000000004</v>
      </c>
      <c r="E32" s="18">
        <f>Лист1!S25</f>
        <v>29524.92</v>
      </c>
      <c r="F32" s="20">
        <f>Лист1!T25</f>
        <v>6195.19</v>
      </c>
      <c r="G32" s="44">
        <f>Лист1!AB25</f>
        <v>36439.81</v>
      </c>
      <c r="H32" s="20">
        <f>Лист1!AC25</f>
        <v>45135.953</v>
      </c>
      <c r="I32" s="44">
        <f>Лист1!AG25</f>
        <v>2651.172</v>
      </c>
      <c r="J32" s="18">
        <f>Лист1!AI25+Лист1!AJ25</f>
        <v>4431.87586</v>
      </c>
      <c r="K32" s="18">
        <f>Лист1!AH25+Лист1!AK25+Лист1!AL25+Лист1!AM25+Лист1!AN25+Лист1!AP25+Лист1!AO25+Лист1!AQ25+Лист1!AR25</f>
        <v>15170.006183999998</v>
      </c>
      <c r="L32" s="19">
        <f>Лист1!AS25+Лист1!AT25+Лист1!AU25</f>
        <v>0</v>
      </c>
      <c r="M32" s="19">
        <f>Лист1!AX25</f>
        <v>1235.696</v>
      </c>
      <c r="N32" s="20">
        <f>Лист1!BB25</f>
        <v>23488.750043999997</v>
      </c>
      <c r="O32" s="45">
        <f>Лист1!BD25</f>
        <v>22207.788956000004</v>
      </c>
      <c r="P32" s="45">
        <f>Лист1!BE25</f>
        <v>6914.889999999999</v>
      </c>
    </row>
    <row r="33" spans="1:16" s="26" customFormat="1" ht="13.5" thickBot="1">
      <c r="A33" s="47" t="s">
        <v>5</v>
      </c>
      <c r="B33" s="48"/>
      <c r="C33" s="51">
        <f aca="true" t="shared" si="1" ref="C33:O33">SUM(C21:C32)</f>
        <v>458721.78300000017</v>
      </c>
      <c r="D33" s="51">
        <f t="shared" si="1"/>
        <v>47848.48362500002</v>
      </c>
      <c r="E33" s="51">
        <f t="shared" si="1"/>
        <v>328314.54</v>
      </c>
      <c r="F33" s="51">
        <f t="shared" si="1"/>
        <v>73222.99</v>
      </c>
      <c r="G33" s="51">
        <f t="shared" si="1"/>
        <v>300801.32</v>
      </c>
      <c r="H33" s="51">
        <f t="shared" si="1"/>
        <v>421872.793625</v>
      </c>
      <c r="I33" s="51">
        <f t="shared" si="1"/>
        <v>30757.973999999995</v>
      </c>
      <c r="J33" s="51">
        <f t="shared" si="1"/>
        <v>50736.199410393</v>
      </c>
      <c r="K33" s="51">
        <f t="shared" si="1"/>
        <v>226182.16291634142</v>
      </c>
      <c r="L33" s="51">
        <f t="shared" si="1"/>
        <v>56119.56099999999</v>
      </c>
      <c r="M33" s="51">
        <f t="shared" si="1"/>
        <v>16151.273600000002</v>
      </c>
      <c r="N33" s="51">
        <f t="shared" si="1"/>
        <v>375916.29092673433</v>
      </c>
      <c r="O33" s="51">
        <f t="shared" si="1"/>
        <v>51441.129545176635</v>
      </c>
      <c r="P33" s="51">
        <f>SUM(P21:P32)</f>
        <v>-27513.22</v>
      </c>
    </row>
    <row r="34" spans="1:16" ht="13.5" thickBot="1">
      <c r="A34" s="115"/>
      <c r="B34" s="116"/>
      <c r="C34" s="51">
        <f aca="true" t="shared" si="2" ref="C34:O34">C19+C33</f>
        <v>573483.0630000002</v>
      </c>
      <c r="D34" s="51">
        <f t="shared" si="2"/>
        <v>75471.90625860002</v>
      </c>
      <c r="E34" s="51">
        <f t="shared" si="2"/>
        <v>398666.88</v>
      </c>
      <c r="F34" s="51">
        <f t="shared" si="2"/>
        <v>90425.66</v>
      </c>
      <c r="G34" s="51">
        <f t="shared" si="2"/>
        <v>339918.08</v>
      </c>
      <c r="H34" s="51">
        <f t="shared" si="2"/>
        <v>505815.6462586</v>
      </c>
      <c r="I34" s="51">
        <f t="shared" si="2"/>
        <v>38718.293999999994</v>
      </c>
      <c r="J34" s="51">
        <f t="shared" si="2"/>
        <v>64058.415231832994</v>
      </c>
      <c r="K34" s="51">
        <f t="shared" si="2"/>
        <v>272888.2537011734</v>
      </c>
      <c r="L34" s="51">
        <f t="shared" si="2"/>
        <v>112663.44999999998</v>
      </c>
      <c r="M34" s="51">
        <f t="shared" si="2"/>
        <v>16151.273600000002</v>
      </c>
      <c r="N34" s="51">
        <f t="shared" si="2"/>
        <v>500448.80653300637</v>
      </c>
      <c r="O34" s="51">
        <f t="shared" si="2"/>
        <v>10851.46657250465</v>
      </c>
      <c r="P34" s="51">
        <f>P19+P33</f>
        <v>-58748.8</v>
      </c>
    </row>
    <row r="35" spans="1:16" ht="12.75">
      <c r="A35" s="8" t="s">
        <v>83</v>
      </c>
      <c r="B35" s="121"/>
      <c r="C35" s="52"/>
      <c r="D35" s="53"/>
      <c r="E35" s="54"/>
      <c r="F35" s="55"/>
      <c r="G35" s="56"/>
      <c r="H35" s="55"/>
      <c r="I35" s="56"/>
      <c r="J35" s="18"/>
      <c r="K35" s="18"/>
      <c r="L35" s="19"/>
      <c r="M35" s="122"/>
      <c r="N35" s="20"/>
      <c r="O35" s="45"/>
      <c r="P35" s="45"/>
    </row>
    <row r="36" spans="1:16" ht="12.75">
      <c r="A36" s="12" t="s">
        <v>43</v>
      </c>
      <c r="B36" s="120">
        <f>Лист1!B29</f>
        <v>4418.62</v>
      </c>
      <c r="C36" s="42">
        <f>Лист1!C29</f>
        <v>38221.063</v>
      </c>
      <c r="D36" s="43">
        <f>Лист1!D29</f>
        <v>3667.372999999998</v>
      </c>
      <c r="E36" s="18">
        <f>Лист1!S29</f>
        <v>28456.5</v>
      </c>
      <c r="F36" s="20">
        <f>Лист1!T29</f>
        <v>6097.1900000000005</v>
      </c>
      <c r="G36" s="44">
        <f>Лист1!AB29</f>
        <v>19232.34</v>
      </c>
      <c r="H36" s="20">
        <f>Лист1!AC29</f>
        <v>28996.903</v>
      </c>
      <c r="I36" s="44">
        <f>Лист1!AG29</f>
        <v>2651.172</v>
      </c>
      <c r="J36" s="18">
        <f>Лист1!AI29+Лист1!AJ29</f>
        <v>4418.62</v>
      </c>
      <c r="K36" s="18">
        <f>Лист1!AH29+Лист1!AK29+Лист1!AL29+Лист1!AM29+Лист1!AN29+Лист1!AP29+Лист1!AO29+Лист1!AQ29+Лист1!AR29</f>
        <v>15155.866600000001</v>
      </c>
      <c r="L36" s="19">
        <f>Лист1!AS29+Лист1!AT29+Лист1!AU29</f>
        <v>0</v>
      </c>
      <c r="M36" s="19">
        <f>Лист1!AX29</f>
        <v>1344</v>
      </c>
      <c r="N36" s="20">
        <f>Лист1!BB29</f>
        <v>23569.6586</v>
      </c>
      <c r="O36" s="45">
        <f>Лист1!BD29</f>
        <v>5988.434899999999</v>
      </c>
      <c r="P36" s="45">
        <f>Лист1!BE29</f>
        <v>-9224.16</v>
      </c>
    </row>
    <row r="37" spans="1:16" ht="12.75">
      <c r="A37" s="12" t="s">
        <v>44</v>
      </c>
      <c r="B37" s="120">
        <f>Лист1!B30</f>
        <v>4418.62</v>
      </c>
      <c r="C37" s="42">
        <f>Лист1!C30</f>
        <v>38221.063</v>
      </c>
      <c r="D37" s="43">
        <f>Лист1!D30</f>
        <v>3642.2230000000104</v>
      </c>
      <c r="E37" s="18">
        <f>Лист1!S30</f>
        <v>28527.05</v>
      </c>
      <c r="F37" s="20">
        <f>Лист1!T30</f>
        <v>6051.789999999999</v>
      </c>
      <c r="G37" s="44">
        <f>Лист1!AB30</f>
        <v>32634.6</v>
      </c>
      <c r="H37" s="20">
        <f>Лист1!AC30</f>
        <v>42328.61300000001</v>
      </c>
      <c r="I37" s="44">
        <f>Лист1!AG30</f>
        <v>2651.172</v>
      </c>
      <c r="J37" s="18">
        <f>Лист1!AI30+Лист1!AJ30</f>
        <v>4418.62</v>
      </c>
      <c r="K37" s="18">
        <f>Лист1!AH30+Лист1!AK30+Лист1!AL30+Лист1!AM30+Лист1!AN30+Лист1!AP30+Лист1!AO30+Лист1!AQ30+Лист1!AR30</f>
        <v>15155.866600000001</v>
      </c>
      <c r="L37" s="19">
        <f>Лист1!AS30+Лист1!AT30+Лист1!AU30</f>
        <v>9614</v>
      </c>
      <c r="M37" s="19">
        <f>Лист1!AX30</f>
        <v>1397.1999999999998</v>
      </c>
      <c r="N37" s="20">
        <f>Лист1!BB30</f>
        <v>33236.85859999999</v>
      </c>
      <c r="O37" s="45">
        <f>Лист1!BD30</f>
        <v>9652.94490000002</v>
      </c>
      <c r="P37" s="45">
        <f>Лист1!BE30</f>
        <v>4107.549999999999</v>
      </c>
    </row>
    <row r="38" spans="1:16" ht="12.75">
      <c r="A38" s="12" t="s">
        <v>45</v>
      </c>
      <c r="B38" s="120">
        <f>Лист1!B31</f>
        <v>4418.62</v>
      </c>
      <c r="C38" s="42">
        <f>Лист1!C31</f>
        <v>38221.063</v>
      </c>
      <c r="D38" s="43">
        <f>Лист1!D31</f>
        <v>3634.8130000000083</v>
      </c>
      <c r="E38" s="18">
        <f>Лист1!S31</f>
        <v>28604.65</v>
      </c>
      <c r="F38" s="20">
        <f>Лист1!T31</f>
        <v>5981.6</v>
      </c>
      <c r="G38" s="44">
        <f>Лист1!AB31</f>
        <v>29993.399999999998</v>
      </c>
      <c r="H38" s="20">
        <f>Лист1!AC31</f>
        <v>39609.81300000001</v>
      </c>
      <c r="I38" s="44">
        <f>Лист1!AG31</f>
        <v>2651.172</v>
      </c>
      <c r="J38" s="18">
        <f>Лист1!AI31+Лист1!AJ31</f>
        <v>4418.62</v>
      </c>
      <c r="K38" s="18">
        <f>Лист1!AH31+Лист1!AK31+Лист1!AL31+Лист1!AM31+Лист1!AN31+Лист1!AP31+Лист1!AO31+Лист1!AQ31+Лист1!AR31</f>
        <v>15155.866600000001</v>
      </c>
      <c r="L38" s="19">
        <f>Лист1!AS31+Лист1!AT31+Лист1!AU31</f>
        <v>9808</v>
      </c>
      <c r="M38" s="19">
        <f>Лист1!AX31</f>
        <v>1029</v>
      </c>
      <c r="N38" s="20">
        <f>Лист1!BB31</f>
        <v>33062.658599999995</v>
      </c>
      <c r="O38" s="45">
        <f>Лист1!BD31</f>
        <v>7108.344900000014</v>
      </c>
      <c r="P38" s="45">
        <f>Лист1!BE31</f>
        <v>1388.7499999999964</v>
      </c>
    </row>
    <row r="39" spans="1:16" ht="12.75">
      <c r="A39" s="12" t="s">
        <v>46</v>
      </c>
      <c r="B39" s="120">
        <f>Лист1!B32</f>
        <v>4418.62</v>
      </c>
      <c r="C39" s="42">
        <f>Лист1!C32</f>
        <v>38221.063</v>
      </c>
      <c r="D39" s="43">
        <f>Лист1!D32</f>
        <v>3661.623000000008</v>
      </c>
      <c r="E39" s="18">
        <f>Лист1!S32</f>
        <v>28577.84</v>
      </c>
      <c r="F39" s="20">
        <f>Лист1!T32</f>
        <v>5981.6</v>
      </c>
      <c r="G39" s="44">
        <f>Лист1!AB32</f>
        <v>20310.649999999998</v>
      </c>
      <c r="H39" s="20">
        <f>Лист1!AC32</f>
        <v>29953.873000000007</v>
      </c>
      <c r="I39" s="44">
        <f>Лист1!AG32</f>
        <v>2651.172</v>
      </c>
      <c r="J39" s="18">
        <f>Лист1!AI32+Лист1!AJ32</f>
        <v>4418.62</v>
      </c>
      <c r="K39" s="18">
        <f>Лист1!AH32+Лист1!AK32+Лист1!AL32+Лист1!AM32+Лист1!AN32+Лист1!AP32+Лист1!AO32+Лист1!AQ32+Лист1!AR32</f>
        <v>15155.866600000001</v>
      </c>
      <c r="L39" s="19">
        <f>Лист1!AS32+Лист1!AT32+Лист1!AU32</f>
        <v>4188</v>
      </c>
      <c r="M39" s="19">
        <f>Лист1!AX32</f>
        <v>922.5999999999999</v>
      </c>
      <c r="N39" s="20">
        <f>Лист1!BB32</f>
        <v>27336.258599999997</v>
      </c>
      <c r="O39" s="45">
        <f>Лист1!BD32</f>
        <v>3178.804900000009</v>
      </c>
      <c r="P39" s="45">
        <f>Лист1!BE32</f>
        <v>-8267.190000000002</v>
      </c>
    </row>
    <row r="40" spans="1:16" ht="12.75">
      <c r="A40" s="12" t="s">
        <v>47</v>
      </c>
      <c r="B40" s="120">
        <f>Лист1!B33</f>
        <v>4420.16</v>
      </c>
      <c r="C40" s="42">
        <f>Лист1!C33</f>
        <v>38234.384</v>
      </c>
      <c r="D40" s="43">
        <f>Лист1!D33</f>
        <v>3689.883999999996</v>
      </c>
      <c r="E40" s="18">
        <f>Лист1!S33</f>
        <v>28435.1</v>
      </c>
      <c r="F40" s="20">
        <f>Лист1!T33</f>
        <v>6109.4</v>
      </c>
      <c r="G40" s="44">
        <f>Лист1!AB33</f>
        <v>23928.52</v>
      </c>
      <c r="H40" s="20">
        <f>Лист1!AC33</f>
        <v>33727.804</v>
      </c>
      <c r="I40" s="44">
        <f>Лист1!AG33</f>
        <v>2652.096</v>
      </c>
      <c r="J40" s="18">
        <f>Лист1!AI33+Лист1!AJ33</f>
        <v>4420.16</v>
      </c>
      <c r="K40" s="18">
        <f>Лист1!AH33+Лист1!AK33+Лист1!AL33+Лист1!AM33+Лист1!AN33+Лист1!AP33+Лист1!AO33+Лист1!AQ33+Лист1!AR33</f>
        <v>20075.148800000003</v>
      </c>
      <c r="L40" s="19">
        <f>Лист1!AS33+Лист1!AT33+Лист1!AU33</f>
        <v>839</v>
      </c>
      <c r="M40" s="19">
        <f>Лист1!AX33</f>
        <v>690.1999999999999</v>
      </c>
      <c r="N40" s="20">
        <f>Лист1!BB33</f>
        <v>28676.6048</v>
      </c>
      <c r="O40" s="45">
        <f>Лист1!BD33</f>
        <v>5612.389699999995</v>
      </c>
      <c r="P40" s="45">
        <f>Лист1!BE33</f>
        <v>-4506.579999999998</v>
      </c>
    </row>
    <row r="41" spans="1:16" ht="12.75">
      <c r="A41" s="12" t="s">
        <v>48</v>
      </c>
      <c r="B41" s="120">
        <f>Лист1!B34</f>
        <v>4420.16</v>
      </c>
      <c r="C41" s="42">
        <f>Лист1!C34</f>
        <v>38234.384</v>
      </c>
      <c r="D41" s="43">
        <f>Лист1!D34</f>
        <v>3703.6439999999934</v>
      </c>
      <c r="E41" s="18">
        <f>Лист1!S34</f>
        <v>28421.340000000004</v>
      </c>
      <c r="F41" s="20">
        <f>Лист1!T34</f>
        <v>6109.4</v>
      </c>
      <c r="G41" s="44">
        <f>Лист1!AB34</f>
        <v>23810.09</v>
      </c>
      <c r="H41" s="20">
        <f>Лист1!AC34</f>
        <v>33623.13399999999</v>
      </c>
      <c r="I41" s="44">
        <f>Лист1!AG34</f>
        <v>2652.096</v>
      </c>
      <c r="J41" s="18">
        <f>Лист1!AI34+Лист1!AJ34</f>
        <v>4420.16</v>
      </c>
      <c r="K41" s="18">
        <f>Лист1!AH34+Лист1!AK34+Лист1!AL34+Лист1!AM34+Лист1!AN34+Лист1!AP34+Лист1!AO34+Лист1!AQ34+Лист1!AR34</f>
        <v>15261.1488</v>
      </c>
      <c r="L41" s="19">
        <f>Лист1!AS34+Лист1!AT34+Лист1!AU34</f>
        <v>5722.198600000001</v>
      </c>
      <c r="M41" s="19">
        <f>Лист1!AX34</f>
        <v>539</v>
      </c>
      <c r="N41" s="20">
        <f>Лист1!BB34</f>
        <v>28594.6034</v>
      </c>
      <c r="O41" s="45">
        <f>Лист1!BD34</f>
        <v>5589.721099999991</v>
      </c>
      <c r="P41" s="45">
        <f>Лист1!BE34</f>
        <v>-4611.250000000004</v>
      </c>
    </row>
    <row r="42" spans="1:16" ht="12.75">
      <c r="A42" s="12" t="s">
        <v>49</v>
      </c>
      <c r="B42" s="120">
        <f>Лист1!B35</f>
        <v>4420.16</v>
      </c>
      <c r="C42" s="42">
        <f>Лист1!C35</f>
        <v>38234.384</v>
      </c>
      <c r="D42" s="43">
        <f>Лист1!D35</f>
        <v>3733.0740000000014</v>
      </c>
      <c r="E42" s="18">
        <f>Лист1!S35</f>
        <v>34501.31</v>
      </c>
      <c r="F42" s="20">
        <f>Лист1!T35</f>
        <v>0</v>
      </c>
      <c r="G42" s="44">
        <f>Лист1!AB35</f>
        <v>38810.11000000001</v>
      </c>
      <c r="H42" s="20">
        <f>Лист1!AC35</f>
        <v>42543.18400000001</v>
      </c>
      <c r="I42" s="44">
        <f>Лист1!AG35</f>
        <v>2652.096</v>
      </c>
      <c r="J42" s="18">
        <f>Лист1!AI35+Лист1!AJ35</f>
        <v>4420.16</v>
      </c>
      <c r="K42" s="18">
        <f>Лист1!AH35+Лист1!AK35+Лист1!AL35+Лист1!AM35+Лист1!AN35+Лист1!AP35+Лист1!AO35+Лист1!AQ35+Лист1!AR35</f>
        <v>15161.1488</v>
      </c>
      <c r="L42" s="19">
        <f>Лист1!AS35+Лист1!AT35+Лист1!AU35</f>
        <v>12000</v>
      </c>
      <c r="M42" s="19">
        <f>Лист1!AX35</f>
        <v>641.1999999999999</v>
      </c>
      <c r="N42" s="20">
        <f>Лист1!BB35</f>
        <v>34874.6048</v>
      </c>
      <c r="O42" s="45">
        <f>Лист1!BD35</f>
        <v>8229.769700000008</v>
      </c>
      <c r="P42" s="45">
        <f>Лист1!BE35</f>
        <v>4308.80000000001</v>
      </c>
    </row>
    <row r="43" spans="1:16" ht="12.75">
      <c r="A43" s="12" t="s">
        <v>50</v>
      </c>
      <c r="B43" s="120">
        <f>Лист1!B36</f>
        <v>4420.16</v>
      </c>
      <c r="C43" s="42">
        <f>Лист1!C36</f>
        <v>38234.384</v>
      </c>
      <c r="D43" s="43">
        <f>Лист1!D36</f>
        <v>3725.533999999996</v>
      </c>
      <c r="E43" s="18">
        <f>Лист1!S36</f>
        <v>34508.85</v>
      </c>
      <c r="F43" s="20">
        <f>Лист1!T36</f>
        <v>0</v>
      </c>
      <c r="G43" s="44">
        <f>Лист1!AB36</f>
        <v>29575.22</v>
      </c>
      <c r="H43" s="20">
        <f>Лист1!AC36</f>
        <v>33300.754</v>
      </c>
      <c r="I43" s="44">
        <f>Лист1!AG36</f>
        <v>2652.096</v>
      </c>
      <c r="J43" s="18">
        <f>Лист1!AI36+Лист1!AJ36</f>
        <v>4420.16</v>
      </c>
      <c r="K43" s="18">
        <f>Лист1!AH36+Лист1!AK36+Лист1!AL36+Лист1!AM36+Лист1!AN36+Лист1!AP36+Лист1!AO36+Лист1!AQ36+Лист1!AR36</f>
        <v>15161.1488</v>
      </c>
      <c r="L43" s="19">
        <f>Лист1!AS36+Лист1!AT36+Лист1!AU36</f>
        <v>12108.124</v>
      </c>
      <c r="M43" s="19">
        <f>Лист1!AX36</f>
        <v>732.1999999999999</v>
      </c>
      <c r="N43" s="20">
        <f>Лист1!BB36</f>
        <v>35073.7288</v>
      </c>
      <c r="O43" s="45">
        <f>Лист1!BD36</f>
        <v>-1211.7842999999964</v>
      </c>
      <c r="P43" s="45">
        <f>Лист1!BE36</f>
        <v>-4933.629999999997</v>
      </c>
    </row>
    <row r="44" spans="1:16" ht="12.75">
      <c r="A44" s="12" t="s">
        <v>51</v>
      </c>
      <c r="B44" s="120">
        <f>Лист1!B37</f>
        <v>4420.16</v>
      </c>
      <c r="C44" s="42">
        <f>Лист1!C37</f>
        <v>38234.384</v>
      </c>
      <c r="D44" s="43">
        <f>Лист1!D37</f>
        <v>3721.0840000000007</v>
      </c>
      <c r="E44" s="18">
        <f>Лист1!S37</f>
        <v>34513.3</v>
      </c>
      <c r="F44" s="20">
        <f>Лист1!T37</f>
        <v>0</v>
      </c>
      <c r="G44" s="44">
        <f>Лист1!AB37</f>
        <v>34496.97</v>
      </c>
      <c r="H44" s="20">
        <f>Лист1!AC37</f>
        <v>38218.054000000004</v>
      </c>
      <c r="I44" s="44">
        <f>Лист1!AG37</f>
        <v>2652.096</v>
      </c>
      <c r="J44" s="18">
        <f>Лист1!AI37+Лист1!AJ37</f>
        <v>4420.16</v>
      </c>
      <c r="K44" s="18">
        <f>Лист1!AH37+Лист1!AK37+Лист1!AL37+Лист1!AM37+Лист1!AN37+Лист1!AP37+Лист1!AO37+Лист1!AQ37+Лист1!AR37</f>
        <v>15161.1488</v>
      </c>
      <c r="L44" s="19">
        <f>Лист1!AS37+Лист1!AT37+Лист1!AU37</f>
        <v>33335.961599999995</v>
      </c>
      <c r="M44" s="19">
        <f>Лист1!AX37</f>
        <v>933.8</v>
      </c>
      <c r="N44" s="20">
        <f>Лист1!BB37</f>
        <v>56503.1664</v>
      </c>
      <c r="O44" s="45">
        <f>Лист1!BD37</f>
        <v>-17723.921899999998</v>
      </c>
      <c r="P44" s="45">
        <f>Лист1!BE37</f>
        <v>-16.330000000001746</v>
      </c>
    </row>
    <row r="45" spans="1:16" ht="12.75">
      <c r="A45" s="12" t="s">
        <v>39</v>
      </c>
      <c r="B45" s="120">
        <f>Лист1!B38</f>
        <v>4420.16</v>
      </c>
      <c r="C45" s="42">
        <f>Лист1!C38</f>
        <v>38234.384</v>
      </c>
      <c r="D45" s="43">
        <f>Лист1!D38</f>
        <v>3718.413999999999</v>
      </c>
      <c r="E45" s="18">
        <f>Лист1!S38</f>
        <v>34515.97</v>
      </c>
      <c r="F45" s="20">
        <f>Лист1!T38</f>
        <v>0</v>
      </c>
      <c r="G45" s="44">
        <f>Лист1!AB38</f>
        <v>31783.440000000002</v>
      </c>
      <c r="H45" s="20">
        <f>Лист1!AC38</f>
        <v>35501.854</v>
      </c>
      <c r="I45" s="44">
        <f>Лист1!AG38</f>
        <v>2652.096</v>
      </c>
      <c r="J45" s="18">
        <f>Лист1!AI38+Лист1!AJ38</f>
        <v>4420.16</v>
      </c>
      <c r="K45" s="18">
        <f>Лист1!AH38+Лист1!AK38+Лист1!AL38+Лист1!AM38+Лист1!AN38+Лист1!AP38+Лист1!AO38+Лист1!AQ38+Лист1!AR38</f>
        <v>15161.1488</v>
      </c>
      <c r="L45" s="19">
        <f>Лист1!AS38+Лист1!AT38+Лист1!AU38</f>
        <v>33847</v>
      </c>
      <c r="M45" s="19">
        <f>Лист1!AX38</f>
        <v>830.1999999999999</v>
      </c>
      <c r="N45" s="20">
        <f>Лист1!BB38</f>
        <v>56910.6048</v>
      </c>
      <c r="O45" s="45">
        <f>Лист1!BD38</f>
        <v>-20735.0603</v>
      </c>
      <c r="P45" s="45">
        <f>Лист1!BE38</f>
        <v>-2732.529999999999</v>
      </c>
    </row>
    <row r="46" spans="1:16" ht="12.75">
      <c r="A46" s="12" t="s">
        <v>40</v>
      </c>
      <c r="B46" s="120">
        <f>Лист1!B39</f>
        <v>4420.16</v>
      </c>
      <c r="C46" s="42">
        <f>Лист1!C39</f>
        <v>38234.384</v>
      </c>
      <c r="D46" s="43">
        <f>Лист1!D39</f>
        <v>3716.1139999999973</v>
      </c>
      <c r="E46" s="18">
        <f>Лист1!S39</f>
        <v>34518.27</v>
      </c>
      <c r="F46" s="20">
        <f>Лист1!T39</f>
        <v>0</v>
      </c>
      <c r="G46" s="44">
        <f>Лист1!AB39</f>
        <v>30955.74</v>
      </c>
      <c r="H46" s="20">
        <f>Лист1!AC39</f>
        <v>34671.854</v>
      </c>
      <c r="I46" s="44">
        <f>Лист1!AG39</f>
        <v>2652.096</v>
      </c>
      <c r="J46" s="18">
        <f>Лист1!AI39+Лист1!AJ39</f>
        <v>4420.16</v>
      </c>
      <c r="K46" s="18">
        <f>Лист1!AH39+Лист1!AK39+Лист1!AL39+Лист1!AM39+Лист1!AN39+Лист1!AP39+Лист1!AO39+Лист1!AQ39+Лист1!AR39</f>
        <v>15161.1488</v>
      </c>
      <c r="L46" s="19">
        <f>Лист1!AS39+Лист1!AT39+Лист1!AU39</f>
        <v>0</v>
      </c>
      <c r="M46" s="19">
        <f>Лист1!AX39</f>
        <v>1204</v>
      </c>
      <c r="N46" s="20">
        <f>Лист1!BB39</f>
        <v>23437.4048</v>
      </c>
      <c r="O46" s="45">
        <f>Лист1!BD39</f>
        <v>11908.1397</v>
      </c>
      <c r="P46" s="45">
        <f>Лист1!BE39</f>
        <v>-3562.529999999995</v>
      </c>
    </row>
    <row r="47" spans="1:16" ht="13.5" thickBot="1">
      <c r="A47" s="46" t="s">
        <v>41</v>
      </c>
      <c r="B47" s="120">
        <f>Лист1!B40</f>
        <v>4418.66</v>
      </c>
      <c r="C47" s="42">
        <f>Лист1!C40</f>
        <v>38221.409</v>
      </c>
      <c r="D47" s="43">
        <f>Лист1!D40</f>
        <v>3706.029000000001</v>
      </c>
      <c r="E47" s="18">
        <f>Лист1!S40</f>
        <v>34515.38</v>
      </c>
      <c r="F47" s="20">
        <f>Лист1!T40</f>
        <v>0</v>
      </c>
      <c r="G47" s="44">
        <f>Лист1!AB40</f>
        <v>33773.23</v>
      </c>
      <c r="H47" s="20">
        <f>Лист1!AC40</f>
        <v>37479.259000000005</v>
      </c>
      <c r="I47" s="44">
        <f>Лист1!AG40</f>
        <v>2651.196</v>
      </c>
      <c r="J47" s="18">
        <f>Лист1!AI40+Лист1!AJ40</f>
        <v>4418.66</v>
      </c>
      <c r="K47" s="18">
        <f>Лист1!AH40+Лист1!AK40+Лист1!AL40+Лист1!AM40+Лист1!AN40+Лист1!AP40+Лист1!AO40+Лист1!AQ40+Лист1!AR40</f>
        <v>15156.0038</v>
      </c>
      <c r="L47" s="19">
        <f>Лист1!AS40+Лист1!AT40+Лист1!AU40</f>
        <v>174.0028</v>
      </c>
      <c r="M47" s="19">
        <f>Лист1!AX40</f>
        <v>2289</v>
      </c>
      <c r="N47" s="20">
        <f>Лист1!BB40</f>
        <v>24688.862599999997</v>
      </c>
      <c r="O47" s="45">
        <f>Лист1!BD40</f>
        <v>13464.08690000001</v>
      </c>
      <c r="P47" s="45">
        <f>Лист1!BE40</f>
        <v>-742.1499999999942</v>
      </c>
    </row>
    <row r="48" spans="1:16" s="26" customFormat="1" ht="13.5" thickBot="1">
      <c r="A48" s="47" t="s">
        <v>5</v>
      </c>
      <c r="B48" s="48"/>
      <c r="C48" s="51">
        <f aca="true" t="shared" si="3" ref="C48:P48">SUM(C36:C47)</f>
        <v>458746.34900000005</v>
      </c>
      <c r="D48" s="51">
        <f t="shared" si="3"/>
        <v>44319.809</v>
      </c>
      <c r="E48" s="51">
        <f t="shared" si="3"/>
        <v>378095.56000000006</v>
      </c>
      <c r="F48" s="51">
        <f t="shared" si="3"/>
        <v>36330.98</v>
      </c>
      <c r="G48" s="51">
        <f t="shared" si="3"/>
        <v>349304.31</v>
      </c>
      <c r="H48" s="51">
        <f t="shared" si="3"/>
        <v>429955.09900000005</v>
      </c>
      <c r="I48" s="51">
        <f t="shared" si="3"/>
        <v>31820.556000000004</v>
      </c>
      <c r="J48" s="51">
        <f t="shared" si="3"/>
        <v>53034.26000000001</v>
      </c>
      <c r="K48" s="51">
        <f t="shared" si="3"/>
        <v>186921.51179999998</v>
      </c>
      <c r="L48" s="51">
        <f t="shared" si="3"/>
        <v>121636.287</v>
      </c>
      <c r="M48" s="51">
        <f t="shared" si="3"/>
        <v>12552.4</v>
      </c>
      <c r="N48" s="51">
        <f t="shared" si="3"/>
        <v>405965.0148</v>
      </c>
      <c r="O48" s="51">
        <f t="shared" si="3"/>
        <v>31061.87020000005</v>
      </c>
      <c r="P48" s="51">
        <f t="shared" si="3"/>
        <v>-28791.249999999985</v>
      </c>
    </row>
    <row r="49" spans="1:16" ht="13.5" thickBot="1">
      <c r="A49" s="57" t="s">
        <v>52</v>
      </c>
      <c r="B49" s="58"/>
      <c r="C49" s="59">
        <f aca="true" t="shared" si="4" ref="C49:N49">C34+C48</f>
        <v>1032229.4120000002</v>
      </c>
      <c r="D49" s="59">
        <f t="shared" si="4"/>
        <v>119791.71525860002</v>
      </c>
      <c r="E49" s="59">
        <f t="shared" si="4"/>
        <v>776762.4400000001</v>
      </c>
      <c r="F49" s="59">
        <f t="shared" si="4"/>
        <v>126756.64000000001</v>
      </c>
      <c r="G49" s="59">
        <f t="shared" si="4"/>
        <v>689222.39</v>
      </c>
      <c r="H49" s="59">
        <f t="shared" si="4"/>
        <v>935770.7452586</v>
      </c>
      <c r="I49" s="59">
        <f t="shared" si="4"/>
        <v>70538.85</v>
      </c>
      <c r="J49" s="59">
        <f t="shared" si="4"/>
        <v>117092.67523183301</v>
      </c>
      <c r="K49" s="59">
        <f t="shared" si="4"/>
        <v>459809.7655011734</v>
      </c>
      <c r="L49" s="59">
        <f t="shared" si="4"/>
        <v>234299.73699999996</v>
      </c>
      <c r="M49" s="59">
        <f t="shared" si="4"/>
        <v>28703.673600000002</v>
      </c>
      <c r="N49" s="59">
        <f t="shared" si="4"/>
        <v>906413.8213330064</v>
      </c>
      <c r="O49" s="123">
        <f>O34+O48</f>
        <v>41913.3367725047</v>
      </c>
      <c r="P49" s="59">
        <f>P34+P48</f>
        <v>-87540.04999999999</v>
      </c>
    </row>
    <row r="51" spans="1:4" ht="12.75">
      <c r="A51" s="26" t="s">
        <v>65</v>
      </c>
      <c r="D51" s="124" t="s">
        <v>87</v>
      </c>
    </row>
    <row r="52" spans="1:4" ht="12.75">
      <c r="A52" s="30" t="s">
        <v>66</v>
      </c>
      <c r="B52" s="30" t="s">
        <v>67</v>
      </c>
      <c r="C52" s="201" t="s">
        <v>68</v>
      </c>
      <c r="D52" s="201"/>
    </row>
    <row r="53" spans="1:4" ht="12.75">
      <c r="A53" s="125">
        <v>266228.58</v>
      </c>
      <c r="B53" s="126">
        <v>74750</v>
      </c>
      <c r="C53" s="202">
        <f>A53-B53</f>
        <v>191478.58000000002</v>
      </c>
      <c r="D53" s="203"/>
    </row>
    <row r="54" ht="12.75">
      <c r="A54" s="60"/>
    </row>
    <row r="55" spans="1:7" ht="12.75">
      <c r="A55" s="2" t="s">
        <v>69</v>
      </c>
      <c r="G55" s="2" t="s">
        <v>70</v>
      </c>
    </row>
    <row r="56" ht="12.75">
      <c r="A56" s="1"/>
    </row>
    <row r="57" ht="12.75">
      <c r="A57" s="1"/>
    </row>
    <row r="58" ht="12.75">
      <c r="A58" s="2" t="s">
        <v>71</v>
      </c>
    </row>
  </sheetData>
  <sheetProtection/>
  <mergeCells count="22">
    <mergeCell ref="H12:H13"/>
    <mergeCell ref="J12:J13"/>
    <mergeCell ref="G10:H11"/>
    <mergeCell ref="I10:N11"/>
    <mergeCell ref="O10:O13"/>
    <mergeCell ref="P10:P13"/>
    <mergeCell ref="E10:F11"/>
    <mergeCell ref="E12:F12"/>
    <mergeCell ref="I12:I13"/>
    <mergeCell ref="K12:K13"/>
    <mergeCell ref="L12:L13"/>
    <mergeCell ref="G12:G13"/>
    <mergeCell ref="C52:D52"/>
    <mergeCell ref="C53:D53"/>
    <mergeCell ref="A6:Q6"/>
    <mergeCell ref="A7:Q7"/>
    <mergeCell ref="A10:A13"/>
    <mergeCell ref="B10:B13"/>
    <mergeCell ref="C10:C13"/>
    <mergeCell ref="D10:D13"/>
    <mergeCell ref="M12:M13"/>
    <mergeCell ref="N12:N13"/>
  </mergeCells>
  <printOptions/>
  <pageMargins left="0.17" right="0.16" top="0.3937007874015748" bottom="0.2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2010-06-16T09:56:57Z</cp:lastPrinted>
  <dcterms:created xsi:type="dcterms:W3CDTF">2010-04-03T04:08:20Z</dcterms:created>
  <dcterms:modified xsi:type="dcterms:W3CDTF">2011-04-12T03:10:07Z</dcterms:modified>
  <cp:category/>
  <cp:version/>
  <cp:contentType/>
  <cp:contentStatus/>
</cp:coreProperties>
</file>