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<sst xmlns="http://schemas.openxmlformats.org/spreadsheetml/2006/main" count="304" uniqueCount="125">
  <si>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</si>
  <si>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</si>
  <si>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</si>
  <si>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</si>
  <si>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</si>
  <si>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</si>
  <si>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</si>
  <si>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</si>
  <si>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</si>
  <si>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</si>
  <si>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</si>
  <si>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</si>
  <si>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</si>
  <si>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</si>
  <si>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</si>
  <si>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</si>
  <si>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</si>
  <si>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</si>
  <si>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</si>
  <si>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</si>
  <si>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</si>
  <si>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</si>
  <si>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</si>
  <si>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</si>
  <si>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</si>
  <si>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</si>
  <si>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</si>
  <si>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</si>
  <si>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</si>
  <si>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</si>
  <si>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</si>
  <si>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</si>
  <si>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</si>
  <si>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</si>
  <si>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</si>
  <si>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</si>
  <si>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</si>
  <si>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</si>
  <si>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</si>
  <si>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</si>
  <si>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</si>
  <si>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</si>
  <si>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</si>
  <si>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</si>
  <si>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</si>
  <si>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</si>
  <si>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</si>
  <si>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</si>
  <si>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</si>
  <si>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</si>
  <si>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</si>
  <si>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</si>
  <si>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</si>
  <si>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</si>
  <si>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</si>
  <si>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</si>
  <si>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</si>
  <si>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</si>
  <si>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</si>
  <si>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</si>
  <si>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</si>
  <si>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</si>
  <si>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</si>
  <si>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</si>
  <si>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</si>
  <si>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</si>
  <si>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</si>
  <si>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</si>
  <si>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</si>
  <si>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</si>
  <si>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</si>
  <si>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</si>
  <si>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</si>
  <si>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</si>
  <si>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</si>
  <si>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</si>
  <si>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</si>
  <si>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</si>
  <si>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</si>
  <si>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</si>
  <si>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</si>
  <si>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</si>
  <si>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</si>
  <si>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</si>
  <si>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</si>
  <si>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</si>
  <si>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</si>
  <si>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</si>
  <si>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</si>
  <si>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Выписка по лицевому счету по адресу г. Таштагол ул. Ноградская, д. 6</t>
  </si>
  <si>
    <t>Лицевой счет по адресу г. Таштагол, ул. Ноградская, д. 6</t>
  </si>
  <si>
    <t>2010 год</t>
  </si>
  <si>
    <t>*по состоянию на 01.01.2011 г.</t>
  </si>
  <si>
    <t>на 01.01.2011 г.</t>
  </si>
  <si>
    <t>Лицевой счет по адресу г. Таштагол, ул. 18 партсъезд, д.19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</si>
  <si>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</si>
  <si>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</si>
  <si>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</si>
  <si>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</si>
  <si>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</si>
  <si>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</si>
  <si>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</si>
  <si>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</si>
  <si>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</si>
  <si>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</si>
  <si>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</si>
  <si>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</si>
  <si>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</si>
  <si>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</si>
  <si>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</si>
  <si>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</si>
  <si>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</si>
  <si>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</si>
  <si>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</si>
  <si>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</si>
  <si>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</si>
  <si>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</si>
  <si>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на 01.01.2012 г.</t>
  </si>
  <si>
    <t xml:space="preserve">Доходы от нежилых помещений </t>
  </si>
  <si>
    <t>Услуга начисления</t>
  </si>
  <si>
    <t>Расходы по нежилым помещениям</t>
  </si>
  <si>
    <t>на начало отчетного периода</t>
  </si>
  <si>
    <t>*по состоянию на 01.01.2012 г.</t>
  </si>
  <si>
    <t>Исп. В.В. Колмогорова</t>
  </si>
  <si>
    <t>Выписка по лицевому счету по адресу г. Таштагол ул. Ноградская, д.6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</si>
</sst>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9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2" fontId="1" fillId="0" borderId="4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8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0" fillId="35" borderId="38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33" borderId="27" xfId="0" applyNumberFormat="1" applyFont="1" applyFill="1" applyBorder="1" applyAlignment="1">
      <alignment/>
    </xf>
    <xf numFmtId="4" fontId="2" fillId="38" borderId="11" xfId="34" applyNumberFormat="1" applyFont="1" applyFill="1" applyBorder="1" applyAlignment="1">
      <alignment horizontal="center" vertical="center" wrapText="1"/>
      <protection/>
    </xf>
    <xf numFmtId="4" fontId="0" fillId="33" borderId="11" xfId="0" applyNumberFormat="1" applyFill="1" applyBorder="1" applyAlignment="1">
      <alignment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4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7" fillId="34" borderId="41" xfId="0" applyNumberFormat="1" applyFont="1" applyFill="1" applyBorder="1" applyAlignment="1">
      <alignment horizontal="center" vertical="center" wrapText="1"/>
    </xf>
    <xf numFmtId="2" fontId="7" fillId="34" borderId="50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9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4" fontId="1" fillId="0" borderId="43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1" fillId="0" borderId="51" xfId="0" applyNumberFormat="1" applyFont="1" applyFill="1" applyBorder="1" applyAlignment="1">
      <alignment horizontal="center" textRotation="90" wrapText="1"/>
    </xf>
    <xf numFmtId="0" fontId="1" fillId="0" borderId="52" xfId="0" applyFont="1" applyFill="1" applyBorder="1" applyAlignment="1">
      <alignment horizontal="center" textRotation="90" wrapText="1"/>
    </xf>
    <xf numFmtId="0" fontId="1" fillId="0" borderId="53" xfId="0" applyFont="1" applyFill="1" applyBorder="1" applyAlignment="1">
      <alignment horizontal="center" textRotation="90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" fontId="1" fillId="34" borderId="41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0" fontId="1" fillId="39" borderId="61" xfId="0" applyFont="1" applyFill="1" applyBorder="1" applyAlignment="1">
      <alignment horizontal="center" vertical="center" wrapText="1"/>
    </xf>
    <xf numFmtId="0" fontId="1" fillId="39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wrapText="1"/>
    </xf>
    <xf numFmtId="4" fontId="1" fillId="34" borderId="5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0" fontId="1" fillId="39" borderId="64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textRotation="90"/>
    </xf>
    <xf numFmtId="0" fontId="1" fillId="35" borderId="41" xfId="0" applyFont="1" applyFill="1" applyBorder="1" applyAlignment="1">
      <alignment horizontal="center" textRotation="90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28" fillId="0" borderId="41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37" borderId="41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textRotation="90"/>
    </xf>
    <xf numFmtId="0" fontId="1" fillId="35" borderId="40" xfId="0" applyFont="1" applyFill="1" applyBorder="1" applyAlignment="1">
      <alignment horizontal="center" textRotation="90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28" fillId="0" borderId="40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37" borderId="40" xfId="0" applyNumberFormat="1" applyFont="1" applyFill="1" applyBorder="1" applyAlignment="1">
      <alignment horizontal="center" vertical="center" wrapText="1"/>
    </xf>
    <xf numFmtId="0" fontId="1" fillId="39" borderId="65" xfId="0" applyFont="1" applyFill="1" applyBorder="1" applyAlignment="1">
      <alignment horizontal="center" vertical="center" wrapText="1"/>
    </xf>
    <xf numFmtId="0" fontId="1" fillId="39" borderId="5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48" xfId="0" applyNumberFormat="1" applyFont="1" applyFill="1" applyBorder="1" applyAlignment="1">
      <alignment horizontal="right"/>
    </xf>
    <xf numFmtId="4" fontId="1" fillId="0" borderId="59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7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4" fontId="1" fillId="0" borderId="6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0" borderId="38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4" borderId="15" xfId="0" applyNumberFormat="1" applyFont="1" applyFill="1" applyBorder="1" applyAlignment="1">
      <alignment horizontal="center" wrapText="1"/>
    </xf>
    <xf numFmtId="2" fontId="0" fillId="34" borderId="11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70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8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1" fillId="0" borderId="18" xfId="0" applyNumberFormat="1" applyFont="1" applyFill="1" applyBorder="1" applyAlignment="1">
      <alignment/>
    </xf>
    <xf numFmtId="0" fontId="29" fillId="0" borderId="11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35" borderId="31" xfId="0" applyFont="1" applyFill="1" applyBorder="1" applyAlignment="1">
      <alignment/>
    </xf>
    <xf numFmtId="0" fontId="29" fillId="0" borderId="38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2" fillId="0" borderId="62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4" fontId="0" fillId="34" borderId="37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10" fillId="0" borderId="13" xfId="0" applyNumberFormat="1" applyFont="1" applyFill="1" applyBorder="1" applyAlignment="1">
      <alignment/>
    </xf>
    <xf numFmtId="4" fontId="2" fillId="34" borderId="37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42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9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4" fontId="1" fillId="0" borderId="49" xfId="0" applyNumberFormat="1" applyFont="1" applyFill="1" applyBorder="1" applyAlignment="1">
      <alignment/>
    </xf>
    <xf numFmtId="4" fontId="1" fillId="0" borderId="67" xfId="0" applyNumberFormat="1" applyFont="1" applyFill="1" applyBorder="1" applyAlignment="1">
      <alignment/>
    </xf>
    <xf numFmtId="4" fontId="1" fillId="0" borderId="71" xfId="0" applyNumberFormat="1" applyFont="1" applyFill="1" applyBorder="1" applyAlignment="1">
      <alignment/>
    </xf>
    <xf numFmtId="0" fontId="0" fillId="0" borderId="57" xfId="0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0" fontId="1" fillId="0" borderId="41" xfId="0" applyFont="1" applyFill="1" applyBorder="1" applyAlignment="1">
      <alignment horizontal="center" textRotation="90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textRotation="90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textRotation="90" wrapText="1"/>
    </xf>
    <xf numFmtId="2" fontId="1" fillId="0" borderId="49" xfId="0" applyNumberFormat="1" applyFont="1" applyFill="1" applyBorder="1" applyAlignment="1">
      <alignment horizontal="center" vertical="center" textRotation="90" wrapText="1"/>
    </xf>
    <xf numFmtId="2" fontId="1" fillId="0" borderId="71" xfId="0" applyNumberFormat="1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0" fillId="0" borderId="20" xfId="0" applyNumberFormat="1" applyFont="1" applyFill="1" applyBorder="1" applyAlignment="1">
      <alignment horizontal="right"/>
    </xf>
    <xf numFmtId="2" fontId="0" fillId="0" borderId="38" xfId="0" applyNumberFormat="1" applyFont="1" applyFill="1" applyBorder="1" applyAlignment="1">
      <alignment horizontal="right"/>
    </xf>
    <xf numFmtId="4" fontId="0" fillId="35" borderId="15" xfId="0" applyNumberFormat="1" applyFont="1" applyFill="1" applyBorder="1" applyAlignment="1">
      <alignment horizontal="center" wrapText="1"/>
    </xf>
    <xf numFmtId="4" fontId="0" fillId="0" borderId="13" xfId="0" applyNumberFormat="1" applyFont="1" applyBorder="1" applyAlignment="1">
      <alignment horizontal="center"/>
    </xf>
    <xf numFmtId="4" fontId="8" fillId="0" borderId="2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5;&#1086;&#1089;&#1087;&#1077;&#1083;&#1086;&#1074;&#1072;,%2013%20&#1089;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%20&#1075;&#1086;&#1076;\&#1083;&#1089;&#1095;&#1077;&#1090;&#1072;%20&#1085;&#1077;&#1078;&#1080;&#1083;%20&#1087;&#1086;&#10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5;&#1086;&#1089;&#1087;&#1077;&#1083;&#1086;&#1074;&#1072;,%2033%20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14">
          <cell r="I14">
            <v>1205.15226</v>
          </cell>
        </row>
        <row r="37">
          <cell r="I37">
            <v>1034.86236</v>
          </cell>
        </row>
        <row r="47">
          <cell r="I47">
            <v>961.3932</v>
          </cell>
        </row>
        <row r="62">
          <cell r="I62">
            <v>3559.7532</v>
          </cell>
        </row>
        <row r="66">
          <cell r="I66">
            <v>1019.49224</v>
          </cell>
        </row>
        <row r="78">
          <cell r="I78">
            <v>6702.47962</v>
          </cell>
        </row>
        <row r="80">
          <cell r="I80">
            <v>996.4710600000001</v>
          </cell>
        </row>
        <row r="81">
          <cell r="I81">
            <v>771.7129199999999</v>
          </cell>
        </row>
        <row r="103">
          <cell r="I103">
            <v>1757.728</v>
          </cell>
        </row>
        <row r="114">
          <cell r="I114">
            <v>600.22116</v>
          </cell>
        </row>
        <row r="121">
          <cell r="I121">
            <v>553.46068</v>
          </cell>
        </row>
      </sheetData>
      <sheetData sheetId="1">
        <row r="14">
          <cell r="I14">
            <v>1205.15226</v>
          </cell>
          <cell r="O14">
            <v>574.41114</v>
          </cell>
        </row>
        <row r="37">
          <cell r="I37">
            <v>1034.86236</v>
          </cell>
          <cell r="O37">
            <v>493.25004</v>
          </cell>
        </row>
        <row r="47">
          <cell r="I47">
            <v>961.3932</v>
          </cell>
          <cell r="O47">
            <v>387.47880000000004</v>
          </cell>
        </row>
        <row r="62">
          <cell r="I62">
            <v>3559.7532</v>
          </cell>
          <cell r="O62">
            <v>1434.7188</v>
          </cell>
        </row>
        <row r="66">
          <cell r="I66">
            <v>254.87056</v>
          </cell>
          <cell r="O66">
            <v>121.47984</v>
          </cell>
        </row>
        <row r="78">
          <cell r="I78">
            <v>6702.47962</v>
          </cell>
          <cell r="O78">
            <v>2701.35558</v>
          </cell>
        </row>
        <row r="80">
          <cell r="I80">
            <v>996.4710600000001</v>
          </cell>
          <cell r="O80">
            <v>401.61654</v>
          </cell>
        </row>
        <row r="81">
          <cell r="I81">
            <v>771.7129199999999</v>
          </cell>
          <cell r="O81">
            <v>311.03028</v>
          </cell>
        </row>
        <row r="103">
          <cell r="I103">
            <v>439.432</v>
          </cell>
          <cell r="O103">
            <v>209.44800000000004</v>
          </cell>
        </row>
        <row r="114">
          <cell r="I114">
            <v>600.22116</v>
          </cell>
          <cell r="O114">
            <v>241.91244000000003</v>
          </cell>
        </row>
        <row r="121">
          <cell r="I121">
            <v>553.46068</v>
          </cell>
          <cell r="O121">
            <v>223.06212000000002</v>
          </cell>
        </row>
      </sheetData>
      <sheetData sheetId="2">
        <row r="14">
          <cell r="I14">
            <v>1205.15226</v>
          </cell>
          <cell r="O14">
            <v>574.41114</v>
          </cell>
        </row>
        <row r="37">
          <cell r="I37">
            <v>1034.86236</v>
          </cell>
          <cell r="O37">
            <v>493.25004</v>
          </cell>
        </row>
        <row r="48">
          <cell r="I48">
            <v>961.3932</v>
          </cell>
          <cell r="O48">
            <v>387.47880000000004</v>
          </cell>
        </row>
        <row r="63">
          <cell r="I63">
            <v>3559.7532</v>
          </cell>
          <cell r="O63">
            <v>1434.7188</v>
          </cell>
        </row>
        <row r="67">
          <cell r="I67">
            <v>254.87056</v>
          </cell>
          <cell r="O67">
            <v>121.47984</v>
          </cell>
        </row>
        <row r="79">
          <cell r="I79">
            <v>6702.47962</v>
          </cell>
          <cell r="O79">
            <v>2701.35558</v>
          </cell>
        </row>
        <row r="81">
          <cell r="I81">
            <v>996.4710600000001</v>
          </cell>
          <cell r="O81">
            <v>401.61654</v>
          </cell>
        </row>
        <row r="82">
          <cell r="I82">
            <v>771.7129199999999</v>
          </cell>
          <cell r="O82">
            <v>311.03028</v>
          </cell>
        </row>
        <row r="104">
          <cell r="I104">
            <v>439.432</v>
          </cell>
          <cell r="O104">
            <v>209.44800000000004</v>
          </cell>
        </row>
        <row r="116">
          <cell r="I116">
            <v>600.22116</v>
          </cell>
          <cell r="O116">
            <v>241.91244000000003</v>
          </cell>
        </row>
        <row r="123">
          <cell r="I123">
            <v>553.46068</v>
          </cell>
          <cell r="O123">
            <v>223.06212000000002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D42">
            <v>0</v>
          </cell>
          <cell r="AE4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3">
          <cell r="I13">
            <v>1205.1460000000002</v>
          </cell>
          <cell r="R13">
            <v>867.727</v>
          </cell>
        </row>
        <row r="34">
          <cell r="I34">
            <v>1034.316</v>
          </cell>
          <cell r="R34">
            <v>745.1220000000001</v>
          </cell>
        </row>
        <row r="38">
          <cell r="I38">
            <v>4371.138000000001</v>
          </cell>
          <cell r="R38">
            <v>3148.971</v>
          </cell>
        </row>
        <row r="39">
          <cell r="I39">
            <v>254.736</v>
          </cell>
          <cell r="R39">
            <v>183.512</v>
          </cell>
        </row>
        <row r="46">
          <cell r="I46">
            <v>812.52</v>
          </cell>
          <cell r="R46">
            <v>585.34</v>
          </cell>
        </row>
        <row r="59">
          <cell r="I59">
            <v>3556.52</v>
          </cell>
          <cell r="R59">
            <v>2167.34</v>
          </cell>
        </row>
        <row r="72">
          <cell r="I72">
            <v>6696.3820000000005</v>
          </cell>
          <cell r="R72">
            <v>4080.7689999999993</v>
          </cell>
        </row>
        <row r="74">
          <cell r="I74">
            <v>995.566</v>
          </cell>
          <cell r="R74">
            <v>606.697</v>
          </cell>
        </row>
        <row r="75">
          <cell r="I75">
            <v>771.012</v>
          </cell>
          <cell r="R75">
            <v>469.85400000000004</v>
          </cell>
        </row>
        <row r="97">
          <cell r="I97">
            <v>439.20000000000005</v>
          </cell>
          <cell r="R97">
            <v>316.4</v>
          </cell>
        </row>
        <row r="110">
          <cell r="I110">
            <v>599.686</v>
          </cell>
          <cell r="R110">
            <v>365.442</v>
          </cell>
        </row>
        <row r="117">
          <cell r="I117">
            <v>552.9480000000001</v>
          </cell>
          <cell r="R117">
            <v>336.966</v>
          </cell>
        </row>
        <row r="135">
          <cell r="I135">
            <v>5105.7</v>
          </cell>
          <cell r="R135">
            <v>3678.15</v>
          </cell>
        </row>
        <row r="182">
          <cell r="I182">
            <v>114</v>
          </cell>
          <cell r="R182">
            <v>28.5</v>
          </cell>
        </row>
      </sheetData>
      <sheetData sheetId="1">
        <row r="13">
          <cell r="J13">
            <v>1205.1460000000002</v>
          </cell>
          <cell r="S13">
            <v>867.727</v>
          </cell>
        </row>
        <row r="34">
          <cell r="J34">
            <v>1034.316</v>
          </cell>
          <cell r="S34">
            <v>745.1220000000001</v>
          </cell>
        </row>
        <row r="38">
          <cell r="J38">
            <v>4371.138000000001</v>
          </cell>
          <cell r="S38">
            <v>3148.971</v>
          </cell>
        </row>
        <row r="39">
          <cell r="J39">
            <v>254.736</v>
          </cell>
          <cell r="S39">
            <v>183.512</v>
          </cell>
        </row>
        <row r="46">
          <cell r="J46">
            <v>812.52</v>
          </cell>
          <cell r="S46">
            <v>585.34</v>
          </cell>
        </row>
        <row r="59">
          <cell r="J59">
            <v>3556.52</v>
          </cell>
          <cell r="S59">
            <v>2167.34</v>
          </cell>
        </row>
        <row r="72">
          <cell r="J72">
            <v>6696.3820000000005</v>
          </cell>
          <cell r="S72">
            <v>4080.7689999999993</v>
          </cell>
        </row>
        <row r="74">
          <cell r="J74">
            <v>995.566</v>
          </cell>
          <cell r="S74">
            <v>606.697</v>
          </cell>
        </row>
        <row r="75">
          <cell r="J75">
            <v>771.012</v>
          </cell>
          <cell r="S75">
            <v>469.85400000000004</v>
          </cell>
        </row>
        <row r="97">
          <cell r="J97">
            <v>439.20000000000005</v>
          </cell>
          <cell r="S97">
            <v>316.4</v>
          </cell>
        </row>
        <row r="110">
          <cell r="J110">
            <v>599.676</v>
          </cell>
          <cell r="S110">
            <v>365.442</v>
          </cell>
        </row>
        <row r="117">
          <cell r="J117">
            <v>552.9480000000001</v>
          </cell>
          <cell r="S117">
            <v>336.966</v>
          </cell>
        </row>
        <row r="135">
          <cell r="S135">
            <v>3678.15</v>
          </cell>
        </row>
        <row r="182">
          <cell r="S182">
            <v>28.5</v>
          </cell>
        </row>
        <row r="183">
          <cell r="J183">
            <v>114</v>
          </cell>
        </row>
      </sheetData>
      <sheetData sheetId="2">
        <row r="13">
          <cell r="J13">
            <v>1205.1460000000002</v>
          </cell>
          <cell r="S13">
            <v>867.727</v>
          </cell>
        </row>
        <row r="34">
          <cell r="J34">
            <v>1034.316</v>
          </cell>
          <cell r="S34">
            <v>745.1220000000001</v>
          </cell>
        </row>
        <row r="38">
          <cell r="J38">
            <v>4371.138000000001</v>
          </cell>
          <cell r="S38">
            <v>3148.971</v>
          </cell>
        </row>
        <row r="39">
          <cell r="J39">
            <v>254.736</v>
          </cell>
          <cell r="S39">
            <v>183.512</v>
          </cell>
        </row>
        <row r="46">
          <cell r="J46">
            <v>812.52</v>
          </cell>
          <cell r="S46">
            <v>585.34</v>
          </cell>
        </row>
        <row r="59">
          <cell r="J59">
            <v>3556.52</v>
          </cell>
          <cell r="S59">
            <v>2167.34</v>
          </cell>
        </row>
        <row r="72">
          <cell r="J72">
            <v>6696.3820000000005</v>
          </cell>
          <cell r="S72">
            <v>4080.7689999999993</v>
          </cell>
        </row>
        <row r="74">
          <cell r="J74">
            <v>995.566</v>
          </cell>
          <cell r="S74">
            <v>606.697</v>
          </cell>
        </row>
        <row r="75">
          <cell r="J75">
            <v>771.012</v>
          </cell>
          <cell r="S75">
            <v>469.85400000000004</v>
          </cell>
        </row>
        <row r="97">
          <cell r="J97">
            <v>439.20000000000005</v>
          </cell>
          <cell r="S97">
            <v>316.4</v>
          </cell>
        </row>
        <row r="110">
          <cell r="J110">
            <v>599.686</v>
          </cell>
          <cell r="S110">
            <v>365.442</v>
          </cell>
        </row>
        <row r="117">
          <cell r="J117">
            <v>552.9480000000001</v>
          </cell>
          <cell r="S117">
            <v>336.966</v>
          </cell>
        </row>
        <row r="137">
          <cell r="J137">
            <v>5105.7</v>
          </cell>
          <cell r="S137">
            <v>3678.15</v>
          </cell>
        </row>
        <row r="183">
          <cell r="J183">
            <v>114</v>
          </cell>
          <cell r="S183">
            <v>28.5</v>
          </cell>
        </row>
      </sheetData>
      <sheetData sheetId="3">
        <row r="13">
          <cell r="S13">
            <v>867.727</v>
          </cell>
        </row>
        <row r="34">
          <cell r="S34">
            <v>745.1220000000001</v>
          </cell>
        </row>
        <row r="38">
          <cell r="S38">
            <v>3148.971</v>
          </cell>
        </row>
        <row r="39">
          <cell r="S39">
            <v>183.512</v>
          </cell>
        </row>
        <row r="46">
          <cell r="S46">
            <v>585.34</v>
          </cell>
        </row>
        <row r="59">
          <cell r="S59">
            <v>2167.34</v>
          </cell>
        </row>
        <row r="72">
          <cell r="S72">
            <v>4080.7689999999993</v>
          </cell>
        </row>
        <row r="74">
          <cell r="S74">
            <v>606.697</v>
          </cell>
        </row>
        <row r="75">
          <cell r="S75">
            <v>469.85400000000004</v>
          </cell>
        </row>
        <row r="76">
          <cell r="S76">
            <v>219.898</v>
          </cell>
        </row>
        <row r="98">
          <cell r="S98">
            <v>316.4</v>
          </cell>
        </row>
        <row r="111">
          <cell r="S111">
            <v>365.442</v>
          </cell>
        </row>
        <row r="118">
          <cell r="S118">
            <v>336.966</v>
          </cell>
        </row>
        <row r="138">
          <cell r="S138">
            <v>3678.15</v>
          </cell>
        </row>
        <row r="185">
          <cell r="S185">
            <v>28.5</v>
          </cell>
        </row>
      </sheetData>
      <sheetData sheetId="4">
        <row r="13">
          <cell r="J13">
            <v>1205.1460000000002</v>
          </cell>
          <cell r="S13">
            <v>867.727</v>
          </cell>
        </row>
        <row r="34">
          <cell r="J34">
            <v>1034.316</v>
          </cell>
          <cell r="S34">
            <v>745.1220000000001</v>
          </cell>
        </row>
        <row r="38">
          <cell r="J38">
            <v>4371.138000000001</v>
          </cell>
          <cell r="S38">
            <v>3148.971</v>
          </cell>
        </row>
        <row r="39">
          <cell r="J39">
            <v>254.736</v>
          </cell>
          <cell r="S39">
            <v>183.512</v>
          </cell>
        </row>
        <row r="46">
          <cell r="J46">
            <v>812.52</v>
          </cell>
          <cell r="S46">
            <v>585.34</v>
          </cell>
        </row>
        <row r="59">
          <cell r="J59">
            <v>3556.52</v>
          </cell>
          <cell r="S59">
            <v>2167.34</v>
          </cell>
        </row>
        <row r="72">
          <cell r="J72">
            <v>6696.3820000000005</v>
          </cell>
          <cell r="S72">
            <v>4080.7689999999993</v>
          </cell>
        </row>
        <row r="74">
          <cell r="J74">
            <v>2127.422</v>
          </cell>
          <cell r="S74">
            <v>1296.4489999999998</v>
          </cell>
        </row>
        <row r="96">
          <cell r="J96">
            <v>439.20000000000005</v>
          </cell>
          <cell r="S96">
            <v>316.4</v>
          </cell>
        </row>
        <row r="109">
          <cell r="J109">
            <v>599.686</v>
          </cell>
          <cell r="S109">
            <v>365.442</v>
          </cell>
        </row>
        <row r="116">
          <cell r="J116">
            <v>552.9480000000001</v>
          </cell>
          <cell r="S116">
            <v>336.966</v>
          </cell>
        </row>
        <row r="136">
          <cell r="J136">
            <v>5105.7</v>
          </cell>
          <cell r="S136">
            <v>3678.15</v>
          </cell>
        </row>
        <row r="183">
          <cell r="J183">
            <v>114</v>
          </cell>
          <cell r="S183">
            <v>28.5</v>
          </cell>
        </row>
      </sheetData>
      <sheetData sheetId="5">
        <row r="13">
          <cell r="J13">
            <v>1205.1460000000002</v>
          </cell>
          <cell r="S13">
            <v>867.727</v>
          </cell>
        </row>
        <row r="34">
          <cell r="J34">
            <v>1034.316</v>
          </cell>
          <cell r="S34">
            <v>745.1220000000001</v>
          </cell>
        </row>
        <row r="38">
          <cell r="J38">
            <v>4371.138000000001</v>
          </cell>
          <cell r="S38">
            <v>3148.971</v>
          </cell>
        </row>
        <row r="39">
          <cell r="J39">
            <v>254.736</v>
          </cell>
          <cell r="S39">
            <v>183.512</v>
          </cell>
        </row>
        <row r="46">
          <cell r="J46">
            <v>812.52</v>
          </cell>
          <cell r="S46">
            <v>585.34</v>
          </cell>
        </row>
        <row r="59">
          <cell r="J59">
            <v>3556.52</v>
          </cell>
          <cell r="S59">
            <v>2167.34</v>
          </cell>
        </row>
        <row r="72">
          <cell r="J72">
            <v>6696.3820000000005</v>
          </cell>
          <cell r="S72">
            <v>4080.7689999999993</v>
          </cell>
        </row>
        <row r="74">
          <cell r="J74">
            <v>2127.422</v>
          </cell>
          <cell r="S74">
            <v>1296.4489999999998</v>
          </cell>
        </row>
        <row r="96">
          <cell r="J96">
            <v>439.20000000000005</v>
          </cell>
          <cell r="S96">
            <v>316.4</v>
          </cell>
        </row>
        <row r="109">
          <cell r="J109">
            <v>599.686</v>
          </cell>
          <cell r="S109">
            <v>365.442</v>
          </cell>
        </row>
        <row r="116">
          <cell r="J116">
            <v>552.9480000000001</v>
          </cell>
          <cell r="S116">
            <v>336.966</v>
          </cell>
        </row>
        <row r="136">
          <cell r="J136">
            <v>5105.7</v>
          </cell>
          <cell r="S136">
            <v>3678.15</v>
          </cell>
        </row>
        <row r="183">
          <cell r="J183">
            <v>114</v>
          </cell>
          <cell r="S183">
            <v>28.5</v>
          </cell>
        </row>
      </sheetData>
      <sheetData sheetId="6">
        <row r="13">
          <cell r="J13">
            <v>1205.1460000000002</v>
          </cell>
          <cell r="S13">
            <v>867.727</v>
          </cell>
        </row>
        <row r="34">
          <cell r="J34">
            <v>1034.316</v>
          </cell>
          <cell r="S34">
            <v>745.1220000000001</v>
          </cell>
        </row>
        <row r="38">
          <cell r="J38">
            <v>4371.138000000001</v>
          </cell>
          <cell r="S38">
            <v>3148.971</v>
          </cell>
        </row>
        <row r="39">
          <cell r="J39">
            <v>254.736</v>
          </cell>
          <cell r="S39">
            <v>183.512</v>
          </cell>
        </row>
        <row r="46">
          <cell r="J46">
            <v>812.52</v>
          </cell>
          <cell r="S46">
            <v>585.34</v>
          </cell>
        </row>
        <row r="59">
          <cell r="J59">
            <v>3556.52</v>
          </cell>
          <cell r="S59">
            <v>2167.34</v>
          </cell>
        </row>
        <row r="72">
          <cell r="J72">
            <v>6696.3820000000005</v>
          </cell>
          <cell r="S72">
            <v>4080.7689999999993</v>
          </cell>
        </row>
        <row r="74">
          <cell r="J74">
            <v>2127.422</v>
          </cell>
          <cell r="S74">
            <v>1296.4489999999998</v>
          </cell>
        </row>
        <row r="96">
          <cell r="J96">
            <v>439.20000000000005</v>
          </cell>
          <cell r="S96">
            <v>316.4</v>
          </cell>
        </row>
        <row r="109">
          <cell r="J109">
            <v>599.686</v>
          </cell>
          <cell r="S109">
            <v>365.442</v>
          </cell>
        </row>
        <row r="116">
          <cell r="J116">
            <v>552.9480000000001</v>
          </cell>
          <cell r="S116">
            <v>336.966</v>
          </cell>
        </row>
        <row r="136">
          <cell r="J136">
            <v>5105.7</v>
          </cell>
          <cell r="S136">
            <v>3678.15</v>
          </cell>
        </row>
        <row r="187">
          <cell r="J187">
            <v>114</v>
          </cell>
          <cell r="S187">
            <v>28.5</v>
          </cell>
        </row>
      </sheetData>
      <sheetData sheetId="7">
        <row r="13">
          <cell r="J13">
            <v>1205.1460000000002</v>
          </cell>
          <cell r="S13">
            <v>867.727</v>
          </cell>
        </row>
        <row r="34">
          <cell r="J34">
            <v>1034.316</v>
          </cell>
          <cell r="S34">
            <v>745.1220000000001</v>
          </cell>
        </row>
        <row r="38">
          <cell r="J38">
            <v>4371.138000000001</v>
          </cell>
          <cell r="S38">
            <v>3148.971</v>
          </cell>
        </row>
        <row r="39">
          <cell r="J39">
            <v>254.736</v>
          </cell>
          <cell r="S39">
            <v>183.512</v>
          </cell>
        </row>
        <row r="46">
          <cell r="J46">
            <v>812.52</v>
          </cell>
          <cell r="S46">
            <v>585.34</v>
          </cell>
        </row>
        <row r="59">
          <cell r="J59">
            <v>3556.52</v>
          </cell>
          <cell r="S59">
            <v>2167.34</v>
          </cell>
        </row>
        <row r="72">
          <cell r="J72">
            <v>6696.3820000000005</v>
          </cell>
          <cell r="S72">
            <v>4080.7689999999993</v>
          </cell>
        </row>
        <row r="74">
          <cell r="J74">
            <v>2127.422</v>
          </cell>
          <cell r="S74">
            <v>1296.4489999999998</v>
          </cell>
        </row>
        <row r="96">
          <cell r="J96">
            <v>439.20000000000005</v>
          </cell>
          <cell r="S96">
            <v>316.4</v>
          </cell>
        </row>
        <row r="109">
          <cell r="J109">
            <v>599.686</v>
          </cell>
          <cell r="S109">
            <v>365.442</v>
          </cell>
        </row>
        <row r="116">
          <cell r="J116">
            <v>552.9480000000001</v>
          </cell>
          <cell r="S116">
            <v>336.966</v>
          </cell>
        </row>
        <row r="136">
          <cell r="J136">
            <v>5105.7</v>
          </cell>
          <cell r="S136">
            <v>3678.15</v>
          </cell>
        </row>
        <row r="191">
          <cell r="J191">
            <v>114</v>
          </cell>
          <cell r="S191">
            <v>28.5</v>
          </cell>
        </row>
      </sheetData>
      <sheetData sheetId="8">
        <row r="13">
          <cell r="J13">
            <v>1205.1460000000002</v>
          </cell>
        </row>
        <row r="34">
          <cell r="J34">
            <v>1034.316</v>
          </cell>
        </row>
        <row r="38">
          <cell r="J38">
            <v>4371.138000000001</v>
          </cell>
        </row>
        <row r="39">
          <cell r="J39">
            <v>254.736</v>
          </cell>
        </row>
        <row r="46">
          <cell r="J46">
            <v>812.52</v>
          </cell>
        </row>
        <row r="59">
          <cell r="J59">
            <v>3556.52</v>
          </cell>
        </row>
        <row r="72">
          <cell r="J72">
            <v>6696.3820000000005</v>
          </cell>
        </row>
        <row r="74">
          <cell r="J74">
            <v>2127.422</v>
          </cell>
        </row>
        <row r="96">
          <cell r="J96">
            <v>439.20000000000005</v>
          </cell>
        </row>
        <row r="109">
          <cell r="J109">
            <v>599.686</v>
          </cell>
        </row>
        <row r="116">
          <cell r="J116">
            <v>552.9480000000001</v>
          </cell>
        </row>
        <row r="136">
          <cell r="J136">
            <v>5105.7</v>
          </cell>
        </row>
        <row r="191">
          <cell r="J191">
            <v>114</v>
          </cell>
        </row>
      </sheetData>
      <sheetData sheetId="9">
        <row r="13">
          <cell r="S13">
            <v>867.727</v>
          </cell>
        </row>
        <row r="34">
          <cell r="S34">
            <v>745.1220000000001</v>
          </cell>
        </row>
        <row r="38">
          <cell r="S38">
            <v>3148.971</v>
          </cell>
        </row>
        <row r="39">
          <cell r="S39">
            <v>183.512</v>
          </cell>
        </row>
        <row r="46">
          <cell r="S46">
            <v>585.34</v>
          </cell>
        </row>
        <row r="59">
          <cell r="S59">
            <v>2167.34</v>
          </cell>
        </row>
        <row r="72">
          <cell r="S72">
            <v>4080.7689999999993</v>
          </cell>
        </row>
        <row r="74">
          <cell r="S74">
            <v>1296.4489999999998</v>
          </cell>
        </row>
        <row r="96">
          <cell r="S96">
            <v>316.4</v>
          </cell>
        </row>
        <row r="109">
          <cell r="S109">
            <v>365.442</v>
          </cell>
        </row>
        <row r="116">
          <cell r="S116">
            <v>336.966</v>
          </cell>
        </row>
        <row r="136">
          <cell r="S136">
            <v>3678.15</v>
          </cell>
        </row>
        <row r="191">
          <cell r="S191">
            <v>28.5</v>
          </cell>
        </row>
      </sheetData>
      <sheetData sheetId="10">
        <row r="13">
          <cell r="J13">
            <v>1205.1460000000002</v>
          </cell>
          <cell r="S13">
            <v>867.727</v>
          </cell>
        </row>
        <row r="34">
          <cell r="J34">
            <v>1034.316</v>
          </cell>
          <cell r="S34">
            <v>745.1220000000001</v>
          </cell>
        </row>
        <row r="38">
          <cell r="J38">
            <v>4371.138000000001</v>
          </cell>
          <cell r="S38">
            <v>3148.971</v>
          </cell>
        </row>
        <row r="39">
          <cell r="J39">
            <v>254.736</v>
          </cell>
          <cell r="S39">
            <v>183.512</v>
          </cell>
        </row>
        <row r="46">
          <cell r="J46">
            <v>812.52</v>
          </cell>
          <cell r="S46">
            <v>585.34</v>
          </cell>
        </row>
        <row r="59">
          <cell r="J59">
            <v>3556.52</v>
          </cell>
          <cell r="S59">
            <v>2167.34</v>
          </cell>
        </row>
        <row r="72">
          <cell r="J72">
            <v>6696.3820000000005</v>
          </cell>
          <cell r="S72">
            <v>4080.7689999999993</v>
          </cell>
        </row>
        <row r="74">
          <cell r="J74">
            <v>2127.422</v>
          </cell>
          <cell r="S74">
            <v>1296.4489999999998</v>
          </cell>
        </row>
        <row r="96">
          <cell r="J96">
            <v>439.20000000000005</v>
          </cell>
          <cell r="S96">
            <v>316.4</v>
          </cell>
        </row>
        <row r="109">
          <cell r="J109">
            <v>599.686</v>
          </cell>
          <cell r="S109">
            <v>365.442</v>
          </cell>
        </row>
        <row r="116">
          <cell r="J116">
            <v>552.9480000000001</v>
          </cell>
          <cell r="S116">
            <v>336.966</v>
          </cell>
        </row>
        <row r="136">
          <cell r="J136">
            <v>5105.7</v>
          </cell>
          <cell r="S136">
            <v>3678.15</v>
          </cell>
        </row>
        <row r="191">
          <cell r="J191">
            <v>114</v>
          </cell>
          <cell r="S191">
            <v>28.5</v>
          </cell>
        </row>
      </sheetData>
      <sheetData sheetId="11">
        <row r="13">
          <cell r="J13">
            <v>1205.1460000000002</v>
          </cell>
          <cell r="S13">
            <v>867.727</v>
          </cell>
        </row>
        <row r="34">
          <cell r="J34">
            <v>1034.316</v>
          </cell>
          <cell r="S34">
            <v>745.1220000000001</v>
          </cell>
        </row>
        <row r="38">
          <cell r="J38">
            <v>4371.138000000001</v>
          </cell>
          <cell r="S38">
            <v>3148.971</v>
          </cell>
        </row>
        <row r="39">
          <cell r="J39">
            <v>254.736</v>
          </cell>
          <cell r="S39">
            <v>183.512</v>
          </cell>
        </row>
        <row r="46">
          <cell r="J46">
            <v>812.52</v>
          </cell>
          <cell r="S46">
            <v>585.34</v>
          </cell>
        </row>
        <row r="59">
          <cell r="J59">
            <v>3556.52</v>
          </cell>
          <cell r="S59">
            <v>2167.34</v>
          </cell>
        </row>
        <row r="72">
          <cell r="J72">
            <v>6696.3820000000005</v>
          </cell>
          <cell r="S72">
            <v>4080.7689999999993</v>
          </cell>
        </row>
        <row r="74">
          <cell r="J74">
            <v>2127.422</v>
          </cell>
          <cell r="S74">
            <v>1296.4489999999998</v>
          </cell>
        </row>
        <row r="96">
          <cell r="J96">
            <v>439.20000000000005</v>
          </cell>
          <cell r="S96">
            <v>316.4</v>
          </cell>
        </row>
        <row r="109">
          <cell r="J109">
            <v>599.686</v>
          </cell>
          <cell r="S109">
            <v>365.442</v>
          </cell>
        </row>
        <row r="116">
          <cell r="J116">
            <v>552.9480000000001</v>
          </cell>
          <cell r="S116">
            <v>336.966</v>
          </cell>
        </row>
        <row r="136">
          <cell r="J136">
            <v>5105.7</v>
          </cell>
          <cell r="S136">
            <v>3678.15</v>
          </cell>
        </row>
        <row r="211">
          <cell r="J211">
            <v>114</v>
          </cell>
          <cell r="S211">
            <v>28.5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3">
          <cell r="J13">
            <v>1205.1460000000002</v>
          </cell>
        </row>
        <row r="34">
          <cell r="J34">
            <v>1034.316</v>
          </cell>
        </row>
        <row r="38">
          <cell r="J38">
            <v>4371.138000000001</v>
          </cell>
        </row>
        <row r="39">
          <cell r="J39">
            <v>254.736</v>
          </cell>
        </row>
        <row r="46">
          <cell r="J46">
            <v>812.52</v>
          </cell>
        </row>
        <row r="59">
          <cell r="J59">
            <v>3556.52</v>
          </cell>
        </row>
        <row r="72">
          <cell r="J72">
            <v>6696.3820000000005</v>
          </cell>
        </row>
        <row r="74">
          <cell r="J74">
            <v>995.566</v>
          </cell>
        </row>
        <row r="75">
          <cell r="J75">
            <v>771.012</v>
          </cell>
        </row>
        <row r="76">
          <cell r="J76">
            <v>1443.3760000000002</v>
          </cell>
        </row>
        <row r="98">
          <cell r="J98">
            <v>439.20000000000005</v>
          </cell>
        </row>
        <row r="111">
          <cell r="J111">
            <v>599.686</v>
          </cell>
        </row>
        <row r="118">
          <cell r="J118">
            <v>552.9480000000001</v>
          </cell>
        </row>
        <row r="138">
          <cell r="J138">
            <v>5105.7</v>
          </cell>
        </row>
        <row r="185">
          <cell r="J185">
            <v>114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13">
          <cell r="J13">
            <v>1205.1460000000002</v>
          </cell>
        </row>
        <row r="34">
          <cell r="J34">
            <v>1034.316</v>
          </cell>
        </row>
        <row r="38">
          <cell r="J38">
            <v>4371.138000000001</v>
          </cell>
        </row>
        <row r="39">
          <cell r="J39">
            <v>254.736</v>
          </cell>
        </row>
        <row r="46">
          <cell r="J46">
            <v>812.52</v>
          </cell>
        </row>
        <row r="59">
          <cell r="J59">
            <v>3556.52</v>
          </cell>
        </row>
        <row r="72">
          <cell r="J72">
            <v>6696.3820000000005</v>
          </cell>
        </row>
        <row r="74">
          <cell r="J74">
            <v>2127.422</v>
          </cell>
        </row>
        <row r="96">
          <cell r="J96">
            <v>439.20000000000005</v>
          </cell>
        </row>
        <row r="109">
          <cell r="J109">
            <v>599.686</v>
          </cell>
        </row>
        <row r="116">
          <cell r="J116">
            <v>552.9480000000001</v>
          </cell>
        </row>
        <row r="136">
          <cell r="J136">
            <v>5105.7</v>
          </cell>
        </row>
        <row r="191">
          <cell r="J191">
            <v>114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13">
          <cell r="I13">
            <v>1205.15226</v>
          </cell>
        </row>
        <row r="35">
          <cell r="I35">
            <v>1034.86236</v>
          </cell>
        </row>
      </sheetData>
      <sheetData sheetId="1">
        <row r="13">
          <cell r="I13">
            <v>1205.15226</v>
          </cell>
        </row>
        <row r="35">
          <cell r="I35">
            <v>1034.86236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13">
          <cell r="O13">
            <v>512.3663777400001</v>
          </cell>
        </row>
        <row r="35">
          <cell r="O35">
            <v>439.97185764000005</v>
          </cell>
        </row>
      </sheetData>
      <sheetData sheetId="1">
        <row r="13">
          <cell r="O13">
            <v>513.1365814400001</v>
          </cell>
        </row>
        <row r="35">
          <cell r="O35">
            <v>440.6332358400001</v>
          </cell>
        </row>
      </sheetData>
      <sheetData sheetId="2">
        <row r="13">
          <cell r="O13">
            <v>502.37379377</v>
          </cell>
        </row>
        <row r="35">
          <cell r="O35">
            <v>431.39117021999994</v>
          </cell>
        </row>
      </sheetData>
      <sheetData sheetId="3">
        <row r="13">
          <cell r="I13">
            <v>1205.15226</v>
          </cell>
          <cell r="O13">
            <v>516.70670212</v>
          </cell>
        </row>
        <row r="35">
          <cell r="I35">
            <v>1034.86236</v>
          </cell>
          <cell r="O35">
            <v>443.6989183200001</v>
          </cell>
        </row>
      </sheetData>
      <sheetData sheetId="4">
        <row r="13">
          <cell r="O13">
            <v>576.7556455380001</v>
          </cell>
        </row>
        <row r="35">
          <cell r="O35">
            <v>495.303869412</v>
          </cell>
        </row>
      </sheetData>
      <sheetData sheetId="5">
        <row r="13">
          <cell r="I13">
            <v>1205.15226</v>
          </cell>
          <cell r="O13">
            <v>574.41114</v>
          </cell>
        </row>
        <row r="35">
          <cell r="I35">
            <v>1034.86236</v>
          </cell>
          <cell r="O35">
            <v>493.25004</v>
          </cell>
        </row>
      </sheetData>
      <sheetData sheetId="6">
        <row r="14">
          <cell r="I14">
            <v>1205.15226</v>
          </cell>
          <cell r="O14">
            <v>574.41114</v>
          </cell>
        </row>
        <row r="36">
          <cell r="I36">
            <v>1034.86236</v>
          </cell>
          <cell r="O36">
            <v>491.9272836</v>
          </cell>
        </row>
        <row r="46">
          <cell r="I46">
            <v>961.3932</v>
          </cell>
          <cell r="O46">
            <v>386.43969200000004</v>
          </cell>
        </row>
        <row r="59">
          <cell r="I59">
            <v>3559.7532</v>
          </cell>
          <cell r="O59">
            <v>1422.4552724</v>
          </cell>
        </row>
        <row r="71">
          <cell r="I71">
            <v>6702.47962</v>
          </cell>
          <cell r="O71">
            <v>2678.27113734</v>
          </cell>
        </row>
        <row r="73">
          <cell r="I73">
            <v>996.4710600000001</v>
          </cell>
          <cell r="O73">
            <v>398.18364742000006</v>
          </cell>
        </row>
        <row r="74">
          <cell r="I74">
            <v>771.7129199999999</v>
          </cell>
          <cell r="O74">
            <v>308.99048716000004</v>
          </cell>
        </row>
      </sheetData>
      <sheetData sheetId="7">
        <row r="14">
          <cell r="I14">
            <v>1205.15226</v>
          </cell>
          <cell r="O14">
            <v>569.2424906660001</v>
          </cell>
        </row>
        <row r="36">
          <cell r="I36">
            <v>1034.86236</v>
          </cell>
          <cell r="O36">
            <v>488.83529207600003</v>
          </cell>
        </row>
        <row r="46">
          <cell r="I46">
            <v>961.3932</v>
          </cell>
          <cell r="O46">
            <v>385.086232</v>
          </cell>
        </row>
        <row r="60">
          <cell r="I60">
            <v>3559.7532</v>
          </cell>
          <cell r="O60">
            <v>1425.859832</v>
          </cell>
        </row>
        <row r="72">
          <cell r="I72">
            <v>6702.47962</v>
          </cell>
          <cell r="O72">
            <v>2701.35558</v>
          </cell>
        </row>
        <row r="74">
          <cell r="I74">
            <v>996.4710600000001</v>
          </cell>
          <cell r="O74">
            <v>400.48259032600004</v>
          </cell>
        </row>
        <row r="75">
          <cell r="I75">
            <v>771.7129199999999</v>
          </cell>
          <cell r="O75">
            <v>310.152097332</v>
          </cell>
        </row>
      </sheetData>
      <sheetData sheetId="8">
        <row r="14">
          <cell r="I14">
            <v>1205.15226</v>
          </cell>
          <cell r="O14">
            <v>572.770606119</v>
          </cell>
        </row>
        <row r="36">
          <cell r="I36">
            <v>1034.86236</v>
          </cell>
          <cell r="O36">
            <v>491.36038800000006</v>
          </cell>
        </row>
        <row r="46">
          <cell r="I46">
            <v>961.3932</v>
          </cell>
          <cell r="O46">
            <v>387.47880000000004</v>
          </cell>
        </row>
        <row r="60">
          <cell r="I60">
            <v>3559.7532</v>
          </cell>
          <cell r="O60">
            <v>1434.7188</v>
          </cell>
        </row>
        <row r="72">
          <cell r="I72">
            <v>6702.47962</v>
          </cell>
          <cell r="O72">
            <v>2701.35558</v>
          </cell>
        </row>
        <row r="74">
          <cell r="I74">
            <v>996.4710600000001</v>
          </cell>
          <cell r="O74">
            <v>401.61654</v>
          </cell>
        </row>
        <row r="75">
          <cell r="I75">
            <v>771.7129199999999</v>
          </cell>
          <cell r="O75">
            <v>309.915416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14">
          <cell r="O14">
            <v>573.5773620000001</v>
          </cell>
        </row>
        <row r="37">
          <cell r="O37">
            <v>492.556132</v>
          </cell>
        </row>
        <row r="47">
          <cell r="O47">
            <v>386.92103999999995</v>
          </cell>
        </row>
        <row r="62">
          <cell r="O62">
            <v>1432.8602400000002</v>
          </cell>
        </row>
        <row r="66">
          <cell r="O66">
            <v>190.899872</v>
          </cell>
        </row>
        <row r="78">
          <cell r="O78">
            <v>2697.5598139999997</v>
          </cell>
        </row>
        <row r="80">
          <cell r="O80">
            <v>401.040582</v>
          </cell>
        </row>
        <row r="81">
          <cell r="O81">
            <v>310.57092399999993</v>
          </cell>
        </row>
        <row r="103">
          <cell r="O103">
            <v>329.11940000000004</v>
          </cell>
        </row>
        <row r="114">
          <cell r="O114">
            <v>241.54205199999998</v>
          </cell>
        </row>
        <row r="121">
          <cell r="O121">
            <v>42.6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14">
          <cell r="I14">
            <v>1205.15226</v>
          </cell>
          <cell r="M14">
            <v>573.731</v>
          </cell>
        </row>
        <row r="35">
          <cell r="I35">
            <v>1034.86236</v>
          </cell>
          <cell r="M35">
            <v>492.66600000000005</v>
          </cell>
        </row>
        <row r="45">
          <cell r="I45">
            <v>812.9492</v>
          </cell>
          <cell r="M45">
            <v>387.02</v>
          </cell>
        </row>
        <row r="60">
          <cell r="I60">
            <v>3559.7532</v>
          </cell>
          <cell r="M60">
            <v>1433.02</v>
          </cell>
        </row>
        <row r="64">
          <cell r="I64">
            <v>254.87056</v>
          </cell>
          <cell r="M64">
            <v>121.33599999999998</v>
          </cell>
        </row>
        <row r="76">
          <cell r="I76">
            <v>6702.47962</v>
          </cell>
          <cell r="M76">
            <v>2698.157</v>
          </cell>
        </row>
        <row r="78">
          <cell r="I78">
            <v>996.4710600000001</v>
          </cell>
          <cell r="M78">
            <v>401.141</v>
          </cell>
        </row>
        <row r="79">
          <cell r="I79">
            <v>771.7129199999999</v>
          </cell>
          <cell r="M79">
            <v>310.662</v>
          </cell>
        </row>
        <row r="101">
          <cell r="I101">
            <v>439.432</v>
          </cell>
          <cell r="M101">
            <v>209.2</v>
          </cell>
        </row>
        <row r="113">
          <cell r="I113">
            <v>600.22116</v>
          </cell>
          <cell r="M113">
            <v>241.626</v>
          </cell>
        </row>
        <row r="120">
          <cell r="I120">
            <v>553.46068</v>
          </cell>
          <cell r="M120">
            <v>222.798</v>
          </cell>
        </row>
      </sheetData>
      <sheetData sheetId="2">
        <row r="14">
          <cell r="I14">
            <v>1205.15226</v>
          </cell>
          <cell r="M14">
            <v>573.731</v>
          </cell>
        </row>
        <row r="35">
          <cell r="I35">
            <v>1034.86236</v>
          </cell>
          <cell r="M35">
            <v>492.66600000000005</v>
          </cell>
        </row>
        <row r="39">
          <cell r="I39">
            <v>4373.446980000001</v>
          </cell>
          <cell r="M39">
            <v>2082.063</v>
          </cell>
        </row>
        <row r="46">
          <cell r="I46">
            <v>812.9492</v>
          </cell>
          <cell r="M46">
            <v>387.02</v>
          </cell>
        </row>
        <row r="61">
          <cell r="I61">
            <v>3559.7532</v>
          </cell>
          <cell r="M61">
            <v>1433.02</v>
          </cell>
        </row>
        <row r="65">
          <cell r="I65">
            <v>254.87056</v>
          </cell>
          <cell r="M65">
            <v>121.33599999999998</v>
          </cell>
        </row>
        <row r="77">
          <cell r="I77">
            <v>6702.47962</v>
          </cell>
          <cell r="M77">
            <v>2698.157</v>
          </cell>
        </row>
        <row r="79">
          <cell r="I79">
            <v>996.4710600000001</v>
          </cell>
          <cell r="M79">
            <v>401.141</v>
          </cell>
        </row>
        <row r="80">
          <cell r="I80">
            <v>771.7129199999999</v>
          </cell>
          <cell r="M80">
            <v>310.662</v>
          </cell>
        </row>
        <row r="102">
          <cell r="I102">
            <v>439.432</v>
          </cell>
          <cell r="M102">
            <v>209.2</v>
          </cell>
        </row>
        <row r="114">
          <cell r="I114">
            <v>600.22116</v>
          </cell>
          <cell r="M114">
            <v>241.626</v>
          </cell>
        </row>
        <row r="121">
          <cell r="I121">
            <v>553.46068</v>
          </cell>
          <cell r="M121">
            <v>222.798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14">
          <cell r="I14">
            <v>1205.15226</v>
          </cell>
          <cell r="M14">
            <v>573.731</v>
          </cell>
        </row>
        <row r="35">
          <cell r="I35">
            <v>1034.86236</v>
          </cell>
          <cell r="M35">
            <v>492.66600000000005</v>
          </cell>
        </row>
        <row r="39">
          <cell r="I39">
            <v>4373.446980000001</v>
          </cell>
          <cell r="M39">
            <v>2082.063</v>
          </cell>
        </row>
        <row r="46">
          <cell r="I46">
            <v>812.9492</v>
          </cell>
          <cell r="M46">
            <v>387.02</v>
          </cell>
        </row>
        <row r="61">
          <cell r="I61">
            <v>3559.7532</v>
          </cell>
          <cell r="M61">
            <v>1433.02</v>
          </cell>
        </row>
        <row r="65">
          <cell r="I65">
            <v>254.87056</v>
          </cell>
          <cell r="M65">
            <v>121.33599999999998</v>
          </cell>
        </row>
        <row r="77">
          <cell r="I77">
            <v>6702.47962</v>
          </cell>
          <cell r="M77">
            <v>2698.157</v>
          </cell>
        </row>
        <row r="79">
          <cell r="I79">
            <v>996.4710600000001</v>
          </cell>
          <cell r="M79">
            <v>401.141</v>
          </cell>
        </row>
        <row r="80">
          <cell r="I80">
            <v>771.7129199999999</v>
          </cell>
          <cell r="M80">
            <v>310.662</v>
          </cell>
        </row>
        <row r="102">
          <cell r="I102">
            <v>439.432</v>
          </cell>
          <cell r="M102">
            <v>209.2</v>
          </cell>
        </row>
        <row r="114">
          <cell r="I114">
            <v>600.22116</v>
          </cell>
          <cell r="M114">
            <v>241.626</v>
          </cell>
        </row>
        <row r="121">
          <cell r="I121">
            <v>553.46068</v>
          </cell>
          <cell r="M121">
            <v>222.798</v>
          </cell>
        </row>
      </sheetData>
      <sheetData sheetId="5">
        <row r="14">
          <cell r="M14">
            <v>573.731</v>
          </cell>
        </row>
        <row r="35">
          <cell r="M35">
            <v>492.66600000000005</v>
          </cell>
        </row>
        <row r="39">
          <cell r="M39">
            <v>2082.063</v>
          </cell>
        </row>
        <row r="46">
          <cell r="M46">
            <v>387.02</v>
          </cell>
        </row>
        <row r="59">
          <cell r="M59">
            <v>1433.02</v>
          </cell>
        </row>
        <row r="63">
          <cell r="M63">
            <v>121.33599999999998</v>
          </cell>
        </row>
        <row r="75">
          <cell r="M75">
            <v>2698.157</v>
          </cell>
        </row>
        <row r="77">
          <cell r="M77">
            <v>401.141</v>
          </cell>
        </row>
        <row r="78">
          <cell r="M78">
            <v>310.662</v>
          </cell>
        </row>
        <row r="99">
          <cell r="M99">
            <v>209.2</v>
          </cell>
        </row>
        <row r="111">
          <cell r="M111">
            <v>241.626</v>
          </cell>
        </row>
        <row r="118">
          <cell r="M118">
            <v>222.798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13">
          <cell r="I13">
            <v>1205.15226</v>
          </cell>
        </row>
        <row r="34">
          <cell r="I34">
            <v>1034.86236</v>
          </cell>
        </row>
        <row r="38">
          <cell r="I38">
            <v>4373.446980000001</v>
          </cell>
        </row>
        <row r="39">
          <cell r="I39">
            <v>254.87056</v>
          </cell>
        </row>
        <row r="46">
          <cell r="I46">
            <v>812.9492</v>
          </cell>
        </row>
        <row r="59">
          <cell r="I59">
            <v>3559.7532</v>
          </cell>
        </row>
        <row r="74">
          <cell r="I74">
            <v>6702.47962</v>
          </cell>
        </row>
        <row r="76">
          <cell r="I76">
            <v>996.4710600000001</v>
          </cell>
        </row>
        <row r="77">
          <cell r="I77">
            <v>771.7129199999999</v>
          </cell>
        </row>
        <row r="98">
          <cell r="I98">
            <v>439.432</v>
          </cell>
        </row>
        <row r="110">
          <cell r="I110">
            <v>600.22116</v>
          </cell>
        </row>
        <row r="117">
          <cell r="I117">
            <v>553.46068</v>
          </cell>
        </row>
      </sheetData>
      <sheetData sheetId="8">
        <row r="13">
          <cell r="M13">
            <v>573.731</v>
          </cell>
        </row>
        <row r="34">
          <cell r="M34">
            <v>492.66600000000005</v>
          </cell>
        </row>
        <row r="38">
          <cell r="M38">
            <v>2082.063</v>
          </cell>
        </row>
        <row r="39">
          <cell r="M39">
            <v>121.33599999999998</v>
          </cell>
        </row>
        <row r="46">
          <cell r="M46">
            <v>387.02</v>
          </cell>
        </row>
        <row r="59">
          <cell r="M59">
            <v>1433.02</v>
          </cell>
        </row>
        <row r="74">
          <cell r="M74">
            <v>2698.157</v>
          </cell>
        </row>
        <row r="76">
          <cell r="M76">
            <v>401.141</v>
          </cell>
        </row>
        <row r="77">
          <cell r="M77">
            <v>310.662</v>
          </cell>
        </row>
        <row r="98">
          <cell r="M98">
            <v>209.2</v>
          </cell>
        </row>
        <row r="111">
          <cell r="M111">
            <v>241.626</v>
          </cell>
        </row>
        <row r="118">
          <cell r="M118">
            <v>222.798</v>
          </cell>
        </row>
      </sheetData>
      <sheetData sheetId="9">
        <row r="13">
          <cell r="I13">
            <v>1205.15226</v>
          </cell>
          <cell r="M13">
            <v>573.731</v>
          </cell>
        </row>
        <row r="34">
          <cell r="I34">
            <v>1034.86236</v>
          </cell>
          <cell r="M34">
            <v>492.66600000000005</v>
          </cell>
        </row>
        <row r="38">
          <cell r="I38">
            <v>4373.446980000001</v>
          </cell>
          <cell r="M38">
            <v>2082.063</v>
          </cell>
        </row>
        <row r="39">
          <cell r="I39">
            <v>254.87056</v>
          </cell>
          <cell r="M39">
            <v>121.33599999999998</v>
          </cell>
        </row>
        <row r="46">
          <cell r="I46">
            <v>812.9492</v>
          </cell>
          <cell r="M46">
            <v>387.02</v>
          </cell>
        </row>
        <row r="59">
          <cell r="I59">
            <v>3559.7532</v>
          </cell>
          <cell r="M59">
            <v>1433.02</v>
          </cell>
        </row>
        <row r="74">
          <cell r="I74">
            <v>6702.47962</v>
          </cell>
          <cell r="M74">
            <v>2698.157</v>
          </cell>
        </row>
        <row r="76">
          <cell r="I76">
            <v>996.4710600000001</v>
          </cell>
          <cell r="M76">
            <v>401.141</v>
          </cell>
        </row>
        <row r="77">
          <cell r="I77">
            <v>771.7129199999999</v>
          </cell>
          <cell r="M77">
            <v>310.662</v>
          </cell>
        </row>
        <row r="98">
          <cell r="I98">
            <v>439.432</v>
          </cell>
          <cell r="M98">
            <v>209.2</v>
          </cell>
        </row>
        <row r="111">
          <cell r="I111">
            <v>600.22116</v>
          </cell>
          <cell r="M111">
            <v>241.626</v>
          </cell>
        </row>
        <row r="118">
          <cell r="I118">
            <v>553.46068</v>
          </cell>
          <cell r="M118">
            <v>222.798</v>
          </cell>
        </row>
      </sheetData>
      <sheetData sheetId="10">
        <row r="13">
          <cell r="I13">
            <v>1205.15226</v>
          </cell>
          <cell r="M13">
            <v>573.731</v>
          </cell>
        </row>
        <row r="34">
          <cell r="I34">
            <v>1034.86236</v>
          </cell>
          <cell r="M34">
            <v>492.66600000000005</v>
          </cell>
        </row>
        <row r="38">
          <cell r="I38">
            <v>4373.446980000001</v>
          </cell>
          <cell r="M38">
            <v>2082.063</v>
          </cell>
        </row>
        <row r="39">
          <cell r="I39">
            <v>254.87056</v>
          </cell>
          <cell r="M39">
            <v>121.33599999999998</v>
          </cell>
        </row>
        <row r="46">
          <cell r="I46">
            <v>812.9492</v>
          </cell>
          <cell r="M46">
            <v>387.02</v>
          </cell>
        </row>
        <row r="59">
          <cell r="I59">
            <v>3559.7532</v>
          </cell>
          <cell r="M59">
            <v>1433.02</v>
          </cell>
        </row>
        <row r="74">
          <cell r="I74">
            <v>6702.47962</v>
          </cell>
          <cell r="M74">
            <v>2698.157</v>
          </cell>
        </row>
        <row r="76">
          <cell r="I76">
            <v>996.4710600000001</v>
          </cell>
          <cell r="M76">
            <v>401.141</v>
          </cell>
        </row>
        <row r="77">
          <cell r="I77">
            <v>771.7129199999999</v>
          </cell>
          <cell r="M77">
            <v>310.662</v>
          </cell>
        </row>
        <row r="98">
          <cell r="I98">
            <v>439.432</v>
          </cell>
          <cell r="M98">
            <v>209.2</v>
          </cell>
        </row>
        <row r="110">
          <cell r="I110">
            <v>600.22116</v>
          </cell>
          <cell r="M110">
            <v>241.626</v>
          </cell>
        </row>
        <row r="117">
          <cell r="I117">
            <v>553.46068</v>
          </cell>
          <cell r="M117">
            <v>222.798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10">
        <row r="13">
          <cell r="I13">
            <v>1205.15226</v>
          </cell>
          <cell r="M13">
            <v>573.731</v>
          </cell>
        </row>
        <row r="34">
          <cell r="I34">
            <v>1034.86236</v>
          </cell>
          <cell r="M34">
            <v>492.66600000000005</v>
          </cell>
        </row>
        <row r="38">
          <cell r="I38">
            <v>4373.446980000001</v>
          </cell>
          <cell r="M38">
            <v>2082.063</v>
          </cell>
        </row>
        <row r="39">
          <cell r="I39">
            <v>254.87056</v>
          </cell>
          <cell r="M39">
            <v>121.33599999999998</v>
          </cell>
        </row>
        <row r="46">
          <cell r="I46">
            <v>812.9492</v>
          </cell>
          <cell r="M46">
            <v>387.02</v>
          </cell>
        </row>
        <row r="59">
          <cell r="I59">
            <v>3559.7532</v>
          </cell>
          <cell r="M59">
            <v>1433.02</v>
          </cell>
        </row>
        <row r="74">
          <cell r="I74">
            <v>6702.47962</v>
          </cell>
          <cell r="M74">
            <v>2698.157</v>
          </cell>
        </row>
        <row r="76">
          <cell r="I76">
            <v>996.4710600000001</v>
          </cell>
          <cell r="M76">
            <v>401.141</v>
          </cell>
        </row>
        <row r="77">
          <cell r="I77">
            <v>771.7129199999999</v>
          </cell>
          <cell r="M77">
            <v>310.662</v>
          </cell>
        </row>
        <row r="98">
          <cell r="I98">
            <v>439.432</v>
          </cell>
          <cell r="M98">
            <v>209.2</v>
          </cell>
        </row>
        <row r="110">
          <cell r="I110">
            <v>600.22116</v>
          </cell>
          <cell r="M110">
            <v>241.626</v>
          </cell>
        </row>
        <row r="117">
          <cell r="I117">
            <v>553.46068</v>
          </cell>
          <cell r="M117">
            <v>222.798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M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Y20" sqref="AY20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625" style="2" customWidth="1"/>
    <col min="4" max="4" width="10.375" style="2" customWidth="1"/>
    <col min="5" max="5" width="10.125" style="2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9.25390625" style="2" bestFit="1" customWidth="1"/>
    <col min="32" max="32" width="11.2539062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10.625" style="2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3.125" style="2" customWidth="1"/>
    <col min="55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64" t="s">
        <v>90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65" t="s">
        <v>0</v>
      </c>
      <c r="B3" s="168" t="s">
        <v>1</v>
      </c>
      <c r="C3" s="168" t="s">
        <v>2</v>
      </c>
      <c r="D3" s="168" t="s">
        <v>3</v>
      </c>
      <c r="E3" s="171" t="s">
        <v>4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88" t="s">
        <v>5</v>
      </c>
      <c r="T3" s="188"/>
      <c r="U3" s="189" t="s">
        <v>6</v>
      </c>
      <c r="V3" s="189"/>
      <c r="W3" s="189"/>
      <c r="X3" s="189"/>
      <c r="Y3" s="189"/>
      <c r="Z3" s="189"/>
      <c r="AA3" s="189"/>
      <c r="AB3" s="189"/>
      <c r="AC3" s="191" t="s">
        <v>87</v>
      </c>
      <c r="AD3" s="191" t="s">
        <v>8</v>
      </c>
      <c r="AE3" s="194" t="s">
        <v>9</v>
      </c>
      <c r="AF3" s="201" t="s">
        <v>75</v>
      </c>
      <c r="AG3" s="204" t="s">
        <v>10</v>
      </c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180" t="s">
        <v>76</v>
      </c>
      <c r="BD3" s="185" t="s">
        <v>11</v>
      </c>
      <c r="BE3" s="173" t="s">
        <v>12</v>
      </c>
    </row>
    <row r="4" spans="1:57" ht="36" customHeight="1" thickBot="1">
      <c r="A4" s="166"/>
      <c r="B4" s="169"/>
      <c r="C4" s="169"/>
      <c r="D4" s="169"/>
      <c r="E4" s="172" t="s">
        <v>13</v>
      </c>
      <c r="F4" s="172"/>
      <c r="G4" s="172" t="s">
        <v>14</v>
      </c>
      <c r="H4" s="172"/>
      <c r="I4" s="172" t="s">
        <v>15</v>
      </c>
      <c r="J4" s="172"/>
      <c r="K4" s="172" t="s">
        <v>16</v>
      </c>
      <c r="L4" s="172"/>
      <c r="M4" s="172" t="s">
        <v>17</v>
      </c>
      <c r="N4" s="172"/>
      <c r="O4" s="172" t="s">
        <v>18</v>
      </c>
      <c r="P4" s="172"/>
      <c r="Q4" s="172" t="s">
        <v>19</v>
      </c>
      <c r="R4" s="172"/>
      <c r="S4" s="172"/>
      <c r="T4" s="172"/>
      <c r="U4" s="190"/>
      <c r="V4" s="190"/>
      <c r="W4" s="190"/>
      <c r="X4" s="190"/>
      <c r="Y4" s="190"/>
      <c r="Z4" s="190"/>
      <c r="AA4" s="190"/>
      <c r="AB4" s="190"/>
      <c r="AC4" s="192"/>
      <c r="AD4" s="192"/>
      <c r="AE4" s="195"/>
      <c r="AF4" s="202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81"/>
      <c r="BD4" s="186"/>
      <c r="BE4" s="174"/>
    </row>
    <row r="5" spans="1:57" ht="29.25" customHeight="1" thickBot="1">
      <c r="A5" s="166"/>
      <c r="B5" s="169"/>
      <c r="C5" s="169"/>
      <c r="D5" s="169"/>
      <c r="E5" s="183" t="s">
        <v>20</v>
      </c>
      <c r="F5" s="183" t="s">
        <v>21</v>
      </c>
      <c r="G5" s="183" t="s">
        <v>20</v>
      </c>
      <c r="H5" s="183" t="s">
        <v>21</v>
      </c>
      <c r="I5" s="183" t="s">
        <v>20</v>
      </c>
      <c r="J5" s="183" t="s">
        <v>21</v>
      </c>
      <c r="K5" s="183" t="s">
        <v>20</v>
      </c>
      <c r="L5" s="183" t="s">
        <v>21</v>
      </c>
      <c r="M5" s="183" t="s">
        <v>20</v>
      </c>
      <c r="N5" s="183" t="s">
        <v>21</v>
      </c>
      <c r="O5" s="183" t="s">
        <v>20</v>
      </c>
      <c r="P5" s="183" t="s">
        <v>21</v>
      </c>
      <c r="Q5" s="183" t="s">
        <v>20</v>
      </c>
      <c r="R5" s="183" t="s">
        <v>21</v>
      </c>
      <c r="S5" s="183" t="s">
        <v>20</v>
      </c>
      <c r="T5" s="183" t="s">
        <v>21</v>
      </c>
      <c r="U5" s="197" t="s">
        <v>22</v>
      </c>
      <c r="V5" s="197" t="s">
        <v>23</v>
      </c>
      <c r="W5" s="197" t="s">
        <v>24</v>
      </c>
      <c r="X5" s="197" t="s">
        <v>25</v>
      </c>
      <c r="Y5" s="197" t="s">
        <v>26</v>
      </c>
      <c r="Z5" s="197" t="s">
        <v>27</v>
      </c>
      <c r="AA5" s="197" t="s">
        <v>28</v>
      </c>
      <c r="AB5" s="197" t="s">
        <v>29</v>
      </c>
      <c r="AC5" s="192"/>
      <c r="AD5" s="192"/>
      <c r="AE5" s="195"/>
      <c r="AF5" s="202"/>
      <c r="AG5" s="176" t="s">
        <v>30</v>
      </c>
      <c r="AH5" s="176" t="s">
        <v>31</v>
      </c>
      <c r="AI5" s="176" t="s">
        <v>32</v>
      </c>
      <c r="AJ5" s="176" t="s">
        <v>33</v>
      </c>
      <c r="AK5" s="176" t="s">
        <v>34</v>
      </c>
      <c r="AL5" s="176" t="s">
        <v>33</v>
      </c>
      <c r="AM5" s="176" t="s">
        <v>35</v>
      </c>
      <c r="AN5" s="176" t="s">
        <v>33</v>
      </c>
      <c r="AO5" s="176" t="s">
        <v>36</v>
      </c>
      <c r="AP5" s="176" t="s">
        <v>33</v>
      </c>
      <c r="AQ5" s="208" t="s">
        <v>80</v>
      </c>
      <c r="AR5" s="210" t="s">
        <v>33</v>
      </c>
      <c r="AS5" s="178" t="s">
        <v>81</v>
      </c>
      <c r="AT5" s="199" t="s">
        <v>82</v>
      </c>
      <c r="AU5" s="199" t="s">
        <v>33</v>
      </c>
      <c r="AV5" s="205" t="s">
        <v>83</v>
      </c>
      <c r="AW5" s="206"/>
      <c r="AX5" s="207"/>
      <c r="AY5" s="176" t="s">
        <v>19</v>
      </c>
      <c r="AZ5" s="176" t="s">
        <v>38</v>
      </c>
      <c r="BA5" s="176" t="s">
        <v>33</v>
      </c>
      <c r="BB5" s="176" t="s">
        <v>39</v>
      </c>
      <c r="BC5" s="181"/>
      <c r="BD5" s="186"/>
      <c r="BE5" s="174"/>
    </row>
    <row r="6" spans="1:57" ht="54" customHeight="1" thickBot="1">
      <c r="A6" s="167"/>
      <c r="B6" s="170"/>
      <c r="C6" s="170"/>
      <c r="D6" s="170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98"/>
      <c r="V6" s="198"/>
      <c r="W6" s="198"/>
      <c r="X6" s="198"/>
      <c r="Y6" s="198"/>
      <c r="Z6" s="198"/>
      <c r="AA6" s="198"/>
      <c r="AB6" s="198"/>
      <c r="AC6" s="193"/>
      <c r="AD6" s="193"/>
      <c r="AE6" s="196"/>
      <c r="AF6" s="203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209"/>
      <c r="AR6" s="211"/>
      <c r="AS6" s="179"/>
      <c r="AT6" s="200"/>
      <c r="AU6" s="200"/>
      <c r="AV6" s="120" t="s">
        <v>84</v>
      </c>
      <c r="AW6" s="120" t="s">
        <v>85</v>
      </c>
      <c r="AX6" s="120" t="s">
        <v>86</v>
      </c>
      <c r="AY6" s="177"/>
      <c r="AZ6" s="177"/>
      <c r="BA6" s="177"/>
      <c r="BB6" s="177"/>
      <c r="BC6" s="182"/>
      <c r="BD6" s="187"/>
      <c r="BE6" s="175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104">
        <v>5565.3</v>
      </c>
      <c r="C9" s="105">
        <f>B9*8.65</f>
        <v>48139.845</v>
      </c>
      <c r="D9" s="106">
        <f>C9*0.24088</f>
        <v>11595.925863600001</v>
      </c>
      <c r="E9" s="107">
        <v>3708.23</v>
      </c>
      <c r="F9" s="107">
        <v>916.73</v>
      </c>
      <c r="G9" s="107">
        <v>5006.19</v>
      </c>
      <c r="H9" s="107">
        <v>1237.6</v>
      </c>
      <c r="I9" s="107">
        <v>12051.82</v>
      </c>
      <c r="J9" s="107">
        <v>2979.38</v>
      </c>
      <c r="K9" s="107">
        <v>8343.58</v>
      </c>
      <c r="L9" s="107">
        <v>2062.65</v>
      </c>
      <c r="M9" s="107">
        <v>2966.55</v>
      </c>
      <c r="N9" s="107">
        <v>733.4</v>
      </c>
      <c r="O9" s="107">
        <v>0</v>
      </c>
      <c r="P9" s="107">
        <v>0</v>
      </c>
      <c r="Q9" s="107">
        <v>0</v>
      </c>
      <c r="R9" s="107">
        <v>0</v>
      </c>
      <c r="S9" s="91">
        <f>E9+G9+I9+K9+M9+O9+Q9</f>
        <v>32076.37</v>
      </c>
      <c r="T9" s="108">
        <f>P9+N9+L9+J9+H9+F9+R9</f>
        <v>7929.76</v>
      </c>
      <c r="U9" s="91">
        <v>84.69</v>
      </c>
      <c r="V9" s="91">
        <v>114.64</v>
      </c>
      <c r="W9" s="91">
        <v>221.75</v>
      </c>
      <c r="X9" s="91">
        <v>191.06</v>
      </c>
      <c r="Y9" s="91">
        <v>68.15</v>
      </c>
      <c r="Z9" s="109">
        <v>0</v>
      </c>
      <c r="AA9" s="109">
        <v>0</v>
      </c>
      <c r="AB9" s="109">
        <f>SUM(U9:AA9)</f>
        <v>680.29</v>
      </c>
      <c r="AC9" s="110">
        <f>D9+T9+AB9</f>
        <v>20205.975863600004</v>
      </c>
      <c r="AD9" s="111">
        <f>P9+Z9</f>
        <v>0</v>
      </c>
      <c r="AE9" s="102">
        <f>R9+AA9</f>
        <v>0</v>
      </c>
      <c r="AF9" s="102"/>
      <c r="AG9" s="16">
        <f>0.6*B9</f>
        <v>3339.18</v>
      </c>
      <c r="AH9" s="16">
        <f>B9*0.2*1.05826</f>
        <v>1177.9068756000001</v>
      </c>
      <c r="AI9" s="16">
        <f>0.8518*B9-0.01</f>
        <v>4740.51254</v>
      </c>
      <c r="AJ9" s="16">
        <f>AI9*0.18</f>
        <v>853.2922571999999</v>
      </c>
      <c r="AK9" s="16">
        <f>1.04*B9*0.9531</f>
        <v>5516.4589272</v>
      </c>
      <c r="AL9" s="16">
        <f>AK9*0.18</f>
        <v>992.962606896</v>
      </c>
      <c r="AM9" s="16">
        <f>(1.91)*B9*0.9531</f>
        <v>10131.1889913</v>
      </c>
      <c r="AN9" s="16">
        <f>AM9*0.18</f>
        <v>1823.614018434</v>
      </c>
      <c r="AO9" s="16"/>
      <c r="AP9" s="16">
        <f>AO9*0.18</f>
        <v>0</v>
      </c>
      <c r="AQ9" s="16"/>
      <c r="AR9" s="16"/>
      <c r="AS9" s="97"/>
      <c r="AT9" s="97"/>
      <c r="AU9" s="48">
        <f>AS9*0.18</f>
        <v>0</v>
      </c>
      <c r="AV9" s="48"/>
      <c r="AW9" s="48"/>
      <c r="AX9" s="31">
        <v>0</v>
      </c>
      <c r="AY9" s="31">
        <v>0</v>
      </c>
      <c r="AZ9" s="31">
        <v>0</v>
      </c>
      <c r="BA9" s="14">
        <f>AZ9*0.18</f>
        <v>0</v>
      </c>
      <c r="BB9" s="14">
        <f>SUM(AG9:BA9)</f>
        <v>28575.116216630002</v>
      </c>
      <c r="BC9" s="14">
        <v>0</v>
      </c>
      <c r="BD9" s="14">
        <f>AC9-BB9</f>
        <v>-8369.140353029998</v>
      </c>
      <c r="BE9" s="30">
        <f>AB9-S9</f>
        <v>-31396.079999999998</v>
      </c>
    </row>
    <row r="10" spans="1:57" ht="12.75">
      <c r="A10" s="11" t="s">
        <v>42</v>
      </c>
      <c r="B10" s="104">
        <v>5565.3</v>
      </c>
      <c r="C10" s="105">
        <f>B10*8.65</f>
        <v>48139.845</v>
      </c>
      <c r="D10" s="106">
        <f>C10*0.24088</f>
        <v>11595.925863600001</v>
      </c>
      <c r="E10" s="107">
        <v>3603.48</v>
      </c>
      <c r="F10" s="107">
        <v>897.31</v>
      </c>
      <c r="G10" s="107">
        <v>4864.68</v>
      </c>
      <c r="H10" s="107">
        <v>1211.4</v>
      </c>
      <c r="I10" s="107">
        <v>11711.36</v>
      </c>
      <c r="J10" s="107">
        <v>2916.24</v>
      </c>
      <c r="K10" s="107">
        <v>8107.86</v>
      </c>
      <c r="L10" s="107">
        <v>2018.93</v>
      </c>
      <c r="M10" s="107">
        <v>2882.74</v>
      </c>
      <c r="N10" s="107">
        <v>717.88</v>
      </c>
      <c r="O10" s="107">
        <v>0</v>
      </c>
      <c r="P10" s="107">
        <v>0</v>
      </c>
      <c r="Q10" s="107">
        <v>0</v>
      </c>
      <c r="R10" s="107">
        <v>0</v>
      </c>
      <c r="S10" s="91">
        <f>E10+G10+I10+K10+M10+O10+Q10</f>
        <v>31170.120000000003</v>
      </c>
      <c r="T10" s="108">
        <f>P10+N10+L10+J10+H10+F10+R10</f>
        <v>7761.759999999998</v>
      </c>
      <c r="U10" s="91">
        <v>2574.69</v>
      </c>
      <c r="V10" s="91">
        <v>3475.92</v>
      </c>
      <c r="W10" s="91">
        <v>8590.65</v>
      </c>
      <c r="X10" s="91">
        <v>5793.09</v>
      </c>
      <c r="Y10" s="91">
        <v>2059.68</v>
      </c>
      <c r="Z10" s="109">
        <v>0</v>
      </c>
      <c r="AA10" s="109">
        <v>0</v>
      </c>
      <c r="AB10" s="112">
        <f>SUM(U10:AA10)</f>
        <v>22494.03</v>
      </c>
      <c r="AC10" s="113">
        <f>D10+T10+AB10</f>
        <v>41851.715863599995</v>
      </c>
      <c r="AD10" s="102">
        <f>P10+Z10</f>
        <v>0</v>
      </c>
      <c r="AE10" s="102">
        <f>R10+AA10</f>
        <v>0</v>
      </c>
      <c r="AF10" s="102"/>
      <c r="AG10" s="16">
        <f>0.6*B10</f>
        <v>3339.18</v>
      </c>
      <c r="AH10" s="16">
        <f>B10*0.201</f>
        <v>1118.6253000000002</v>
      </c>
      <c r="AI10" s="16">
        <f>0.8518*B10-0.01</f>
        <v>4740.51254</v>
      </c>
      <c r="AJ10" s="16">
        <f>AI10*0.18</f>
        <v>853.2922571999999</v>
      </c>
      <c r="AK10" s="16">
        <f>1.04*B10*0.9531</f>
        <v>5516.4589272</v>
      </c>
      <c r="AL10" s="16">
        <f>AK10*0.18</f>
        <v>992.962606896</v>
      </c>
      <c r="AM10" s="16">
        <f>(1.91)*B10*0.9531</f>
        <v>10131.1889913</v>
      </c>
      <c r="AN10" s="16">
        <f>AM10*0.18</f>
        <v>1823.614018434</v>
      </c>
      <c r="AO10" s="16"/>
      <c r="AP10" s="16">
        <f>AO10*0.18</f>
        <v>0</v>
      </c>
      <c r="AQ10" s="16"/>
      <c r="AR10" s="16"/>
      <c r="AS10" s="97">
        <v>11622</v>
      </c>
      <c r="AT10" s="97"/>
      <c r="AU10" s="48">
        <f>AS10*0.18</f>
        <v>2091.96</v>
      </c>
      <c r="AV10" s="48"/>
      <c r="AW10" s="48"/>
      <c r="AX10" s="31">
        <v>0</v>
      </c>
      <c r="AY10" s="31">
        <v>0</v>
      </c>
      <c r="AZ10" s="31">
        <v>0</v>
      </c>
      <c r="BA10" s="14">
        <f>AZ10*0.18</f>
        <v>0</v>
      </c>
      <c r="BB10" s="14">
        <f>SUM(AG10:BA10)</f>
        <v>42229.79464103</v>
      </c>
      <c r="BC10" s="14">
        <v>0</v>
      </c>
      <c r="BD10" s="14">
        <f>AC10-BB10</f>
        <v>-378.07877743000427</v>
      </c>
      <c r="BE10" s="30">
        <f>AB10-S10</f>
        <v>-8676.090000000004</v>
      </c>
    </row>
    <row r="11" spans="1:57" ht="12.75">
      <c r="A11" s="11" t="s">
        <v>43</v>
      </c>
      <c r="B11" s="104">
        <v>5565.3</v>
      </c>
      <c r="C11" s="105">
        <f>B11*8.65</f>
        <v>48139.845</v>
      </c>
      <c r="D11" s="106">
        <f>C11*0.24035</f>
        <v>11570.411745750002</v>
      </c>
      <c r="E11" s="107">
        <v>4827.4</v>
      </c>
      <c r="F11" s="107">
        <v>900.45</v>
      </c>
      <c r="G11" s="107">
        <v>6078.02</v>
      </c>
      <c r="H11" s="107">
        <v>1215.64</v>
      </c>
      <c r="I11" s="107">
        <v>12866.88</v>
      </c>
      <c r="J11" s="107">
        <v>2926.47</v>
      </c>
      <c r="K11" s="107">
        <v>9293.8</v>
      </c>
      <c r="L11" s="107">
        <v>2026.02</v>
      </c>
      <c r="M11" s="107">
        <v>4112.69</v>
      </c>
      <c r="N11" s="107">
        <v>720.38</v>
      </c>
      <c r="O11" s="107">
        <v>0</v>
      </c>
      <c r="P11" s="114">
        <v>0</v>
      </c>
      <c r="Q11" s="107">
        <v>0</v>
      </c>
      <c r="R11" s="114">
        <v>0</v>
      </c>
      <c r="S11" s="91">
        <f>E11+G11+I11+K11+M11+O11+Q11</f>
        <v>37178.79</v>
      </c>
      <c r="T11" s="108">
        <f>P11+N11+L11+J11+H11+F11+R11</f>
        <v>7788.96</v>
      </c>
      <c r="U11" s="91">
        <v>5297.53</v>
      </c>
      <c r="V11" s="91">
        <v>6712.23</v>
      </c>
      <c r="W11" s="91">
        <v>14458.38</v>
      </c>
      <c r="X11" s="91">
        <v>10350.91</v>
      </c>
      <c r="Y11" s="91">
        <v>4488.41</v>
      </c>
      <c r="Z11" s="109">
        <v>0</v>
      </c>
      <c r="AA11" s="109">
        <v>0</v>
      </c>
      <c r="AB11" s="112">
        <f>SUM(U11:AA11)</f>
        <v>41307.46000000001</v>
      </c>
      <c r="AC11" s="113">
        <f>D11+T11+AB11</f>
        <v>60666.83174575001</v>
      </c>
      <c r="AD11" s="102">
        <f>P11+Z11</f>
        <v>0</v>
      </c>
      <c r="AE11" s="102">
        <f>R11+AA11</f>
        <v>0</v>
      </c>
      <c r="AF11" s="102"/>
      <c r="AG11" s="16">
        <f>0.6*B11</f>
        <v>3339.18</v>
      </c>
      <c r="AH11" s="16">
        <f>B11*0.2*1.02524-0.01</f>
        <v>1141.1436344</v>
      </c>
      <c r="AI11" s="16">
        <f>0.84932*B11</f>
        <v>4726.720596</v>
      </c>
      <c r="AJ11" s="16">
        <f>AI11*0.18</f>
        <v>850.80970728</v>
      </c>
      <c r="AK11" s="16">
        <f>1.04*B11*0.95033</f>
        <v>5500.42641096</v>
      </c>
      <c r="AL11" s="16">
        <f>AK11*0.18</f>
        <v>990.0767539727999</v>
      </c>
      <c r="AM11" s="16">
        <f>(1.91)*B11*0.95033-0.1</f>
        <v>10101.64465859</v>
      </c>
      <c r="AN11" s="16">
        <f>AM11*0.18</f>
        <v>1818.2960385461997</v>
      </c>
      <c r="AO11" s="16"/>
      <c r="AP11" s="16">
        <f>AO11*0.18</f>
        <v>0</v>
      </c>
      <c r="AQ11" s="16"/>
      <c r="AR11" s="16"/>
      <c r="AS11" s="97">
        <v>22478</v>
      </c>
      <c r="AT11" s="97"/>
      <c r="AU11" s="48">
        <f>AS11*0.18</f>
        <v>4046.04</v>
      </c>
      <c r="AV11" s="48"/>
      <c r="AW11" s="48"/>
      <c r="AX11" s="31">
        <v>0</v>
      </c>
      <c r="AY11" s="31">
        <v>0</v>
      </c>
      <c r="AZ11" s="31">
        <v>0</v>
      </c>
      <c r="BA11" s="14">
        <f>AZ11*0.18</f>
        <v>0</v>
      </c>
      <c r="BB11" s="14">
        <f>SUM(AG11:BA11)</f>
        <v>54992.337799748995</v>
      </c>
      <c r="BC11" s="14">
        <v>0</v>
      </c>
      <c r="BD11" s="14">
        <f>AC11-BB11</f>
        <v>5674.493946001014</v>
      </c>
      <c r="BE11" s="30">
        <f>AB11-S11</f>
        <v>4128.6700000000055</v>
      </c>
    </row>
    <row r="12" spans="1:57" s="20" customFormat="1" ht="15" customHeight="1">
      <c r="A12" s="17" t="s">
        <v>5</v>
      </c>
      <c r="B12" s="60"/>
      <c r="C12" s="60">
        <f aca="true" t="shared" si="0" ref="C12:BE12">SUM(C9:C11)</f>
        <v>144419.535</v>
      </c>
      <c r="D12" s="60">
        <f t="shared" si="0"/>
        <v>34762.263472950006</v>
      </c>
      <c r="E12" s="57">
        <f>SUM(E9:E11)</f>
        <v>12139.11</v>
      </c>
      <c r="F12" s="57">
        <f t="shared" si="0"/>
        <v>2714.49</v>
      </c>
      <c r="G12" s="57">
        <f t="shared" si="0"/>
        <v>15948.89</v>
      </c>
      <c r="H12" s="57">
        <f t="shared" si="0"/>
        <v>3664.6400000000003</v>
      </c>
      <c r="I12" s="57">
        <f t="shared" si="0"/>
        <v>36630.06</v>
      </c>
      <c r="J12" s="57">
        <f t="shared" si="0"/>
        <v>8822.09</v>
      </c>
      <c r="K12" s="57">
        <f t="shared" si="0"/>
        <v>25745.239999999998</v>
      </c>
      <c r="L12" s="57">
        <f t="shared" si="0"/>
        <v>6107.6</v>
      </c>
      <c r="M12" s="57">
        <f t="shared" si="0"/>
        <v>9961.98</v>
      </c>
      <c r="N12" s="57">
        <f t="shared" si="0"/>
        <v>2171.66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100425.28</v>
      </c>
      <c r="T12" s="57">
        <f t="shared" si="0"/>
        <v>23480.48</v>
      </c>
      <c r="U12" s="61">
        <f t="shared" si="0"/>
        <v>7956.91</v>
      </c>
      <c r="V12" s="61">
        <f t="shared" si="0"/>
        <v>10302.789999999999</v>
      </c>
      <c r="W12" s="61">
        <f t="shared" si="0"/>
        <v>23270.78</v>
      </c>
      <c r="X12" s="61">
        <f t="shared" si="0"/>
        <v>16335.060000000001</v>
      </c>
      <c r="Y12" s="61">
        <f t="shared" si="0"/>
        <v>6616.24</v>
      </c>
      <c r="Z12" s="61">
        <f t="shared" si="0"/>
        <v>0</v>
      </c>
      <c r="AA12" s="61">
        <f t="shared" si="0"/>
        <v>0</v>
      </c>
      <c r="AB12" s="61">
        <f t="shared" si="0"/>
        <v>64481.780000000006</v>
      </c>
      <c r="AC12" s="61">
        <f t="shared" si="0"/>
        <v>122724.52347295001</v>
      </c>
      <c r="AD12" s="61">
        <f>SUM(AD9:AD11)</f>
        <v>0</v>
      </c>
      <c r="AE12" s="100">
        <f t="shared" si="0"/>
        <v>0</v>
      </c>
      <c r="AF12" s="100">
        <f t="shared" si="0"/>
        <v>0</v>
      </c>
      <c r="AG12" s="18">
        <f t="shared" si="0"/>
        <v>10017.539999999999</v>
      </c>
      <c r="AH12" s="18">
        <f t="shared" si="0"/>
        <v>3437.6758100000006</v>
      </c>
      <c r="AI12" s="18">
        <f t="shared" si="0"/>
        <v>14207.745675999999</v>
      </c>
      <c r="AJ12" s="18">
        <f t="shared" si="0"/>
        <v>2557.3942216799996</v>
      </c>
      <c r="AK12" s="18">
        <f t="shared" si="0"/>
        <v>16533.34426536</v>
      </c>
      <c r="AL12" s="18">
        <f t="shared" si="0"/>
        <v>2976.0019677647997</v>
      </c>
      <c r="AM12" s="18">
        <f>SUM(AM9:AM11)</f>
        <v>30364.02264119</v>
      </c>
      <c r="AN12" s="18">
        <f>SUM(AN9:AN11)</f>
        <v>5465.5240754142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34100</v>
      </c>
      <c r="AT12" s="18">
        <f>SUM(AT9:AT11)</f>
        <v>0</v>
      </c>
      <c r="AU12" s="18">
        <f>SUM(AU9:AU11)</f>
        <v>6138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125797.24865740899</v>
      </c>
      <c r="BC12" s="18">
        <f t="shared" si="0"/>
        <v>0</v>
      </c>
      <c r="BD12" s="18">
        <f t="shared" si="0"/>
        <v>-3072.725184458988</v>
      </c>
      <c r="BE12" s="19">
        <f t="shared" si="0"/>
        <v>-35943.49999999999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8"/>
      <c r="AD13" s="98"/>
      <c r="AE13" s="99"/>
      <c r="AF13" s="99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95"/>
      <c r="AT13" s="95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15">
        <v>5565.3</v>
      </c>
      <c r="C14" s="105">
        <f aca="true" t="shared" si="1" ref="C14:C19">B14*8.65</f>
        <v>48139.845</v>
      </c>
      <c r="D14" s="106">
        <f>C14*0.125</f>
        <v>6017.480625</v>
      </c>
      <c r="E14" s="107">
        <v>3525.18</v>
      </c>
      <c r="F14" s="107">
        <v>890.3</v>
      </c>
      <c r="G14" s="107">
        <v>4759.02</v>
      </c>
      <c r="H14" s="107">
        <v>1201.93</v>
      </c>
      <c r="I14" s="107">
        <v>11456.89</v>
      </c>
      <c r="J14" s="107">
        <v>2893.47</v>
      </c>
      <c r="K14" s="107">
        <v>7931.72</v>
      </c>
      <c r="L14" s="107">
        <v>2003.17</v>
      </c>
      <c r="M14" s="107">
        <v>2820.15</v>
      </c>
      <c r="N14" s="107">
        <v>712.26</v>
      </c>
      <c r="O14" s="107">
        <v>0</v>
      </c>
      <c r="P14" s="114">
        <v>0</v>
      </c>
      <c r="Q14" s="107">
        <v>0</v>
      </c>
      <c r="R14" s="114">
        <v>0</v>
      </c>
      <c r="S14" s="91">
        <f aca="true" t="shared" si="2" ref="S14:S19">E14+G14+I14+K14+M14+O14+Q14</f>
        <v>30492.960000000003</v>
      </c>
      <c r="T14" s="108">
        <f aca="true" t="shared" si="3" ref="T14:T19">P14+N14+L14+J14+H14+F14+R14</f>
        <v>7701.13</v>
      </c>
      <c r="U14" s="91">
        <v>2174.03</v>
      </c>
      <c r="V14" s="91">
        <v>2934.98</v>
      </c>
      <c r="W14" s="91">
        <v>7038.83</v>
      </c>
      <c r="X14" s="91">
        <v>4891.58</v>
      </c>
      <c r="Y14" s="91">
        <v>1739.21</v>
      </c>
      <c r="Z14" s="109">
        <v>0</v>
      </c>
      <c r="AA14" s="109">
        <v>0</v>
      </c>
      <c r="AB14" s="116">
        <f aca="true" t="shared" si="4" ref="AB14:AB19">SUM(U14:AA14)</f>
        <v>18778.629999999997</v>
      </c>
      <c r="AC14" s="113">
        <f aca="true" t="shared" si="5" ref="AC14:AC19">D14+T14+AB14</f>
        <v>32497.240625</v>
      </c>
      <c r="AD14" s="102">
        <f aca="true" t="shared" si="6" ref="AD14:AD19">P14+Z14</f>
        <v>0</v>
      </c>
      <c r="AE14" s="102">
        <f aca="true" t="shared" si="7" ref="AE14:AE19">R14+AA14</f>
        <v>0</v>
      </c>
      <c r="AF14" s="102">
        <f>'[2]Т01-09'!$I$13+'[2]Т01-09'!$I$35</f>
        <v>2240.01462</v>
      </c>
      <c r="AG14" s="16">
        <f>0.6*B14*0.9</f>
        <v>3005.2619999999997</v>
      </c>
      <c r="AH14" s="16">
        <f>B14*0.2*0.891</f>
        <v>991.7364600000002</v>
      </c>
      <c r="AI14" s="16">
        <f>0.85*B14*0.867-0.02</f>
        <v>4101.327835</v>
      </c>
      <c r="AJ14" s="16">
        <f aca="true" t="shared" si="8" ref="AJ14:AJ19">AI14*0.18</f>
        <v>738.2390103</v>
      </c>
      <c r="AK14" s="16">
        <f>0.83*B14*0.8685</f>
        <v>4011.7743315</v>
      </c>
      <c r="AL14" s="16">
        <f aca="true" t="shared" si="9" ref="AL14:AL19">AK14*0.18</f>
        <v>722.11937967</v>
      </c>
      <c r="AM14" s="16">
        <f>1.91*B14*0.8686</f>
        <v>9232.977397800001</v>
      </c>
      <c r="AN14" s="16">
        <f aca="true" t="shared" si="10" ref="AN14:AN19">AM14*0.18</f>
        <v>1661.9359316040002</v>
      </c>
      <c r="AO14" s="16"/>
      <c r="AP14" s="16">
        <f aca="true" t="shared" si="11" ref="AP14:AR19">AO14*0.18</f>
        <v>0</v>
      </c>
      <c r="AQ14" s="117"/>
      <c r="AR14" s="117">
        <f>AQ14*0.18</f>
        <v>0</v>
      </c>
      <c r="AS14" s="97">
        <v>12338</v>
      </c>
      <c r="AT14" s="97"/>
      <c r="AU14" s="97">
        <f>(AS14+AT14)*0.18+0.01</f>
        <v>2220.85</v>
      </c>
      <c r="AV14" s="118">
        <v>508</v>
      </c>
      <c r="AW14" s="119">
        <v>3.25</v>
      </c>
      <c r="AX14" s="16"/>
      <c r="AY14" s="121"/>
      <c r="AZ14" s="122"/>
      <c r="BA14" s="122">
        <f aca="true" t="shared" si="12" ref="BA14:BA19">AZ14*0.18</f>
        <v>0</v>
      </c>
      <c r="BB14" s="122">
        <f>SUM(AG14:AU14)</f>
        <v>39024.222345874</v>
      </c>
      <c r="BC14" s="132">
        <f>'[3]Т01-09'!$O$13+'[3]Т01-09'!$O$35</f>
        <v>952.3382353800001</v>
      </c>
      <c r="BD14" s="14">
        <f>AC14+AF14-BB14-BC14</f>
        <v>-5239.305336253997</v>
      </c>
      <c r="BE14" s="30">
        <f>AB14-S14</f>
        <v>-11714.330000000005</v>
      </c>
    </row>
    <row r="15" spans="1:57" ht="12.75">
      <c r="A15" s="11" t="s">
        <v>46</v>
      </c>
      <c r="B15" s="115">
        <v>5563.2</v>
      </c>
      <c r="C15" s="105">
        <f t="shared" si="1"/>
        <v>48121.68</v>
      </c>
      <c r="D15" s="106">
        <f>C15*0.125</f>
        <v>6015.21</v>
      </c>
      <c r="E15" s="107">
        <v>3678.34</v>
      </c>
      <c r="F15" s="107">
        <v>890.42</v>
      </c>
      <c r="G15" s="107">
        <v>4965.79</v>
      </c>
      <c r="H15" s="107">
        <v>1202.1</v>
      </c>
      <c r="I15" s="107">
        <v>11954.65</v>
      </c>
      <c r="J15" s="107">
        <v>2893.86</v>
      </c>
      <c r="K15" s="107">
        <v>8276.3</v>
      </c>
      <c r="L15" s="107">
        <v>2003.44</v>
      </c>
      <c r="M15" s="107">
        <v>2942.63</v>
      </c>
      <c r="N15" s="107">
        <v>712.36</v>
      </c>
      <c r="O15" s="107">
        <v>0</v>
      </c>
      <c r="P15" s="114">
        <v>0</v>
      </c>
      <c r="Q15" s="107">
        <v>0</v>
      </c>
      <c r="R15" s="114">
        <v>0</v>
      </c>
      <c r="S15" s="91">
        <f t="shared" si="2"/>
        <v>31817.71</v>
      </c>
      <c r="T15" s="108">
        <f t="shared" si="3"/>
        <v>7702.18</v>
      </c>
      <c r="U15" s="91">
        <v>3265.07</v>
      </c>
      <c r="V15" s="91">
        <v>4408.07</v>
      </c>
      <c r="W15" s="91">
        <v>10389.3</v>
      </c>
      <c r="X15" s="91">
        <v>7346.79</v>
      </c>
      <c r="Y15" s="91">
        <v>2612.15</v>
      </c>
      <c r="Z15" s="109">
        <v>0</v>
      </c>
      <c r="AA15" s="109">
        <v>0</v>
      </c>
      <c r="AB15" s="112">
        <f t="shared" si="4"/>
        <v>28021.38</v>
      </c>
      <c r="AC15" s="113">
        <f t="shared" si="5"/>
        <v>41738.770000000004</v>
      </c>
      <c r="AD15" s="102">
        <f t="shared" si="6"/>
        <v>0</v>
      </c>
      <c r="AE15" s="102">
        <f t="shared" si="7"/>
        <v>0</v>
      </c>
      <c r="AF15" s="102">
        <f>'[2]Т02-09'!$I$13+'[2]Т02-09'!$I$35</f>
        <v>2240.01462</v>
      </c>
      <c r="AG15" s="16">
        <f>0.6*B15*0.9</f>
        <v>3004.1279999999997</v>
      </c>
      <c r="AH15" s="16">
        <f>B15*0.2*0.9153</f>
        <v>1018.3993920000001</v>
      </c>
      <c r="AI15" s="16">
        <f>0.85*B15*0.866</f>
        <v>4095.0715199999995</v>
      </c>
      <c r="AJ15" s="16">
        <f t="shared" si="8"/>
        <v>737.1128735999998</v>
      </c>
      <c r="AK15" s="16">
        <f>0.83*B15*0.8684</f>
        <v>4009.7987903999992</v>
      </c>
      <c r="AL15" s="16">
        <f t="shared" si="9"/>
        <v>721.7637822719998</v>
      </c>
      <c r="AM15" s="16">
        <f>(1.91)*B15*0.8684</f>
        <v>9227.368300799999</v>
      </c>
      <c r="AN15" s="16">
        <f t="shared" si="10"/>
        <v>1660.9262941439997</v>
      </c>
      <c r="AO15" s="16"/>
      <c r="AP15" s="16">
        <f t="shared" si="11"/>
        <v>0</v>
      </c>
      <c r="AQ15" s="117"/>
      <c r="AR15" s="117">
        <f>AQ15*0.18</f>
        <v>0</v>
      </c>
      <c r="AS15" s="97">
        <v>2005</v>
      </c>
      <c r="AT15" s="97"/>
      <c r="AU15" s="97">
        <f>(AS15+AT15)*0.18</f>
        <v>360.9</v>
      </c>
      <c r="AV15" s="118">
        <v>407</v>
      </c>
      <c r="AW15" s="119">
        <v>3.25</v>
      </c>
      <c r="AX15" s="16"/>
      <c r="AY15" s="121"/>
      <c r="AZ15" s="122"/>
      <c r="BA15" s="122">
        <f t="shared" si="12"/>
        <v>0</v>
      </c>
      <c r="BB15" s="122">
        <f>SUM(AG15:AU15)+AY15</f>
        <v>26840.468953215994</v>
      </c>
      <c r="BC15" s="128">
        <f>'[3]Т02-09'!$O$13+'[3]Т02-09'!$O$35</f>
        <v>953.7698172800002</v>
      </c>
      <c r="BD15" s="14">
        <f aca="true" t="shared" si="13" ref="BD15:BD24">AC15+AF15-BB15-BC15</f>
        <v>16184.545849504011</v>
      </c>
      <c r="BE15" s="30">
        <f aca="true" t="shared" si="14" ref="BE15:BE24">AB15-S15</f>
        <v>-3796.329999999998</v>
      </c>
    </row>
    <row r="16" spans="1:57" ht="12.75">
      <c r="A16" s="11" t="s">
        <v>47</v>
      </c>
      <c r="B16" s="129">
        <v>5563.2</v>
      </c>
      <c r="C16" s="105">
        <f t="shared" si="1"/>
        <v>48121.68</v>
      </c>
      <c r="D16" s="106">
        <f>C16*0.125</f>
        <v>6015.21</v>
      </c>
      <c r="E16" s="107">
        <v>3668.83</v>
      </c>
      <c r="F16" s="107">
        <v>898.42</v>
      </c>
      <c r="G16" s="107">
        <v>4952.99</v>
      </c>
      <c r="H16" s="107">
        <v>1212.89</v>
      </c>
      <c r="I16" s="107">
        <v>11923.74</v>
      </c>
      <c r="J16" s="107">
        <v>2919.86</v>
      </c>
      <c r="K16" s="107">
        <v>8254.92</v>
      </c>
      <c r="L16" s="107">
        <v>2021.44</v>
      </c>
      <c r="M16" s="107">
        <v>2935.05</v>
      </c>
      <c r="N16" s="107">
        <v>718.76</v>
      </c>
      <c r="O16" s="107">
        <v>0</v>
      </c>
      <c r="P16" s="114">
        <v>0</v>
      </c>
      <c r="Q16" s="107">
        <v>0</v>
      </c>
      <c r="R16" s="114">
        <v>0</v>
      </c>
      <c r="S16" s="91">
        <f t="shared" si="2"/>
        <v>31735.529999999995</v>
      </c>
      <c r="T16" s="108">
        <f t="shared" si="3"/>
        <v>7771.37</v>
      </c>
      <c r="U16" s="92">
        <v>3721.83</v>
      </c>
      <c r="V16" s="92">
        <v>5024.42</v>
      </c>
      <c r="W16" s="92">
        <v>12095.75</v>
      </c>
      <c r="X16" s="92">
        <v>8374.05</v>
      </c>
      <c r="Y16" s="92">
        <v>2977.3</v>
      </c>
      <c r="Z16" s="123">
        <v>0</v>
      </c>
      <c r="AA16" s="123">
        <v>0</v>
      </c>
      <c r="AB16" s="116">
        <f t="shared" si="4"/>
        <v>32193.35</v>
      </c>
      <c r="AC16" s="113">
        <f t="shared" si="5"/>
        <v>45979.93</v>
      </c>
      <c r="AD16" s="102">
        <f t="shared" si="6"/>
        <v>0</v>
      </c>
      <c r="AE16" s="102">
        <f t="shared" si="7"/>
        <v>0</v>
      </c>
      <c r="AF16" s="102">
        <f>'[2]Т02-09'!$I$13+'[2]Т02-09'!$I$35</f>
        <v>2240.01462</v>
      </c>
      <c r="AG16" s="16">
        <f>0.6*B16*0.9</f>
        <v>3004.1279999999997</v>
      </c>
      <c r="AH16" s="124">
        <f>B16*0.2*0.9082-0.01</f>
        <v>1010.4896480000001</v>
      </c>
      <c r="AI16" s="16">
        <f>0.85*B16*0.8675</f>
        <v>4102.1646</v>
      </c>
      <c r="AJ16" s="16">
        <f t="shared" si="8"/>
        <v>738.389628</v>
      </c>
      <c r="AK16" s="124">
        <f>0.83*B16*0.838</f>
        <v>3869.428127999999</v>
      </c>
      <c r="AL16" s="16">
        <f t="shared" si="9"/>
        <v>696.4970630399998</v>
      </c>
      <c r="AM16" s="16">
        <f>1.91*B16*0.8381</f>
        <v>8905.4092272</v>
      </c>
      <c r="AN16" s="16">
        <f t="shared" si="10"/>
        <v>1602.973660896</v>
      </c>
      <c r="AO16" s="16"/>
      <c r="AP16" s="16">
        <f t="shared" si="11"/>
        <v>0</v>
      </c>
      <c r="AQ16" s="117"/>
      <c r="AR16" s="117">
        <f>AQ16*0.18</f>
        <v>0</v>
      </c>
      <c r="AS16" s="97">
        <v>11417</v>
      </c>
      <c r="AT16" s="97"/>
      <c r="AU16" s="97">
        <f>(AS16+AT16)*0.18</f>
        <v>2055.06</v>
      </c>
      <c r="AV16" s="118">
        <v>383</v>
      </c>
      <c r="AW16" s="119">
        <v>3.25</v>
      </c>
      <c r="AX16" s="16"/>
      <c r="AY16" s="121"/>
      <c r="AZ16" s="122"/>
      <c r="BA16" s="122">
        <f t="shared" si="12"/>
        <v>0</v>
      </c>
      <c r="BB16" s="122">
        <f>SUM(AG16:AU16)</f>
        <v>37401.539955136</v>
      </c>
      <c r="BC16" s="128">
        <f>'[3]Т03-09'!$O$13+'[3]Т03-09'!$O$35</f>
        <v>933.76496399</v>
      </c>
      <c r="BD16" s="14">
        <f t="shared" si="13"/>
        <v>9884.639700874</v>
      </c>
      <c r="BE16" s="30">
        <f t="shared" si="14"/>
        <v>457.82000000000335</v>
      </c>
    </row>
    <row r="17" spans="1:57" ht="12.75">
      <c r="A17" s="11" t="s">
        <v>48</v>
      </c>
      <c r="B17" s="125">
        <v>5563.2</v>
      </c>
      <c r="C17" s="105">
        <f t="shared" si="1"/>
        <v>48121.68</v>
      </c>
      <c r="D17" s="106">
        <f>C17*0.125</f>
        <v>6015.21</v>
      </c>
      <c r="E17" s="126">
        <v>3698.99</v>
      </c>
      <c r="F17" s="126">
        <v>889.87</v>
      </c>
      <c r="G17" s="126">
        <v>4993.71</v>
      </c>
      <c r="H17" s="126">
        <v>1201.35</v>
      </c>
      <c r="I17" s="126">
        <v>12021.81</v>
      </c>
      <c r="J17" s="126">
        <v>2892.08</v>
      </c>
      <c r="K17" s="126">
        <v>8322.81</v>
      </c>
      <c r="L17" s="126">
        <v>2002.21</v>
      </c>
      <c r="M17" s="126">
        <v>2959.18</v>
      </c>
      <c r="N17" s="126">
        <v>711.93</v>
      </c>
      <c r="O17" s="126">
        <v>0</v>
      </c>
      <c r="P17" s="127">
        <v>0</v>
      </c>
      <c r="Q17" s="126">
        <v>0</v>
      </c>
      <c r="R17" s="127">
        <v>0</v>
      </c>
      <c r="S17" s="91">
        <f t="shared" si="2"/>
        <v>31996.5</v>
      </c>
      <c r="T17" s="108">
        <f t="shared" si="3"/>
        <v>7697.44</v>
      </c>
      <c r="U17" s="91">
        <v>3547.48</v>
      </c>
      <c r="V17" s="91">
        <v>4789.14</v>
      </c>
      <c r="W17" s="91">
        <v>11529.36</v>
      </c>
      <c r="X17" s="91">
        <v>7981.86</v>
      </c>
      <c r="Y17" s="91">
        <v>2837.94</v>
      </c>
      <c r="Z17" s="91">
        <v>0</v>
      </c>
      <c r="AA17" s="91">
        <v>0</v>
      </c>
      <c r="AB17" s="116">
        <f t="shared" si="4"/>
        <v>30685.780000000002</v>
      </c>
      <c r="AC17" s="113">
        <f t="shared" si="5"/>
        <v>44398.43</v>
      </c>
      <c r="AD17" s="102">
        <f t="shared" si="6"/>
        <v>0</v>
      </c>
      <c r="AE17" s="102">
        <f t="shared" si="7"/>
        <v>0</v>
      </c>
      <c r="AF17" s="102">
        <f>'[3]Т04-09'!$I$13+'[3]Т04-09'!$I$35</f>
        <v>2240.01462</v>
      </c>
      <c r="AG17" s="16">
        <f>0.6*B17*0.9</f>
        <v>3004.1279999999997</v>
      </c>
      <c r="AH17" s="124">
        <f>B17*0.2*0.9234</f>
        <v>1027.4117760000001</v>
      </c>
      <c r="AI17" s="16">
        <f>0.85*B17*0.8934</f>
        <v>4224.638448</v>
      </c>
      <c r="AJ17" s="16">
        <f t="shared" si="8"/>
        <v>760.43492064</v>
      </c>
      <c r="AK17" s="16">
        <f>0.83*B17*0.8498</f>
        <v>3923.914108799999</v>
      </c>
      <c r="AL17" s="16">
        <f t="shared" si="9"/>
        <v>706.3045395839998</v>
      </c>
      <c r="AM17" s="16">
        <f>(1.91)*B17*0.8498</f>
        <v>9029.7300576</v>
      </c>
      <c r="AN17" s="16">
        <f t="shared" si="10"/>
        <v>1625.351410368</v>
      </c>
      <c r="AO17" s="16"/>
      <c r="AP17" s="16">
        <f t="shared" si="11"/>
        <v>0</v>
      </c>
      <c r="AQ17" s="117">
        <f>1588.983</f>
        <v>1588.983</v>
      </c>
      <c r="AR17" s="117">
        <f t="shared" si="11"/>
        <v>286.01694</v>
      </c>
      <c r="AS17" s="97">
        <v>67951.76</v>
      </c>
      <c r="AT17" s="97"/>
      <c r="AU17" s="97">
        <f>(AS17+AT17)*0.18</f>
        <v>12231.316799999999</v>
      </c>
      <c r="AV17" s="118">
        <v>307</v>
      </c>
      <c r="AW17" s="119">
        <v>3.25</v>
      </c>
      <c r="AX17" s="16">
        <v>6893.81</v>
      </c>
      <c r="AY17" s="121"/>
      <c r="AZ17" s="122"/>
      <c r="BA17" s="122">
        <f t="shared" si="12"/>
        <v>0</v>
      </c>
      <c r="BB17" s="122">
        <f aca="true" t="shared" si="15" ref="BB17:BB22">SUM(AG17:BA17)-AV17-AW17</f>
        <v>113253.80000099199</v>
      </c>
      <c r="BC17" s="128">
        <f>'[3]Т04-09'!$O$13+'[3]Т04-09'!$O$35</f>
        <v>960.4056204400001</v>
      </c>
      <c r="BD17" s="14">
        <f t="shared" si="13"/>
        <v>-67575.761001432</v>
      </c>
      <c r="BE17" s="30">
        <f t="shared" si="14"/>
        <v>-1310.7199999999975</v>
      </c>
    </row>
    <row r="18" spans="1:57" ht="12.75">
      <c r="A18" s="11" t="s">
        <v>49</v>
      </c>
      <c r="B18" s="129">
        <v>5562</v>
      </c>
      <c r="C18" s="105">
        <f t="shared" si="1"/>
        <v>48111.3</v>
      </c>
      <c r="D18" s="130">
        <f>C18-E18-F18-G18-H18-I18-J18-K18-L18-M18-N18</f>
        <v>4595.300000000001</v>
      </c>
      <c r="E18" s="126">
        <v>4047.3</v>
      </c>
      <c r="F18" s="126">
        <v>975.47</v>
      </c>
      <c r="G18" s="126">
        <v>5481.53</v>
      </c>
      <c r="H18" s="126">
        <v>1322.28</v>
      </c>
      <c r="I18" s="126">
        <v>13171.34</v>
      </c>
      <c r="J18" s="126">
        <v>3175.64</v>
      </c>
      <c r="K18" s="126">
        <v>9124.09</v>
      </c>
      <c r="L18" s="126">
        <v>2200.18</v>
      </c>
      <c r="M18" s="126">
        <v>3237.84</v>
      </c>
      <c r="N18" s="126">
        <v>780.33</v>
      </c>
      <c r="O18" s="126">
        <v>0</v>
      </c>
      <c r="P18" s="127">
        <v>0</v>
      </c>
      <c r="Q18" s="126">
        <v>0</v>
      </c>
      <c r="R18" s="127">
        <v>0</v>
      </c>
      <c r="S18" s="91">
        <f t="shared" si="2"/>
        <v>35062.1</v>
      </c>
      <c r="T18" s="108">
        <f t="shared" si="3"/>
        <v>8453.9</v>
      </c>
      <c r="U18" s="92">
        <v>3387.87</v>
      </c>
      <c r="V18" s="92">
        <v>4573.68</v>
      </c>
      <c r="W18" s="92">
        <v>11027.75</v>
      </c>
      <c r="X18" s="92">
        <v>7622.8</v>
      </c>
      <c r="Y18" s="92">
        <v>2710.29</v>
      </c>
      <c r="Z18" s="123">
        <v>0</v>
      </c>
      <c r="AA18" s="123">
        <v>0</v>
      </c>
      <c r="AB18" s="116">
        <f t="shared" si="4"/>
        <v>29322.39</v>
      </c>
      <c r="AC18" s="113">
        <f t="shared" si="5"/>
        <v>42371.59</v>
      </c>
      <c r="AD18" s="102">
        <f t="shared" si="6"/>
        <v>0</v>
      </c>
      <c r="AE18" s="102">
        <f t="shared" si="7"/>
        <v>0</v>
      </c>
      <c r="AF18" s="102">
        <f>'[3]Т04-09'!$I$13+'[3]Т04-09'!$I$35</f>
        <v>2240.01462</v>
      </c>
      <c r="AG18" s="16">
        <f>0.6*B18</f>
        <v>3337.2</v>
      </c>
      <c r="AH18" s="16">
        <f>B18*0.2*1.01</f>
        <v>1123.5240000000001</v>
      </c>
      <c r="AI18" s="16">
        <f>0.85*B18</f>
        <v>4727.7</v>
      </c>
      <c r="AJ18" s="16">
        <f t="shared" si="8"/>
        <v>850.986</v>
      </c>
      <c r="AK18" s="16">
        <f>0.83*B18</f>
        <v>4616.46</v>
      </c>
      <c r="AL18" s="16">
        <f t="shared" si="9"/>
        <v>830.9628</v>
      </c>
      <c r="AM18" s="16">
        <f>(1.91)*B18</f>
        <v>10623.42</v>
      </c>
      <c r="AN18" s="16">
        <f t="shared" si="10"/>
        <v>1912.2156</v>
      </c>
      <c r="AO18" s="16"/>
      <c r="AP18" s="16">
        <f t="shared" si="11"/>
        <v>0</v>
      </c>
      <c r="AQ18" s="117"/>
      <c r="AR18" s="117">
        <f t="shared" si="11"/>
        <v>0</v>
      </c>
      <c r="AS18" s="97">
        <v>103074.07</v>
      </c>
      <c r="AT18" s="97"/>
      <c r="AU18" s="97">
        <f>(AS18+AT18)*0.18</f>
        <v>18553.3326</v>
      </c>
      <c r="AV18" s="118">
        <v>263</v>
      </c>
      <c r="AW18" s="119">
        <v>3.25</v>
      </c>
      <c r="AX18" s="16">
        <f aca="true" t="shared" si="16" ref="AX18:AX25">AV18*AW18*1.12*1.18</f>
        <v>1129.6376</v>
      </c>
      <c r="AY18" s="121"/>
      <c r="AZ18" s="122"/>
      <c r="BA18" s="122">
        <f t="shared" si="12"/>
        <v>0</v>
      </c>
      <c r="BB18" s="122">
        <f t="shared" si="15"/>
        <v>150779.5086</v>
      </c>
      <c r="BC18" s="128">
        <f>'[3]Т05-09'!$O$13+'[3]Т05-09'!$O$35</f>
        <v>1072.05951495</v>
      </c>
      <c r="BD18" s="14">
        <f t="shared" si="13"/>
        <v>-107239.96349495</v>
      </c>
      <c r="BE18" s="30">
        <f t="shared" si="14"/>
        <v>-5739.709999999999</v>
      </c>
    </row>
    <row r="19" spans="1:57" ht="12.75">
      <c r="A19" s="11" t="s">
        <v>50</v>
      </c>
      <c r="B19" s="129">
        <v>5562</v>
      </c>
      <c r="C19" s="105">
        <f t="shared" si="1"/>
        <v>48111.3</v>
      </c>
      <c r="D19" s="130">
        <f>C19-E19-F19-G19-H19-I19-J19-K19-L19-M19-N19</f>
        <v>4646.6400000000085</v>
      </c>
      <c r="E19" s="126">
        <v>4033.28</v>
      </c>
      <c r="F19" s="126">
        <v>983.58</v>
      </c>
      <c r="G19" s="126">
        <v>5462.48</v>
      </c>
      <c r="H19" s="126">
        <v>1333.29</v>
      </c>
      <c r="I19" s="126">
        <v>13125.56</v>
      </c>
      <c r="J19" s="126">
        <v>3202.12</v>
      </c>
      <c r="K19" s="126">
        <v>9092.36</v>
      </c>
      <c r="L19" s="126">
        <v>2218.56</v>
      </c>
      <c r="M19" s="126">
        <v>3226.59</v>
      </c>
      <c r="N19" s="126">
        <v>786.84</v>
      </c>
      <c r="O19" s="126">
        <v>0</v>
      </c>
      <c r="P19" s="127">
        <v>0</v>
      </c>
      <c r="Q19" s="126">
        <v>0</v>
      </c>
      <c r="R19" s="127">
        <v>0</v>
      </c>
      <c r="S19" s="91">
        <f t="shared" si="2"/>
        <v>34940.270000000004</v>
      </c>
      <c r="T19" s="108">
        <f t="shared" si="3"/>
        <v>8524.390000000001</v>
      </c>
      <c r="U19" s="92">
        <v>4027.68</v>
      </c>
      <c r="V19" s="92">
        <v>5451.35</v>
      </c>
      <c r="W19" s="92">
        <v>13103.92</v>
      </c>
      <c r="X19" s="92">
        <v>9076.03</v>
      </c>
      <c r="Y19" s="92">
        <v>3222.19</v>
      </c>
      <c r="Z19" s="123">
        <v>0</v>
      </c>
      <c r="AA19" s="123">
        <v>0</v>
      </c>
      <c r="AB19" s="116">
        <f t="shared" si="4"/>
        <v>34881.170000000006</v>
      </c>
      <c r="AC19" s="113">
        <f t="shared" si="5"/>
        <v>48052.20000000001</v>
      </c>
      <c r="AD19" s="102">
        <f t="shared" si="6"/>
        <v>0</v>
      </c>
      <c r="AE19" s="102">
        <f t="shared" si="7"/>
        <v>0</v>
      </c>
      <c r="AF19" s="102">
        <f>'[3]Т06-09'!$I$13+'[3]Т06-09'!$I$35</f>
        <v>2240.01462</v>
      </c>
      <c r="AG19" s="16">
        <f>0.6*B19</f>
        <v>3337.2</v>
      </c>
      <c r="AH19" s="16">
        <f>B19*0.2*1.01045-0.01</f>
        <v>1124.0145800000003</v>
      </c>
      <c r="AI19" s="16">
        <f>0.85*B19</f>
        <v>4727.7</v>
      </c>
      <c r="AJ19" s="16">
        <f t="shared" si="8"/>
        <v>850.986</v>
      </c>
      <c r="AK19" s="16">
        <f>0.83*B19</f>
        <v>4616.46</v>
      </c>
      <c r="AL19" s="16">
        <f t="shared" si="9"/>
        <v>830.9628</v>
      </c>
      <c r="AM19" s="16">
        <f>(1.91)*B19+0.01</f>
        <v>10623.43</v>
      </c>
      <c r="AN19" s="16">
        <f t="shared" si="10"/>
        <v>1912.2174</v>
      </c>
      <c r="AO19" s="16"/>
      <c r="AP19" s="16">
        <f t="shared" si="11"/>
        <v>0</v>
      </c>
      <c r="AQ19" s="117"/>
      <c r="AR19" s="117">
        <f t="shared" si="11"/>
        <v>0</v>
      </c>
      <c r="AS19" s="97">
        <v>20046.48</v>
      </c>
      <c r="AT19" s="97"/>
      <c r="AU19" s="97">
        <f>(AS19+AT19)*0.18</f>
        <v>3608.3664</v>
      </c>
      <c r="AV19" s="118">
        <v>233</v>
      </c>
      <c r="AW19" s="119">
        <v>3.25</v>
      </c>
      <c r="AX19" s="16">
        <f t="shared" si="16"/>
        <v>1000.7816000000001</v>
      </c>
      <c r="AY19" s="121"/>
      <c r="AZ19" s="122"/>
      <c r="BA19" s="122">
        <f t="shared" si="12"/>
        <v>0</v>
      </c>
      <c r="BB19" s="122">
        <f t="shared" si="15"/>
        <v>52678.59878</v>
      </c>
      <c r="BC19" s="128">
        <f>'[3]Т06-09'!$O$13+'[3]Т06-09'!$O$35</f>
        <v>1067.66118</v>
      </c>
      <c r="BD19" s="14">
        <f t="shared" si="13"/>
        <v>-3454.045339999987</v>
      </c>
      <c r="BE19" s="30">
        <f t="shared" si="14"/>
        <v>-59.099999999998545</v>
      </c>
    </row>
    <row r="20" spans="1:57" ht="12.75">
      <c r="A20" s="11" t="s">
        <v>51</v>
      </c>
      <c r="B20" s="115">
        <v>5562</v>
      </c>
      <c r="C20" s="105">
        <f aca="true" t="shared" si="17" ref="C20:C25">B20*8.65</f>
        <v>48111.3</v>
      </c>
      <c r="D20" s="130">
        <f aca="true" t="shared" si="18" ref="D20:D25">C20-E20-F20-G20-H20-I20-J20-K20-L20-M20-N20</f>
        <v>4530.730000000004</v>
      </c>
      <c r="E20" s="126">
        <v>4046.6</v>
      </c>
      <c r="F20" s="126">
        <v>983.63</v>
      </c>
      <c r="G20" s="126">
        <v>5480.62</v>
      </c>
      <c r="H20" s="126">
        <v>1333.29</v>
      </c>
      <c r="I20" s="126">
        <v>13169.11</v>
      </c>
      <c r="J20" s="126">
        <v>3202.12</v>
      </c>
      <c r="K20" s="126">
        <v>9122.55</v>
      </c>
      <c r="L20" s="126">
        <v>2218.52</v>
      </c>
      <c r="M20" s="126">
        <v>3237.29</v>
      </c>
      <c r="N20" s="126">
        <v>786.84</v>
      </c>
      <c r="O20" s="126">
        <v>0</v>
      </c>
      <c r="P20" s="127">
        <v>0</v>
      </c>
      <c r="Q20" s="126">
        <v>0</v>
      </c>
      <c r="R20" s="127">
        <v>0</v>
      </c>
      <c r="S20" s="91">
        <f aca="true" t="shared" si="19" ref="S20:S25">E20+G20+I20+K20+M20+O20+Q20</f>
        <v>35056.17</v>
      </c>
      <c r="T20" s="108">
        <f aca="true" t="shared" si="20" ref="T20:T25">P20+N20+L20+J20+H20+F20+R20</f>
        <v>8524.4</v>
      </c>
      <c r="U20" s="92">
        <v>4286.9</v>
      </c>
      <c r="V20" s="92">
        <v>5802.08</v>
      </c>
      <c r="W20" s="92">
        <v>13947.93</v>
      </c>
      <c r="X20" s="92">
        <v>9660.88</v>
      </c>
      <c r="Y20" s="92">
        <v>3429.5</v>
      </c>
      <c r="Z20" s="123">
        <v>0</v>
      </c>
      <c r="AA20" s="123">
        <v>0</v>
      </c>
      <c r="AB20" s="116">
        <f aca="true" t="shared" si="21" ref="AB20:AB25">SUM(U20:AA20)</f>
        <v>37127.29</v>
      </c>
      <c r="AC20" s="113">
        <f>D20+T20+AB20</f>
        <v>50182.420000000006</v>
      </c>
      <c r="AD20" s="102">
        <f aca="true" t="shared" si="22" ref="AD20:AD25">P20+Z20</f>
        <v>0</v>
      </c>
      <c r="AE20" s="102">
        <f aca="true" t="shared" si="23" ref="AE20:AE25">R20+AA20</f>
        <v>0</v>
      </c>
      <c r="AF20" s="102">
        <f>'[3]Т07-09'!$I$14+'[3]Т07-09'!$I$36+'[3]Т07-09'!$I$46+'[3]Т07-09'!$I$59+'[3]Т07-09'!$I$71+'[3]Т07-09'!$I$73+'[3]Т07-09'!$I$74</f>
        <v>15231.82462</v>
      </c>
      <c r="AG20" s="16">
        <f aca="true" t="shared" si="24" ref="AG20:AG25">0.6*B20</f>
        <v>3337.2</v>
      </c>
      <c r="AH20" s="16">
        <f>B20*0.2*0.99425</f>
        <v>1106.0037</v>
      </c>
      <c r="AI20" s="16">
        <f>0.85*B20*0.9857</f>
        <v>4660.09389</v>
      </c>
      <c r="AJ20" s="16">
        <f aca="true" t="shared" si="25" ref="AJ20:AJ25">AI20*0.18</f>
        <v>838.8169002</v>
      </c>
      <c r="AK20" s="16">
        <f>0.83*B20*0.9905</f>
        <v>4572.6036300000005</v>
      </c>
      <c r="AL20" s="16">
        <f aca="true" t="shared" si="26" ref="AL20:AL25">AK20*0.18</f>
        <v>823.0686534</v>
      </c>
      <c r="AM20" s="16">
        <f>(1.91)*B20*0.9904</f>
        <v>10521.435168</v>
      </c>
      <c r="AN20" s="16">
        <f aca="true" t="shared" si="27" ref="AN20:AN25">AM20*0.18</f>
        <v>1893.85833024</v>
      </c>
      <c r="AO20" s="16"/>
      <c r="AP20" s="16">
        <f aca="true" t="shared" si="28" ref="AP20:AR25">AO20*0.18</f>
        <v>0</v>
      </c>
      <c r="AQ20" s="117"/>
      <c r="AR20" s="117">
        <f t="shared" si="28"/>
        <v>0</v>
      </c>
      <c r="AS20" s="97">
        <v>39038.05</v>
      </c>
      <c r="AT20" s="97"/>
      <c r="AU20" s="97">
        <f aca="true" t="shared" si="29" ref="AU20:AU25">(AS20+AT20)*0.18</f>
        <v>7026.849</v>
      </c>
      <c r="AV20" s="118">
        <v>248</v>
      </c>
      <c r="AW20" s="119">
        <v>3.25</v>
      </c>
      <c r="AX20" s="16">
        <f t="shared" si="16"/>
        <v>1065.2096000000001</v>
      </c>
      <c r="AY20" s="121"/>
      <c r="AZ20" s="122"/>
      <c r="BA20" s="122">
        <f aca="true" t="shared" si="30" ref="BA20:BA25">AZ20*0.18</f>
        <v>0</v>
      </c>
      <c r="BB20" s="122">
        <f t="shared" si="15"/>
        <v>74883.18887184</v>
      </c>
      <c r="BC20" s="128">
        <f>'[3]Т07-09'!$O$14+'[3]Т07-09'!$O$36+'[3]Т07-09'!$O$46+'[3]Т07-09'!$O$59+'[3]Т07-09'!$O$71+'[3]Т07-09'!$O$73+'[3]Т07-09'!$O$74</f>
        <v>6260.67865992</v>
      </c>
      <c r="BD20" s="14">
        <f t="shared" si="13"/>
        <v>-15729.622911759996</v>
      </c>
      <c r="BE20" s="30">
        <f t="shared" si="14"/>
        <v>2071.1200000000026</v>
      </c>
    </row>
    <row r="21" spans="1:57" ht="12.75">
      <c r="A21" s="11" t="s">
        <v>52</v>
      </c>
      <c r="B21" s="115">
        <v>5562</v>
      </c>
      <c r="C21" s="105">
        <f t="shared" si="17"/>
        <v>48111.3</v>
      </c>
      <c r="D21" s="130">
        <f t="shared" si="18"/>
        <v>4537.930000000001</v>
      </c>
      <c r="E21" s="126">
        <v>4045.75</v>
      </c>
      <c r="F21" s="126">
        <v>983.63</v>
      </c>
      <c r="G21" s="126">
        <v>5479.51</v>
      </c>
      <c r="H21" s="126">
        <v>1333.3</v>
      </c>
      <c r="I21" s="126">
        <v>13166.39</v>
      </c>
      <c r="J21" s="126">
        <v>3202.12</v>
      </c>
      <c r="K21" s="126">
        <v>9120.68</v>
      </c>
      <c r="L21" s="126">
        <v>2218.52</v>
      </c>
      <c r="M21" s="126">
        <v>3236.63</v>
      </c>
      <c r="N21" s="126">
        <v>786.84</v>
      </c>
      <c r="O21" s="126">
        <v>0</v>
      </c>
      <c r="P21" s="127">
        <v>0</v>
      </c>
      <c r="Q21" s="92">
        <v>0</v>
      </c>
      <c r="R21" s="92">
        <v>0</v>
      </c>
      <c r="S21" s="91">
        <f t="shared" si="19"/>
        <v>35048.96</v>
      </c>
      <c r="T21" s="108">
        <f t="shared" si="20"/>
        <v>8524.41</v>
      </c>
      <c r="U21" s="92">
        <v>3933.49</v>
      </c>
      <c r="V21" s="92">
        <v>5326.83</v>
      </c>
      <c r="W21" s="92">
        <v>12798.93</v>
      </c>
      <c r="X21" s="92">
        <v>8866.27</v>
      </c>
      <c r="Y21" s="92">
        <v>3146.85</v>
      </c>
      <c r="Z21" s="123">
        <v>0</v>
      </c>
      <c r="AA21" s="123">
        <v>0</v>
      </c>
      <c r="AB21" s="116">
        <f t="shared" si="21"/>
        <v>34072.37</v>
      </c>
      <c r="AC21" s="113">
        <f>D21+T21+AB21</f>
        <v>47134.71000000001</v>
      </c>
      <c r="AD21" s="102">
        <f t="shared" si="22"/>
        <v>0</v>
      </c>
      <c r="AE21" s="102">
        <f t="shared" si="23"/>
        <v>0</v>
      </c>
      <c r="AF21" s="102">
        <f>'[3]Т08-09'!$I$14+'[3]Т08-09'!$I$36+'[3]Т08-09'!$I$46+'[3]Т08-09'!$I$60+'[3]Т08-09'!$I$72+'[3]Т08-09'!$I$74+'[3]Т08-09'!$I$75</f>
        <v>15231.82462</v>
      </c>
      <c r="AG21" s="16">
        <f t="shared" si="24"/>
        <v>3337.2</v>
      </c>
      <c r="AH21" s="16">
        <f>B21*0.2*0.99875</f>
        <v>1111.0095000000001</v>
      </c>
      <c r="AI21" s="16">
        <f>0.85*B21</f>
        <v>4727.7</v>
      </c>
      <c r="AJ21" s="16">
        <f t="shared" si="25"/>
        <v>850.986</v>
      </c>
      <c r="AK21" s="16">
        <f>0.83*B21</f>
        <v>4616.46</v>
      </c>
      <c r="AL21" s="16">
        <f t="shared" si="26"/>
        <v>830.9628</v>
      </c>
      <c r="AM21" s="16">
        <f>(1.91)*B21</f>
        <v>10623.42</v>
      </c>
      <c r="AN21" s="16">
        <f t="shared" si="27"/>
        <v>1912.2156</v>
      </c>
      <c r="AO21" s="16"/>
      <c r="AP21" s="16">
        <f t="shared" si="28"/>
        <v>0</v>
      </c>
      <c r="AQ21" s="117"/>
      <c r="AR21" s="117">
        <f t="shared" si="28"/>
        <v>0</v>
      </c>
      <c r="AS21" s="97">
        <v>21495.52</v>
      </c>
      <c r="AT21" s="97"/>
      <c r="AU21" s="97">
        <f t="shared" si="29"/>
        <v>3869.1936</v>
      </c>
      <c r="AV21" s="118">
        <v>293</v>
      </c>
      <c r="AW21" s="119">
        <v>3.25</v>
      </c>
      <c r="AX21" s="16">
        <f t="shared" si="16"/>
        <v>1258.4936000000002</v>
      </c>
      <c r="AY21" s="121"/>
      <c r="AZ21" s="122"/>
      <c r="BA21" s="122">
        <f t="shared" si="30"/>
        <v>0</v>
      </c>
      <c r="BB21" s="122">
        <f t="shared" si="15"/>
        <v>54633.1611</v>
      </c>
      <c r="BC21" s="128">
        <f>'[3]Т08-09'!$O$14+'[3]Т08-09'!$O$36+'[3]Т08-09'!$O$46+'[3]Т08-09'!$O$60+'[3]Т08-09'!$O$72+'[3]Т08-09'!$O$74+'[3]Т08-09'!$O$75</f>
        <v>6281.0141144</v>
      </c>
      <c r="BD21" s="14">
        <f t="shared" si="13"/>
        <v>1452.3594056000084</v>
      </c>
      <c r="BE21" s="30">
        <f t="shared" si="14"/>
        <v>-976.5899999999965</v>
      </c>
    </row>
    <row r="22" spans="1:57" ht="12.75">
      <c r="A22" s="11" t="s">
        <v>53</v>
      </c>
      <c r="B22" s="104">
        <v>5562</v>
      </c>
      <c r="C22" s="105">
        <f t="shared" si="17"/>
        <v>48111.3</v>
      </c>
      <c r="D22" s="130">
        <f t="shared" si="18"/>
        <v>4523.290000000001</v>
      </c>
      <c r="E22" s="107">
        <v>4066.8</v>
      </c>
      <c r="F22" s="107">
        <v>964.32</v>
      </c>
      <c r="G22" s="107">
        <v>5507.93</v>
      </c>
      <c r="H22" s="107">
        <v>1307.12</v>
      </c>
      <c r="I22" s="107">
        <v>13234.74</v>
      </c>
      <c r="J22" s="107">
        <v>3139.28</v>
      </c>
      <c r="K22" s="107">
        <v>9168</v>
      </c>
      <c r="L22" s="107">
        <v>2174.98</v>
      </c>
      <c r="M22" s="107">
        <v>3253.44</v>
      </c>
      <c r="N22" s="107">
        <v>771.4</v>
      </c>
      <c r="O22" s="107">
        <v>0</v>
      </c>
      <c r="P22" s="114">
        <v>0</v>
      </c>
      <c r="Q22" s="107">
        <v>0</v>
      </c>
      <c r="R22" s="114">
        <v>0</v>
      </c>
      <c r="S22" s="91">
        <f t="shared" si="19"/>
        <v>35230.91</v>
      </c>
      <c r="T22" s="108">
        <f t="shared" si="20"/>
        <v>8357.1</v>
      </c>
      <c r="U22" s="91">
        <v>3481.8</v>
      </c>
      <c r="V22" s="91">
        <v>4716.14</v>
      </c>
      <c r="W22" s="91">
        <v>11331.45</v>
      </c>
      <c r="X22" s="91">
        <v>7849.76</v>
      </c>
      <c r="Y22" s="91">
        <v>2785.39</v>
      </c>
      <c r="Z22" s="109">
        <v>0</v>
      </c>
      <c r="AA22" s="109">
        <v>0</v>
      </c>
      <c r="AB22" s="116">
        <f t="shared" si="21"/>
        <v>30164.54</v>
      </c>
      <c r="AC22" s="113">
        <f>D22+T22+AB22</f>
        <v>43044.93</v>
      </c>
      <c r="AD22" s="102">
        <f t="shared" si="22"/>
        <v>0</v>
      </c>
      <c r="AE22" s="102">
        <f t="shared" si="23"/>
        <v>0</v>
      </c>
      <c r="AF22" s="102">
        <f>'[3]Т09-09'!$I$14+'[3]Т09-09'!$I$36+'[3]Т09-09'!$I$46+'[3]Т09-09'!$I$60+'[3]Т09-09'!$I$72+'[3]Т09-09'!$I$74+'[3]Т09-09'!$I$75</f>
        <v>15231.82462</v>
      </c>
      <c r="AG22" s="16">
        <f t="shared" si="24"/>
        <v>3337.2</v>
      </c>
      <c r="AH22" s="16">
        <f>B22*0.2*0.9997</f>
        <v>1112.0662800000002</v>
      </c>
      <c r="AI22" s="16">
        <f>0.85*B22</f>
        <v>4727.7</v>
      </c>
      <c r="AJ22" s="16">
        <f t="shared" si="25"/>
        <v>850.986</v>
      </c>
      <c r="AK22" s="16">
        <f>0.83*B22</f>
        <v>4616.46</v>
      </c>
      <c r="AL22" s="16">
        <f t="shared" si="26"/>
        <v>830.9628</v>
      </c>
      <c r="AM22" s="16">
        <f>(1.91)*B22</f>
        <v>10623.42</v>
      </c>
      <c r="AN22" s="16">
        <f t="shared" si="27"/>
        <v>1912.2156</v>
      </c>
      <c r="AO22" s="16"/>
      <c r="AP22" s="16">
        <f t="shared" si="28"/>
        <v>0</v>
      </c>
      <c r="AQ22" s="117"/>
      <c r="AR22" s="117">
        <f t="shared" si="28"/>
        <v>0</v>
      </c>
      <c r="AS22" s="97"/>
      <c r="AT22" s="97"/>
      <c r="AU22" s="97">
        <f t="shared" si="29"/>
        <v>0</v>
      </c>
      <c r="AV22" s="118">
        <v>349</v>
      </c>
      <c r="AW22" s="119">
        <v>3.25</v>
      </c>
      <c r="AX22" s="16">
        <f t="shared" si="16"/>
        <v>1499.0248000000001</v>
      </c>
      <c r="AY22" s="121"/>
      <c r="AZ22" s="122"/>
      <c r="BA22" s="122">
        <f t="shared" si="30"/>
        <v>0</v>
      </c>
      <c r="BB22" s="122">
        <f t="shared" si="15"/>
        <v>29510.03548</v>
      </c>
      <c r="BC22" s="128">
        <f>'[3]Т09-09'!$O$14+'[3]Т09-09'!$O$36+'[3]Т09-09'!$O$46+'[3]Т09-09'!$O$60+'[3]Т09-09'!$O$72+'[3]Т09-09'!$O$74+'[3]Т09-09'!$O$75</f>
        <v>6299.216130119</v>
      </c>
      <c r="BD22" s="14">
        <f t="shared" si="13"/>
        <v>22467.503009881002</v>
      </c>
      <c r="BE22" s="30">
        <f>AB22-S22</f>
        <v>-5066.370000000003</v>
      </c>
    </row>
    <row r="23" spans="1:57" ht="12.75">
      <c r="A23" s="11" t="s">
        <v>41</v>
      </c>
      <c r="B23" s="104">
        <v>5560.8</v>
      </c>
      <c r="C23" s="131">
        <f t="shared" si="17"/>
        <v>48100.920000000006</v>
      </c>
      <c r="D23" s="130">
        <f t="shared" si="18"/>
        <v>4516.6600000000035</v>
      </c>
      <c r="E23" s="93">
        <f>4042.08-0.02</f>
        <v>4042.06</v>
      </c>
      <c r="F23" s="91">
        <v>988.61</v>
      </c>
      <c r="G23" s="91">
        <f>5474.38+0.02</f>
        <v>5474.400000000001</v>
      </c>
      <c r="H23" s="91">
        <v>1340.05</v>
      </c>
      <c r="I23" s="91">
        <f>13154.25+0.02</f>
        <v>13154.27</v>
      </c>
      <c r="J23" s="91">
        <v>3218.37</v>
      </c>
      <c r="K23" s="91">
        <f>9112.23+0.01</f>
        <v>9112.24</v>
      </c>
      <c r="L23" s="91">
        <v>2229.77</v>
      </c>
      <c r="M23" s="91">
        <v>3233.65</v>
      </c>
      <c r="N23" s="91">
        <v>790.84</v>
      </c>
      <c r="O23" s="91">
        <v>0</v>
      </c>
      <c r="P23" s="109">
        <v>0</v>
      </c>
      <c r="Q23" s="91">
        <v>0</v>
      </c>
      <c r="R23" s="91">
        <v>0</v>
      </c>
      <c r="S23" s="91">
        <f t="shared" si="19"/>
        <v>35016.62</v>
      </c>
      <c r="T23" s="108">
        <f t="shared" si="20"/>
        <v>8567.64</v>
      </c>
      <c r="U23" s="94">
        <f>3432.3+314.56</f>
        <v>3746.86</v>
      </c>
      <c r="V23" s="91">
        <f>4648.36+425.71</f>
        <v>5074.07</v>
      </c>
      <c r="W23" s="91">
        <f>11169.59+1023.37</f>
        <v>12192.960000000001</v>
      </c>
      <c r="X23" s="91">
        <f>7737.33+708.82</f>
        <v>8446.15</v>
      </c>
      <c r="Y23" s="91">
        <f>2745.85+251.65</f>
        <v>2997.5</v>
      </c>
      <c r="Z23" s="109">
        <v>0</v>
      </c>
      <c r="AA23" s="109">
        <v>0</v>
      </c>
      <c r="AB23" s="109">
        <f t="shared" si="21"/>
        <v>32457.54</v>
      </c>
      <c r="AC23" s="113">
        <f>AB23+T23+D23</f>
        <v>45541.840000000004</v>
      </c>
      <c r="AD23" s="102">
        <f t="shared" si="22"/>
        <v>0</v>
      </c>
      <c r="AE23" s="102">
        <f t="shared" si="23"/>
        <v>0</v>
      </c>
      <c r="AF23" s="102">
        <f>'[1]Т10'!$I$14+'[1]Т10'!$I$37+'[1]Т10'!$I$47+'[1]Т10'!$I$62+'[1]Т10'!$I$66+'[1]Т10'!$I$78+'[1]Т10'!$I$80+'[1]Т10'!$I$81+'[1]Т10'!$I$103+'[1]Т10'!$I$114+'[1]Т10'!$I$121</f>
        <v>19162.7267</v>
      </c>
      <c r="AG23" s="16">
        <f t="shared" si="24"/>
        <v>3336.48</v>
      </c>
      <c r="AH23" s="16">
        <f>B23*0.2</f>
        <v>1112.16</v>
      </c>
      <c r="AI23" s="16">
        <f>0.847*B23</f>
        <v>4709.9976</v>
      </c>
      <c r="AJ23" s="16">
        <f t="shared" si="25"/>
        <v>847.7995679999999</v>
      </c>
      <c r="AK23" s="16">
        <f>0.83*B23</f>
        <v>4615.464</v>
      </c>
      <c r="AL23" s="16">
        <f t="shared" si="26"/>
        <v>830.78352</v>
      </c>
      <c r="AM23" s="16">
        <f>(2.25/1.18)*B23</f>
        <v>10603.220338983052</v>
      </c>
      <c r="AN23" s="16">
        <f t="shared" si="27"/>
        <v>1908.5796610169493</v>
      </c>
      <c r="AO23" s="16"/>
      <c r="AP23" s="16">
        <f t="shared" si="28"/>
        <v>0</v>
      </c>
      <c r="AQ23" s="117">
        <f>2601.21+1875.22</f>
        <v>4476.43</v>
      </c>
      <c r="AR23" s="117">
        <f t="shared" si="28"/>
        <v>805.7574000000001</v>
      </c>
      <c r="AS23" s="97">
        <v>32397.87</v>
      </c>
      <c r="AT23" s="97">
        <v>72.88</v>
      </c>
      <c r="AU23" s="97">
        <f t="shared" si="29"/>
        <v>5844.735</v>
      </c>
      <c r="AV23" s="118">
        <v>425</v>
      </c>
      <c r="AW23" s="134">
        <v>3.25</v>
      </c>
      <c r="AX23" s="16">
        <f t="shared" si="16"/>
        <v>1825.4600000000003</v>
      </c>
      <c r="AY23" s="121"/>
      <c r="AZ23" s="135"/>
      <c r="BA23" s="122">
        <f t="shared" si="30"/>
        <v>0</v>
      </c>
      <c r="BB23" s="122">
        <f>SUM(AG23:AU23)+AX23+AY23+AZ23+BA23</f>
        <v>73387.61708800001</v>
      </c>
      <c r="BC23" s="128">
        <f>'[4]Т10'!$O$14+'[4]Т10'!$O$37+'[4]Т10'!$O$47+'[4]Т10'!$O$62+'[4]Т10'!$O$66+'[4]Т10'!$O$78+'[4]Т10'!$O$80+'[4]Т10'!$O$81+'[4]Т10'!$O$103+'[4]Т10'!$O$114+'[4]Т10'!$O$121</f>
        <v>7099.247418</v>
      </c>
      <c r="BD23" s="14">
        <f t="shared" si="13"/>
        <v>-15782.29780600001</v>
      </c>
      <c r="BE23" s="30">
        <f>AB23-S23</f>
        <v>-2559.0800000000017</v>
      </c>
    </row>
    <row r="24" spans="1:57" ht="12.75">
      <c r="A24" s="11" t="s">
        <v>42</v>
      </c>
      <c r="B24" s="115">
        <v>5556.4</v>
      </c>
      <c r="C24" s="131">
        <f t="shared" si="17"/>
        <v>48062.86</v>
      </c>
      <c r="D24" s="130">
        <f t="shared" si="18"/>
        <v>4512.319999999998</v>
      </c>
      <c r="E24" s="107">
        <v>4051.37</v>
      </c>
      <c r="F24" s="107">
        <v>975.43</v>
      </c>
      <c r="G24" s="107">
        <v>5486.95</v>
      </c>
      <c r="H24" s="107">
        <v>1322.21</v>
      </c>
      <c r="I24" s="107">
        <v>13184.44</v>
      </c>
      <c r="J24" s="107">
        <v>3175.51</v>
      </c>
      <c r="K24" s="107">
        <v>9133.14</v>
      </c>
      <c r="L24" s="107">
        <v>2200.09</v>
      </c>
      <c r="M24" s="107">
        <v>3241.09</v>
      </c>
      <c r="N24" s="107">
        <v>780.31</v>
      </c>
      <c r="O24" s="107">
        <v>0</v>
      </c>
      <c r="P24" s="114">
        <v>0</v>
      </c>
      <c r="Q24" s="114">
        <v>0</v>
      </c>
      <c r="R24" s="114">
        <v>0</v>
      </c>
      <c r="S24" s="91">
        <f t="shared" si="19"/>
        <v>35096.990000000005</v>
      </c>
      <c r="T24" s="108">
        <f t="shared" si="20"/>
        <v>8453.55</v>
      </c>
      <c r="U24" s="91">
        <v>4129.32</v>
      </c>
      <c r="V24" s="91">
        <v>5592.72</v>
      </c>
      <c r="W24" s="91">
        <v>13438.35</v>
      </c>
      <c r="X24" s="91">
        <v>9308.93</v>
      </c>
      <c r="Y24" s="91">
        <v>3303.48</v>
      </c>
      <c r="Z24" s="109">
        <v>0</v>
      </c>
      <c r="AA24" s="109">
        <v>0</v>
      </c>
      <c r="AB24" s="109">
        <f t="shared" si="21"/>
        <v>35772.8</v>
      </c>
      <c r="AC24" s="113">
        <f>D24+T24+AB24</f>
        <v>48738.67</v>
      </c>
      <c r="AD24" s="102">
        <f t="shared" si="22"/>
        <v>0</v>
      </c>
      <c r="AE24" s="102">
        <f t="shared" si="23"/>
        <v>0</v>
      </c>
      <c r="AF24" s="102">
        <f>'[1]Т11'!$I$14+'[1]Т11'!$I$37+'[1]Т11'!$I$47+'[1]Т11'!$I$62+'[1]Т11'!$I$66+'[1]Т11'!$I$78+'[1]Т11'!$I$80+'[1]Т11'!$I$81+'[1]Т11'!$I$103+'[1]Т11'!$I$114+'[1]Т11'!$I$121</f>
        <v>17079.80902</v>
      </c>
      <c r="AG24" s="16">
        <f t="shared" si="24"/>
        <v>3333.8399999999997</v>
      </c>
      <c r="AH24" s="16">
        <f>B24*0.2</f>
        <v>1111.28</v>
      </c>
      <c r="AI24" s="16">
        <f>0.85*B24</f>
        <v>4722.94</v>
      </c>
      <c r="AJ24" s="16">
        <f t="shared" si="25"/>
        <v>850.1291999999999</v>
      </c>
      <c r="AK24" s="16">
        <f>0.83*B24</f>
        <v>4611.812</v>
      </c>
      <c r="AL24" s="16">
        <f t="shared" si="26"/>
        <v>830.1261599999999</v>
      </c>
      <c r="AM24" s="16">
        <f>(1.91)*B24</f>
        <v>10612.723999999998</v>
      </c>
      <c r="AN24" s="16">
        <f t="shared" si="27"/>
        <v>1910.2903199999996</v>
      </c>
      <c r="AO24" s="16"/>
      <c r="AP24" s="16">
        <f t="shared" si="28"/>
        <v>0</v>
      </c>
      <c r="AQ24" s="117"/>
      <c r="AR24" s="117">
        <f t="shared" si="28"/>
        <v>0</v>
      </c>
      <c r="AS24" s="97">
        <v>551</v>
      </c>
      <c r="AT24" s="97"/>
      <c r="AU24" s="97">
        <f t="shared" si="29"/>
        <v>99.17999999999999</v>
      </c>
      <c r="AV24" s="118">
        <v>470</v>
      </c>
      <c r="AW24" s="134">
        <v>3.25</v>
      </c>
      <c r="AX24" s="16">
        <f t="shared" si="16"/>
        <v>2018.7440000000001</v>
      </c>
      <c r="AY24" s="121"/>
      <c r="AZ24" s="122"/>
      <c r="BA24" s="122">
        <f t="shared" si="30"/>
        <v>0</v>
      </c>
      <c r="BB24" s="122">
        <f>SUM(AG24:AU24)+AX24+AY24+AZ24+BA24</f>
        <v>30652.065679999996</v>
      </c>
      <c r="BC24" s="132">
        <f>'[1]Т11'!$O$14+'[1]Т11'!$O$37+'[1]Т11'!$O$47+'[1]Т11'!$O$62+'[1]Т11'!$O$66+'[1]Т11'!$O$78+'[1]Т11'!$O$80+'[1]Т11'!$O$81+'[1]Т11'!$O$103+'[1]Т11'!$O$114+'[1]Т11'!$O$121</f>
        <v>7099.76358</v>
      </c>
      <c r="BD24" s="14">
        <f t="shared" si="13"/>
        <v>28066.64976</v>
      </c>
      <c r="BE24" s="30">
        <f t="shared" si="14"/>
        <v>675.8099999999977</v>
      </c>
    </row>
    <row r="25" spans="1:57" ht="12.75">
      <c r="A25" s="11" t="s">
        <v>43</v>
      </c>
      <c r="B25" s="104">
        <v>5556.4</v>
      </c>
      <c r="C25" s="131">
        <f t="shared" si="17"/>
        <v>48062.86</v>
      </c>
      <c r="D25" s="130">
        <f t="shared" si="18"/>
        <v>4525.469999999997</v>
      </c>
      <c r="E25" s="107">
        <v>4068.66</v>
      </c>
      <c r="F25" s="107">
        <v>956.61</v>
      </c>
      <c r="G25" s="107">
        <v>5510.43</v>
      </c>
      <c r="H25" s="107">
        <v>1296.69</v>
      </c>
      <c r="I25" s="107">
        <v>13240.8</v>
      </c>
      <c r="J25" s="107">
        <v>3114.21</v>
      </c>
      <c r="K25" s="107">
        <v>9172.18</v>
      </c>
      <c r="L25" s="107">
        <v>2157.62</v>
      </c>
      <c r="M25" s="107">
        <v>3254.95</v>
      </c>
      <c r="N25" s="107">
        <v>765.24</v>
      </c>
      <c r="O25" s="107">
        <v>0</v>
      </c>
      <c r="P25" s="114">
        <v>0</v>
      </c>
      <c r="Q25" s="114"/>
      <c r="R25" s="114"/>
      <c r="S25" s="91">
        <f t="shared" si="19"/>
        <v>35247.02</v>
      </c>
      <c r="T25" s="108">
        <f t="shared" si="20"/>
        <v>8290.37</v>
      </c>
      <c r="U25" s="91">
        <v>5161.5</v>
      </c>
      <c r="V25" s="91">
        <v>6990.38</v>
      </c>
      <c r="W25" s="91">
        <v>16797.27</v>
      </c>
      <c r="X25" s="91">
        <v>11635.95</v>
      </c>
      <c r="Y25" s="91">
        <v>4129.23</v>
      </c>
      <c r="Z25" s="109">
        <v>0</v>
      </c>
      <c r="AA25" s="109">
        <v>0</v>
      </c>
      <c r="AB25" s="109">
        <f t="shared" si="21"/>
        <v>44714.33</v>
      </c>
      <c r="AC25" s="113">
        <f>D25+T25+AB25</f>
        <v>57530.17</v>
      </c>
      <c r="AD25" s="102">
        <f t="shared" si="22"/>
        <v>0</v>
      </c>
      <c r="AE25" s="102">
        <f t="shared" si="23"/>
        <v>0</v>
      </c>
      <c r="AF25" s="102">
        <f>'[1]Т12'!$I$14+'[1]Т12'!$I$37+'[1]Т12'!$I$48+'[1]Т12'!$I$63+'[1]Т12'!$I$67+'[1]Т12'!$I$79+'[1]Т12'!$I$81+'[1]Т12'!$I$82+'[1]Т12'!$I$104+'[1]Т12'!$I$116+'[1]Т12'!$I$123</f>
        <v>17079.80902</v>
      </c>
      <c r="AG25" s="16">
        <f t="shared" si="24"/>
        <v>3333.8399999999997</v>
      </c>
      <c r="AH25" s="16">
        <f>B25*0.2</f>
        <v>1111.28</v>
      </c>
      <c r="AI25" s="16">
        <f>0.85*B25</f>
        <v>4722.94</v>
      </c>
      <c r="AJ25" s="16">
        <f t="shared" si="25"/>
        <v>850.1291999999999</v>
      </c>
      <c r="AK25" s="16">
        <f>0.83*B25</f>
        <v>4611.812</v>
      </c>
      <c r="AL25" s="16">
        <f t="shared" si="26"/>
        <v>830.1261599999999</v>
      </c>
      <c r="AM25" s="16">
        <f>(1.91)*B25</f>
        <v>10612.723999999998</v>
      </c>
      <c r="AN25" s="16">
        <f t="shared" si="27"/>
        <v>1910.2903199999996</v>
      </c>
      <c r="AO25" s="16"/>
      <c r="AP25" s="16">
        <f t="shared" si="28"/>
        <v>0</v>
      </c>
      <c r="AQ25" s="117"/>
      <c r="AR25" s="117">
        <f t="shared" si="28"/>
        <v>0</v>
      </c>
      <c r="AS25" s="97">
        <v>59121</v>
      </c>
      <c r="AT25" s="97"/>
      <c r="AU25" s="97">
        <f t="shared" si="29"/>
        <v>10641.779999999999</v>
      </c>
      <c r="AV25" s="118">
        <v>514</v>
      </c>
      <c r="AW25" s="134">
        <v>3.25</v>
      </c>
      <c r="AX25" s="16">
        <f t="shared" si="16"/>
        <v>2207.7328</v>
      </c>
      <c r="AY25" s="121"/>
      <c r="AZ25" s="122"/>
      <c r="BA25" s="122">
        <f t="shared" si="30"/>
        <v>0</v>
      </c>
      <c r="BB25" s="122">
        <f>SUM(AG25:BA25)-AV25-AW25</f>
        <v>99953.65448</v>
      </c>
      <c r="BC25" s="132">
        <f>'[1]Т12'!$O$14+'[1]Т12'!$O$37+'[1]Т12'!$O$48+'[1]Т12'!$O$63+'[1]Т12'!$O$67+'[1]Т12'!$O$79+'[1]Т12'!$O$81+'[1]Т12'!$O$82+'[1]Т12'!$O$104+'[1]Т12'!$O$116+'[1]Т12'!$O$123</f>
        <v>7099.76358</v>
      </c>
      <c r="BD25" s="14">
        <f>AC25+AF25-BB25-BC25</f>
        <v>-32443.439039999997</v>
      </c>
      <c r="BE25" s="30">
        <f>AB25-S25</f>
        <v>9467.310000000005</v>
      </c>
    </row>
    <row r="26" spans="1:57" s="20" customFormat="1" ht="12.75">
      <c r="A26" s="17" t="s">
        <v>5</v>
      </c>
      <c r="B26" s="60"/>
      <c r="C26" s="60">
        <f aca="true" t="shared" si="31" ref="C26:BC26">SUM(C14:C25)</f>
        <v>577288.0249999999</v>
      </c>
      <c r="D26" s="60">
        <f t="shared" si="31"/>
        <v>60451.450625000005</v>
      </c>
      <c r="E26" s="57">
        <f t="shared" si="31"/>
        <v>46973.16</v>
      </c>
      <c r="F26" s="57">
        <f t="shared" si="31"/>
        <v>11380.29</v>
      </c>
      <c r="G26" s="57">
        <f t="shared" si="31"/>
        <v>63555.36</v>
      </c>
      <c r="H26" s="57">
        <f t="shared" si="31"/>
        <v>15406.499999999998</v>
      </c>
      <c r="I26" s="57">
        <f t="shared" si="31"/>
        <v>152803.74</v>
      </c>
      <c r="J26" s="57">
        <f t="shared" si="31"/>
        <v>37028.63999999999</v>
      </c>
      <c r="K26" s="57">
        <f t="shared" si="31"/>
        <v>105830.98999999999</v>
      </c>
      <c r="L26" s="57">
        <f t="shared" si="31"/>
        <v>25648.5</v>
      </c>
      <c r="M26" s="57">
        <f t="shared" si="31"/>
        <v>37578.490000000005</v>
      </c>
      <c r="N26" s="57">
        <f t="shared" si="31"/>
        <v>9103.949999999999</v>
      </c>
      <c r="O26" s="57">
        <f t="shared" si="31"/>
        <v>0</v>
      </c>
      <c r="P26" s="57">
        <f t="shared" si="31"/>
        <v>0</v>
      </c>
      <c r="Q26" s="57">
        <f t="shared" si="31"/>
        <v>0</v>
      </c>
      <c r="R26" s="57">
        <f t="shared" si="31"/>
        <v>0</v>
      </c>
      <c r="S26" s="57">
        <f t="shared" si="31"/>
        <v>406741.74</v>
      </c>
      <c r="T26" s="57">
        <f t="shared" si="31"/>
        <v>98567.88</v>
      </c>
      <c r="U26" s="61">
        <f t="shared" si="31"/>
        <v>44863.829999999994</v>
      </c>
      <c r="V26" s="61">
        <f t="shared" si="31"/>
        <v>60683.86</v>
      </c>
      <c r="W26" s="61">
        <f t="shared" si="31"/>
        <v>145691.8</v>
      </c>
      <c r="X26" s="61">
        <f t="shared" si="31"/>
        <v>101061.04999999997</v>
      </c>
      <c r="Y26" s="61">
        <f t="shared" si="31"/>
        <v>35891.03</v>
      </c>
      <c r="Z26" s="61">
        <f t="shared" si="31"/>
        <v>0</v>
      </c>
      <c r="AA26" s="61">
        <f t="shared" si="31"/>
        <v>0</v>
      </c>
      <c r="AB26" s="61">
        <f t="shared" si="31"/>
        <v>388191.56999999995</v>
      </c>
      <c r="AC26" s="61">
        <f t="shared" si="31"/>
        <v>547210.900625</v>
      </c>
      <c r="AD26" s="61">
        <f t="shared" si="31"/>
        <v>0</v>
      </c>
      <c r="AE26" s="100">
        <f t="shared" si="31"/>
        <v>0</v>
      </c>
      <c r="AF26" s="100">
        <f t="shared" si="31"/>
        <v>112457.90632</v>
      </c>
      <c r="AG26" s="18">
        <f t="shared" si="31"/>
        <v>38707.806</v>
      </c>
      <c r="AH26" s="18">
        <f t="shared" si="31"/>
        <v>12959.375336000003</v>
      </c>
      <c r="AI26" s="18">
        <f t="shared" si="31"/>
        <v>54249.973893</v>
      </c>
      <c r="AJ26" s="18">
        <f t="shared" si="31"/>
        <v>9764.995300739998</v>
      </c>
      <c r="AK26" s="18">
        <f t="shared" si="31"/>
        <v>52692.446988699994</v>
      </c>
      <c r="AL26" s="18">
        <f t="shared" si="31"/>
        <v>9484.640457966</v>
      </c>
      <c r="AM26" s="18">
        <f t="shared" si="31"/>
        <v>121239.27849038305</v>
      </c>
      <c r="AN26" s="18">
        <f t="shared" si="31"/>
        <v>21823.070128268948</v>
      </c>
      <c r="AO26" s="18">
        <f t="shared" si="31"/>
        <v>0</v>
      </c>
      <c r="AP26" s="18">
        <f t="shared" si="31"/>
        <v>0</v>
      </c>
      <c r="AQ26" s="18">
        <f>SUM(AQ14:AQ25)</f>
        <v>6065.4130000000005</v>
      </c>
      <c r="AR26" s="18">
        <f>SUM(AR14:AR25)</f>
        <v>1091.77434</v>
      </c>
      <c r="AS26" s="18">
        <f>SUM(AS14:AS25)</f>
        <v>369435.75000000006</v>
      </c>
      <c r="AT26" s="18">
        <f>SUM(AT14:AT25)</f>
        <v>72.88</v>
      </c>
      <c r="AU26" s="18">
        <f>SUM(AU14:AU25)</f>
        <v>66511.5634</v>
      </c>
      <c r="AV26" s="18"/>
      <c r="AW26" s="18"/>
      <c r="AX26" s="18">
        <f t="shared" si="31"/>
        <v>18898.894000000004</v>
      </c>
      <c r="AY26" s="18">
        <f t="shared" si="31"/>
        <v>0</v>
      </c>
      <c r="AZ26" s="18">
        <f t="shared" si="31"/>
        <v>0</v>
      </c>
      <c r="BA26" s="18">
        <f t="shared" si="31"/>
        <v>0</v>
      </c>
      <c r="BB26" s="18">
        <f t="shared" si="31"/>
        <v>782997.861335058</v>
      </c>
      <c r="BC26" s="18">
        <f t="shared" si="31"/>
        <v>46079.682814479</v>
      </c>
      <c r="BD26" s="18">
        <f>SUM(BD14:BD25)</f>
        <v>-169408.73720453697</v>
      </c>
      <c r="BE26" s="19">
        <f>SUM(BE14:BE25)</f>
        <v>-18550.16999999999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101"/>
      <c r="AD27" s="101"/>
      <c r="AE27" s="102"/>
      <c r="AF27" s="102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6"/>
      <c r="AT27" s="96"/>
      <c r="AU27" s="97"/>
      <c r="AV27" s="97"/>
      <c r="AW27" s="97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 aca="true" t="shared" si="32" ref="C28:AU28">C12+C26</f>
        <v>721707.5599999999</v>
      </c>
      <c r="D28" s="23">
        <f t="shared" si="32"/>
        <v>95213.71409795001</v>
      </c>
      <c r="E28" s="50">
        <f t="shared" si="32"/>
        <v>59112.270000000004</v>
      </c>
      <c r="F28" s="50">
        <f t="shared" si="32"/>
        <v>14094.78</v>
      </c>
      <c r="G28" s="50">
        <f t="shared" si="32"/>
        <v>79504.25</v>
      </c>
      <c r="H28" s="50">
        <f t="shared" si="32"/>
        <v>19071.14</v>
      </c>
      <c r="I28" s="50">
        <f t="shared" si="32"/>
        <v>189433.8</v>
      </c>
      <c r="J28" s="50">
        <f t="shared" si="32"/>
        <v>45850.729999999996</v>
      </c>
      <c r="K28" s="50">
        <f t="shared" si="32"/>
        <v>131576.22999999998</v>
      </c>
      <c r="L28" s="50">
        <f t="shared" si="32"/>
        <v>31756.1</v>
      </c>
      <c r="M28" s="50">
        <f t="shared" si="32"/>
        <v>47540.47</v>
      </c>
      <c r="N28" s="50">
        <f t="shared" si="32"/>
        <v>11275.609999999999</v>
      </c>
      <c r="O28" s="50">
        <f t="shared" si="32"/>
        <v>0</v>
      </c>
      <c r="P28" s="50">
        <f t="shared" si="32"/>
        <v>0</v>
      </c>
      <c r="Q28" s="50">
        <f t="shared" si="32"/>
        <v>0</v>
      </c>
      <c r="R28" s="50">
        <f t="shared" si="32"/>
        <v>0</v>
      </c>
      <c r="S28" s="50">
        <f t="shared" si="32"/>
        <v>507167.02</v>
      </c>
      <c r="T28" s="50">
        <f t="shared" si="32"/>
        <v>122048.36</v>
      </c>
      <c r="U28" s="53">
        <f t="shared" si="32"/>
        <v>52820.73999999999</v>
      </c>
      <c r="V28" s="53">
        <f t="shared" si="32"/>
        <v>70986.65</v>
      </c>
      <c r="W28" s="53">
        <f t="shared" si="32"/>
        <v>168962.58</v>
      </c>
      <c r="X28" s="53">
        <f t="shared" si="32"/>
        <v>117396.10999999997</v>
      </c>
      <c r="Y28" s="53">
        <f t="shared" si="32"/>
        <v>42507.27</v>
      </c>
      <c r="Z28" s="53">
        <f t="shared" si="32"/>
        <v>0</v>
      </c>
      <c r="AA28" s="53">
        <f t="shared" si="32"/>
        <v>0</v>
      </c>
      <c r="AB28" s="53">
        <f t="shared" si="32"/>
        <v>452673.35</v>
      </c>
      <c r="AC28" s="53">
        <f t="shared" si="32"/>
        <v>669935.42409795</v>
      </c>
      <c r="AD28" s="53">
        <f t="shared" si="32"/>
        <v>0</v>
      </c>
      <c r="AE28" s="53">
        <f t="shared" si="32"/>
        <v>0</v>
      </c>
      <c r="AF28" s="53">
        <f t="shared" si="32"/>
        <v>112457.90632</v>
      </c>
      <c r="AG28" s="23">
        <f t="shared" si="32"/>
        <v>48725.346</v>
      </c>
      <c r="AH28" s="23">
        <f t="shared" si="32"/>
        <v>16397.051146000005</v>
      </c>
      <c r="AI28" s="23">
        <f t="shared" si="32"/>
        <v>68457.71956900001</v>
      </c>
      <c r="AJ28" s="23">
        <f t="shared" si="32"/>
        <v>12322.389522419999</v>
      </c>
      <c r="AK28" s="23">
        <f t="shared" si="32"/>
        <v>69225.79125406</v>
      </c>
      <c r="AL28" s="23">
        <f t="shared" si="32"/>
        <v>12460.642425730799</v>
      </c>
      <c r="AM28" s="23">
        <f t="shared" si="32"/>
        <v>151603.30113157304</v>
      </c>
      <c r="AN28" s="23">
        <f t="shared" si="32"/>
        <v>27288.594203683147</v>
      </c>
      <c r="AO28" s="23">
        <f t="shared" si="32"/>
        <v>0</v>
      </c>
      <c r="AP28" s="23">
        <f t="shared" si="32"/>
        <v>0</v>
      </c>
      <c r="AQ28" s="23">
        <f t="shared" si="32"/>
        <v>6065.4130000000005</v>
      </c>
      <c r="AR28" s="23">
        <f t="shared" si="32"/>
        <v>1091.77434</v>
      </c>
      <c r="AS28" s="23">
        <f t="shared" si="32"/>
        <v>403535.75000000006</v>
      </c>
      <c r="AT28" s="23">
        <f t="shared" si="32"/>
        <v>72.88</v>
      </c>
      <c r="AU28" s="23">
        <f t="shared" si="32"/>
        <v>72649.5634</v>
      </c>
      <c r="AV28" s="23"/>
      <c r="AW28" s="23"/>
      <c r="AX28" s="23">
        <f aca="true" t="shared" si="33" ref="AX28:BE28">AX12+AX26</f>
        <v>18898.894000000004</v>
      </c>
      <c r="AY28" s="23">
        <f t="shared" si="33"/>
        <v>0</v>
      </c>
      <c r="AZ28" s="23">
        <f t="shared" si="33"/>
        <v>0</v>
      </c>
      <c r="BA28" s="23">
        <f t="shared" si="33"/>
        <v>0</v>
      </c>
      <c r="BB28" s="23">
        <f t="shared" si="33"/>
        <v>908795.109992467</v>
      </c>
      <c r="BC28" s="23">
        <f t="shared" si="33"/>
        <v>46079.682814479</v>
      </c>
      <c r="BD28" s="23">
        <f t="shared" si="33"/>
        <v>-172481.46238899595</v>
      </c>
      <c r="BE28" s="24">
        <f t="shared" si="33"/>
        <v>-54493.669999999984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8"/>
      <c r="AD29" s="98"/>
      <c r="AE29" s="99"/>
      <c r="AF29" s="99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95"/>
      <c r="AT29" s="95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104">
        <v>5556.4</v>
      </c>
      <c r="C30" s="131">
        <f>B30*8.65</f>
        <v>48062.86</v>
      </c>
      <c r="D30" s="130">
        <f aca="true" t="shared" si="34" ref="D30:D36">C30-E30-F30-G30-H30-I30-J30-K30-L30-M30-N30</f>
        <v>4508.619999999999</v>
      </c>
      <c r="E30" s="107">
        <v>4070.61</v>
      </c>
      <c r="F30" s="107">
        <v>956.61</v>
      </c>
      <c r="G30" s="107">
        <v>5513.03</v>
      </c>
      <c r="H30" s="107">
        <v>1296.69</v>
      </c>
      <c r="I30" s="107">
        <v>13247.15</v>
      </c>
      <c r="J30" s="107">
        <v>3114.21</v>
      </c>
      <c r="K30" s="107">
        <v>9176.57</v>
      </c>
      <c r="L30" s="107">
        <v>2157.62</v>
      </c>
      <c r="M30" s="107">
        <v>3256.51</v>
      </c>
      <c r="N30" s="107">
        <v>765.24</v>
      </c>
      <c r="O30" s="107">
        <v>0</v>
      </c>
      <c r="P30" s="114">
        <v>0</v>
      </c>
      <c r="Q30" s="114"/>
      <c r="R30" s="114"/>
      <c r="S30" s="91">
        <f>E30+G30+I30+K30+M30+O30+Q30</f>
        <v>35263.87</v>
      </c>
      <c r="T30" s="108">
        <f>P30+N30+L30+J30+H30+F30+R30</f>
        <v>8290.37</v>
      </c>
      <c r="U30" s="91">
        <v>3163.96</v>
      </c>
      <c r="V30" s="91">
        <v>4284.96</v>
      </c>
      <c r="W30" s="91">
        <v>10296.36</v>
      </c>
      <c r="X30" s="91">
        <v>7132.51</v>
      </c>
      <c r="Y30" s="91">
        <v>2531.15</v>
      </c>
      <c r="Z30" s="109">
        <v>0</v>
      </c>
      <c r="AA30" s="109">
        <v>0</v>
      </c>
      <c r="AB30" s="109">
        <f>SUM(U30:AA30)</f>
        <v>27408.940000000002</v>
      </c>
      <c r="AC30" s="113">
        <f>D30+T30+AB30</f>
        <v>40207.93</v>
      </c>
      <c r="AD30" s="102">
        <f>P30+Z30</f>
        <v>0</v>
      </c>
      <c r="AE30" s="102">
        <f>R30+AA30</f>
        <v>0</v>
      </c>
      <c r="AF30" s="102">
        <f>'[5]Т01-10'!$I$14+'[5]Т01-10'!$I$35+'[5]Т01-10'!$I$45+'[5]Т01-10'!$I$60+'[5]Т01-10'!$I$64+'[5]Т01-10'!$I$76+'[5]Т01-10'!$I$78+'[5]Т01-10'!$I$79+'[5]Т01-10'!$I$101+'[5]Т01-10'!$I$113+'[5]Т01-10'!$I$120</f>
        <v>16931.36502</v>
      </c>
      <c r="AG30" s="16">
        <f>0.6*B30</f>
        <v>3333.8399999999997</v>
      </c>
      <c r="AH30" s="16">
        <f>B30*0.2</f>
        <v>1111.28</v>
      </c>
      <c r="AI30" s="16">
        <f>1*B30</f>
        <v>5556.4</v>
      </c>
      <c r="AJ30" s="16">
        <v>0</v>
      </c>
      <c r="AK30" s="16">
        <f>0.98*B30</f>
        <v>5445.272</v>
      </c>
      <c r="AL30" s="16">
        <v>0</v>
      </c>
      <c r="AM30" s="16">
        <f>2.25*B30</f>
        <v>12501.9</v>
      </c>
      <c r="AN30" s="16">
        <v>0</v>
      </c>
      <c r="AO30" s="16"/>
      <c r="AP30" s="16">
        <v>0</v>
      </c>
      <c r="AQ30" s="117"/>
      <c r="AR30" s="117"/>
      <c r="AS30" s="97">
        <v>1102</v>
      </c>
      <c r="AT30" s="97"/>
      <c r="AU30" s="97">
        <f aca="true" t="shared" si="35" ref="AU30:AU35">AT30*0.18</f>
        <v>0</v>
      </c>
      <c r="AV30" s="118">
        <v>508</v>
      </c>
      <c r="AW30" s="134">
        <v>3.25</v>
      </c>
      <c r="AX30" s="16">
        <f aca="true" t="shared" si="36" ref="AX30:AX36">AV30*AW30*1.4</f>
        <v>2311.3999999999996</v>
      </c>
      <c r="AY30" s="121"/>
      <c r="AZ30" s="122"/>
      <c r="BA30" s="122">
        <f>AZ30*0.18</f>
        <v>0</v>
      </c>
      <c r="BB30" s="122">
        <f>SUM(AG30:BA30)-AV30-AW30</f>
        <v>31362.092000000004</v>
      </c>
      <c r="BC30" s="132">
        <f>'[5]Т01-10'!$M$14+'[5]Т01-10'!$M$35+'[5]Т01-10'!$M$45+'[5]Т01-10'!$M$60+'[5]Т01-10'!$M$64+'[5]Т01-10'!$M$76+'[5]Т01-10'!$M$78+'[5]Т01-10'!$M$79+'[5]Т01-10'!$M$101+'[5]Т01-10'!$M$113+'[5]Т01-10'!$M$120</f>
        <v>7091.357</v>
      </c>
      <c r="BD30" s="14">
        <f>AC30+AF30-BB30-BC30</f>
        <v>18685.84602</v>
      </c>
      <c r="BE30" s="30">
        <f>AB30-S30</f>
        <v>-7854.93</v>
      </c>
    </row>
    <row r="31" spans="1:57" ht="12.75">
      <c r="A31" s="11" t="s">
        <v>46</v>
      </c>
      <c r="B31" s="115">
        <v>5548.4</v>
      </c>
      <c r="C31" s="131">
        <f>B31*8.65</f>
        <v>47993.659999999996</v>
      </c>
      <c r="D31" s="130">
        <f t="shared" si="34"/>
        <v>4504.629999999991</v>
      </c>
      <c r="E31" s="136">
        <v>4064.34</v>
      </c>
      <c r="F31" s="137">
        <v>955.35</v>
      </c>
      <c r="G31" s="137">
        <v>5504.57</v>
      </c>
      <c r="H31" s="137">
        <v>1294.97</v>
      </c>
      <c r="I31" s="137">
        <v>13226.76</v>
      </c>
      <c r="J31" s="137">
        <v>3110.09</v>
      </c>
      <c r="K31" s="137">
        <v>9162.46</v>
      </c>
      <c r="L31" s="137">
        <v>2154.76</v>
      </c>
      <c r="M31" s="137">
        <v>3251.52</v>
      </c>
      <c r="N31" s="137">
        <v>764.21</v>
      </c>
      <c r="O31" s="137">
        <v>0</v>
      </c>
      <c r="P31" s="138">
        <v>0</v>
      </c>
      <c r="Q31" s="138">
        <v>0</v>
      </c>
      <c r="R31" s="138">
        <v>0</v>
      </c>
      <c r="S31" s="91">
        <f>E31+G31+I31+K31+M31+O31+Q31</f>
        <v>35209.649999999994</v>
      </c>
      <c r="T31" s="108">
        <f>P31+N31+L31+J31+H31+F31+R31</f>
        <v>8279.380000000001</v>
      </c>
      <c r="U31" s="91">
        <v>3411.39</v>
      </c>
      <c r="V31" s="91">
        <v>4620.38</v>
      </c>
      <c r="W31" s="91">
        <v>11101.93</v>
      </c>
      <c r="X31" s="91">
        <v>7690.4</v>
      </c>
      <c r="Y31" s="91">
        <v>2729.1</v>
      </c>
      <c r="Z31" s="109">
        <v>0</v>
      </c>
      <c r="AA31" s="109">
        <v>0</v>
      </c>
      <c r="AB31" s="109">
        <f>SUM(U31:AA31)</f>
        <v>29553.199999999997</v>
      </c>
      <c r="AC31" s="113">
        <f>D31+T31+AB31</f>
        <v>42337.20999999999</v>
      </c>
      <c r="AD31" s="102">
        <f>P31+Z31</f>
        <v>0</v>
      </c>
      <c r="AE31" s="102">
        <f>R31+AA31</f>
        <v>0</v>
      </c>
      <c r="AF31" s="102">
        <f>'[5]Т01-10'!$I$14+'[5]Т01-10'!$I$35+'[5]Т01-10'!$I$45+'[5]Т01-10'!$I$60+'[5]Т01-10'!$I$64+'[5]Т01-10'!$I$76+'[5]Т01-10'!$I$78+'[5]Т01-10'!$I$79+'[5]Т01-10'!$I$101+'[5]Т01-10'!$I$113+'[5]Т01-10'!$I$120</f>
        <v>16931.36502</v>
      </c>
      <c r="AG31" s="16">
        <f>0.6*B31</f>
        <v>3329.0399999999995</v>
      </c>
      <c r="AH31" s="16">
        <f>B31*0.2</f>
        <v>1109.68</v>
      </c>
      <c r="AI31" s="16">
        <f>1*B31</f>
        <v>5548.4</v>
      </c>
      <c r="AJ31" s="16">
        <v>0</v>
      </c>
      <c r="AK31" s="16">
        <f>0.98*B31</f>
        <v>5437.432</v>
      </c>
      <c r="AL31" s="16">
        <v>0</v>
      </c>
      <c r="AM31" s="16">
        <f>2.25*B31</f>
        <v>12483.9</v>
      </c>
      <c r="AN31" s="16">
        <v>0</v>
      </c>
      <c r="AO31" s="16"/>
      <c r="AP31" s="16"/>
      <c r="AQ31" s="117"/>
      <c r="AR31" s="117"/>
      <c r="AS31" s="97">
        <v>4962</v>
      </c>
      <c r="AT31" s="97"/>
      <c r="AU31" s="97">
        <f t="shared" si="35"/>
        <v>0</v>
      </c>
      <c r="AV31" s="118">
        <v>407</v>
      </c>
      <c r="AW31" s="134">
        <v>3.25</v>
      </c>
      <c r="AX31" s="16">
        <f t="shared" si="36"/>
        <v>1851.85</v>
      </c>
      <c r="AY31" s="121"/>
      <c r="AZ31" s="122"/>
      <c r="BA31" s="122">
        <f>AZ31*0.18</f>
        <v>0</v>
      </c>
      <c r="BB31" s="122">
        <f>SUM(AG31:BA31)-AV31-AW31</f>
        <v>34722.301999999996</v>
      </c>
      <c r="BC31" s="132">
        <f>'[5]Т01-10'!$M$14+'[5]Т01-10'!$M$35+'[5]Т01-10'!$M$45+'[5]Т01-10'!$M$60+'[5]Т01-10'!$M$64+'[5]Т01-10'!$M$76+'[5]Т01-10'!$M$78+'[5]Т01-10'!$M$79+'[5]Т01-10'!$M$101+'[5]Т01-10'!$M$113+'[5]Т01-10'!$M$120</f>
        <v>7091.357</v>
      </c>
      <c r="BD31" s="14">
        <f aca="true" t="shared" si="37" ref="BD31:BD41">AC31+AF31-BB31-BC31</f>
        <v>17454.916019999993</v>
      </c>
      <c r="BE31" s="30">
        <f aca="true" t="shared" si="38" ref="BE31:BE41">AB31-S31</f>
        <v>-5656.449999999997</v>
      </c>
    </row>
    <row r="32" spans="1:57" ht="12.75">
      <c r="A32" s="11" t="s">
        <v>47</v>
      </c>
      <c r="B32" s="104">
        <v>5548.4</v>
      </c>
      <c r="C32" s="131">
        <f>B32*8.65</f>
        <v>47993.659999999996</v>
      </c>
      <c r="D32" s="130">
        <f t="shared" si="34"/>
        <v>4489.699999999993</v>
      </c>
      <c r="E32" s="107">
        <v>4101.87</v>
      </c>
      <c r="F32" s="107">
        <v>919.58</v>
      </c>
      <c r="G32" s="107">
        <v>5555.33</v>
      </c>
      <c r="H32" s="107">
        <v>1246.5</v>
      </c>
      <c r="I32" s="107">
        <v>13348.78</v>
      </c>
      <c r="J32" s="107">
        <v>2993.67</v>
      </c>
      <c r="K32" s="107">
        <v>9246.98</v>
      </c>
      <c r="L32" s="107">
        <v>2074.1</v>
      </c>
      <c r="M32" s="107">
        <v>3281.54</v>
      </c>
      <c r="N32" s="107">
        <v>735.61</v>
      </c>
      <c r="O32" s="107">
        <v>0</v>
      </c>
      <c r="P32" s="114">
        <v>0</v>
      </c>
      <c r="Q32" s="114">
        <v>0</v>
      </c>
      <c r="R32" s="114">
        <v>0</v>
      </c>
      <c r="S32" s="91">
        <f>E32+G32+I32+K32+M32+O32+Q32</f>
        <v>35534.5</v>
      </c>
      <c r="T32" s="108">
        <f>P32+N32+L32+J32+H32+F32+R32</f>
        <v>7969.46</v>
      </c>
      <c r="U32" s="91">
        <v>4019.57</v>
      </c>
      <c r="V32" s="91">
        <v>5444.55</v>
      </c>
      <c r="W32" s="91">
        <v>13081.79</v>
      </c>
      <c r="X32" s="91">
        <v>9062.38</v>
      </c>
      <c r="Y32" s="91">
        <v>3215.8</v>
      </c>
      <c r="Z32" s="109">
        <v>0</v>
      </c>
      <c r="AA32" s="109">
        <v>0</v>
      </c>
      <c r="AB32" s="109">
        <f>SUM(U32:AA32)</f>
        <v>34824.090000000004</v>
      </c>
      <c r="AC32" s="113">
        <f>D32+T32+AB32</f>
        <v>47283.25</v>
      </c>
      <c r="AD32" s="102">
        <f>P32+Z32</f>
        <v>0</v>
      </c>
      <c r="AE32" s="102">
        <f>R32+AA32</f>
        <v>0</v>
      </c>
      <c r="AF32" s="102">
        <f>'[5]Т03-10'!$I$14+'[5]Т03-10'!$I$35+'[5]Т03-10'!$I$39+'[5]Т03-10'!$I$46+'[5]Т03-10'!$I$61+'[5]Т03-10'!$I$65+'[5]Т03-10'!$I$77+'[5]Т03-10'!$I$79+'[5]Т03-10'!$I$80+'[5]Т03-10'!$I$102+'[5]Т03-10'!$I$114+'[5]Т03-10'!$I$121</f>
        <v>21304.812</v>
      </c>
      <c r="AG32" s="16">
        <f>0.6*B32</f>
        <v>3329.0399999999995</v>
      </c>
      <c r="AH32" s="16">
        <f>B32*0.2</f>
        <v>1109.68</v>
      </c>
      <c r="AI32" s="16">
        <f>1*B32</f>
        <v>5548.4</v>
      </c>
      <c r="AJ32" s="16">
        <v>0</v>
      </c>
      <c r="AK32" s="16">
        <f>0.98*B32</f>
        <v>5437.432</v>
      </c>
      <c r="AL32" s="16">
        <v>0</v>
      </c>
      <c r="AM32" s="16">
        <f>2.25*B32</f>
        <v>12483.9</v>
      </c>
      <c r="AN32" s="16">
        <v>0</v>
      </c>
      <c r="AO32" s="16"/>
      <c r="AP32" s="16"/>
      <c r="AQ32" s="117">
        <v>11065</v>
      </c>
      <c r="AR32" s="117"/>
      <c r="AS32" s="97">
        <v>63939</v>
      </c>
      <c r="AT32" s="97"/>
      <c r="AU32" s="97">
        <f t="shared" si="35"/>
        <v>0</v>
      </c>
      <c r="AV32" s="118">
        <v>383</v>
      </c>
      <c r="AW32" s="134">
        <v>3.25</v>
      </c>
      <c r="AX32" s="16">
        <f t="shared" si="36"/>
        <v>1742.6499999999999</v>
      </c>
      <c r="AY32" s="121"/>
      <c r="AZ32" s="122"/>
      <c r="BA32" s="122">
        <f>AZ32*0.18</f>
        <v>0</v>
      </c>
      <c r="BB32" s="122">
        <f>SUM(AG32:BA32)-AV32-AW32</f>
        <v>104655.10199999998</v>
      </c>
      <c r="BC32" s="132">
        <f>'[5]Т03-10'!$M$14+'[5]Т03-10'!$M$35+'[5]Т03-10'!$M$39+'[5]Т03-10'!$M$46+'[5]Т03-10'!$M$61+'[5]Т03-10'!$M$65+'[5]Т03-10'!$M$77+'[5]Т03-10'!$M$79+'[5]Т03-10'!$M$80+'[5]Т03-10'!$M$102+'[5]Т03-10'!$M$114+'[5]Т03-10'!$M$121</f>
        <v>9173.420000000002</v>
      </c>
      <c r="BD32" s="14">
        <f t="shared" si="37"/>
        <v>-45240.45999999998</v>
      </c>
      <c r="BE32" s="30">
        <f t="shared" si="38"/>
        <v>-710.4099999999962</v>
      </c>
    </row>
    <row r="33" spans="1:57" ht="12.75">
      <c r="A33" s="11" t="s">
        <v>48</v>
      </c>
      <c r="B33" s="104">
        <v>5548.4</v>
      </c>
      <c r="C33" s="131">
        <f aca="true" t="shared" si="39" ref="C33:C41">B33*8.65</f>
        <v>47993.659999999996</v>
      </c>
      <c r="D33" s="130">
        <f t="shared" si="34"/>
        <v>4507.839999999995</v>
      </c>
      <c r="E33" s="107">
        <v>4080.83</v>
      </c>
      <c r="F33" s="107">
        <v>938.49</v>
      </c>
      <c r="G33" s="107">
        <v>5526.92</v>
      </c>
      <c r="H33" s="107">
        <v>1272.12</v>
      </c>
      <c r="I33" s="107">
        <v>13280.43</v>
      </c>
      <c r="J33" s="107">
        <v>3055.2</v>
      </c>
      <c r="K33" s="107">
        <v>9199.66</v>
      </c>
      <c r="L33" s="107">
        <v>2116.73</v>
      </c>
      <c r="M33" s="107">
        <v>3264.71</v>
      </c>
      <c r="N33" s="107">
        <v>750.73</v>
      </c>
      <c r="O33" s="107">
        <v>0</v>
      </c>
      <c r="P33" s="114">
        <v>0</v>
      </c>
      <c r="Q33" s="114"/>
      <c r="R33" s="114"/>
      <c r="S33" s="91">
        <f aca="true" t="shared" si="40" ref="S33:S41">E33+G33+I33+K33+M33+O33+Q33</f>
        <v>35352.55</v>
      </c>
      <c r="T33" s="108">
        <f aca="true" t="shared" si="41" ref="T33:T41">P33+N33+L33+J33+H33+F33+R33</f>
        <v>8133.2699999999995</v>
      </c>
      <c r="U33" s="91">
        <v>3547.48</v>
      </c>
      <c r="V33" s="91">
        <v>4789.14</v>
      </c>
      <c r="W33" s="91">
        <v>11529.36</v>
      </c>
      <c r="X33" s="91">
        <v>7981.86</v>
      </c>
      <c r="Y33" s="91">
        <v>2837.94</v>
      </c>
      <c r="Z33" s="109">
        <v>0</v>
      </c>
      <c r="AA33" s="109">
        <v>0</v>
      </c>
      <c r="AB33" s="109">
        <f>SUM(U33:AA33)</f>
        <v>30685.780000000002</v>
      </c>
      <c r="AC33" s="113">
        <f aca="true" t="shared" si="42" ref="AC33:AC41">D33+T33+AB33</f>
        <v>43326.89</v>
      </c>
      <c r="AD33" s="102">
        <f aca="true" t="shared" si="43" ref="AD33:AD41">P33+Z33</f>
        <v>0</v>
      </c>
      <c r="AE33" s="102">
        <f aca="true" t="shared" si="44" ref="AE33:AE41">R33+AA33</f>
        <v>0</v>
      </c>
      <c r="AF33" s="102">
        <f>'[6]Т04-10'!$I$14+'[6]Т04-10'!$I$35+'[6]Т04-10'!$I$39+'[6]Т04-10'!$I$46+'[6]Т04-10'!$I$61+'[6]Т04-10'!$I$65+'[6]Т04-10'!$I$77+'[6]Т04-10'!$I$79+'[6]Т04-10'!$I$80+'[6]Т04-10'!$I$102+'[6]Т04-10'!$I$114+'[6]Т04-10'!$I$121</f>
        <v>21304.812</v>
      </c>
      <c r="AG33" s="16">
        <f aca="true" t="shared" si="45" ref="AG33:AG41">0.6*B33</f>
        <v>3329.0399999999995</v>
      </c>
      <c r="AH33" s="16">
        <f aca="true" t="shared" si="46" ref="AH33:AH41">B33*0.2</f>
        <v>1109.68</v>
      </c>
      <c r="AI33" s="16">
        <f aca="true" t="shared" si="47" ref="AI33:AI41">1*B33</f>
        <v>5548.4</v>
      </c>
      <c r="AJ33" s="16">
        <v>0</v>
      </c>
      <c r="AK33" s="16">
        <f aca="true" t="shared" si="48" ref="AK33:AK41">0.98*B33</f>
        <v>5437.432</v>
      </c>
      <c r="AL33" s="16">
        <v>0</v>
      </c>
      <c r="AM33" s="16">
        <f aca="true" t="shared" si="49" ref="AM33:AM41">2.25*B33</f>
        <v>12483.9</v>
      </c>
      <c r="AN33" s="16">
        <v>0</v>
      </c>
      <c r="AO33" s="16"/>
      <c r="AP33" s="16"/>
      <c r="AQ33" s="117">
        <f>32236.3-0.02</f>
        <v>32236.28</v>
      </c>
      <c r="AR33" s="117"/>
      <c r="AS33" s="97">
        <v>2724</v>
      </c>
      <c r="AT33" s="97"/>
      <c r="AU33" s="97">
        <f t="shared" si="35"/>
        <v>0</v>
      </c>
      <c r="AV33" s="118">
        <v>307</v>
      </c>
      <c r="AW33" s="134">
        <v>3.25</v>
      </c>
      <c r="AX33" s="16">
        <f t="shared" si="36"/>
        <v>1396.85</v>
      </c>
      <c r="AY33" s="121"/>
      <c r="AZ33" s="122"/>
      <c r="BA33" s="122">
        <f aca="true" t="shared" si="50" ref="BA33:BA41">AZ33*0.18</f>
        <v>0</v>
      </c>
      <c r="BB33" s="122">
        <f>SUM(AG33:BA33)-AV33-AW33</f>
        <v>64265.581999999995</v>
      </c>
      <c r="BC33" s="132">
        <f>'[6]Т04-10'!$M$14+'[6]Т04-10'!$M$35+'[6]Т04-10'!$M$39+'[6]Т04-10'!$M$46+'[6]Т04-10'!$M$61+'[6]Т04-10'!$M$65+'[6]Т04-10'!$M$77+'[6]Т04-10'!$M$79+'[6]Т04-10'!$M$80+'[6]Т04-10'!$M$102+'[6]Т04-10'!$M$114+'[6]Т04-10'!$M$121</f>
        <v>9173.420000000002</v>
      </c>
      <c r="BD33" s="14">
        <f t="shared" si="37"/>
        <v>-8807.299999999992</v>
      </c>
      <c r="BE33" s="30">
        <f t="shared" si="38"/>
        <v>-4666.77</v>
      </c>
    </row>
    <row r="34" spans="1:57" ht="12.75">
      <c r="A34" s="11" t="s">
        <v>49</v>
      </c>
      <c r="B34" s="104">
        <v>5549.8</v>
      </c>
      <c r="C34" s="131">
        <f t="shared" si="39"/>
        <v>48005.770000000004</v>
      </c>
      <c r="D34" s="130">
        <f t="shared" si="34"/>
        <v>4522.619999999999</v>
      </c>
      <c r="E34" s="107">
        <v>4105.16</v>
      </c>
      <c r="F34" s="107">
        <v>913.79</v>
      </c>
      <c r="G34" s="107">
        <v>5559.96</v>
      </c>
      <c r="H34" s="107">
        <v>1238.68</v>
      </c>
      <c r="I34" s="107">
        <v>13359.82</v>
      </c>
      <c r="J34" s="107">
        <v>2974.86</v>
      </c>
      <c r="K34" s="107">
        <v>9254.61</v>
      </c>
      <c r="L34" s="107">
        <v>2061.09</v>
      </c>
      <c r="M34" s="107">
        <v>3284.19</v>
      </c>
      <c r="N34" s="107">
        <v>730.99</v>
      </c>
      <c r="O34" s="107">
        <v>0</v>
      </c>
      <c r="P34" s="114">
        <v>0</v>
      </c>
      <c r="Q34" s="114"/>
      <c r="R34" s="114"/>
      <c r="S34" s="91">
        <f t="shared" si="40"/>
        <v>35563.74</v>
      </c>
      <c r="T34" s="108">
        <f t="shared" si="41"/>
        <v>7919.410000000001</v>
      </c>
      <c r="U34" s="139">
        <v>4230.82</v>
      </c>
      <c r="V34" s="139">
        <v>5731.15</v>
      </c>
      <c r="W34" s="139">
        <v>13769.72</v>
      </c>
      <c r="X34" s="139">
        <v>9539.02</v>
      </c>
      <c r="Y34" s="139">
        <v>3384.73</v>
      </c>
      <c r="Z34" s="140">
        <v>0</v>
      </c>
      <c r="AA34" s="140">
        <v>0</v>
      </c>
      <c r="AB34" s="109">
        <f aca="true" t="shared" si="51" ref="AB34:AB41">SUM(U34:AA34)</f>
        <v>36655.44</v>
      </c>
      <c r="AC34" s="113">
        <f t="shared" si="42"/>
        <v>49097.47</v>
      </c>
      <c r="AD34" s="102">
        <f t="shared" si="43"/>
        <v>0</v>
      </c>
      <c r="AE34" s="102">
        <f t="shared" si="44"/>
        <v>0</v>
      </c>
      <c r="AF34" s="102">
        <f>'[6]Т04-10'!$I$14+'[6]Т04-10'!$I$35+'[6]Т04-10'!$I$39+'[6]Т04-10'!$I$46+'[6]Т04-10'!$I$61+'[6]Т04-10'!$I$65+'[6]Т04-10'!$I$77+'[6]Т04-10'!$I$79+'[6]Т04-10'!$I$80+'[6]Т04-10'!$I$102+'[6]Т04-10'!$I$114+'[6]Т04-10'!$I$121</f>
        <v>21304.812</v>
      </c>
      <c r="AG34" s="16">
        <f t="shared" si="45"/>
        <v>3329.88</v>
      </c>
      <c r="AH34" s="16">
        <f t="shared" si="46"/>
        <v>1109.96</v>
      </c>
      <c r="AI34" s="16">
        <f t="shared" si="47"/>
        <v>5549.8</v>
      </c>
      <c r="AJ34" s="16">
        <v>0</v>
      </c>
      <c r="AK34" s="16">
        <f t="shared" si="48"/>
        <v>5438.804</v>
      </c>
      <c r="AL34" s="16">
        <v>0</v>
      </c>
      <c r="AM34" s="16">
        <f t="shared" si="49"/>
        <v>12487.050000000001</v>
      </c>
      <c r="AN34" s="16">
        <v>0</v>
      </c>
      <c r="AO34" s="16"/>
      <c r="AP34" s="16"/>
      <c r="AQ34" s="117"/>
      <c r="AR34" s="117"/>
      <c r="AS34" s="97">
        <v>391</v>
      </c>
      <c r="AT34" s="97"/>
      <c r="AU34" s="97">
        <f t="shared" si="35"/>
        <v>0</v>
      </c>
      <c r="AV34" s="118">
        <v>263</v>
      </c>
      <c r="AW34" s="134">
        <v>3.25</v>
      </c>
      <c r="AX34" s="16">
        <f t="shared" si="36"/>
        <v>1196.6499999999999</v>
      </c>
      <c r="AY34" s="121"/>
      <c r="AZ34" s="122"/>
      <c r="BA34" s="122">
        <f t="shared" si="50"/>
        <v>0</v>
      </c>
      <c r="BB34" s="122">
        <f>SUM(AG34:BA34)-AV34-AW34</f>
        <v>29503.144</v>
      </c>
      <c r="BC34" s="132">
        <f>'[6]Т04-10'!$M$14+'[6]Т04-10'!$M$35+'[6]Т04-10'!$M$39+'[6]Т04-10'!$M$46+'[6]Т04-10'!$M$61+'[6]Т04-10'!$M$65+'[6]Т04-10'!$M$77+'[6]Т04-10'!$M$79+'[6]Т04-10'!$M$80+'[6]Т04-10'!$M$102+'[6]Т04-10'!$M$114+'[6]Т04-10'!$M$121</f>
        <v>9173.420000000002</v>
      </c>
      <c r="BD34" s="14">
        <f t="shared" si="37"/>
        <v>31725.718000000004</v>
      </c>
      <c r="BE34" s="30">
        <f t="shared" si="38"/>
        <v>1091.7000000000044</v>
      </c>
    </row>
    <row r="35" spans="1:57" ht="12.75">
      <c r="A35" s="11" t="s">
        <v>50</v>
      </c>
      <c r="B35" s="104">
        <v>5549.8</v>
      </c>
      <c r="C35" s="131">
        <f t="shared" si="39"/>
        <v>48005.770000000004</v>
      </c>
      <c r="D35" s="130">
        <f t="shared" si="34"/>
        <v>4529.320000000009</v>
      </c>
      <c r="E35" s="107">
        <v>4121.11</v>
      </c>
      <c r="F35" s="107">
        <v>897.04</v>
      </c>
      <c r="G35" s="107">
        <v>5581.67</v>
      </c>
      <c r="H35" s="107">
        <v>1215.95</v>
      </c>
      <c r="I35" s="107">
        <v>13411.82</v>
      </c>
      <c r="J35" s="107">
        <v>2920.32</v>
      </c>
      <c r="K35" s="107">
        <v>9290.69</v>
      </c>
      <c r="L35" s="107">
        <v>2023.29</v>
      </c>
      <c r="M35" s="107">
        <v>3296.97</v>
      </c>
      <c r="N35" s="107">
        <v>717.59</v>
      </c>
      <c r="O35" s="107">
        <v>0</v>
      </c>
      <c r="P35" s="114">
        <v>0</v>
      </c>
      <c r="Q35" s="107">
        <v>0</v>
      </c>
      <c r="R35" s="114">
        <v>0</v>
      </c>
      <c r="S35" s="91">
        <f t="shared" si="40"/>
        <v>35702.26</v>
      </c>
      <c r="T35" s="108">
        <f t="shared" si="41"/>
        <v>7774.1900000000005</v>
      </c>
      <c r="U35" s="91">
        <v>3750.79</v>
      </c>
      <c r="V35" s="91">
        <v>5079.56</v>
      </c>
      <c r="W35" s="91">
        <v>12205.92</v>
      </c>
      <c r="X35" s="91">
        <v>8455.2</v>
      </c>
      <c r="Y35" s="91">
        <v>3000.67</v>
      </c>
      <c r="Z35" s="109">
        <v>0</v>
      </c>
      <c r="AA35" s="109">
        <v>0</v>
      </c>
      <c r="AB35" s="109">
        <f t="shared" si="51"/>
        <v>32492.14</v>
      </c>
      <c r="AC35" s="113">
        <f t="shared" si="42"/>
        <v>44795.65000000001</v>
      </c>
      <c r="AD35" s="102">
        <f t="shared" si="43"/>
        <v>0</v>
      </c>
      <c r="AE35" s="102">
        <f t="shared" si="44"/>
        <v>0</v>
      </c>
      <c r="AF35" s="102">
        <f>'[6]Т04-10'!$I$14+'[6]Т04-10'!$I$35+'[6]Т04-10'!$I$39+'[6]Т04-10'!$I$46+'[6]Т04-10'!$I$61+'[6]Т04-10'!$I$65+'[6]Т04-10'!$I$77+'[6]Т04-10'!$I$79+'[6]Т04-10'!$I$80+'[6]Т04-10'!$I$102+'[6]Т04-10'!$I$114+'[6]Т04-10'!$I$121</f>
        <v>21304.812</v>
      </c>
      <c r="AG35" s="16">
        <f t="shared" si="45"/>
        <v>3329.88</v>
      </c>
      <c r="AH35" s="16">
        <f t="shared" si="46"/>
        <v>1109.96</v>
      </c>
      <c r="AI35" s="16">
        <f t="shared" si="47"/>
        <v>5549.8</v>
      </c>
      <c r="AJ35" s="16">
        <v>0</v>
      </c>
      <c r="AK35" s="16">
        <f t="shared" si="48"/>
        <v>5438.804</v>
      </c>
      <c r="AL35" s="16">
        <v>0</v>
      </c>
      <c r="AM35" s="16">
        <f t="shared" si="49"/>
        <v>12487.050000000001</v>
      </c>
      <c r="AN35" s="16">
        <v>0</v>
      </c>
      <c r="AO35" s="16"/>
      <c r="AP35" s="16"/>
      <c r="AQ35" s="117">
        <v>100</v>
      </c>
      <c r="AR35" s="117"/>
      <c r="AS35" s="97">
        <v>285</v>
      </c>
      <c r="AT35" s="97"/>
      <c r="AU35" s="97">
        <f t="shared" si="35"/>
        <v>0</v>
      </c>
      <c r="AV35" s="118">
        <v>233</v>
      </c>
      <c r="AW35" s="134">
        <v>3.25</v>
      </c>
      <c r="AX35" s="16">
        <f t="shared" si="36"/>
        <v>1060.1499999999999</v>
      </c>
      <c r="AY35" s="121"/>
      <c r="AZ35" s="122"/>
      <c r="BA35" s="122">
        <f t="shared" si="50"/>
        <v>0</v>
      </c>
      <c r="BB35" s="122">
        <f>SUM(AG35:BA35)-AV35-AW35</f>
        <v>29360.644</v>
      </c>
      <c r="BC35" s="132">
        <f>'[6]Т06-10'!$M$14+'[6]Т06-10'!$M$35+'[6]Т06-10'!$M$39+'[6]Т06-10'!$M$46+'[6]Т06-10'!$M$59+'[6]Т06-10'!$M$63+'[6]Т06-10'!$M$75+'[6]Т06-10'!$M$77+'[6]Т06-10'!$M$78+'[6]Т06-10'!$M$99+'[6]Т06-10'!$M$111+'[6]Т06-10'!$M$118</f>
        <v>9173.420000000002</v>
      </c>
      <c r="BD35" s="14">
        <f t="shared" si="37"/>
        <v>27566.398000000012</v>
      </c>
      <c r="BE35" s="30">
        <f t="shared" si="38"/>
        <v>-3210.1200000000026</v>
      </c>
    </row>
    <row r="36" spans="1:57" ht="12.75">
      <c r="A36" s="11" t="s">
        <v>51</v>
      </c>
      <c r="B36" s="104">
        <v>5549.8</v>
      </c>
      <c r="C36" s="131">
        <f t="shared" si="39"/>
        <v>48005.770000000004</v>
      </c>
      <c r="D36" s="130">
        <f t="shared" si="34"/>
        <v>4476.780000000004</v>
      </c>
      <c r="E36" s="141">
        <v>5024.34</v>
      </c>
      <c r="F36" s="107">
        <v>0</v>
      </c>
      <c r="G36" s="107">
        <v>6805.66</v>
      </c>
      <c r="H36" s="107">
        <v>0</v>
      </c>
      <c r="I36" s="107">
        <v>16351.95</v>
      </c>
      <c r="J36" s="107">
        <v>0</v>
      </c>
      <c r="K36" s="107">
        <v>11327.56</v>
      </c>
      <c r="L36" s="107">
        <v>0</v>
      </c>
      <c r="M36" s="107">
        <v>4019.48</v>
      </c>
      <c r="N36" s="107">
        <v>0</v>
      </c>
      <c r="O36" s="107">
        <v>0</v>
      </c>
      <c r="P36" s="114">
        <v>0</v>
      </c>
      <c r="Q36" s="114"/>
      <c r="R36" s="114"/>
      <c r="S36" s="91">
        <f t="shared" si="40"/>
        <v>43528.990000000005</v>
      </c>
      <c r="T36" s="108">
        <f t="shared" si="41"/>
        <v>0</v>
      </c>
      <c r="U36" s="93">
        <v>4702.1</v>
      </c>
      <c r="V36" s="91">
        <v>6366.28</v>
      </c>
      <c r="W36" s="91">
        <v>15300.51</v>
      </c>
      <c r="X36" s="91">
        <v>10598.15</v>
      </c>
      <c r="Y36" s="91">
        <v>3761.69</v>
      </c>
      <c r="Z36" s="109">
        <v>0</v>
      </c>
      <c r="AA36" s="109">
        <v>0</v>
      </c>
      <c r="AB36" s="109">
        <f t="shared" si="51"/>
        <v>40728.73</v>
      </c>
      <c r="AC36" s="113">
        <f t="shared" si="42"/>
        <v>45205.51000000001</v>
      </c>
      <c r="AD36" s="102">
        <f t="shared" si="43"/>
        <v>0</v>
      </c>
      <c r="AE36" s="102">
        <f t="shared" si="44"/>
        <v>0</v>
      </c>
      <c r="AF36" s="102">
        <f>'[7]Т07-10'!$I$13+'[7]Т07-10'!$I$34+'[7]Т07-10'!$I$38+'[7]Т07-10'!$I$46+'[7]Т07-10'!$I$59+'[7]Т07-10'!$I$39+'[7]Т07-10'!$I$74+'[7]Т07-10'!$I$76+'[7]Т07-10'!$I$77+'[7]Т07-10'!$I$98+'[7]Т07-10'!$I$110+'[7]Т07-10'!$I$117</f>
        <v>21304.812</v>
      </c>
      <c r="AG36" s="16">
        <f t="shared" si="45"/>
        <v>3329.88</v>
      </c>
      <c r="AH36" s="16">
        <f t="shared" si="46"/>
        <v>1109.96</v>
      </c>
      <c r="AI36" s="16">
        <f t="shared" si="47"/>
        <v>5549.8</v>
      </c>
      <c r="AJ36" s="16">
        <v>0</v>
      </c>
      <c r="AK36" s="16">
        <f t="shared" si="48"/>
        <v>5438.804</v>
      </c>
      <c r="AL36" s="16">
        <v>0</v>
      </c>
      <c r="AM36" s="16">
        <f t="shared" si="49"/>
        <v>12487.050000000001</v>
      </c>
      <c r="AN36" s="16">
        <v>0</v>
      </c>
      <c r="AO36" s="16"/>
      <c r="AP36" s="16"/>
      <c r="AQ36" s="117"/>
      <c r="AR36" s="117"/>
      <c r="AS36" s="97"/>
      <c r="AT36" s="97">
        <f>9279.66+1228.82+1838.99</f>
        <v>12347.47</v>
      </c>
      <c r="AU36" s="97">
        <f>AT36*0.18-0.02</f>
        <v>2222.5245999999997</v>
      </c>
      <c r="AV36" s="118">
        <v>248</v>
      </c>
      <c r="AW36" s="134">
        <v>3.25</v>
      </c>
      <c r="AX36" s="16">
        <f t="shared" si="36"/>
        <v>1128.3999999999999</v>
      </c>
      <c r="AY36" s="121"/>
      <c r="AZ36" s="122"/>
      <c r="BA36" s="122">
        <f t="shared" si="50"/>
        <v>0</v>
      </c>
      <c r="BB36" s="122">
        <f>SUM(AG36:BA36)-AV36-AW36</f>
        <v>43613.8886</v>
      </c>
      <c r="BC36" s="132">
        <f>'[6]Т06-10'!$M$14+'[6]Т06-10'!$M$35+'[6]Т06-10'!$M$39+'[6]Т06-10'!$M$46+'[6]Т06-10'!$M$59+'[6]Т06-10'!$M$63+'[6]Т06-10'!$M$75+'[6]Т06-10'!$M$77+'[6]Т06-10'!$M$78+'[6]Т06-10'!$M$99+'[6]Т06-10'!$M$111+'[6]Т06-10'!$M$118</f>
        <v>9173.420000000002</v>
      </c>
      <c r="BD36" s="14">
        <f t="shared" si="37"/>
        <v>13723.013400000014</v>
      </c>
      <c r="BE36" s="30">
        <f t="shared" si="38"/>
        <v>-2800.260000000002</v>
      </c>
    </row>
    <row r="37" spans="1:57" ht="12.75">
      <c r="A37" s="11" t="s">
        <v>52</v>
      </c>
      <c r="B37" s="104">
        <v>5549.8</v>
      </c>
      <c r="C37" s="131">
        <f t="shared" si="39"/>
        <v>48005.770000000004</v>
      </c>
      <c r="D37" s="144">
        <f>C37-E37-F37-G37-H37-I37-J37-K37-L37-M37-N37+50000</f>
        <v>54424.670000000006</v>
      </c>
      <c r="E37" s="141">
        <v>5030.48</v>
      </c>
      <c r="F37" s="107">
        <v>0</v>
      </c>
      <c r="G37" s="107">
        <v>6813.62</v>
      </c>
      <c r="H37" s="107">
        <v>0</v>
      </c>
      <c r="I37" s="107">
        <v>16371.54</v>
      </c>
      <c r="J37" s="107">
        <v>0</v>
      </c>
      <c r="K37" s="107">
        <v>11341.05</v>
      </c>
      <c r="L37" s="107">
        <v>0</v>
      </c>
      <c r="M37" s="107">
        <v>4024.41</v>
      </c>
      <c r="N37" s="107">
        <v>0</v>
      </c>
      <c r="O37" s="107">
        <v>0</v>
      </c>
      <c r="P37" s="114">
        <v>0</v>
      </c>
      <c r="Q37" s="114"/>
      <c r="R37" s="114"/>
      <c r="S37" s="91">
        <f t="shared" si="40"/>
        <v>43581.100000000006</v>
      </c>
      <c r="T37" s="108">
        <f t="shared" si="41"/>
        <v>0</v>
      </c>
      <c r="U37" s="139">
        <v>5286.87</v>
      </c>
      <c r="V37" s="139">
        <v>7159.35</v>
      </c>
      <c r="W37" s="139">
        <v>17204.42</v>
      </c>
      <c r="X37" s="139">
        <v>11917.42</v>
      </c>
      <c r="Y37" s="139">
        <v>4229.46</v>
      </c>
      <c r="Z37" s="140">
        <v>0</v>
      </c>
      <c r="AA37" s="140">
        <v>0</v>
      </c>
      <c r="AB37" s="109">
        <f t="shared" si="51"/>
        <v>45797.52</v>
      </c>
      <c r="AC37" s="113">
        <f t="shared" si="42"/>
        <v>100222.19</v>
      </c>
      <c r="AD37" s="102">
        <f t="shared" si="43"/>
        <v>0</v>
      </c>
      <c r="AE37" s="102">
        <f t="shared" si="44"/>
        <v>0</v>
      </c>
      <c r="AF37" s="102">
        <f>'[7]Т07-10'!$I$13+'[7]Т07-10'!$I$34+'[7]Т07-10'!$I$38+'[7]Т07-10'!$I$46+'[7]Т07-10'!$I$59+'[7]Т07-10'!$I$39+'[7]Т07-10'!$I$74+'[7]Т07-10'!$I$76+'[7]Т07-10'!$I$77+'[7]Т07-10'!$I$98+'[7]Т07-10'!$I$110+'[7]Т07-10'!$I$117</f>
        <v>21304.812</v>
      </c>
      <c r="AG37" s="16">
        <f t="shared" si="45"/>
        <v>3329.88</v>
      </c>
      <c r="AH37" s="16">
        <f t="shared" si="46"/>
        <v>1109.96</v>
      </c>
      <c r="AI37" s="16">
        <f t="shared" si="47"/>
        <v>5549.8</v>
      </c>
      <c r="AJ37" s="16">
        <v>0</v>
      </c>
      <c r="AK37" s="16">
        <f t="shared" si="48"/>
        <v>5438.804</v>
      </c>
      <c r="AL37" s="16">
        <v>0</v>
      </c>
      <c r="AM37" s="16">
        <f t="shared" si="49"/>
        <v>12487.050000000001</v>
      </c>
      <c r="AN37" s="16">
        <v>0</v>
      </c>
      <c r="AO37" s="16"/>
      <c r="AP37" s="16"/>
      <c r="AQ37" s="117"/>
      <c r="AR37" s="117"/>
      <c r="AS37" s="97">
        <v>13030</v>
      </c>
      <c r="AT37" s="97">
        <f>47.8+42</f>
        <v>89.8</v>
      </c>
      <c r="AU37" s="97"/>
      <c r="AV37" s="118">
        <v>293</v>
      </c>
      <c r="AW37" s="134">
        <v>3.25</v>
      </c>
      <c r="AX37" s="16">
        <f>AV37*AW37*1.4</f>
        <v>1333.1499999999999</v>
      </c>
      <c r="AY37" s="121"/>
      <c r="AZ37" s="122"/>
      <c r="BA37" s="122">
        <f t="shared" si="50"/>
        <v>0</v>
      </c>
      <c r="BB37" s="122">
        <f>SUM(AG37:BA37)-AV37-AW37</f>
        <v>42368.444</v>
      </c>
      <c r="BC37" s="132">
        <f>'[6]Т06-10'!$M$14+'[6]Т06-10'!$M$35+'[6]Т06-10'!$M$39+'[6]Т06-10'!$M$46+'[6]Т06-10'!$M$59+'[6]Т06-10'!$M$63+'[6]Т06-10'!$M$75+'[6]Т06-10'!$M$77+'[6]Т06-10'!$M$78+'[6]Т06-10'!$M$99+'[6]Т06-10'!$M$111+'[6]Т06-10'!$M$118</f>
        <v>9173.420000000002</v>
      </c>
      <c r="BD37" s="14">
        <f t="shared" si="37"/>
        <v>69985.138</v>
      </c>
      <c r="BE37" s="30">
        <f t="shared" si="38"/>
        <v>2216.419999999991</v>
      </c>
    </row>
    <row r="38" spans="1:57" ht="12.75">
      <c r="A38" s="11" t="s">
        <v>53</v>
      </c>
      <c r="B38" s="142">
        <v>5549.8</v>
      </c>
      <c r="C38" s="131">
        <f t="shared" si="39"/>
        <v>48005.770000000004</v>
      </c>
      <c r="D38" s="144">
        <f>C38-E38-F38-G38-H38-I38-J38-K38-L38-M38-N38+60000+40000</f>
        <v>104455</v>
      </c>
      <c r="E38" s="107">
        <v>5026.9</v>
      </c>
      <c r="F38" s="107">
        <v>0</v>
      </c>
      <c r="G38" s="107">
        <v>6808.98</v>
      </c>
      <c r="H38" s="107">
        <v>0</v>
      </c>
      <c r="I38" s="107">
        <v>16360.14</v>
      </c>
      <c r="J38" s="107">
        <v>0</v>
      </c>
      <c r="K38" s="107">
        <v>11333.2</v>
      </c>
      <c r="L38" s="107">
        <v>0</v>
      </c>
      <c r="M38" s="107">
        <v>4021.55</v>
      </c>
      <c r="N38" s="107">
        <v>0</v>
      </c>
      <c r="O38" s="107">
        <v>0</v>
      </c>
      <c r="P38" s="114">
        <v>0</v>
      </c>
      <c r="Q38" s="114"/>
      <c r="R38" s="114"/>
      <c r="S38" s="91">
        <f t="shared" si="40"/>
        <v>43550.770000000004</v>
      </c>
      <c r="T38" s="108">
        <f t="shared" si="41"/>
        <v>0</v>
      </c>
      <c r="U38" s="91">
        <v>4319.87</v>
      </c>
      <c r="V38" s="91">
        <v>5852</v>
      </c>
      <c r="W38" s="91">
        <v>14059.74</v>
      </c>
      <c r="X38" s="91">
        <v>9739.95</v>
      </c>
      <c r="Y38" s="91">
        <v>3455.89</v>
      </c>
      <c r="Z38" s="109">
        <v>0</v>
      </c>
      <c r="AA38" s="109">
        <v>0</v>
      </c>
      <c r="AB38" s="109">
        <f t="shared" si="51"/>
        <v>37427.45</v>
      </c>
      <c r="AC38" s="113">
        <f t="shared" si="42"/>
        <v>141882.45</v>
      </c>
      <c r="AD38" s="102">
        <f t="shared" si="43"/>
        <v>0</v>
      </c>
      <c r="AE38" s="102">
        <f t="shared" si="44"/>
        <v>0</v>
      </c>
      <c r="AF38" s="102">
        <f>'[7]Т07-10'!$I$13+'[7]Т07-10'!$I$34+'[7]Т07-10'!$I$38+'[7]Т07-10'!$I$46+'[7]Т07-10'!$I$59+'[7]Т07-10'!$I$39+'[7]Т07-10'!$I$74+'[7]Т07-10'!$I$76+'[7]Т07-10'!$I$77+'[7]Т07-10'!$I$98+'[7]Т07-10'!$I$110+'[7]Т07-10'!$I$117</f>
        <v>21304.812</v>
      </c>
      <c r="AG38" s="16">
        <f t="shared" si="45"/>
        <v>3329.88</v>
      </c>
      <c r="AH38" s="16">
        <f t="shared" si="46"/>
        <v>1109.96</v>
      </c>
      <c r="AI38" s="16">
        <f t="shared" si="47"/>
        <v>5549.8</v>
      </c>
      <c r="AJ38" s="16">
        <v>0</v>
      </c>
      <c r="AK38" s="16">
        <f t="shared" si="48"/>
        <v>5438.804</v>
      </c>
      <c r="AL38" s="16">
        <v>0</v>
      </c>
      <c r="AM38" s="16">
        <f t="shared" si="49"/>
        <v>12487.050000000001</v>
      </c>
      <c r="AN38" s="16">
        <v>0</v>
      </c>
      <c r="AO38" s="16"/>
      <c r="AP38" s="16"/>
      <c r="AQ38" s="117"/>
      <c r="AR38" s="117"/>
      <c r="AS38" s="97">
        <v>4797</v>
      </c>
      <c r="AT38" s="97"/>
      <c r="AU38" s="143">
        <f>AT38*0.18</f>
        <v>0</v>
      </c>
      <c r="AV38" s="118">
        <v>349</v>
      </c>
      <c r="AW38" s="134">
        <v>3.25</v>
      </c>
      <c r="AX38" s="16">
        <f>AV38*AW38*1.4</f>
        <v>1587.9499999999998</v>
      </c>
      <c r="AY38" s="121"/>
      <c r="AZ38" s="122"/>
      <c r="BA38" s="122">
        <f t="shared" si="50"/>
        <v>0</v>
      </c>
      <c r="BB38" s="122">
        <f>SUM(AG38:BA38)-AV38-AW38</f>
        <v>34300.443999999996</v>
      </c>
      <c r="BC38" s="132">
        <f>'[7]Т09-10'!$M$13+'[7]Т09-10'!$M$34+'[7]Т09-10'!$M$38+'[7]Т09-10'!$M$39+'[7]Т09-10'!$M$46+'[7]Т09-10'!$M$59+'[7]Т09-10'!$M$74+'[7]Т09-10'!$M$76+'[7]Т09-10'!$M$77+'[7]Т09-10'!$M$98+'[7]Т09-10'!$M$111+'[7]Т09-10'!$M$118</f>
        <v>9173.42</v>
      </c>
      <c r="BD38" s="14">
        <f t="shared" si="37"/>
        <v>119713.39800000003</v>
      </c>
      <c r="BE38" s="30">
        <f t="shared" si="38"/>
        <v>-6123.320000000007</v>
      </c>
    </row>
    <row r="39" spans="1:57" ht="12.75">
      <c r="A39" s="11" t="s">
        <v>41</v>
      </c>
      <c r="B39" s="104">
        <v>5549.8</v>
      </c>
      <c r="C39" s="131">
        <f t="shared" si="39"/>
        <v>48005.770000000004</v>
      </c>
      <c r="D39" s="130">
        <f>C39-E39-F39-G39-H39-I39-J39-K39-L39-M39-N39</f>
        <v>4450.480000000004</v>
      </c>
      <c r="E39" s="126">
        <v>5027.44</v>
      </c>
      <c r="F39" s="126">
        <v>0</v>
      </c>
      <c r="G39" s="126">
        <v>6809.67</v>
      </c>
      <c r="H39" s="126">
        <v>0</v>
      </c>
      <c r="I39" s="126">
        <v>16361.85</v>
      </c>
      <c r="J39" s="126">
        <v>0</v>
      </c>
      <c r="K39" s="126">
        <v>11334.37</v>
      </c>
      <c r="L39" s="126">
        <v>0</v>
      </c>
      <c r="M39" s="126">
        <v>4021.96</v>
      </c>
      <c r="N39" s="126">
        <v>0</v>
      </c>
      <c r="O39" s="126">
        <v>0</v>
      </c>
      <c r="P39" s="127">
        <v>0</v>
      </c>
      <c r="Q39" s="127"/>
      <c r="R39" s="127"/>
      <c r="S39" s="91">
        <f t="shared" si="40"/>
        <v>43555.29</v>
      </c>
      <c r="T39" s="108">
        <f t="shared" si="41"/>
        <v>0</v>
      </c>
      <c r="U39" s="91">
        <v>4740.98</v>
      </c>
      <c r="V39" s="91">
        <v>6421.5</v>
      </c>
      <c r="W39" s="91">
        <v>15429.3</v>
      </c>
      <c r="X39" s="91">
        <v>10688.37</v>
      </c>
      <c r="Y39" s="91">
        <v>3792.83</v>
      </c>
      <c r="Z39" s="109">
        <v>0</v>
      </c>
      <c r="AA39" s="109">
        <v>0</v>
      </c>
      <c r="AB39" s="109">
        <f t="shared" si="51"/>
        <v>41072.98</v>
      </c>
      <c r="AC39" s="113">
        <f t="shared" si="42"/>
        <v>45523.46000000001</v>
      </c>
      <c r="AD39" s="102">
        <f t="shared" si="43"/>
        <v>0</v>
      </c>
      <c r="AE39" s="102">
        <f t="shared" si="44"/>
        <v>0</v>
      </c>
      <c r="AF39" s="102">
        <f>'[7]Т10-10'!$I$13+'[7]Т10-10'!$I$34+'[7]Т10-10'!$I$38+'[7]Т10-10'!$I$39+'[7]Т10-10'!$I$46+'[7]Т10-10'!$I$59+'[7]Т10-10'!$I$74+'[7]Т10-10'!$I$76+'[7]Т10-10'!$I$77+'[7]Т10-10'!$I$98+'[7]Т10-10'!$I$111+'[7]Т10-10'!$I$118+150</f>
        <v>21454.812</v>
      </c>
      <c r="AG39" s="16">
        <f t="shared" si="45"/>
        <v>3329.88</v>
      </c>
      <c r="AH39" s="16">
        <f t="shared" si="46"/>
        <v>1109.96</v>
      </c>
      <c r="AI39" s="16">
        <f t="shared" si="47"/>
        <v>5549.8</v>
      </c>
      <c r="AJ39" s="16">
        <v>0</v>
      </c>
      <c r="AK39" s="16">
        <f t="shared" si="48"/>
        <v>5438.804</v>
      </c>
      <c r="AL39" s="16">
        <v>0</v>
      </c>
      <c r="AM39" s="16">
        <f t="shared" si="49"/>
        <v>12487.050000000001</v>
      </c>
      <c r="AN39" s="16">
        <v>0</v>
      </c>
      <c r="AO39" s="16"/>
      <c r="AP39" s="16"/>
      <c r="AQ39" s="117"/>
      <c r="AR39" s="117"/>
      <c r="AS39" s="97">
        <v>12424</v>
      </c>
      <c r="AT39" s="97">
        <v>84</v>
      </c>
      <c r="AU39" s="97"/>
      <c r="AV39" s="118">
        <v>425</v>
      </c>
      <c r="AW39" s="134">
        <v>3.25</v>
      </c>
      <c r="AX39" s="16">
        <f>AV39*AW39*1.4</f>
        <v>1933.7499999999998</v>
      </c>
      <c r="AY39" s="121"/>
      <c r="AZ39" s="122"/>
      <c r="BA39" s="122">
        <f t="shared" si="50"/>
        <v>0</v>
      </c>
      <c r="BB39" s="122">
        <f>SUM(AG39:BA39)-AV39-AW39</f>
        <v>42357.244</v>
      </c>
      <c r="BC39" s="132">
        <f>'[7]Т10-10'!$M$13+'[7]Т10-10'!$M$34+'[7]Т10-10'!$M$38+'[7]Т10-10'!$M$39+'[7]Т10-10'!$M$46+'[7]Т10-10'!$M$59+'[7]Т10-10'!$M$74+'[7]Т10-10'!$M$76+'[7]Т10-10'!$M$77+'[7]Т10-10'!$M$98+'[7]Т10-10'!$M$111+'[7]Т10-10'!$M$118+37.5</f>
        <v>9210.92</v>
      </c>
      <c r="BD39" s="14">
        <f t="shared" si="37"/>
        <v>15410.108000000013</v>
      </c>
      <c r="BE39" s="30">
        <f t="shared" si="38"/>
        <v>-2482.3099999999977</v>
      </c>
    </row>
    <row r="40" spans="1:57" ht="12.75">
      <c r="A40" s="11" t="s">
        <v>42</v>
      </c>
      <c r="B40" s="104">
        <v>5549.8</v>
      </c>
      <c r="C40" s="131">
        <f t="shared" si="39"/>
        <v>48005.770000000004</v>
      </c>
      <c r="D40" s="130">
        <f>C40-E40-F40-G40-H40-I40-J40-K40-L40-M40-N40</f>
        <v>4447.460000000003</v>
      </c>
      <c r="E40" s="107">
        <v>5027.8</v>
      </c>
      <c r="F40" s="107">
        <v>0</v>
      </c>
      <c r="G40" s="107">
        <v>6810.14</v>
      </c>
      <c r="H40" s="107">
        <v>0</v>
      </c>
      <c r="I40" s="107">
        <v>16362.98</v>
      </c>
      <c r="J40" s="107">
        <v>0</v>
      </c>
      <c r="K40" s="107">
        <v>11335.14</v>
      </c>
      <c r="L40" s="107">
        <v>0</v>
      </c>
      <c r="M40" s="107">
        <v>4022.25</v>
      </c>
      <c r="N40" s="107">
        <v>0</v>
      </c>
      <c r="O40" s="107">
        <v>0</v>
      </c>
      <c r="P40" s="114">
        <v>0</v>
      </c>
      <c r="Q40" s="114"/>
      <c r="R40" s="114"/>
      <c r="S40" s="91">
        <f t="shared" si="40"/>
        <v>43558.31</v>
      </c>
      <c r="T40" s="108">
        <f t="shared" si="41"/>
        <v>0</v>
      </c>
      <c r="U40" s="93">
        <v>5019.84</v>
      </c>
      <c r="V40" s="91">
        <v>6800.15</v>
      </c>
      <c r="W40" s="91">
        <v>16337.89</v>
      </c>
      <c r="X40" s="91">
        <v>11318</v>
      </c>
      <c r="Y40" s="91">
        <v>4015.92</v>
      </c>
      <c r="Z40" s="109">
        <v>0</v>
      </c>
      <c r="AA40" s="109">
        <v>0</v>
      </c>
      <c r="AB40" s="109">
        <f t="shared" si="51"/>
        <v>43491.799999999996</v>
      </c>
      <c r="AC40" s="113">
        <f t="shared" si="42"/>
        <v>47939.259999999995</v>
      </c>
      <c r="AD40" s="102">
        <f t="shared" si="43"/>
        <v>0</v>
      </c>
      <c r="AE40" s="102">
        <f t="shared" si="44"/>
        <v>0</v>
      </c>
      <c r="AF40" s="102">
        <f>'[7]Т11'!$I$13+'[7]Т11'!$I$34+'[7]Т11'!$I$38+'[7]Т11'!$I$39+'[7]Т11'!$I$46+'[7]Т11'!$I$59+'[7]Т11'!$I$74+'[7]Т11'!$I$76+'[7]Т11'!$I$77+'[7]Т11'!$I$98+'[7]Т11'!$I$110+'[7]Т11'!$I$117+150</f>
        <v>21454.812</v>
      </c>
      <c r="AG40" s="16">
        <f t="shared" si="45"/>
        <v>3329.88</v>
      </c>
      <c r="AH40" s="16">
        <f t="shared" si="46"/>
        <v>1109.96</v>
      </c>
      <c r="AI40" s="16">
        <f t="shared" si="47"/>
        <v>5549.8</v>
      </c>
      <c r="AJ40" s="16">
        <v>0</v>
      </c>
      <c r="AK40" s="16">
        <f t="shared" si="48"/>
        <v>5438.804</v>
      </c>
      <c r="AL40" s="16">
        <v>0</v>
      </c>
      <c r="AM40" s="16">
        <f t="shared" si="49"/>
        <v>12487.050000000001</v>
      </c>
      <c r="AN40" s="16">
        <v>0</v>
      </c>
      <c r="AO40" s="16"/>
      <c r="AP40" s="16"/>
      <c r="AQ40" s="117"/>
      <c r="AR40" s="117"/>
      <c r="AS40" s="97">
        <v>5709</v>
      </c>
      <c r="AT40" s="97"/>
      <c r="AU40" s="97">
        <f>AT40*0.18</f>
        <v>0</v>
      </c>
      <c r="AV40" s="118">
        <v>470</v>
      </c>
      <c r="AW40" s="134">
        <v>3.25</v>
      </c>
      <c r="AX40" s="16">
        <f>AV40*AW40*1.4</f>
        <v>2138.5</v>
      </c>
      <c r="AY40" s="121"/>
      <c r="AZ40" s="122"/>
      <c r="BA40" s="122">
        <f t="shared" si="50"/>
        <v>0</v>
      </c>
      <c r="BB40" s="122">
        <f>SUM(AG40:BA40)-AV40-AW40</f>
        <v>35762.994</v>
      </c>
      <c r="BC40" s="132">
        <f>'[7]Т11'!$M$13+'[7]Т11'!$M$34+'[7]Т11'!$M$38+'[7]Т11'!$M$39+'[7]Т11'!$M$46+'[7]Т11'!$M$59+'[7]Т11'!$M$74+'[7]Т11'!$M$76+'[7]Т11'!$M$77+'[7]Т11'!$M$98+'[7]Т11'!$M$110+'[7]Т11'!$M$117+37.5</f>
        <v>9210.92</v>
      </c>
      <c r="BD40" s="14">
        <f t="shared" si="37"/>
        <v>24420.158000000003</v>
      </c>
      <c r="BE40" s="30">
        <f t="shared" si="38"/>
        <v>-66.51000000000204</v>
      </c>
    </row>
    <row r="41" spans="1:57" ht="12.75">
      <c r="A41" s="11" t="s">
        <v>43</v>
      </c>
      <c r="B41" s="149">
        <v>5549.8</v>
      </c>
      <c r="C41" s="131">
        <f t="shared" si="39"/>
        <v>48005.770000000004</v>
      </c>
      <c r="D41" s="130">
        <f>C41-E41-F41-G41-H41-I41-J41-K41-L41-M41-N41</f>
        <v>4435.310000000001</v>
      </c>
      <c r="E41" s="150">
        <v>5029.22</v>
      </c>
      <c r="F41" s="150">
        <v>0</v>
      </c>
      <c r="G41" s="150">
        <v>6812.01</v>
      </c>
      <c r="H41" s="150">
        <v>0</v>
      </c>
      <c r="I41" s="150">
        <v>16367.55</v>
      </c>
      <c r="J41" s="150">
        <v>0</v>
      </c>
      <c r="K41" s="150">
        <v>11338.29</v>
      </c>
      <c r="L41" s="150">
        <v>0</v>
      </c>
      <c r="M41" s="150">
        <v>4023.39</v>
      </c>
      <c r="N41" s="150">
        <v>0</v>
      </c>
      <c r="O41" s="150">
        <v>0</v>
      </c>
      <c r="P41" s="151">
        <v>0</v>
      </c>
      <c r="Q41" s="151"/>
      <c r="R41" s="151"/>
      <c r="S41" s="152">
        <f t="shared" si="40"/>
        <v>43570.46</v>
      </c>
      <c r="T41" s="153">
        <f t="shared" si="41"/>
        <v>0</v>
      </c>
      <c r="U41" s="152">
        <v>5672.76</v>
      </c>
      <c r="V41" s="152">
        <v>7681.77</v>
      </c>
      <c r="W41" s="152">
        <v>18460.17</v>
      </c>
      <c r="X41" s="152">
        <v>12787.34</v>
      </c>
      <c r="Y41" s="152">
        <v>4538.25</v>
      </c>
      <c r="Z41" s="154">
        <v>0</v>
      </c>
      <c r="AA41" s="154">
        <v>0</v>
      </c>
      <c r="AB41" s="154">
        <f t="shared" si="51"/>
        <v>49140.28999999999</v>
      </c>
      <c r="AC41" s="155">
        <f t="shared" si="42"/>
        <v>53575.59999999999</v>
      </c>
      <c r="AD41" s="156">
        <f t="shared" si="43"/>
        <v>0</v>
      </c>
      <c r="AE41" s="156">
        <f t="shared" si="44"/>
        <v>0</v>
      </c>
      <c r="AF41" s="156">
        <f>'[8]Т11'!$I$13+'[8]Т11'!$I$34+'[8]Т11'!$I$38+'[8]Т11'!$I$39+'[8]Т11'!$I$46+'[8]Т11'!$I$59+'[8]Т11'!$I$74+'[8]Т11'!$I$76+'[8]Т11'!$I$77+'[8]Т11'!$I$98+'[8]Т11'!$I$110+'[8]Т11'!$I$117+150</f>
        <v>21454.812</v>
      </c>
      <c r="AG41" s="157">
        <f t="shared" si="45"/>
        <v>3329.88</v>
      </c>
      <c r="AH41" s="157">
        <f t="shared" si="46"/>
        <v>1109.96</v>
      </c>
      <c r="AI41" s="157">
        <f t="shared" si="47"/>
        <v>5549.8</v>
      </c>
      <c r="AJ41" s="157">
        <v>0</v>
      </c>
      <c r="AK41" s="157">
        <f t="shared" si="48"/>
        <v>5438.804</v>
      </c>
      <c r="AL41" s="157">
        <v>0</v>
      </c>
      <c r="AM41" s="157">
        <f t="shared" si="49"/>
        <v>12487.050000000001</v>
      </c>
      <c r="AN41" s="157">
        <v>0</v>
      </c>
      <c r="AO41" s="157"/>
      <c r="AP41" s="157"/>
      <c r="AQ41" s="158"/>
      <c r="AR41" s="158"/>
      <c r="AS41" s="159">
        <v>7083</v>
      </c>
      <c r="AT41" s="145">
        <f>6234.37+1135.61+79.66+196.61+27230.58+5682.38</f>
        <v>40559.21</v>
      </c>
      <c r="AU41" s="159">
        <f>(1135.61+79.66+196.61+27230.58+5682.38)*0.18</f>
        <v>6178.471200000001</v>
      </c>
      <c r="AV41" s="160">
        <v>514</v>
      </c>
      <c r="AW41" s="161">
        <v>3.25</v>
      </c>
      <c r="AX41" s="157">
        <f>AV41*AW41*1.4</f>
        <v>2338.7</v>
      </c>
      <c r="AY41" s="121"/>
      <c r="AZ41" s="162"/>
      <c r="BA41" s="162">
        <f t="shared" si="50"/>
        <v>0</v>
      </c>
      <c r="BB41" s="162">
        <f>SUM(AG41:BA41)-AV41-AW41</f>
        <v>84074.8752</v>
      </c>
      <c r="BC41" s="163">
        <f>'[8]Т11'!$M$13+'[8]Т11'!$M$34+'[8]Т11'!$M$38+'[8]Т11'!$M$39+'[8]Т11'!$M$46+'[8]Т11'!$M$59+'[8]Т11'!$M$74+'[8]Т11'!$M$76+'[8]Т11'!$M$77+'[8]Т11'!$M$98+'[8]Т11'!$M$110+'[8]Т11'!$M$117+37.5</f>
        <v>9210.92</v>
      </c>
      <c r="BD41" s="14">
        <f t="shared" si="37"/>
        <v>-18255.383199999997</v>
      </c>
      <c r="BE41" s="30">
        <f t="shared" si="38"/>
        <v>5569.8299999999945</v>
      </c>
    </row>
    <row r="42" spans="1:57" s="20" customFormat="1" ht="12.75">
      <c r="A42" s="17" t="s">
        <v>5</v>
      </c>
      <c r="B42" s="60"/>
      <c r="C42" s="60">
        <f aca="true" t="shared" si="52" ref="C42:AU42">SUM(C30:C41)</f>
        <v>576090.0000000001</v>
      </c>
      <c r="D42" s="60">
        <f t="shared" si="52"/>
        <v>203752.43</v>
      </c>
      <c r="E42" s="57">
        <f t="shared" si="52"/>
        <v>54710.100000000006</v>
      </c>
      <c r="F42" s="57">
        <f t="shared" si="52"/>
        <v>5580.86</v>
      </c>
      <c r="G42" s="57">
        <f t="shared" si="52"/>
        <v>74101.56</v>
      </c>
      <c r="H42" s="57">
        <f t="shared" si="52"/>
        <v>7564.91</v>
      </c>
      <c r="I42" s="57">
        <f t="shared" si="52"/>
        <v>178050.77</v>
      </c>
      <c r="J42" s="57">
        <f t="shared" si="52"/>
        <v>18168.350000000002</v>
      </c>
      <c r="K42" s="57">
        <f t="shared" si="52"/>
        <v>123340.57999999999</v>
      </c>
      <c r="L42" s="57">
        <f t="shared" si="52"/>
        <v>12587.59</v>
      </c>
      <c r="M42" s="57">
        <f t="shared" si="52"/>
        <v>43768.479999999996</v>
      </c>
      <c r="N42" s="57">
        <f t="shared" si="52"/>
        <v>4464.37</v>
      </c>
      <c r="O42" s="57">
        <f t="shared" si="52"/>
        <v>0</v>
      </c>
      <c r="P42" s="57">
        <f t="shared" si="52"/>
        <v>0</v>
      </c>
      <c r="Q42" s="57">
        <f t="shared" si="52"/>
        <v>0</v>
      </c>
      <c r="R42" s="57">
        <f t="shared" si="52"/>
        <v>0</v>
      </c>
      <c r="S42" s="57">
        <f t="shared" si="52"/>
        <v>473971.49000000005</v>
      </c>
      <c r="T42" s="57">
        <f t="shared" si="52"/>
        <v>48366.08</v>
      </c>
      <c r="U42" s="61">
        <f t="shared" si="52"/>
        <v>51866.43</v>
      </c>
      <c r="V42" s="61">
        <f t="shared" si="52"/>
        <v>70230.79000000001</v>
      </c>
      <c r="W42" s="61">
        <f t="shared" si="52"/>
        <v>168777.11</v>
      </c>
      <c r="X42" s="61">
        <f t="shared" si="52"/>
        <v>116910.59999999999</v>
      </c>
      <c r="Y42" s="61">
        <f t="shared" si="52"/>
        <v>41493.42999999999</v>
      </c>
      <c r="Z42" s="61">
        <f t="shared" si="52"/>
        <v>0</v>
      </c>
      <c r="AA42" s="61">
        <f t="shared" si="52"/>
        <v>0</v>
      </c>
      <c r="AB42" s="61">
        <f t="shared" si="52"/>
        <v>449278.36</v>
      </c>
      <c r="AC42" s="61">
        <f t="shared" si="52"/>
        <v>701396.87</v>
      </c>
      <c r="AD42" s="61">
        <f t="shared" si="52"/>
        <v>0</v>
      </c>
      <c r="AE42" s="100">
        <f t="shared" si="52"/>
        <v>0</v>
      </c>
      <c r="AF42" s="100">
        <f t="shared" si="52"/>
        <v>247360.85004000005</v>
      </c>
      <c r="AG42" s="18">
        <f t="shared" si="52"/>
        <v>39959.99999999999</v>
      </c>
      <c r="AH42" s="18">
        <f t="shared" si="52"/>
        <v>13319.999999999996</v>
      </c>
      <c r="AI42" s="18">
        <f t="shared" si="52"/>
        <v>66600.00000000001</v>
      </c>
      <c r="AJ42" s="18">
        <f t="shared" si="52"/>
        <v>0</v>
      </c>
      <c r="AK42" s="18">
        <f t="shared" si="52"/>
        <v>65268.000000000015</v>
      </c>
      <c r="AL42" s="18">
        <f t="shared" si="52"/>
        <v>0</v>
      </c>
      <c r="AM42" s="18">
        <f t="shared" si="52"/>
        <v>149850</v>
      </c>
      <c r="AN42" s="18">
        <f t="shared" si="52"/>
        <v>0</v>
      </c>
      <c r="AO42" s="18">
        <f t="shared" si="52"/>
        <v>0</v>
      </c>
      <c r="AP42" s="18">
        <f t="shared" si="52"/>
        <v>0</v>
      </c>
      <c r="AQ42" s="18">
        <f t="shared" si="52"/>
        <v>43401.28</v>
      </c>
      <c r="AR42" s="18">
        <f t="shared" si="52"/>
        <v>0</v>
      </c>
      <c r="AS42" s="18">
        <f t="shared" si="52"/>
        <v>116446</v>
      </c>
      <c r="AT42" s="18">
        <f t="shared" si="52"/>
        <v>53080.479999999996</v>
      </c>
      <c r="AU42" s="18">
        <f t="shared" si="52"/>
        <v>8400.9958</v>
      </c>
      <c r="AV42" s="18"/>
      <c r="AW42" s="18"/>
      <c r="AX42" s="18">
        <f aca="true" t="shared" si="53" ref="AX42:BE42">SUM(AX30:AX41)</f>
        <v>20020</v>
      </c>
      <c r="AY42" s="18">
        <f t="shared" si="53"/>
        <v>0</v>
      </c>
      <c r="AZ42" s="18">
        <f t="shared" si="53"/>
        <v>0</v>
      </c>
      <c r="BA42" s="18">
        <f t="shared" si="53"/>
        <v>0</v>
      </c>
      <c r="BB42" s="18">
        <f t="shared" si="53"/>
        <v>576346.7557999999</v>
      </c>
      <c r="BC42" s="18">
        <f t="shared" si="53"/>
        <v>106029.41399999999</v>
      </c>
      <c r="BD42" s="18">
        <f t="shared" si="53"/>
        <v>266381.5502400001</v>
      </c>
      <c r="BE42" s="19">
        <f t="shared" si="53"/>
        <v>-24693.130000000016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101"/>
      <c r="AD43" s="101"/>
      <c r="AE43" s="102"/>
      <c r="AF43" s="102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6"/>
      <c r="AT43" s="96"/>
      <c r="AU43" s="97"/>
      <c r="AV43" s="97"/>
      <c r="AW43" s="97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54" ref="C44:AU44">C28+C42</f>
        <v>1297797.56</v>
      </c>
      <c r="D44" s="23">
        <f t="shared" si="54"/>
        <v>298966.14409795</v>
      </c>
      <c r="E44" s="50">
        <f t="shared" si="54"/>
        <v>113822.37000000001</v>
      </c>
      <c r="F44" s="50">
        <f t="shared" si="54"/>
        <v>19675.64</v>
      </c>
      <c r="G44" s="50">
        <f t="shared" si="54"/>
        <v>153605.81</v>
      </c>
      <c r="H44" s="50">
        <f t="shared" si="54"/>
        <v>26636.05</v>
      </c>
      <c r="I44" s="50">
        <f t="shared" si="54"/>
        <v>367484.56999999995</v>
      </c>
      <c r="J44" s="50">
        <f t="shared" si="54"/>
        <v>64019.08</v>
      </c>
      <c r="K44" s="50">
        <f t="shared" si="54"/>
        <v>254916.80999999997</v>
      </c>
      <c r="L44" s="50">
        <f t="shared" si="54"/>
        <v>44343.69</v>
      </c>
      <c r="M44" s="50">
        <f t="shared" si="54"/>
        <v>91308.95</v>
      </c>
      <c r="N44" s="50">
        <f t="shared" si="54"/>
        <v>15739.98</v>
      </c>
      <c r="O44" s="50">
        <f t="shared" si="54"/>
        <v>0</v>
      </c>
      <c r="P44" s="50">
        <f t="shared" si="54"/>
        <v>0</v>
      </c>
      <c r="Q44" s="50">
        <f t="shared" si="54"/>
        <v>0</v>
      </c>
      <c r="R44" s="50">
        <f t="shared" si="54"/>
        <v>0</v>
      </c>
      <c r="S44" s="50">
        <f t="shared" si="54"/>
        <v>981138.51</v>
      </c>
      <c r="T44" s="50">
        <f t="shared" si="54"/>
        <v>170414.44</v>
      </c>
      <c r="U44" s="53">
        <f t="shared" si="54"/>
        <v>104687.16999999998</v>
      </c>
      <c r="V44" s="53">
        <f t="shared" si="54"/>
        <v>141217.44</v>
      </c>
      <c r="W44" s="53">
        <f t="shared" si="54"/>
        <v>337739.68999999994</v>
      </c>
      <c r="X44" s="53">
        <f t="shared" si="54"/>
        <v>234306.70999999996</v>
      </c>
      <c r="Y44" s="53">
        <f t="shared" si="54"/>
        <v>84000.69999999998</v>
      </c>
      <c r="Z44" s="53">
        <f t="shared" si="54"/>
        <v>0</v>
      </c>
      <c r="AA44" s="53">
        <f t="shared" si="54"/>
        <v>0</v>
      </c>
      <c r="AB44" s="53">
        <f t="shared" si="54"/>
        <v>901951.71</v>
      </c>
      <c r="AC44" s="53">
        <f t="shared" si="54"/>
        <v>1371332.29409795</v>
      </c>
      <c r="AD44" s="53">
        <f t="shared" si="54"/>
        <v>0</v>
      </c>
      <c r="AE44" s="53">
        <f t="shared" si="54"/>
        <v>0</v>
      </c>
      <c r="AF44" s="53">
        <f t="shared" si="54"/>
        <v>359818.75636000006</v>
      </c>
      <c r="AG44" s="23">
        <f t="shared" si="54"/>
        <v>88685.34599999999</v>
      </c>
      <c r="AH44" s="23">
        <f t="shared" si="54"/>
        <v>29717.051146</v>
      </c>
      <c r="AI44" s="23">
        <f t="shared" si="54"/>
        <v>135057.719569</v>
      </c>
      <c r="AJ44" s="23">
        <f t="shared" si="54"/>
        <v>12322.389522419999</v>
      </c>
      <c r="AK44" s="23">
        <f t="shared" si="54"/>
        <v>134493.79125406</v>
      </c>
      <c r="AL44" s="23">
        <f t="shared" si="54"/>
        <v>12460.642425730799</v>
      </c>
      <c r="AM44" s="23">
        <f t="shared" si="54"/>
        <v>301453.30113157304</v>
      </c>
      <c r="AN44" s="23">
        <f t="shared" si="54"/>
        <v>27288.594203683147</v>
      </c>
      <c r="AO44" s="23">
        <f t="shared" si="54"/>
        <v>0</v>
      </c>
      <c r="AP44" s="23">
        <f t="shared" si="54"/>
        <v>0</v>
      </c>
      <c r="AQ44" s="23">
        <f t="shared" si="54"/>
        <v>49466.693</v>
      </c>
      <c r="AR44" s="23">
        <f t="shared" si="54"/>
        <v>1091.77434</v>
      </c>
      <c r="AS44" s="23">
        <f t="shared" si="54"/>
        <v>519981.75000000006</v>
      </c>
      <c r="AT44" s="23">
        <f t="shared" si="54"/>
        <v>53153.35999999999</v>
      </c>
      <c r="AU44" s="23">
        <f t="shared" si="54"/>
        <v>81050.5592</v>
      </c>
      <c r="AV44" s="23"/>
      <c r="AW44" s="23"/>
      <c r="AX44" s="23">
        <f aca="true" t="shared" si="55" ref="AX44:BE44">AX28+AX42</f>
        <v>38918.894</v>
      </c>
      <c r="AY44" s="23">
        <f t="shared" si="55"/>
        <v>0</v>
      </c>
      <c r="AZ44" s="23">
        <f t="shared" si="55"/>
        <v>0</v>
      </c>
      <c r="BA44" s="23">
        <f t="shared" si="55"/>
        <v>0</v>
      </c>
      <c r="BB44" s="23">
        <f t="shared" si="55"/>
        <v>1485141.8657924668</v>
      </c>
      <c r="BC44" s="23">
        <f t="shared" si="55"/>
        <v>152109.09681447898</v>
      </c>
      <c r="BD44" s="23">
        <f t="shared" si="55"/>
        <v>93900.08785100418</v>
      </c>
      <c r="BE44" s="24">
        <f t="shared" si="55"/>
        <v>-79186.8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C33">
      <selection activeCell="O63" sqref="N62:O63"/>
    </sheetView>
  </sheetViews>
  <sheetFormatPr defaultColWidth="9.00390625" defaultRowHeight="12.75"/>
  <cols>
    <col min="1" max="1" width="10.00390625" style="2" customWidth="1"/>
    <col min="2" max="2" width="10.125" style="2" customWidth="1"/>
    <col min="3" max="3" width="11.375" style="2" customWidth="1"/>
    <col min="4" max="4" width="11.003906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1.375" style="2" customWidth="1"/>
    <col min="9" max="9" width="9.875" style="2" customWidth="1"/>
    <col min="10" max="10" width="9.25390625" style="2" customWidth="1"/>
    <col min="11" max="11" width="9.875" style="2" customWidth="1"/>
    <col min="12" max="12" width="10.875" style="2" customWidth="1"/>
    <col min="13" max="13" width="12.375" style="2" customWidth="1"/>
    <col min="14" max="14" width="10.125" style="2" customWidth="1"/>
    <col min="15" max="16" width="11.375" style="2" customWidth="1"/>
    <col min="17" max="17" width="10.75390625" style="2" customWidth="1"/>
    <col min="18" max="18" width="10.25390625" style="2" customWidth="1"/>
    <col min="19" max="16384" width="9.125" style="2" customWidth="1"/>
  </cols>
  <sheetData>
    <row r="1" spans="2:8" ht="20.25" customHeight="1">
      <c r="B1" s="218" t="s">
        <v>55</v>
      </c>
      <c r="C1" s="218"/>
      <c r="D1" s="218"/>
      <c r="E1" s="218"/>
      <c r="F1" s="218"/>
      <c r="G1" s="218"/>
      <c r="H1" s="218"/>
    </row>
    <row r="2" spans="2:8" ht="21" customHeight="1">
      <c r="B2" s="218" t="s">
        <v>56</v>
      </c>
      <c r="C2" s="218"/>
      <c r="D2" s="218"/>
      <c r="E2" s="218"/>
      <c r="F2" s="218"/>
      <c r="G2" s="218"/>
      <c r="H2" s="218"/>
    </row>
    <row r="5" spans="1:17" ht="12.75">
      <c r="A5" s="220" t="s">
        <v>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</row>
    <row r="6" spans="1:17" ht="12.75">
      <c r="A6" s="221" t="s">
        <v>93</v>
      </c>
      <c r="B6" s="221"/>
      <c r="C6" s="221"/>
      <c r="D6" s="221"/>
      <c r="E6" s="221"/>
      <c r="F6" s="221"/>
      <c r="G6" s="221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6" ht="13.5" thickBot="1">
      <c r="A8" s="219" t="s">
        <v>57</v>
      </c>
      <c r="B8" s="219"/>
      <c r="C8" s="219"/>
      <c r="D8" s="219"/>
      <c r="E8" s="219">
        <v>8.65</v>
      </c>
      <c r="F8" s="219"/>
    </row>
    <row r="9" spans="1:18" ht="12.75" customHeight="1">
      <c r="A9" s="165" t="s">
        <v>58</v>
      </c>
      <c r="B9" s="222" t="s">
        <v>1</v>
      </c>
      <c r="C9" s="212" t="s">
        <v>59</v>
      </c>
      <c r="D9" s="215" t="s">
        <v>3</v>
      </c>
      <c r="E9" s="236" t="s">
        <v>60</v>
      </c>
      <c r="F9" s="237"/>
      <c r="G9" s="240" t="s">
        <v>61</v>
      </c>
      <c r="H9" s="241"/>
      <c r="I9" s="249" t="str">
        <f>Лист1!AF3</f>
        <v>Доходы по нежил.помещениям</v>
      </c>
      <c r="J9" s="252" t="s">
        <v>10</v>
      </c>
      <c r="K9" s="204"/>
      <c r="L9" s="204"/>
      <c r="M9" s="204"/>
      <c r="N9" s="204"/>
      <c r="O9" s="253"/>
      <c r="P9" s="180" t="s">
        <v>76</v>
      </c>
      <c r="Q9" s="225" t="s">
        <v>62</v>
      </c>
      <c r="R9" s="225" t="s">
        <v>12</v>
      </c>
    </row>
    <row r="10" spans="1:18" ht="12.75">
      <c r="A10" s="166"/>
      <c r="B10" s="223"/>
      <c r="C10" s="213"/>
      <c r="D10" s="216"/>
      <c r="E10" s="238"/>
      <c r="F10" s="239"/>
      <c r="G10" s="242"/>
      <c r="H10" s="243"/>
      <c r="I10" s="250"/>
      <c r="J10" s="254"/>
      <c r="K10" s="176"/>
      <c r="L10" s="176"/>
      <c r="M10" s="176"/>
      <c r="N10" s="176"/>
      <c r="O10" s="255"/>
      <c r="P10" s="181"/>
      <c r="Q10" s="226"/>
      <c r="R10" s="226"/>
    </row>
    <row r="11" spans="1:18" ht="26.25" customHeight="1">
      <c r="A11" s="166"/>
      <c r="B11" s="223"/>
      <c r="C11" s="213"/>
      <c r="D11" s="216"/>
      <c r="E11" s="228" t="s">
        <v>63</v>
      </c>
      <c r="F11" s="229"/>
      <c r="G11" s="89" t="s">
        <v>64</v>
      </c>
      <c r="H11" s="230" t="s">
        <v>7</v>
      </c>
      <c r="I11" s="250"/>
      <c r="J11" s="232" t="s">
        <v>65</v>
      </c>
      <c r="K11" s="234" t="s">
        <v>32</v>
      </c>
      <c r="L11" s="234" t="s">
        <v>66</v>
      </c>
      <c r="M11" s="234" t="s">
        <v>37</v>
      </c>
      <c r="N11" s="234" t="s">
        <v>67</v>
      </c>
      <c r="O11" s="230" t="s">
        <v>39</v>
      </c>
      <c r="P11" s="181"/>
      <c r="Q11" s="226"/>
      <c r="R11" s="226"/>
    </row>
    <row r="12" spans="1:18" ht="66.75" customHeight="1" thickBot="1">
      <c r="A12" s="256"/>
      <c r="B12" s="224"/>
      <c r="C12" s="214"/>
      <c r="D12" s="217"/>
      <c r="E12" s="63" t="s">
        <v>68</v>
      </c>
      <c r="F12" s="67" t="s">
        <v>21</v>
      </c>
      <c r="G12" s="82" t="s">
        <v>69</v>
      </c>
      <c r="H12" s="231"/>
      <c r="I12" s="251"/>
      <c r="J12" s="233"/>
      <c r="K12" s="235"/>
      <c r="L12" s="235"/>
      <c r="M12" s="235"/>
      <c r="N12" s="235"/>
      <c r="O12" s="231"/>
      <c r="P12" s="182"/>
      <c r="Q12" s="227"/>
      <c r="R12" s="227"/>
    </row>
    <row r="13" spans="1:18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  <c r="Q13" s="64">
        <v>17</v>
      </c>
      <c r="R13" s="66">
        <v>18</v>
      </c>
    </row>
    <row r="14" spans="1:18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86"/>
      <c r="J14" s="7"/>
      <c r="K14" s="8"/>
      <c r="L14" s="8"/>
      <c r="M14" s="8"/>
      <c r="N14" s="8"/>
      <c r="O14" s="9"/>
      <c r="P14" s="83"/>
      <c r="Q14" s="77"/>
      <c r="R14" s="74"/>
    </row>
    <row r="15" spans="1:18" ht="12.75" hidden="1">
      <c r="A15" s="11" t="s">
        <v>41</v>
      </c>
      <c r="B15" s="84">
        <f>Лист1!B9</f>
        <v>5565.3</v>
      </c>
      <c r="C15" s="27">
        <f>B15*8.65</f>
        <v>48139.845</v>
      </c>
      <c r="D15" s="28">
        <f>Лист1!D9</f>
        <v>11595.925863600001</v>
      </c>
      <c r="E15" s="14">
        <f>Лист1!S9</f>
        <v>32076.37</v>
      </c>
      <c r="F15" s="30">
        <f>Лист1!T9</f>
        <v>7929.76</v>
      </c>
      <c r="G15" s="29">
        <f>Лист1!AB9</f>
        <v>680.29</v>
      </c>
      <c r="H15" s="30">
        <f>Лист1!AC9</f>
        <v>20205.975863600004</v>
      </c>
      <c r="I15" s="87">
        <f>Лист1!AD9</f>
        <v>0</v>
      </c>
      <c r="J15" s="29">
        <f>Лист1!AG9</f>
        <v>3339.18</v>
      </c>
      <c r="K15" s="14">
        <f>Лист1!AI9+Лист1!AJ9</f>
        <v>5593.8047971999995</v>
      </c>
      <c r="L15" s="14">
        <f>Лист1!AH9+Лист1!AK9+Лист1!AL9+Лист1!AM9+Лист1!AN9+Лист1!AO9+Лист1!AP9</f>
        <v>19642.13141943</v>
      </c>
      <c r="M15" s="31">
        <f>Лист1!AS9+Лист1!AU9</f>
        <v>0</v>
      </c>
      <c r="N15" s="31">
        <f>Лист1!AX9</f>
        <v>0</v>
      </c>
      <c r="O15" s="30">
        <f>Лист1!BB9</f>
        <v>28575.116216630002</v>
      </c>
      <c r="P15" s="90">
        <f>Лист1!BC9</f>
        <v>0</v>
      </c>
      <c r="Q15" s="75">
        <f>Лист1!BD9</f>
        <v>-8369.140353029998</v>
      </c>
      <c r="R15" s="75">
        <f>Лист1!BE9</f>
        <v>-31396.079999999998</v>
      </c>
    </row>
    <row r="16" spans="1:18" ht="12.75" hidden="1">
      <c r="A16" s="11" t="s">
        <v>42</v>
      </c>
      <c r="B16" s="84">
        <f>Лист1!B10</f>
        <v>5565.3</v>
      </c>
      <c r="C16" s="27">
        <f aca="true" t="shared" si="0" ref="C16:C31">B16*8.65</f>
        <v>48139.845</v>
      </c>
      <c r="D16" s="28">
        <f>Лист1!D10</f>
        <v>11595.925863600001</v>
      </c>
      <c r="E16" s="14">
        <f>Лист1!S10</f>
        <v>31170.120000000003</v>
      </c>
      <c r="F16" s="30">
        <f>Лист1!T10</f>
        <v>7761.759999999998</v>
      </c>
      <c r="G16" s="29">
        <f>Лист1!AB10</f>
        <v>22494.03</v>
      </c>
      <c r="H16" s="30">
        <f>Лист1!AC10</f>
        <v>41851.715863599995</v>
      </c>
      <c r="I16" s="87">
        <f>Лист1!AD10</f>
        <v>0</v>
      </c>
      <c r="J16" s="29">
        <f>Лист1!AG10</f>
        <v>3339.18</v>
      </c>
      <c r="K16" s="14">
        <f>Лист1!AI10+Лист1!AJ10</f>
        <v>5593.8047971999995</v>
      </c>
      <c r="L16" s="14">
        <f>Лист1!AH10+Лист1!AK10+Лист1!AL10+Лист1!AM10+Лист1!AN10+Лист1!AO10+Лист1!AP10</f>
        <v>19582.84984383</v>
      </c>
      <c r="M16" s="31">
        <f>Лист1!AS10+Лист1!AU10</f>
        <v>13713.96</v>
      </c>
      <c r="N16" s="31">
        <f>Лист1!AX10</f>
        <v>0</v>
      </c>
      <c r="O16" s="30">
        <f>Лист1!BB10</f>
        <v>42229.79464103</v>
      </c>
      <c r="P16" s="90">
        <f>Лист1!BC10</f>
        <v>0</v>
      </c>
      <c r="Q16" s="75">
        <f>Лист1!BD10</f>
        <v>-378.07877743000427</v>
      </c>
      <c r="R16" s="75">
        <f>Лист1!BE10</f>
        <v>-8676.090000000004</v>
      </c>
    </row>
    <row r="17" spans="1:20" ht="13.5" hidden="1" thickBot="1">
      <c r="A17" s="32" t="s">
        <v>43</v>
      </c>
      <c r="B17" s="84">
        <f>Лист1!B11</f>
        <v>5565.3</v>
      </c>
      <c r="C17" s="33">
        <f t="shared" si="0"/>
        <v>48139.845</v>
      </c>
      <c r="D17" s="28">
        <f>Лист1!D11</f>
        <v>11570.411745750002</v>
      </c>
      <c r="E17" s="14">
        <f>Лист1!S11</f>
        <v>37178.79</v>
      </c>
      <c r="F17" s="30">
        <f>Лист1!T11</f>
        <v>7788.96</v>
      </c>
      <c r="G17" s="29">
        <f>Лист1!AB11</f>
        <v>41307.46000000001</v>
      </c>
      <c r="H17" s="30">
        <f>Лист1!AC11</f>
        <v>60666.83174575001</v>
      </c>
      <c r="I17" s="87">
        <f>Лист1!AD11</f>
        <v>0</v>
      </c>
      <c r="J17" s="29">
        <f>Лист1!AG11</f>
        <v>3339.18</v>
      </c>
      <c r="K17" s="14">
        <f>Лист1!AI11+Лист1!AJ11</f>
        <v>5577.53030328</v>
      </c>
      <c r="L17" s="14">
        <f>Лист1!AH11+Лист1!AK11+Лист1!AL11+Лист1!AM11+Лист1!AN11+Лист1!AO11+Лист1!AP11</f>
        <v>19551.587496469</v>
      </c>
      <c r="M17" s="31">
        <f>Лист1!AS11+Лист1!AU11</f>
        <v>26524.04</v>
      </c>
      <c r="N17" s="31">
        <f>Лист1!AX11</f>
        <v>0</v>
      </c>
      <c r="O17" s="30">
        <f>Лист1!BB11</f>
        <v>54992.337799748995</v>
      </c>
      <c r="P17" s="90">
        <f>Лист1!BC11</f>
        <v>0</v>
      </c>
      <c r="Q17" s="75">
        <f>Лист1!BD11</f>
        <v>5674.493946001014</v>
      </c>
      <c r="R17" s="75">
        <f>Лист1!BE11</f>
        <v>4128.6700000000055</v>
      </c>
      <c r="S17" s="1"/>
      <c r="T17" s="1"/>
    </row>
    <row r="18" spans="1:20" s="20" customFormat="1" ht="13.5" hidden="1" thickBot="1">
      <c r="A18" s="34" t="s">
        <v>5</v>
      </c>
      <c r="B18" s="35"/>
      <c r="C18" s="36">
        <f>SUM(C15:C17)</f>
        <v>144419.535</v>
      </c>
      <c r="D18" s="68">
        <f aca="true" t="shared" si="1" ref="D18:J18">SUM(D15:D17)</f>
        <v>34762.263472950006</v>
      </c>
      <c r="E18" s="36">
        <f t="shared" si="1"/>
        <v>100425.28</v>
      </c>
      <c r="F18" s="69">
        <f t="shared" si="1"/>
        <v>23480.48</v>
      </c>
      <c r="G18" s="68">
        <f t="shared" si="1"/>
        <v>64481.780000000006</v>
      </c>
      <c r="H18" s="69">
        <f t="shared" si="1"/>
        <v>122724.52347295001</v>
      </c>
      <c r="I18" s="69">
        <f t="shared" si="1"/>
        <v>0</v>
      </c>
      <c r="J18" s="68">
        <f t="shared" si="1"/>
        <v>10017.539999999999</v>
      </c>
      <c r="K18" s="36">
        <f aca="true" t="shared" si="2" ref="K18:R18">SUM(K15:K17)</f>
        <v>16765.139897679997</v>
      </c>
      <c r="L18" s="36">
        <f t="shared" si="2"/>
        <v>58776.568759729</v>
      </c>
      <c r="M18" s="36">
        <f t="shared" si="2"/>
        <v>40238</v>
      </c>
      <c r="N18" s="36">
        <f t="shared" si="2"/>
        <v>0</v>
      </c>
      <c r="O18" s="69">
        <f t="shared" si="2"/>
        <v>125797.24865740899</v>
      </c>
      <c r="P18" s="69">
        <f t="shared" si="2"/>
        <v>0</v>
      </c>
      <c r="Q18" s="76">
        <f t="shared" si="2"/>
        <v>-3072.725184458988</v>
      </c>
      <c r="R18" s="76">
        <f t="shared" si="2"/>
        <v>-35943.49999999999</v>
      </c>
      <c r="S18" s="71"/>
      <c r="T18" s="72"/>
    </row>
    <row r="19" spans="1:20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88"/>
      <c r="J19" s="44"/>
      <c r="K19" s="14"/>
      <c r="L19" s="14"/>
      <c r="M19" s="31"/>
      <c r="N19" s="70"/>
      <c r="O19" s="30"/>
      <c r="P19" s="90"/>
      <c r="Q19" s="75"/>
      <c r="R19" s="75"/>
      <c r="S19" s="1"/>
      <c r="T19" s="1"/>
    </row>
    <row r="20" spans="1:20" ht="12.75" customHeight="1" hidden="1">
      <c r="A20" s="11" t="s">
        <v>45</v>
      </c>
      <c r="B20" s="84">
        <f>Лист1!B14</f>
        <v>5565.3</v>
      </c>
      <c r="C20" s="27">
        <f t="shared" si="0"/>
        <v>48139.845</v>
      </c>
      <c r="D20" s="28">
        <f>Лист1!D14</f>
        <v>6017.480625</v>
      </c>
      <c r="E20" s="14">
        <f>Лист1!S14</f>
        <v>30492.960000000003</v>
      </c>
      <c r="F20" s="30">
        <f>Лист1!T14</f>
        <v>7701.13</v>
      </c>
      <c r="G20" s="29">
        <f>Лист1!AB14</f>
        <v>18778.629999999997</v>
      </c>
      <c r="H20" s="30">
        <f>Лист1!AC14</f>
        <v>32497.240625</v>
      </c>
      <c r="I20" s="87">
        <f>Лист1!AF14</f>
        <v>2240.01462</v>
      </c>
      <c r="J20" s="29">
        <f>Лист1!AG14</f>
        <v>3005.2619999999997</v>
      </c>
      <c r="K20" s="14">
        <f>Лист1!AI14+Лист1!AJ14</f>
        <v>4839.5668453</v>
      </c>
      <c r="L20" s="14">
        <f>Лист1!AH14+Лист1!AK14+Лист1!AL14+Лист1!AM14+Лист1!AN14+Лист1!AO14+Лист1!AP14+Лист1!AQ14+Лист1!AR14</f>
        <v>16620.543500574</v>
      </c>
      <c r="M20" s="31">
        <f>Лист1!AS14+Лист1!AT14+Лист1!AU14+Лист1!AZ14+Лист1!BA14</f>
        <v>14558.85</v>
      </c>
      <c r="N20" s="31">
        <f>Лист1!AX14</f>
        <v>0</v>
      </c>
      <c r="O20" s="30">
        <f>Лист1!BB14</f>
        <v>39024.222345874</v>
      </c>
      <c r="P20" s="90">
        <f>Лист1!BC14</f>
        <v>952.3382353800001</v>
      </c>
      <c r="Q20" s="75">
        <f>Лист1!BD14</f>
        <v>-5239.305336253997</v>
      </c>
      <c r="R20" s="75">
        <f>Лист1!BE14</f>
        <v>-11714.330000000005</v>
      </c>
      <c r="S20" s="1"/>
      <c r="T20" s="1"/>
    </row>
    <row r="21" spans="1:20" ht="12.75" hidden="1">
      <c r="A21" s="11" t="s">
        <v>46</v>
      </c>
      <c r="B21" s="84">
        <f>Лист1!B15</f>
        <v>5563.2</v>
      </c>
      <c r="C21" s="27">
        <f t="shared" si="0"/>
        <v>48121.68</v>
      </c>
      <c r="D21" s="28">
        <f>Лист1!D15</f>
        <v>6015.21</v>
      </c>
      <c r="E21" s="14">
        <f>Лист1!S15</f>
        <v>31817.71</v>
      </c>
      <c r="F21" s="30">
        <f>Лист1!T15</f>
        <v>7702.18</v>
      </c>
      <c r="G21" s="29">
        <f>Лист1!AB15</f>
        <v>28021.38</v>
      </c>
      <c r="H21" s="30">
        <f>Лист1!AC15</f>
        <v>41738.770000000004</v>
      </c>
      <c r="I21" s="87">
        <f>Лист1!AF15</f>
        <v>2240.01462</v>
      </c>
      <c r="J21" s="29">
        <f>Лист1!AG15</f>
        <v>3004.1279999999997</v>
      </c>
      <c r="K21" s="14">
        <f>Лист1!AI15+Лист1!AJ15</f>
        <v>4832.1843936</v>
      </c>
      <c r="L21" s="14">
        <f>Лист1!AH15+Лист1!AK15+Лист1!AL15+Лист1!AM15+Лист1!AN15+Лист1!AO15+Лист1!AP15+Лист1!AQ15+Лист1!AR15</f>
        <v>16638.256559616</v>
      </c>
      <c r="M21" s="31">
        <f>Лист1!AS15+Лист1!AT15+Лист1!AU15+Лист1!AZ15+Лист1!BA15</f>
        <v>2365.9</v>
      </c>
      <c r="N21" s="31">
        <f>Лист1!AX15</f>
        <v>0</v>
      </c>
      <c r="O21" s="30">
        <f>Лист1!BB15</f>
        <v>26840.468953215994</v>
      </c>
      <c r="P21" s="90">
        <f>Лист1!BC15</f>
        <v>953.7698172800002</v>
      </c>
      <c r="Q21" s="75">
        <f>Лист1!BD15</f>
        <v>16184.545849504011</v>
      </c>
      <c r="R21" s="75">
        <f>Лист1!BE15</f>
        <v>-3796.329999999998</v>
      </c>
      <c r="S21" s="1"/>
      <c r="T21" s="1"/>
    </row>
    <row r="22" spans="1:20" ht="12.75" hidden="1">
      <c r="A22" s="11" t="s">
        <v>47</v>
      </c>
      <c r="B22" s="84">
        <f>Лист1!B16</f>
        <v>5563.2</v>
      </c>
      <c r="C22" s="27">
        <f t="shared" si="0"/>
        <v>48121.68</v>
      </c>
      <c r="D22" s="28">
        <f>Лист1!D16</f>
        <v>6015.21</v>
      </c>
      <c r="E22" s="14">
        <f>Лист1!S16</f>
        <v>31735.529999999995</v>
      </c>
      <c r="F22" s="30">
        <f>Лист1!T16</f>
        <v>7771.37</v>
      </c>
      <c r="G22" s="29">
        <f>Лист1!AB16</f>
        <v>32193.35</v>
      </c>
      <c r="H22" s="30">
        <f>Лист1!AC16</f>
        <v>45979.93</v>
      </c>
      <c r="I22" s="87">
        <f>Лист1!AF16</f>
        <v>2240.01462</v>
      </c>
      <c r="J22" s="29">
        <f>Лист1!AG16</f>
        <v>3004.1279999999997</v>
      </c>
      <c r="K22" s="14">
        <f>Лист1!AI16+Лист1!AJ16</f>
        <v>4840.554228</v>
      </c>
      <c r="L22" s="14">
        <f>Лист1!AH16+Лист1!AK16+Лист1!AL16+Лист1!AM16+Лист1!AN16+Лист1!AO16+Лист1!AP16+Лист1!AQ16+Лист1!AR16</f>
        <v>16084.797727135998</v>
      </c>
      <c r="M22" s="31">
        <f>Лист1!AS16+Лист1!AT16+Лист1!AU16+Лист1!AZ16+Лист1!BA16</f>
        <v>13472.06</v>
      </c>
      <c r="N22" s="31">
        <f>Лист1!AX16</f>
        <v>0</v>
      </c>
      <c r="O22" s="30">
        <f>Лист1!BB16</f>
        <v>37401.539955136</v>
      </c>
      <c r="P22" s="90">
        <f>Лист1!BC16</f>
        <v>933.76496399</v>
      </c>
      <c r="Q22" s="75">
        <f>Лист1!BD16</f>
        <v>9884.639700874</v>
      </c>
      <c r="R22" s="75">
        <f>Лист1!BE16</f>
        <v>457.82000000000335</v>
      </c>
      <c r="S22" s="1"/>
      <c r="T22" s="1"/>
    </row>
    <row r="23" spans="1:20" ht="12.75" hidden="1">
      <c r="A23" s="11" t="s">
        <v>48</v>
      </c>
      <c r="B23" s="84">
        <f>Лист1!B17</f>
        <v>5563.2</v>
      </c>
      <c r="C23" s="27">
        <f t="shared" si="0"/>
        <v>48121.68</v>
      </c>
      <c r="D23" s="28">
        <f>Лист1!D17</f>
        <v>6015.21</v>
      </c>
      <c r="E23" s="14">
        <f>Лист1!S17</f>
        <v>31996.5</v>
      </c>
      <c r="F23" s="30">
        <f>Лист1!T17</f>
        <v>7697.44</v>
      </c>
      <c r="G23" s="29">
        <f>Лист1!AB17</f>
        <v>30685.780000000002</v>
      </c>
      <c r="H23" s="30">
        <f>Лист1!AC17</f>
        <v>44398.43</v>
      </c>
      <c r="I23" s="87">
        <f>Лист1!AF17</f>
        <v>2240.01462</v>
      </c>
      <c r="J23" s="29">
        <f>Лист1!AG17</f>
        <v>3004.1279999999997</v>
      </c>
      <c r="K23" s="14">
        <f>Лист1!AI17+Лист1!AJ17</f>
        <v>4985.07336864</v>
      </c>
      <c r="L23" s="14">
        <f>Лист1!AH17+Лист1!AK17+Лист1!AL17+Лист1!AM17+Лист1!AN17+Лист1!AO17+Лист1!AP17+Лист1!AQ17+Лист1!AR17</f>
        <v>18187.711832352</v>
      </c>
      <c r="M23" s="31">
        <f>Лист1!AS17+Лист1!AT17+Лист1!AU17+Лист1!AY17+Лист1!AZ17</f>
        <v>80183.0768</v>
      </c>
      <c r="N23" s="31">
        <f>Лист1!AX17</f>
        <v>6893.81</v>
      </c>
      <c r="O23" s="30">
        <f>Лист1!BB17</f>
        <v>113253.80000099199</v>
      </c>
      <c r="P23" s="90">
        <f>Лист1!BC17</f>
        <v>960.4056204400001</v>
      </c>
      <c r="Q23" s="75">
        <f>Лист1!BD17</f>
        <v>-67575.761001432</v>
      </c>
      <c r="R23" s="75">
        <f>Лист1!BE17</f>
        <v>-1310.7199999999975</v>
      </c>
      <c r="S23" s="1"/>
      <c r="T23" s="1"/>
    </row>
    <row r="24" spans="1:20" ht="12.75" hidden="1">
      <c r="A24" s="11" t="s">
        <v>49</v>
      </c>
      <c r="B24" s="84">
        <f>Лист1!B18</f>
        <v>5562</v>
      </c>
      <c r="C24" s="27">
        <f t="shared" si="0"/>
        <v>48111.3</v>
      </c>
      <c r="D24" s="28">
        <f>Лист1!D18</f>
        <v>4595.300000000001</v>
      </c>
      <c r="E24" s="14">
        <f>Лист1!S18</f>
        <v>35062.1</v>
      </c>
      <c r="F24" s="30">
        <f>Лист1!T18</f>
        <v>8453.9</v>
      </c>
      <c r="G24" s="29">
        <f>Лист1!AB18</f>
        <v>29322.39</v>
      </c>
      <c r="H24" s="30">
        <f>Лист1!AC18</f>
        <v>42371.59</v>
      </c>
      <c r="I24" s="87">
        <f>Лист1!AF18</f>
        <v>2240.01462</v>
      </c>
      <c r="J24" s="29">
        <f>Лист1!AG18</f>
        <v>3337.2</v>
      </c>
      <c r="K24" s="14">
        <f>Лист1!AI18+Лист1!AJ18</f>
        <v>5578.686</v>
      </c>
      <c r="L24" s="14">
        <f>Лист1!AH18+Лист1!AK18+Лист1!AL18+Лист1!AM18+Лист1!AN18+Лист1!AO18+Лист1!AP18+Лист1!AQ18+Лист1!AR18</f>
        <v>19106.5824</v>
      </c>
      <c r="M24" s="31">
        <f>Лист1!AS18+Лист1!AT18+Лист1!AU18+Лист1!AZ18+Лист1!BA18</f>
        <v>121627.4026</v>
      </c>
      <c r="N24" s="31">
        <f>Лист1!AX18</f>
        <v>1129.6376</v>
      </c>
      <c r="O24" s="30">
        <f>Лист1!BB18</f>
        <v>150779.5086</v>
      </c>
      <c r="P24" s="90">
        <f>Лист1!BC18</f>
        <v>1072.05951495</v>
      </c>
      <c r="Q24" s="75">
        <f>Лист1!BD18</f>
        <v>-107239.96349495</v>
      </c>
      <c r="R24" s="75">
        <f>Лист1!BE18</f>
        <v>-5739.709999999999</v>
      </c>
      <c r="S24" s="1"/>
      <c r="T24" s="1"/>
    </row>
    <row r="25" spans="1:20" ht="12.75" hidden="1">
      <c r="A25" s="11" t="s">
        <v>50</v>
      </c>
      <c r="B25" s="84">
        <f>Лист1!B19</f>
        <v>5562</v>
      </c>
      <c r="C25" s="27">
        <f t="shared" si="0"/>
        <v>48111.3</v>
      </c>
      <c r="D25" s="28">
        <f>Лист1!D19</f>
        <v>4646.6400000000085</v>
      </c>
      <c r="E25" s="14">
        <f>Лист1!S19</f>
        <v>34940.270000000004</v>
      </c>
      <c r="F25" s="30">
        <f>Лист1!T19</f>
        <v>8524.390000000001</v>
      </c>
      <c r="G25" s="29">
        <f>Лист1!AB19</f>
        <v>34881.170000000006</v>
      </c>
      <c r="H25" s="30">
        <f>Лист1!AC19</f>
        <v>48052.20000000001</v>
      </c>
      <c r="I25" s="87">
        <f>Лист1!AF19</f>
        <v>2240.01462</v>
      </c>
      <c r="J25" s="29">
        <f>Лист1!AG19</f>
        <v>3337.2</v>
      </c>
      <c r="K25" s="14">
        <f>Лист1!AI19+Лист1!AJ19</f>
        <v>5578.686</v>
      </c>
      <c r="L25" s="14">
        <f>Лист1!AH19+Лист1!AK19+Лист1!AL19+Лист1!AM19+Лист1!AN19+Лист1!AO19+Лист1!AP19+Лист1!AQ19+Лист1!AR19</f>
        <v>19107.08478</v>
      </c>
      <c r="M25" s="31">
        <f>Лист1!AS19+Лист1!AT19+Лист1!AU19+Лист1!AZ19+Лист1!BA19</f>
        <v>23654.8464</v>
      </c>
      <c r="N25" s="31">
        <f>Лист1!AX19</f>
        <v>1000.7816000000001</v>
      </c>
      <c r="O25" s="30">
        <f>Лист1!BB19</f>
        <v>52678.59878</v>
      </c>
      <c r="P25" s="90">
        <f>Лист1!BC19</f>
        <v>1067.66118</v>
      </c>
      <c r="Q25" s="75">
        <f>Лист1!BD19</f>
        <v>-3454.045339999987</v>
      </c>
      <c r="R25" s="75">
        <f>Лист1!BE19</f>
        <v>-59.099999999998545</v>
      </c>
      <c r="S25" s="1"/>
      <c r="T25" s="1"/>
    </row>
    <row r="26" spans="1:20" ht="12.75" hidden="1">
      <c r="A26" s="11" t="s">
        <v>51</v>
      </c>
      <c r="B26" s="84">
        <f>Лист1!B20</f>
        <v>5562</v>
      </c>
      <c r="C26" s="27">
        <f t="shared" si="0"/>
        <v>48111.3</v>
      </c>
      <c r="D26" s="28">
        <f>Лист1!D20</f>
        <v>4530.730000000004</v>
      </c>
      <c r="E26" s="14">
        <f>Лист1!S20</f>
        <v>35056.17</v>
      </c>
      <c r="F26" s="30">
        <f>Лист1!T20</f>
        <v>8524.4</v>
      </c>
      <c r="G26" s="29">
        <f>Лист1!AB20</f>
        <v>37127.29</v>
      </c>
      <c r="H26" s="30">
        <f>Лист1!AC20</f>
        <v>50182.420000000006</v>
      </c>
      <c r="I26" s="87">
        <f>Лист1!AF20</f>
        <v>15231.82462</v>
      </c>
      <c r="J26" s="29">
        <f>Лист1!AG20</f>
        <v>3337.2</v>
      </c>
      <c r="K26" s="14">
        <f>Лист1!AI20+Лист1!AJ20</f>
        <v>5498.9107902</v>
      </c>
      <c r="L26" s="14">
        <f>Лист1!AH20+Лист1!AK20+Лист1!AL20+Лист1!AM20+Лист1!AN20+Лист1!AO20+Лист1!AP20+Лист1!AQ20+Лист1!AR20</f>
        <v>18916.96948164</v>
      </c>
      <c r="M26" s="31">
        <f>Лист1!AS20+Лист1!AT20+Лист1!AU20+Лист1!AZ20+Лист1!BA20</f>
        <v>46064.899000000005</v>
      </c>
      <c r="N26" s="31">
        <f>Лист1!AX20</f>
        <v>1065.2096000000001</v>
      </c>
      <c r="O26" s="30">
        <f>Лист1!BB20</f>
        <v>74883.18887184</v>
      </c>
      <c r="P26" s="90">
        <f>Лист1!BC20</f>
        <v>6260.67865992</v>
      </c>
      <c r="Q26" s="75">
        <f>Лист1!BD20</f>
        <v>-15729.622911759996</v>
      </c>
      <c r="R26" s="75">
        <f>Лист1!BE20</f>
        <v>2071.1200000000026</v>
      </c>
      <c r="S26" s="1"/>
      <c r="T26" s="1"/>
    </row>
    <row r="27" spans="1:20" ht="12.75" hidden="1">
      <c r="A27" s="11" t="s">
        <v>52</v>
      </c>
      <c r="B27" s="84">
        <f>Лист1!B21</f>
        <v>5562</v>
      </c>
      <c r="C27" s="27">
        <f t="shared" si="0"/>
        <v>48111.3</v>
      </c>
      <c r="D27" s="28">
        <f>Лист1!D21</f>
        <v>4537.930000000001</v>
      </c>
      <c r="E27" s="14">
        <f>Лист1!S21</f>
        <v>35048.96</v>
      </c>
      <c r="F27" s="30">
        <f>Лист1!T21</f>
        <v>8524.41</v>
      </c>
      <c r="G27" s="29">
        <f>Лист1!AB21</f>
        <v>34072.37</v>
      </c>
      <c r="H27" s="30">
        <f>Лист1!AC21</f>
        <v>47134.71000000001</v>
      </c>
      <c r="I27" s="87">
        <f>Лист1!AF21</f>
        <v>15231.82462</v>
      </c>
      <c r="J27" s="29">
        <f>Лист1!AG21</f>
        <v>3337.2</v>
      </c>
      <c r="K27" s="14">
        <f>Лист1!AI21+Лист1!AJ21</f>
        <v>5578.686</v>
      </c>
      <c r="L27" s="14">
        <f>Лист1!AH21+Лист1!AK21+Лист1!AL21+Лист1!AM21+Лист1!AN21+Лист1!AO21+Лист1!AP21+Лист1!AQ21+Лист1!AR21</f>
        <v>19094.0679</v>
      </c>
      <c r="M27" s="31">
        <f>Лист1!AS21+Лист1!AT21+Лист1!AU21+Лист1!AZ21+Лист1!BA21</f>
        <v>25364.7136</v>
      </c>
      <c r="N27" s="31">
        <f>Лист1!AX21</f>
        <v>1258.4936000000002</v>
      </c>
      <c r="O27" s="30">
        <f>Лист1!BB21</f>
        <v>54633.1611</v>
      </c>
      <c r="P27" s="90">
        <f>Лист1!BC21</f>
        <v>6281.0141144</v>
      </c>
      <c r="Q27" s="75">
        <f>Лист1!BD21</f>
        <v>1452.3594056000084</v>
      </c>
      <c r="R27" s="75">
        <f>Лист1!BE21</f>
        <v>-976.5899999999965</v>
      </c>
      <c r="S27" s="1"/>
      <c r="T27" s="1"/>
    </row>
    <row r="28" spans="1:20" ht="12.75" hidden="1">
      <c r="A28" s="11" t="s">
        <v>53</v>
      </c>
      <c r="B28" s="84">
        <f>Лист1!B22</f>
        <v>5562</v>
      </c>
      <c r="C28" s="27">
        <f t="shared" si="0"/>
        <v>48111.3</v>
      </c>
      <c r="D28" s="28">
        <f>Лист1!D22</f>
        <v>4523.290000000001</v>
      </c>
      <c r="E28" s="14">
        <f>Лист1!S22</f>
        <v>35230.91</v>
      </c>
      <c r="F28" s="30">
        <f>Лист1!T22</f>
        <v>8357.1</v>
      </c>
      <c r="G28" s="29">
        <f>Лист1!AB22</f>
        <v>30164.54</v>
      </c>
      <c r="H28" s="30">
        <f>Лист1!AC22</f>
        <v>43044.93</v>
      </c>
      <c r="I28" s="87">
        <f>Лист1!AF22</f>
        <v>15231.82462</v>
      </c>
      <c r="J28" s="29">
        <f>Лист1!AG22</f>
        <v>3337.2</v>
      </c>
      <c r="K28" s="14">
        <f>Лист1!AI22+Лист1!AJ22</f>
        <v>5578.686</v>
      </c>
      <c r="L28" s="14">
        <f>Лист1!AH22+Лист1!AK22+Лист1!AL22+Лист1!AM22+Лист1!AN22+Лист1!AO22+Лист1!AP22+Лист1!AQ22+Лист1!AR22</f>
        <v>19095.12468</v>
      </c>
      <c r="M28" s="31">
        <f>Лист1!AS22+Лист1!AT22+Лист1!AU22+Лист1!AZ22+Лист1!BA22</f>
        <v>0</v>
      </c>
      <c r="N28" s="31">
        <f>Лист1!AX22</f>
        <v>1499.0248000000001</v>
      </c>
      <c r="O28" s="30">
        <f>Лист1!BB22</f>
        <v>29510.03548</v>
      </c>
      <c r="P28" s="90">
        <f>Лист1!BC22</f>
        <v>6299.216130119</v>
      </c>
      <c r="Q28" s="75">
        <f>Лист1!BD22</f>
        <v>22467.503009881002</v>
      </c>
      <c r="R28" s="75">
        <f>Лист1!BE22</f>
        <v>-5066.370000000003</v>
      </c>
      <c r="S28" s="1"/>
      <c r="T28" s="1"/>
    </row>
    <row r="29" spans="1:20" ht="12.75" hidden="1">
      <c r="A29" s="11" t="s">
        <v>41</v>
      </c>
      <c r="B29" s="84">
        <f>Лист1!B23</f>
        <v>5560.8</v>
      </c>
      <c r="C29" s="27">
        <f>B29*8.65</f>
        <v>48100.920000000006</v>
      </c>
      <c r="D29" s="28">
        <f>Лист1!D23</f>
        <v>4516.6600000000035</v>
      </c>
      <c r="E29" s="14">
        <f>Лист1!S23</f>
        <v>35016.62</v>
      </c>
      <c r="F29" s="30">
        <f>Лист1!T23</f>
        <v>8567.64</v>
      </c>
      <c r="G29" s="29">
        <f>Лист1!AB23</f>
        <v>32457.54</v>
      </c>
      <c r="H29" s="30">
        <f>Лист1!AC23</f>
        <v>45541.840000000004</v>
      </c>
      <c r="I29" s="87">
        <f>Лист1!AF23</f>
        <v>19162.7267</v>
      </c>
      <c r="J29" s="29">
        <f>Лист1!AG23</f>
        <v>3336.48</v>
      </c>
      <c r="K29" s="14">
        <f>Лист1!AI23+Лист1!AJ23</f>
        <v>5557.797167999999</v>
      </c>
      <c r="L29" s="14">
        <f>Лист1!AH23+Лист1!AK23+Лист1!AL23+Лист1!AM23+Лист1!AN23+Лист1!AO23+Лист1!AP23+Лист1!AQ23+Лист1!AR23</f>
        <v>24352.39492</v>
      </c>
      <c r="M29" s="31">
        <f>Лист1!AS23+Лист1!AT23+Лист1!AU23+Лист1!AZ23+Лист1!BA23</f>
        <v>38315.485</v>
      </c>
      <c r="N29" s="31">
        <f>Лист1!AX23</f>
        <v>1825.4600000000003</v>
      </c>
      <c r="O29" s="30">
        <f>Лист1!BB23</f>
        <v>73387.61708800001</v>
      </c>
      <c r="P29" s="90">
        <f>Лист1!BC23</f>
        <v>7099.247418</v>
      </c>
      <c r="Q29" s="75">
        <f>Лист1!BD23</f>
        <v>-15782.29780600001</v>
      </c>
      <c r="R29" s="75">
        <f>Лист1!BE23</f>
        <v>-2559.0800000000017</v>
      </c>
      <c r="S29" s="1"/>
      <c r="T29" s="1"/>
    </row>
    <row r="30" spans="1:20" ht="12.75" hidden="1">
      <c r="A30" s="11" t="s">
        <v>42</v>
      </c>
      <c r="B30" s="84">
        <f>Лист1!B24</f>
        <v>5556.4</v>
      </c>
      <c r="C30" s="27">
        <f t="shared" si="0"/>
        <v>48062.86</v>
      </c>
      <c r="D30" s="28">
        <f>Лист1!D24</f>
        <v>4512.319999999998</v>
      </c>
      <c r="E30" s="14">
        <f>Лист1!S24</f>
        <v>35096.990000000005</v>
      </c>
      <c r="F30" s="30">
        <f>Лист1!T24</f>
        <v>8453.55</v>
      </c>
      <c r="G30" s="29">
        <f>Лист1!AB24</f>
        <v>35772.8</v>
      </c>
      <c r="H30" s="30">
        <f>Лист1!AC24</f>
        <v>48738.67</v>
      </c>
      <c r="I30" s="87">
        <f>Лист1!AF24</f>
        <v>17079.80902</v>
      </c>
      <c r="J30" s="29">
        <f>Лист1!AG24</f>
        <v>3333.8399999999997</v>
      </c>
      <c r="K30" s="14">
        <f>Лист1!AI24+Лист1!AJ24</f>
        <v>5573.0692</v>
      </c>
      <c r="L30" s="14">
        <f>Лист1!AH24+Лист1!AK24+Лист1!AL24+Лист1!AM24+Лист1!AN24+Лист1!AO24+Лист1!AP24+Лист1!AQ24+Лист1!AR24</f>
        <v>19076.23248</v>
      </c>
      <c r="M30" s="31">
        <f>Лист1!AS24+Лист1!AT24+Лист1!AU24+Лист1!AZ24+Лист1!BA24</f>
        <v>650.18</v>
      </c>
      <c r="N30" s="31">
        <f>Лист1!AX24</f>
        <v>2018.7440000000001</v>
      </c>
      <c r="O30" s="30">
        <f>Лист1!BB24</f>
        <v>30652.065679999996</v>
      </c>
      <c r="P30" s="90">
        <f>Лист1!BC24</f>
        <v>7099.76358</v>
      </c>
      <c r="Q30" s="75">
        <f>Лист1!BD24</f>
        <v>28066.64976</v>
      </c>
      <c r="R30" s="75">
        <f>Лист1!BE24</f>
        <v>675.8099999999977</v>
      </c>
      <c r="S30" s="1"/>
      <c r="T30" s="1"/>
    </row>
    <row r="31" spans="1:20" ht="13.5" hidden="1" thickBot="1">
      <c r="A31" s="32" t="s">
        <v>43</v>
      </c>
      <c r="B31" s="84">
        <f>Лист1!B25</f>
        <v>5556.4</v>
      </c>
      <c r="C31" s="33">
        <f t="shared" si="0"/>
        <v>48062.86</v>
      </c>
      <c r="D31" s="28">
        <f>Лист1!D25</f>
        <v>4525.469999999997</v>
      </c>
      <c r="E31" s="14">
        <f>Лист1!S25</f>
        <v>35247.02</v>
      </c>
      <c r="F31" s="30">
        <f>Лист1!T25</f>
        <v>8290.37</v>
      </c>
      <c r="G31" s="29">
        <f>Лист1!AB25</f>
        <v>44714.33</v>
      </c>
      <c r="H31" s="30">
        <f>Лист1!AC25</f>
        <v>57530.17</v>
      </c>
      <c r="I31" s="87">
        <f>Лист1!AF25</f>
        <v>17079.80902</v>
      </c>
      <c r="J31" s="29">
        <f>Лист1!AG25</f>
        <v>3333.8399999999997</v>
      </c>
      <c r="K31" s="14">
        <f>Лист1!AI25+Лист1!AJ25</f>
        <v>5573.0692</v>
      </c>
      <c r="L31" s="14">
        <f>Лист1!AH25+Лист1!AK25+Лист1!AL25+Лист1!AM25+Лист1!AN25+Лист1!AO25+Лист1!AP25+Лист1!AQ25+Лист1!AR25</f>
        <v>19076.23248</v>
      </c>
      <c r="M31" s="31">
        <f>Лист1!AS25+Лист1!AT25+Лист1!AU25+Лист1!AZ25+Лист1!BA25</f>
        <v>69762.78</v>
      </c>
      <c r="N31" s="31">
        <f>Лист1!AX25</f>
        <v>2207.7328</v>
      </c>
      <c r="O31" s="30">
        <f>Лист1!BB25</f>
        <v>99953.65448</v>
      </c>
      <c r="P31" s="90">
        <f>Лист1!BC25</f>
        <v>7099.76358</v>
      </c>
      <c r="Q31" s="75">
        <f>Лист1!BD25</f>
        <v>-32443.439039999997</v>
      </c>
      <c r="R31" s="75">
        <f>Лист1!BE25</f>
        <v>9467.310000000005</v>
      </c>
      <c r="S31" s="1"/>
      <c r="T31" s="1"/>
    </row>
    <row r="32" spans="1:20" s="20" customFormat="1" ht="13.5" hidden="1" thickBot="1">
      <c r="A32" s="34" t="s">
        <v>5</v>
      </c>
      <c r="B32" s="35"/>
      <c r="C32" s="36">
        <f aca="true" t="shared" si="3" ref="C32:R32">SUM(C20:C31)</f>
        <v>577288.0249999999</v>
      </c>
      <c r="D32" s="68">
        <f t="shared" si="3"/>
        <v>60451.450625000005</v>
      </c>
      <c r="E32" s="36">
        <f t="shared" si="3"/>
        <v>406741.74</v>
      </c>
      <c r="F32" s="69">
        <f t="shared" si="3"/>
        <v>98567.88</v>
      </c>
      <c r="G32" s="68">
        <f t="shared" si="3"/>
        <v>388191.56999999995</v>
      </c>
      <c r="H32" s="69">
        <f t="shared" si="3"/>
        <v>547210.900625</v>
      </c>
      <c r="I32" s="69">
        <f t="shared" si="3"/>
        <v>112457.90632</v>
      </c>
      <c r="J32" s="68">
        <f t="shared" si="3"/>
        <v>38707.806</v>
      </c>
      <c r="K32" s="36">
        <f t="shared" si="3"/>
        <v>64014.96919374</v>
      </c>
      <c r="L32" s="36">
        <f t="shared" si="3"/>
        <v>225355.998741318</v>
      </c>
      <c r="M32" s="36">
        <f>SUM(M20:M31)</f>
        <v>436020.1934</v>
      </c>
      <c r="N32" s="36">
        <f t="shared" si="3"/>
        <v>18898.894000000004</v>
      </c>
      <c r="O32" s="69">
        <f t="shared" si="3"/>
        <v>782997.861335058</v>
      </c>
      <c r="P32" s="69">
        <f t="shared" si="3"/>
        <v>46079.682814479</v>
      </c>
      <c r="Q32" s="76">
        <f>SUM(Q20:Q31)</f>
        <v>-169408.73720453697</v>
      </c>
      <c r="R32" s="76">
        <f t="shared" si="3"/>
        <v>-18550.16999999999</v>
      </c>
      <c r="S32" s="72"/>
      <c r="T32" s="72"/>
    </row>
    <row r="33" spans="1:20" ht="13.5" thickBot="1">
      <c r="A33" s="244" t="s">
        <v>70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80"/>
      <c r="S33" s="1"/>
      <c r="T33" s="1"/>
    </row>
    <row r="34" spans="1:20" s="20" customFormat="1" ht="13.5" thickBot="1">
      <c r="A34" s="81" t="s">
        <v>54</v>
      </c>
      <c r="B34" s="38"/>
      <c r="C34" s="39">
        <f>C18+C32</f>
        <v>721707.5599999999</v>
      </c>
      <c r="D34" s="37">
        <f aca="true" t="shared" si="4" ref="D34:R34">D18+D32</f>
        <v>95213.71409795001</v>
      </c>
      <c r="E34" s="38">
        <f t="shared" si="4"/>
        <v>507167.02</v>
      </c>
      <c r="F34" s="39">
        <f t="shared" si="4"/>
        <v>122048.36</v>
      </c>
      <c r="G34" s="37">
        <f t="shared" si="4"/>
        <v>452673.35</v>
      </c>
      <c r="H34" s="39">
        <f t="shared" si="4"/>
        <v>669935.42409795</v>
      </c>
      <c r="I34" s="39">
        <f t="shared" si="4"/>
        <v>112457.90632</v>
      </c>
      <c r="J34" s="37">
        <f t="shared" si="4"/>
        <v>48725.346</v>
      </c>
      <c r="K34" s="38">
        <f t="shared" si="4"/>
        <v>80780.10909141999</v>
      </c>
      <c r="L34" s="38">
        <f t="shared" si="4"/>
        <v>284132.567501047</v>
      </c>
      <c r="M34" s="38">
        <f t="shared" si="4"/>
        <v>476258.1934</v>
      </c>
      <c r="N34" s="38">
        <f t="shared" si="4"/>
        <v>18898.894000000004</v>
      </c>
      <c r="O34" s="79">
        <f t="shared" si="4"/>
        <v>908795.109992467</v>
      </c>
      <c r="P34" s="79">
        <f>P18+P32</f>
        <v>46079.682814479</v>
      </c>
      <c r="Q34" s="78">
        <f>Q18+Q32</f>
        <v>-172481.46238899595</v>
      </c>
      <c r="R34" s="78">
        <f t="shared" si="4"/>
        <v>-54493.669999999984</v>
      </c>
      <c r="S34" s="73"/>
      <c r="T34" s="72"/>
    </row>
    <row r="35" spans="1:20" ht="12.75">
      <c r="A35" s="7" t="s">
        <v>91</v>
      </c>
      <c r="B35" s="40"/>
      <c r="C35" s="41"/>
      <c r="D35" s="42"/>
      <c r="E35" s="43"/>
      <c r="F35" s="45"/>
      <c r="G35" s="44"/>
      <c r="H35" s="45"/>
      <c r="I35" s="88"/>
      <c r="J35" s="44"/>
      <c r="K35" s="14"/>
      <c r="L35" s="14"/>
      <c r="M35" s="31"/>
      <c r="N35" s="70"/>
      <c r="O35" s="30"/>
      <c r="P35" s="90"/>
      <c r="Q35" s="75"/>
      <c r="R35" s="75"/>
      <c r="S35" s="1"/>
      <c r="T35" s="1"/>
    </row>
    <row r="36" spans="1:20" ht="12.75" customHeight="1">
      <c r="A36" s="11" t="s">
        <v>45</v>
      </c>
      <c r="B36" s="84">
        <f>Лист1!B30</f>
        <v>5556.4</v>
      </c>
      <c r="C36" s="27">
        <f aca="true" t="shared" si="5" ref="C36:C47">B36*8.65</f>
        <v>48062.86</v>
      </c>
      <c r="D36" s="28">
        <f>Лист1!D30</f>
        <v>4508.619999999999</v>
      </c>
      <c r="E36" s="14">
        <f>Лист1!S30</f>
        <v>35263.87</v>
      </c>
      <c r="F36" s="30">
        <f>Лист1!T30</f>
        <v>8290.37</v>
      </c>
      <c r="G36" s="29">
        <f>Лист1!AB30</f>
        <v>27408.940000000002</v>
      </c>
      <c r="H36" s="30">
        <f>Лист1!AC30</f>
        <v>40207.93</v>
      </c>
      <c r="I36" s="87">
        <f>Лист1!AF30</f>
        <v>16931.36502</v>
      </c>
      <c r="J36" s="29">
        <f>Лист1!AG30</f>
        <v>3333.8399999999997</v>
      </c>
      <c r="K36" s="14">
        <f>Лист1!AI30+Лист1!AJ30</f>
        <v>5556.4</v>
      </c>
      <c r="L36" s="14">
        <f>Лист1!AH30+Лист1!AK30+Лист1!AL30+Лист1!AM30+Лист1!AN30+Лист1!AO30+Лист1!AP30+Лист1!AQ30+Лист1!AR30</f>
        <v>19058.451999999997</v>
      </c>
      <c r="M36" s="31">
        <f>Лист1!AS30+Лист1!AT30+Лист1!AU30+Лист1!AZ30+Лист1!BA30</f>
        <v>1102</v>
      </c>
      <c r="N36" s="31">
        <f>Лист1!AX30</f>
        <v>2311.3999999999996</v>
      </c>
      <c r="O36" s="30">
        <f>Лист1!BB30</f>
        <v>31362.092000000004</v>
      </c>
      <c r="P36" s="90">
        <f>Лист1!BC30</f>
        <v>7091.357</v>
      </c>
      <c r="Q36" s="75">
        <f>Лист1!BD30</f>
        <v>18685.84602</v>
      </c>
      <c r="R36" s="75">
        <f>Лист1!BE30</f>
        <v>-7854.93</v>
      </c>
      <c r="S36" s="1"/>
      <c r="T36" s="1"/>
    </row>
    <row r="37" spans="1:20" ht="12.75">
      <c r="A37" s="11" t="s">
        <v>46</v>
      </c>
      <c r="B37" s="84">
        <f>Лист1!B31</f>
        <v>5548.4</v>
      </c>
      <c r="C37" s="27">
        <f t="shared" si="5"/>
        <v>47993.659999999996</v>
      </c>
      <c r="D37" s="28">
        <f>Лист1!D31</f>
        <v>4504.629999999991</v>
      </c>
      <c r="E37" s="14">
        <f>Лист1!S31</f>
        <v>35209.649999999994</v>
      </c>
      <c r="F37" s="30">
        <f>Лист1!T31</f>
        <v>8279.380000000001</v>
      </c>
      <c r="G37" s="29">
        <f>Лист1!AB31</f>
        <v>29553.199999999997</v>
      </c>
      <c r="H37" s="30">
        <f>Лист1!AC31</f>
        <v>42337.20999999999</v>
      </c>
      <c r="I37" s="87">
        <f>Лист1!AF31</f>
        <v>16931.36502</v>
      </c>
      <c r="J37" s="29">
        <f>Лист1!AG31</f>
        <v>3329.0399999999995</v>
      </c>
      <c r="K37" s="14">
        <f>Лист1!AI31+Лист1!AJ31</f>
        <v>5548.4</v>
      </c>
      <c r="L37" s="14">
        <f>Лист1!AH31+Лист1!AK31+Лист1!AL31+Лист1!AM31+Лист1!AN31+Лист1!AO31+Лист1!AP31+Лист1!AQ31+Лист1!AR31</f>
        <v>19031.012</v>
      </c>
      <c r="M37" s="31">
        <f>Лист1!AS31+Лист1!AT31+Лист1!AU31+Лист1!AZ31+Лист1!BA31</f>
        <v>4962</v>
      </c>
      <c r="N37" s="31">
        <f>Лист1!AX31</f>
        <v>1851.85</v>
      </c>
      <c r="O37" s="30">
        <f>Лист1!BB31</f>
        <v>34722.301999999996</v>
      </c>
      <c r="P37" s="90">
        <f>Лист1!BC31</f>
        <v>7091.357</v>
      </c>
      <c r="Q37" s="75">
        <f>Лист1!BD31</f>
        <v>17454.916019999993</v>
      </c>
      <c r="R37" s="75">
        <f>Лист1!BE31</f>
        <v>-5656.449999999997</v>
      </c>
      <c r="S37" s="1"/>
      <c r="T37" s="1"/>
    </row>
    <row r="38" spans="1:20" ht="12.75">
      <c r="A38" s="11" t="s">
        <v>47</v>
      </c>
      <c r="B38" s="84">
        <f>Лист1!B32</f>
        <v>5548.4</v>
      </c>
      <c r="C38" s="27">
        <f t="shared" si="5"/>
        <v>47993.659999999996</v>
      </c>
      <c r="D38" s="28">
        <f>Лист1!D32</f>
        <v>4489.699999999993</v>
      </c>
      <c r="E38" s="14">
        <f>Лист1!S32</f>
        <v>35534.5</v>
      </c>
      <c r="F38" s="30">
        <f>Лист1!T32</f>
        <v>7969.46</v>
      </c>
      <c r="G38" s="29">
        <f>Лист1!AB32</f>
        <v>34824.090000000004</v>
      </c>
      <c r="H38" s="30">
        <f>Лист1!AC32</f>
        <v>47283.25</v>
      </c>
      <c r="I38" s="87">
        <f>Лист1!AF32</f>
        <v>21304.812</v>
      </c>
      <c r="J38" s="29">
        <f>Лист1!AG32</f>
        <v>3329.0399999999995</v>
      </c>
      <c r="K38" s="14">
        <f>Лист1!AI32+Лист1!AJ32</f>
        <v>5548.4</v>
      </c>
      <c r="L38" s="14">
        <f>Лист1!AH32+Лист1!AK32+Лист1!AL32+Лист1!AM32+Лист1!AN32+Лист1!AO32+Лист1!AP32+Лист1!AQ32+Лист1!AR32</f>
        <v>30096.012</v>
      </c>
      <c r="M38" s="31">
        <f>Лист1!AS32+Лист1!AT32+Лист1!AU32+Лист1!AZ32+Лист1!BA32</f>
        <v>63939</v>
      </c>
      <c r="N38" s="31">
        <f>Лист1!AX32</f>
        <v>1742.6499999999999</v>
      </c>
      <c r="O38" s="30">
        <f>Лист1!BB32</f>
        <v>104655.10199999998</v>
      </c>
      <c r="P38" s="90">
        <f>Лист1!BC32</f>
        <v>9173.420000000002</v>
      </c>
      <c r="Q38" s="75">
        <f>Лист1!BD32</f>
        <v>-45240.45999999998</v>
      </c>
      <c r="R38" s="75">
        <f>Лист1!BE32</f>
        <v>-710.4099999999962</v>
      </c>
      <c r="S38" s="1"/>
      <c r="T38" s="1"/>
    </row>
    <row r="39" spans="1:20" ht="12.75">
      <c r="A39" s="11" t="s">
        <v>48</v>
      </c>
      <c r="B39" s="84">
        <f>Лист1!B33</f>
        <v>5548.4</v>
      </c>
      <c r="C39" s="27">
        <f t="shared" si="5"/>
        <v>47993.659999999996</v>
      </c>
      <c r="D39" s="28">
        <f>Лист1!D33</f>
        <v>4507.839999999995</v>
      </c>
      <c r="E39" s="14">
        <f>Лист1!S33</f>
        <v>35352.55</v>
      </c>
      <c r="F39" s="30">
        <f>Лист1!T33</f>
        <v>8133.2699999999995</v>
      </c>
      <c r="G39" s="29">
        <f>Лист1!AB33</f>
        <v>30685.780000000002</v>
      </c>
      <c r="H39" s="30">
        <f>Лист1!AC33</f>
        <v>43326.89</v>
      </c>
      <c r="I39" s="87">
        <f>Лист1!AF33</f>
        <v>21304.812</v>
      </c>
      <c r="J39" s="29">
        <f>Лист1!AG33</f>
        <v>3329.0399999999995</v>
      </c>
      <c r="K39" s="14">
        <f>Лист1!AI33+Лист1!AJ33</f>
        <v>5548.4</v>
      </c>
      <c r="L39" s="14">
        <f>Лист1!AH33+Лист1!AK33+Лист1!AL33+Лист1!AM33+Лист1!AN33+Лист1!AO33+Лист1!AP33+Лист1!AQ33+Лист1!AR33</f>
        <v>51267.292</v>
      </c>
      <c r="M39" s="31">
        <f>Лист1!AS33+Лист1!AT33+Лист1!AU33+Лист1!AZ33+Лист1!BA33</f>
        <v>2724</v>
      </c>
      <c r="N39" s="31">
        <f>Лист1!AX33</f>
        <v>1396.85</v>
      </c>
      <c r="O39" s="30">
        <f>Лист1!BB33</f>
        <v>64265.581999999995</v>
      </c>
      <c r="P39" s="90">
        <f>Лист1!BC33</f>
        <v>9173.420000000002</v>
      </c>
      <c r="Q39" s="75">
        <f>Лист1!BD33</f>
        <v>-8807.299999999992</v>
      </c>
      <c r="R39" s="75">
        <f>Лист1!BE33</f>
        <v>-4666.77</v>
      </c>
      <c r="S39" s="1"/>
      <c r="T39" s="1"/>
    </row>
    <row r="40" spans="1:20" ht="12.75">
      <c r="A40" s="11" t="s">
        <v>49</v>
      </c>
      <c r="B40" s="84">
        <f>Лист1!B34</f>
        <v>5549.8</v>
      </c>
      <c r="C40" s="27">
        <f t="shared" si="5"/>
        <v>48005.770000000004</v>
      </c>
      <c r="D40" s="28">
        <f>Лист1!D34</f>
        <v>4522.619999999999</v>
      </c>
      <c r="E40" s="14">
        <f>Лист1!S34</f>
        <v>35563.74</v>
      </c>
      <c r="F40" s="30">
        <f>Лист1!T34</f>
        <v>7919.410000000001</v>
      </c>
      <c r="G40" s="29">
        <f>Лист1!AB34</f>
        <v>36655.44</v>
      </c>
      <c r="H40" s="30">
        <f>Лист1!AC34</f>
        <v>49097.47</v>
      </c>
      <c r="I40" s="87">
        <f>Лист1!AF34</f>
        <v>21304.812</v>
      </c>
      <c r="J40" s="29">
        <f>Лист1!AG34</f>
        <v>3329.88</v>
      </c>
      <c r="K40" s="14">
        <f>Лист1!AI34+Лист1!AJ34</f>
        <v>5549.8</v>
      </c>
      <c r="L40" s="14">
        <f>Лист1!AH34+Лист1!AK34+Лист1!AL34+Лист1!AM34+Лист1!AN34+Лист1!AO34+Лист1!AP34+Лист1!AQ34+Лист1!AR34</f>
        <v>19035.814000000002</v>
      </c>
      <c r="M40" s="31">
        <f>Лист1!AS34+Лист1!AT34+Лист1!AU34+Лист1!AZ34+Лист1!BA34</f>
        <v>391</v>
      </c>
      <c r="N40" s="31">
        <f>Лист1!AX34</f>
        <v>1196.6499999999999</v>
      </c>
      <c r="O40" s="30">
        <f>Лист1!BB34</f>
        <v>29503.144</v>
      </c>
      <c r="P40" s="90">
        <f>Лист1!BC34</f>
        <v>9173.420000000002</v>
      </c>
      <c r="Q40" s="75">
        <f>Лист1!BD34</f>
        <v>31725.718000000004</v>
      </c>
      <c r="R40" s="75">
        <f>Лист1!BE34</f>
        <v>1091.7000000000044</v>
      </c>
      <c r="S40" s="1"/>
      <c r="T40" s="1"/>
    </row>
    <row r="41" spans="1:20" ht="12.75">
      <c r="A41" s="11" t="s">
        <v>50</v>
      </c>
      <c r="B41" s="84">
        <f>Лист1!B35</f>
        <v>5549.8</v>
      </c>
      <c r="C41" s="27">
        <f t="shared" si="5"/>
        <v>48005.770000000004</v>
      </c>
      <c r="D41" s="28">
        <f>Лист1!D35</f>
        <v>4529.320000000009</v>
      </c>
      <c r="E41" s="14">
        <f>Лист1!S35</f>
        <v>35702.26</v>
      </c>
      <c r="F41" s="30">
        <f>Лист1!T35</f>
        <v>7774.1900000000005</v>
      </c>
      <c r="G41" s="29">
        <f>Лист1!AB35</f>
        <v>32492.14</v>
      </c>
      <c r="H41" s="30">
        <f>Лист1!AC35</f>
        <v>44795.65000000001</v>
      </c>
      <c r="I41" s="87">
        <f>Лист1!AF35</f>
        <v>21304.812</v>
      </c>
      <c r="J41" s="29">
        <f>Лист1!AG35</f>
        <v>3329.88</v>
      </c>
      <c r="K41" s="14">
        <f>Лист1!AI35+Лист1!AJ35</f>
        <v>5549.8</v>
      </c>
      <c r="L41" s="14">
        <f>Лист1!AH35+Лист1!AK35+Лист1!AL35+Лист1!AM35+Лист1!AN35+Лист1!AO35+Лист1!AP35+Лист1!AQ35+Лист1!AR35</f>
        <v>19135.814000000002</v>
      </c>
      <c r="M41" s="31">
        <f>Лист1!AS35+Лист1!AT35+Лист1!AU35+Лист1!AZ35+Лист1!BA35</f>
        <v>285</v>
      </c>
      <c r="N41" s="31">
        <f>Лист1!AX35</f>
        <v>1060.1499999999999</v>
      </c>
      <c r="O41" s="30">
        <f>Лист1!BB35</f>
        <v>29360.644</v>
      </c>
      <c r="P41" s="90">
        <f>Лист1!BC35</f>
        <v>9173.420000000002</v>
      </c>
      <c r="Q41" s="75">
        <f>Лист1!BD35</f>
        <v>27566.398000000012</v>
      </c>
      <c r="R41" s="75">
        <f>Лист1!BE35</f>
        <v>-3210.1200000000026</v>
      </c>
      <c r="S41" s="1"/>
      <c r="T41" s="1"/>
    </row>
    <row r="42" spans="1:20" ht="12.75">
      <c r="A42" s="11" t="s">
        <v>51</v>
      </c>
      <c r="B42" s="84">
        <f>Лист1!B36</f>
        <v>5549.8</v>
      </c>
      <c r="C42" s="27">
        <f t="shared" si="5"/>
        <v>48005.770000000004</v>
      </c>
      <c r="D42" s="28">
        <f>Лист1!D36</f>
        <v>4476.780000000004</v>
      </c>
      <c r="E42" s="14">
        <f>Лист1!S36</f>
        <v>43528.990000000005</v>
      </c>
      <c r="F42" s="30">
        <f>Лист1!T36</f>
        <v>0</v>
      </c>
      <c r="G42" s="29">
        <f>Лист1!AB36</f>
        <v>40728.73</v>
      </c>
      <c r="H42" s="30">
        <f>Лист1!AC36</f>
        <v>45205.51000000001</v>
      </c>
      <c r="I42" s="87">
        <f>Лист1!AF36</f>
        <v>21304.812</v>
      </c>
      <c r="J42" s="29">
        <f>Лист1!AG36</f>
        <v>3329.88</v>
      </c>
      <c r="K42" s="14">
        <f>Лист1!AI36+Лист1!AJ36</f>
        <v>5549.8</v>
      </c>
      <c r="L42" s="14">
        <f>Лист1!AH36+Лист1!AK36+Лист1!AL36+Лист1!AM36+Лист1!AN36+Лист1!AO36+Лист1!AP36+Лист1!AQ36+Лист1!AR36</f>
        <v>19035.814000000002</v>
      </c>
      <c r="M42" s="31">
        <f>Лист1!AS36+Лист1!AT36+Лист1!AU36+Лист1!AZ36+Лист1!BA36</f>
        <v>14569.994599999998</v>
      </c>
      <c r="N42" s="31">
        <f>Лист1!AX36</f>
        <v>1128.3999999999999</v>
      </c>
      <c r="O42" s="30">
        <f>Лист1!BB36</f>
        <v>43613.8886</v>
      </c>
      <c r="P42" s="90">
        <f>Лист1!BC36</f>
        <v>9173.420000000002</v>
      </c>
      <c r="Q42" s="75">
        <f>Лист1!BD36</f>
        <v>13723.013400000014</v>
      </c>
      <c r="R42" s="75">
        <f>Лист1!BE36</f>
        <v>-2800.260000000002</v>
      </c>
      <c r="S42" s="1"/>
      <c r="T42" s="1"/>
    </row>
    <row r="43" spans="1:20" ht="12.75">
      <c r="A43" s="11" t="s">
        <v>52</v>
      </c>
      <c r="B43" s="84">
        <f>Лист1!B37</f>
        <v>5549.8</v>
      </c>
      <c r="C43" s="27">
        <f t="shared" si="5"/>
        <v>48005.770000000004</v>
      </c>
      <c r="D43" s="28">
        <f>Лист1!D37</f>
        <v>54424.670000000006</v>
      </c>
      <c r="E43" s="14">
        <f>Лист1!S37</f>
        <v>43581.100000000006</v>
      </c>
      <c r="F43" s="30">
        <f>Лист1!T37</f>
        <v>0</v>
      </c>
      <c r="G43" s="29">
        <f>Лист1!AB37</f>
        <v>45797.52</v>
      </c>
      <c r="H43" s="30">
        <f>Лист1!AC37</f>
        <v>100222.19</v>
      </c>
      <c r="I43" s="87">
        <f>Лист1!AF37</f>
        <v>21304.812</v>
      </c>
      <c r="J43" s="29">
        <f>Лист1!AG37</f>
        <v>3329.88</v>
      </c>
      <c r="K43" s="14">
        <f>Лист1!AI37+Лист1!AJ37</f>
        <v>5549.8</v>
      </c>
      <c r="L43" s="14">
        <f>Лист1!AH37+Лист1!AK37+Лист1!AL37+Лист1!AM37+Лист1!AN37+Лист1!AO37+Лист1!AP37+Лист1!AQ37+Лист1!AR37</f>
        <v>19035.814000000002</v>
      </c>
      <c r="M43" s="31">
        <f>Лист1!AS37+Лист1!AT37+Лист1!AU37+Лист1!AZ37+Лист1!BA37</f>
        <v>13119.8</v>
      </c>
      <c r="N43" s="31">
        <f>Лист1!AX37</f>
        <v>1333.1499999999999</v>
      </c>
      <c r="O43" s="30">
        <f>Лист1!BB37</f>
        <v>42368.444</v>
      </c>
      <c r="P43" s="90">
        <f>Лист1!BC37</f>
        <v>9173.420000000002</v>
      </c>
      <c r="Q43" s="75">
        <f>Лист1!BD37</f>
        <v>69985.138</v>
      </c>
      <c r="R43" s="75">
        <f>Лист1!BE37</f>
        <v>2216.419999999991</v>
      </c>
      <c r="S43" s="1"/>
      <c r="T43" s="1"/>
    </row>
    <row r="44" spans="1:20" ht="12.75">
      <c r="A44" s="11" t="s">
        <v>53</v>
      </c>
      <c r="B44" s="84">
        <f>Лист1!B38</f>
        <v>5549.8</v>
      </c>
      <c r="C44" s="27">
        <f t="shared" si="5"/>
        <v>48005.770000000004</v>
      </c>
      <c r="D44" s="28">
        <f>Лист1!D38</f>
        <v>104455</v>
      </c>
      <c r="E44" s="14">
        <f>Лист1!S38</f>
        <v>43550.770000000004</v>
      </c>
      <c r="F44" s="30">
        <f>Лист1!T38</f>
        <v>0</v>
      </c>
      <c r="G44" s="29">
        <f>Лист1!AB38</f>
        <v>37427.45</v>
      </c>
      <c r="H44" s="30">
        <f>Лист1!AC38</f>
        <v>141882.45</v>
      </c>
      <c r="I44" s="87">
        <f>Лист1!AF38</f>
        <v>21304.812</v>
      </c>
      <c r="J44" s="29">
        <f>Лист1!AG38</f>
        <v>3329.88</v>
      </c>
      <c r="K44" s="14">
        <f>Лист1!AI38+Лист1!AJ38</f>
        <v>5549.8</v>
      </c>
      <c r="L44" s="14">
        <f>Лист1!AH38+Лист1!AK38+Лист1!AL38+Лист1!AM38+Лист1!AN38+Лист1!AO38+Лист1!AP38+Лист1!AQ38+Лист1!AR38</f>
        <v>19035.814000000002</v>
      </c>
      <c r="M44" s="31">
        <f>Лист1!AS38+Лист1!AT38+Лист1!AU38+Лист1!AZ38+Лист1!BA38</f>
        <v>4797</v>
      </c>
      <c r="N44" s="31">
        <f>Лист1!AX38</f>
        <v>1587.9499999999998</v>
      </c>
      <c r="O44" s="30">
        <f>Лист1!BB38</f>
        <v>34300.443999999996</v>
      </c>
      <c r="P44" s="90">
        <f>Лист1!BC38</f>
        <v>9173.42</v>
      </c>
      <c r="Q44" s="75">
        <f>Лист1!BD38</f>
        <v>119713.39800000003</v>
      </c>
      <c r="R44" s="75">
        <f>Лист1!BE38</f>
        <v>-6123.320000000007</v>
      </c>
      <c r="S44" s="1"/>
      <c r="T44" s="1"/>
    </row>
    <row r="45" spans="1:20" ht="12.75">
      <c r="A45" s="11" t="s">
        <v>41</v>
      </c>
      <c r="B45" s="84">
        <f>Лист1!B39</f>
        <v>5549.8</v>
      </c>
      <c r="C45" s="27">
        <f>B45*8.65</f>
        <v>48005.770000000004</v>
      </c>
      <c r="D45" s="28">
        <f>Лист1!D39</f>
        <v>4450.480000000004</v>
      </c>
      <c r="E45" s="14">
        <f>Лист1!S39</f>
        <v>43555.29</v>
      </c>
      <c r="F45" s="30">
        <f>Лист1!T39</f>
        <v>0</v>
      </c>
      <c r="G45" s="29">
        <f>Лист1!AB39</f>
        <v>41072.98</v>
      </c>
      <c r="H45" s="30">
        <f>Лист1!AC39</f>
        <v>45523.46000000001</v>
      </c>
      <c r="I45" s="87">
        <f>Лист1!AF39</f>
        <v>21454.812</v>
      </c>
      <c r="J45" s="29">
        <f>Лист1!AG39</f>
        <v>3329.88</v>
      </c>
      <c r="K45" s="14">
        <f>Лист1!AI39+Лист1!AJ39</f>
        <v>5549.8</v>
      </c>
      <c r="L45" s="14">
        <f>Лист1!AH39+Лист1!AK39+Лист1!AL39+Лист1!AM39+Лист1!AN39+Лист1!AO39+Лист1!AP39+Лист1!AQ39+Лист1!AR39</f>
        <v>19035.814000000002</v>
      </c>
      <c r="M45" s="31">
        <f>Лист1!AS39+Лист1!AT39+Лист1!AU39+Лист1!AZ39+Лист1!BA39</f>
        <v>12508</v>
      </c>
      <c r="N45" s="31">
        <f>Лист1!AX39</f>
        <v>1933.7499999999998</v>
      </c>
      <c r="O45" s="30">
        <f>Лист1!BB39</f>
        <v>42357.244</v>
      </c>
      <c r="P45" s="90">
        <f>Лист1!BC39</f>
        <v>9210.92</v>
      </c>
      <c r="Q45" s="75">
        <f>Лист1!BD39</f>
        <v>15410.108000000013</v>
      </c>
      <c r="R45" s="75">
        <f>Лист1!BE39</f>
        <v>-2482.3099999999977</v>
      </c>
      <c r="S45" s="1"/>
      <c r="T45" s="1"/>
    </row>
    <row r="46" spans="1:20" ht="12.75">
      <c r="A46" s="11" t="s">
        <v>42</v>
      </c>
      <c r="B46" s="84">
        <f>Лист1!B40</f>
        <v>5549.8</v>
      </c>
      <c r="C46" s="27">
        <f t="shared" si="5"/>
        <v>48005.770000000004</v>
      </c>
      <c r="D46" s="28">
        <f>Лист1!D40</f>
        <v>4447.460000000003</v>
      </c>
      <c r="E46" s="14">
        <f>Лист1!S40</f>
        <v>43558.31</v>
      </c>
      <c r="F46" s="30">
        <f>Лист1!T40</f>
        <v>0</v>
      </c>
      <c r="G46" s="29">
        <f>Лист1!AB40</f>
        <v>43491.799999999996</v>
      </c>
      <c r="H46" s="30">
        <f>Лист1!AC40</f>
        <v>47939.259999999995</v>
      </c>
      <c r="I46" s="87">
        <f>Лист1!AF40</f>
        <v>21454.812</v>
      </c>
      <c r="J46" s="29">
        <f>Лист1!AG40</f>
        <v>3329.88</v>
      </c>
      <c r="K46" s="14">
        <f>Лист1!AI40+Лист1!AJ40</f>
        <v>5549.8</v>
      </c>
      <c r="L46" s="14">
        <f>Лист1!AH40+Лист1!AK40+Лист1!AL40+Лист1!AM40+Лист1!AN40+Лист1!AO40+Лист1!AP40+Лист1!AQ40+Лист1!AR40</f>
        <v>19035.814000000002</v>
      </c>
      <c r="M46" s="31">
        <f>Лист1!AS40+Лист1!AT40+Лист1!AU40+Лист1!AZ40+Лист1!BA40</f>
        <v>5709</v>
      </c>
      <c r="N46" s="31">
        <f>Лист1!AX40</f>
        <v>2138.5</v>
      </c>
      <c r="O46" s="30">
        <f>Лист1!BB40</f>
        <v>35762.994</v>
      </c>
      <c r="P46" s="90">
        <f>Лист1!BC40</f>
        <v>9210.92</v>
      </c>
      <c r="Q46" s="75">
        <f>Лист1!BD40</f>
        <v>24420.158000000003</v>
      </c>
      <c r="R46" s="75">
        <f>Лист1!BE40</f>
        <v>-66.51000000000204</v>
      </c>
      <c r="S46" s="1"/>
      <c r="T46" s="1"/>
    </row>
    <row r="47" spans="1:20" ht="13.5" thickBot="1">
      <c r="A47" s="32" t="s">
        <v>43</v>
      </c>
      <c r="B47" s="84">
        <f>Лист1!B41</f>
        <v>5549.8</v>
      </c>
      <c r="C47" s="33">
        <f t="shared" si="5"/>
        <v>48005.770000000004</v>
      </c>
      <c r="D47" s="28">
        <f>Лист1!D41</f>
        <v>4435.310000000001</v>
      </c>
      <c r="E47" s="14">
        <f>Лист1!S41</f>
        <v>43570.46</v>
      </c>
      <c r="F47" s="30">
        <f>Лист1!T41</f>
        <v>0</v>
      </c>
      <c r="G47" s="29">
        <f>Лист1!AB41</f>
        <v>49140.28999999999</v>
      </c>
      <c r="H47" s="30">
        <f>Лист1!AC41</f>
        <v>53575.59999999999</v>
      </c>
      <c r="I47" s="87">
        <f>Лист1!AF41</f>
        <v>21454.812</v>
      </c>
      <c r="J47" s="29">
        <f>Лист1!AG41</f>
        <v>3329.88</v>
      </c>
      <c r="K47" s="14">
        <f>Лист1!AI41+Лист1!AJ41</f>
        <v>5549.8</v>
      </c>
      <c r="L47" s="14">
        <f>Лист1!AH41+Лист1!AK41+Лист1!AL41+Лист1!AM41+Лист1!AN41+Лист1!AO41+Лист1!AP41+Лист1!AQ41+Лист1!AR41</f>
        <v>19035.814000000002</v>
      </c>
      <c r="M47" s="31">
        <f>Лист1!AS41+Лист1!AT41+Лист1!AU41+Лист1!AZ41+Лист1!BA41</f>
        <v>53820.6812</v>
      </c>
      <c r="N47" s="31">
        <f>Лист1!AX41</f>
        <v>2338.7</v>
      </c>
      <c r="O47" s="30">
        <f>Лист1!BB41</f>
        <v>84074.8752</v>
      </c>
      <c r="P47" s="90">
        <f>Лист1!BC41</f>
        <v>9210.92</v>
      </c>
      <c r="Q47" s="75">
        <f>Лист1!BD41</f>
        <v>-18255.383199999997</v>
      </c>
      <c r="R47" s="75">
        <f>Лист1!BE41</f>
        <v>5569.8299999999945</v>
      </c>
      <c r="S47" s="1"/>
      <c r="T47" s="1"/>
    </row>
    <row r="48" spans="1:20" s="20" customFormat="1" ht="13.5" thickBot="1">
      <c r="A48" s="34" t="s">
        <v>5</v>
      </c>
      <c r="B48" s="35"/>
      <c r="C48" s="36">
        <f aca="true" t="shared" si="6" ref="C48:R48">SUM(C36:C47)</f>
        <v>576090.0000000001</v>
      </c>
      <c r="D48" s="68">
        <f t="shared" si="6"/>
        <v>203752.43</v>
      </c>
      <c r="E48" s="36">
        <f t="shared" si="6"/>
        <v>473971.49000000005</v>
      </c>
      <c r="F48" s="69">
        <f t="shared" si="6"/>
        <v>48366.08</v>
      </c>
      <c r="G48" s="68">
        <f t="shared" si="6"/>
        <v>449278.36</v>
      </c>
      <c r="H48" s="69">
        <f t="shared" si="6"/>
        <v>701396.87</v>
      </c>
      <c r="I48" s="69">
        <f t="shared" si="6"/>
        <v>247360.85004000005</v>
      </c>
      <c r="J48" s="68">
        <f t="shared" si="6"/>
        <v>39959.99999999999</v>
      </c>
      <c r="K48" s="36">
        <f t="shared" si="6"/>
        <v>66600.00000000001</v>
      </c>
      <c r="L48" s="36">
        <f t="shared" si="6"/>
        <v>271839.2800000001</v>
      </c>
      <c r="M48" s="36">
        <f t="shared" si="6"/>
        <v>177927.47580000001</v>
      </c>
      <c r="N48" s="36">
        <f t="shared" si="6"/>
        <v>20020</v>
      </c>
      <c r="O48" s="69">
        <f t="shared" si="6"/>
        <v>576346.7557999999</v>
      </c>
      <c r="P48" s="69">
        <f t="shared" si="6"/>
        <v>106029.41399999999</v>
      </c>
      <c r="Q48" s="76">
        <f t="shared" si="6"/>
        <v>266381.5502400001</v>
      </c>
      <c r="R48" s="76">
        <f t="shared" si="6"/>
        <v>-24693.130000000016</v>
      </c>
      <c r="S48" s="72"/>
      <c r="T48" s="72"/>
    </row>
    <row r="49" spans="1:20" ht="13.5" thickBot="1">
      <c r="A49" s="244" t="s">
        <v>70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80"/>
      <c r="S49" s="1"/>
      <c r="T49" s="1"/>
    </row>
    <row r="50" spans="1:20" s="20" customFormat="1" ht="13.5" thickBot="1">
      <c r="A50" s="81" t="s">
        <v>54</v>
      </c>
      <c r="B50" s="38"/>
      <c r="C50" s="39">
        <f>C34+C48</f>
        <v>1297797.56</v>
      </c>
      <c r="D50" s="37">
        <f aca="true" t="shared" si="7" ref="D50:O50">D34+D48</f>
        <v>298966.14409795</v>
      </c>
      <c r="E50" s="38">
        <f t="shared" si="7"/>
        <v>981138.51</v>
      </c>
      <c r="F50" s="39">
        <f t="shared" si="7"/>
        <v>170414.44</v>
      </c>
      <c r="G50" s="37">
        <f t="shared" si="7"/>
        <v>901951.71</v>
      </c>
      <c r="H50" s="39">
        <f t="shared" si="7"/>
        <v>1371332.29409795</v>
      </c>
      <c r="I50" s="39">
        <f t="shared" si="7"/>
        <v>359818.75636000006</v>
      </c>
      <c r="J50" s="37">
        <f t="shared" si="7"/>
        <v>88685.34599999999</v>
      </c>
      <c r="K50" s="38">
        <f t="shared" si="7"/>
        <v>147380.10909142002</v>
      </c>
      <c r="L50" s="38">
        <f t="shared" si="7"/>
        <v>555971.8475010471</v>
      </c>
      <c r="M50" s="38">
        <f t="shared" si="7"/>
        <v>654185.6692</v>
      </c>
      <c r="N50" s="38">
        <f t="shared" si="7"/>
        <v>38918.894</v>
      </c>
      <c r="O50" s="79">
        <f t="shared" si="7"/>
        <v>1485141.8657924668</v>
      </c>
      <c r="P50" s="79">
        <f>P34+P48</f>
        <v>152109.09681447898</v>
      </c>
      <c r="Q50" s="78">
        <f>Q34+Q48</f>
        <v>93900.08785100418</v>
      </c>
      <c r="R50" s="78">
        <f>R34+R48</f>
        <v>-79186.8</v>
      </c>
      <c r="S50" s="73"/>
      <c r="T50" s="72"/>
    </row>
    <row r="53" spans="19:20" ht="12.75">
      <c r="S53" s="1"/>
      <c r="T53" s="1"/>
    </row>
    <row r="54" spans="1:20" ht="12.75">
      <c r="A54" s="20" t="s">
        <v>71</v>
      </c>
      <c r="D54" s="85" t="s">
        <v>92</v>
      </c>
      <c r="S54" s="1"/>
      <c r="T54" s="1"/>
    </row>
    <row r="55" spans="1:20" ht="12.75">
      <c r="A55" s="21" t="s">
        <v>72</v>
      </c>
      <c r="B55" s="21" t="s">
        <v>73</v>
      </c>
      <c r="C55" s="248" t="s">
        <v>74</v>
      </c>
      <c r="D55" s="248"/>
      <c r="S55" s="1"/>
      <c r="T55" s="1"/>
    </row>
    <row r="56" spans="1:20" ht="12.75">
      <c r="A56" s="133">
        <v>325252.41</v>
      </c>
      <c r="B56" s="133">
        <v>278013.02</v>
      </c>
      <c r="C56" s="246">
        <f>A56-B56</f>
        <v>47239.389999999956</v>
      </c>
      <c r="D56" s="247"/>
      <c r="S56" s="1"/>
      <c r="T56" s="1"/>
    </row>
    <row r="57" spans="1:20" ht="12.75">
      <c r="A57" s="46"/>
      <c r="S57" s="1"/>
      <c r="T57" s="1"/>
    </row>
    <row r="58" spans="1:20" ht="12.75">
      <c r="A58" s="2" t="s">
        <v>77</v>
      </c>
      <c r="G58" s="2" t="s">
        <v>78</v>
      </c>
      <c r="S58" s="1"/>
      <c r="T58" s="1"/>
    </row>
    <row r="59" ht="12.75">
      <c r="A59" s="1"/>
    </row>
    <row r="60" ht="12.75">
      <c r="A60" s="1"/>
    </row>
    <row r="61" ht="12.75">
      <c r="A61" s="2" t="s">
        <v>88</v>
      </c>
    </row>
    <row r="62" ht="12.75">
      <c r="A62" s="2" t="s">
        <v>79</v>
      </c>
    </row>
  </sheetData>
  <sheetProtection/>
  <mergeCells count="29">
    <mergeCell ref="A49:Q49"/>
    <mergeCell ref="C56:D56"/>
    <mergeCell ref="O11:O12"/>
    <mergeCell ref="A33:Q33"/>
    <mergeCell ref="C55:D55"/>
    <mergeCell ref="I9:I12"/>
    <mergeCell ref="P9:P12"/>
    <mergeCell ref="J9:O10"/>
    <mergeCell ref="Q9:Q12"/>
    <mergeCell ref="A9:A12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C9:C12"/>
    <mergeCell ref="D9:D12"/>
    <mergeCell ref="B1:H1"/>
    <mergeCell ref="B2:H2"/>
    <mergeCell ref="A8:D8"/>
    <mergeCell ref="E8:F8"/>
    <mergeCell ref="A5:Q5"/>
    <mergeCell ref="A6:G6"/>
    <mergeCell ref="B9:B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24"/>
  <sheetViews>
    <sheetView zoomScalePageLayoutView="0" workbookViewId="0" topLeftCell="A1">
      <pane xSplit="2" ySplit="7" topLeftCell="AK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U16" sqref="AU16:AW16"/>
    </sheetView>
  </sheetViews>
  <sheetFormatPr defaultColWidth="9.00390625" defaultRowHeight="12.75"/>
  <cols>
    <col min="1" max="1" width="8.75390625" style="258" bestFit="1" customWidth="1"/>
    <col min="2" max="2" width="9.125" style="258" customWidth="1"/>
    <col min="3" max="3" width="11.375" style="258" customWidth="1"/>
    <col min="4" max="4" width="10.375" style="258" customWidth="1"/>
    <col min="5" max="5" width="10.125" style="258" bestFit="1" customWidth="1"/>
    <col min="6" max="6" width="9.125" style="258" customWidth="1"/>
    <col min="7" max="7" width="10.25390625" style="258" customWidth="1"/>
    <col min="8" max="8" width="9.125" style="258" customWidth="1"/>
    <col min="9" max="9" width="9.875" style="258" customWidth="1"/>
    <col min="10" max="10" width="9.125" style="258" customWidth="1"/>
    <col min="11" max="11" width="10.375" style="258" customWidth="1"/>
    <col min="12" max="12" width="9.125" style="258" customWidth="1"/>
    <col min="13" max="13" width="10.125" style="258" bestFit="1" customWidth="1"/>
    <col min="14" max="14" width="9.125" style="258" customWidth="1"/>
    <col min="15" max="15" width="10.125" style="258" bestFit="1" customWidth="1"/>
    <col min="16" max="18" width="9.125" style="258" customWidth="1"/>
    <col min="19" max="19" width="10.125" style="258" bestFit="1" customWidth="1"/>
    <col min="20" max="20" width="10.125" style="258" customWidth="1"/>
    <col min="21" max="21" width="11.75390625" style="258" bestFit="1" customWidth="1"/>
    <col min="22" max="22" width="10.25390625" style="258" customWidth="1"/>
    <col min="23" max="23" width="10.625" style="258" customWidth="1"/>
    <col min="24" max="24" width="10.125" style="258" customWidth="1"/>
    <col min="25" max="28" width="10.125" style="258" bestFit="1" customWidth="1"/>
    <col min="29" max="30" width="11.375" style="258" customWidth="1"/>
    <col min="31" max="31" width="9.25390625" style="258" bestFit="1" customWidth="1"/>
    <col min="32" max="32" width="11.75390625" style="258" bestFit="1" customWidth="1"/>
    <col min="33" max="33" width="10.25390625" style="258" customWidth="1"/>
    <col min="34" max="35" width="9.25390625" style="258" bestFit="1" customWidth="1"/>
    <col min="36" max="36" width="11.875" style="258" customWidth="1"/>
    <col min="37" max="38" width="9.25390625" style="258" bestFit="1" customWidth="1"/>
    <col min="39" max="39" width="10.125" style="258" bestFit="1" customWidth="1"/>
    <col min="40" max="40" width="9.25390625" style="258" bestFit="1" customWidth="1"/>
    <col min="41" max="42" width="10.125" style="258" bestFit="1" customWidth="1"/>
    <col min="43" max="44" width="9.25390625" style="258" customWidth="1"/>
    <col min="45" max="45" width="10.125" style="258" bestFit="1" customWidth="1"/>
    <col min="46" max="46" width="11.625" style="258" customWidth="1"/>
    <col min="47" max="47" width="10.875" style="258" customWidth="1"/>
    <col min="48" max="48" width="10.625" style="258" customWidth="1"/>
    <col min="49" max="49" width="10.25390625" style="258" customWidth="1"/>
    <col min="50" max="50" width="10.625" style="258" customWidth="1"/>
    <col min="51" max="51" width="9.25390625" style="258" bestFit="1" customWidth="1"/>
    <col min="52" max="53" width="10.125" style="258" bestFit="1" customWidth="1"/>
    <col min="54" max="54" width="11.625" style="258" customWidth="1"/>
    <col min="55" max="55" width="11.75390625" style="258" customWidth="1"/>
    <col min="56" max="56" width="12.75390625" style="258" customWidth="1"/>
    <col min="57" max="57" width="14.00390625" style="258" customWidth="1"/>
    <col min="58" max="58" width="11.00390625" style="258" customWidth="1"/>
    <col min="59" max="59" width="10.625" style="258" customWidth="1"/>
    <col min="60" max="16384" width="9.125" style="258" customWidth="1"/>
  </cols>
  <sheetData>
    <row r="1" spans="1:18" ht="21" customHeight="1">
      <c r="A1" s="164" t="s">
        <v>94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257"/>
      <c r="P1" s="257"/>
      <c r="Q1" s="257"/>
      <c r="R1" s="257"/>
    </row>
    <row r="2" spans="1:18" ht="13.5" thickBot="1">
      <c r="A2" s="257"/>
      <c r="B2" s="259"/>
      <c r="C2" s="260"/>
      <c r="D2" s="260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</row>
    <row r="3" spans="1:59" ht="29.25" customHeight="1" thickBot="1">
      <c r="A3" s="261" t="s">
        <v>0</v>
      </c>
      <c r="B3" s="262" t="s">
        <v>1</v>
      </c>
      <c r="C3" s="263" t="s">
        <v>2</v>
      </c>
      <c r="D3" s="264" t="s">
        <v>3</v>
      </c>
      <c r="E3" s="261" t="s">
        <v>95</v>
      </c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37"/>
      <c r="S3" s="261"/>
      <c r="T3" s="265"/>
      <c r="U3" s="261" t="s">
        <v>5</v>
      </c>
      <c r="V3" s="265"/>
      <c r="W3" s="266" t="s">
        <v>6</v>
      </c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8"/>
      <c r="AJ3" s="269" t="s">
        <v>75</v>
      </c>
      <c r="AK3" s="270" t="s">
        <v>10</v>
      </c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2"/>
      <c r="BF3" s="273" t="s">
        <v>11</v>
      </c>
      <c r="BG3" s="274" t="s">
        <v>12</v>
      </c>
    </row>
    <row r="4" spans="1:59" ht="51.75" customHeight="1" hidden="1" thickBot="1">
      <c r="A4" s="275"/>
      <c r="B4" s="276"/>
      <c r="C4" s="277"/>
      <c r="D4" s="278"/>
      <c r="E4" s="275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29"/>
      <c r="S4" s="280"/>
      <c r="T4" s="281"/>
      <c r="U4" s="280"/>
      <c r="V4" s="281"/>
      <c r="W4" s="282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4"/>
      <c r="AJ4" s="285"/>
      <c r="AK4" s="286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8"/>
      <c r="BF4" s="289"/>
      <c r="BG4" s="290"/>
    </row>
    <row r="5" spans="1:61" ht="19.5" customHeight="1">
      <c r="A5" s="275"/>
      <c r="B5" s="276"/>
      <c r="C5" s="277"/>
      <c r="D5" s="278"/>
      <c r="E5" s="291" t="s">
        <v>13</v>
      </c>
      <c r="F5" s="292"/>
      <c r="G5" s="291" t="s">
        <v>96</v>
      </c>
      <c r="H5" s="292"/>
      <c r="I5" s="291" t="s">
        <v>14</v>
      </c>
      <c r="J5" s="292"/>
      <c r="K5" s="291" t="s">
        <v>16</v>
      </c>
      <c r="L5" s="292"/>
      <c r="M5" s="291" t="s">
        <v>15</v>
      </c>
      <c r="N5" s="292"/>
      <c r="O5" s="293" t="s">
        <v>17</v>
      </c>
      <c r="P5" s="293"/>
      <c r="Q5" s="291" t="s">
        <v>97</v>
      </c>
      <c r="R5" s="292"/>
      <c r="S5" s="293" t="s">
        <v>98</v>
      </c>
      <c r="T5" s="292"/>
      <c r="U5" s="294" t="s">
        <v>20</v>
      </c>
      <c r="V5" s="295" t="s">
        <v>21</v>
      </c>
      <c r="W5" s="296" t="s">
        <v>22</v>
      </c>
      <c r="X5" s="296" t="s">
        <v>99</v>
      </c>
      <c r="Y5" s="296" t="s">
        <v>23</v>
      </c>
      <c r="Z5" s="296" t="s">
        <v>25</v>
      </c>
      <c r="AA5" s="296" t="s">
        <v>24</v>
      </c>
      <c r="AB5" s="296" t="s">
        <v>26</v>
      </c>
      <c r="AC5" s="296" t="s">
        <v>27</v>
      </c>
      <c r="AD5" s="297" t="s">
        <v>28</v>
      </c>
      <c r="AE5" s="297" t="s">
        <v>100</v>
      </c>
      <c r="AF5" s="298" t="s">
        <v>29</v>
      </c>
      <c r="AG5" s="299" t="s">
        <v>87</v>
      </c>
      <c r="AH5" s="300" t="s">
        <v>8</v>
      </c>
      <c r="AI5" s="301" t="s">
        <v>9</v>
      </c>
      <c r="AJ5" s="285"/>
      <c r="AK5" s="302" t="s">
        <v>101</v>
      </c>
      <c r="AL5" s="303" t="s">
        <v>102</v>
      </c>
      <c r="AM5" s="303" t="s">
        <v>103</v>
      </c>
      <c r="AN5" s="304" t="s">
        <v>104</v>
      </c>
      <c r="AO5" s="303" t="s">
        <v>105</v>
      </c>
      <c r="AP5" s="304" t="s">
        <v>106</v>
      </c>
      <c r="AQ5" s="304" t="s">
        <v>107</v>
      </c>
      <c r="AR5" s="304" t="s">
        <v>108</v>
      </c>
      <c r="AS5" s="304" t="s">
        <v>109</v>
      </c>
      <c r="AT5" s="304" t="s">
        <v>36</v>
      </c>
      <c r="AU5" s="178" t="s">
        <v>110</v>
      </c>
      <c r="AV5" s="210" t="s">
        <v>111</v>
      </c>
      <c r="AW5" s="178" t="s">
        <v>112</v>
      </c>
      <c r="AX5" s="199" t="s">
        <v>113</v>
      </c>
      <c r="AY5" s="146"/>
      <c r="AZ5" s="305" t="s">
        <v>19</v>
      </c>
      <c r="BA5" s="304" t="s">
        <v>38</v>
      </c>
      <c r="BB5" s="304" t="s">
        <v>33</v>
      </c>
      <c r="BC5" s="306" t="s">
        <v>39</v>
      </c>
      <c r="BD5" s="307" t="s">
        <v>76</v>
      </c>
      <c r="BE5" s="304" t="s">
        <v>114</v>
      </c>
      <c r="BF5" s="289"/>
      <c r="BG5" s="290"/>
      <c r="BH5" s="308"/>
      <c r="BI5" s="309"/>
    </row>
    <row r="6" spans="1:61" ht="56.25" customHeight="1" thickBot="1">
      <c r="A6" s="275"/>
      <c r="B6" s="276"/>
      <c r="C6" s="277"/>
      <c r="D6" s="278"/>
      <c r="E6" s="310"/>
      <c r="F6" s="311"/>
      <c r="G6" s="310"/>
      <c r="H6" s="311"/>
      <c r="I6" s="310"/>
      <c r="J6" s="311"/>
      <c r="K6" s="310"/>
      <c r="L6" s="311"/>
      <c r="M6" s="310"/>
      <c r="N6" s="311"/>
      <c r="O6" s="312"/>
      <c r="P6" s="312"/>
      <c r="Q6" s="310"/>
      <c r="R6" s="311"/>
      <c r="S6" s="313"/>
      <c r="T6" s="311"/>
      <c r="U6" s="314"/>
      <c r="V6" s="315"/>
      <c r="W6" s="316"/>
      <c r="X6" s="316"/>
      <c r="Y6" s="316"/>
      <c r="Z6" s="316"/>
      <c r="AA6" s="316"/>
      <c r="AB6" s="316"/>
      <c r="AC6" s="316"/>
      <c r="AD6" s="317"/>
      <c r="AE6" s="317"/>
      <c r="AF6" s="318"/>
      <c r="AG6" s="319"/>
      <c r="AH6" s="320"/>
      <c r="AI6" s="321"/>
      <c r="AJ6" s="322"/>
      <c r="AK6" s="323"/>
      <c r="AL6" s="324"/>
      <c r="AM6" s="324"/>
      <c r="AN6" s="325"/>
      <c r="AO6" s="324"/>
      <c r="AP6" s="325"/>
      <c r="AQ6" s="325"/>
      <c r="AR6" s="325"/>
      <c r="AS6" s="325"/>
      <c r="AT6" s="325"/>
      <c r="AU6" s="179"/>
      <c r="AV6" s="211"/>
      <c r="AW6" s="179"/>
      <c r="AX6" s="200"/>
      <c r="AY6" s="147" t="s">
        <v>115</v>
      </c>
      <c r="AZ6" s="326"/>
      <c r="BA6" s="325"/>
      <c r="BB6" s="325"/>
      <c r="BC6" s="327"/>
      <c r="BD6" s="328"/>
      <c r="BE6" s="325"/>
      <c r="BF6" s="329"/>
      <c r="BG6" s="330"/>
      <c r="BH6" s="308"/>
      <c r="BI6" s="309"/>
    </row>
    <row r="7" spans="1:61" ht="19.5" customHeight="1" thickBot="1">
      <c r="A7" s="331">
        <v>1</v>
      </c>
      <c r="B7" s="332">
        <v>2</v>
      </c>
      <c r="C7" s="332">
        <v>3</v>
      </c>
      <c r="D7" s="331">
        <v>4</v>
      </c>
      <c r="E7" s="332">
        <v>5</v>
      </c>
      <c r="F7" s="332">
        <v>6</v>
      </c>
      <c r="G7" s="331">
        <v>7</v>
      </c>
      <c r="H7" s="332">
        <v>8</v>
      </c>
      <c r="I7" s="332">
        <v>9</v>
      </c>
      <c r="J7" s="331">
        <v>10</v>
      </c>
      <c r="K7" s="332">
        <v>11</v>
      </c>
      <c r="L7" s="332">
        <v>12</v>
      </c>
      <c r="M7" s="331">
        <v>13</v>
      </c>
      <c r="N7" s="332">
        <v>14</v>
      </c>
      <c r="O7" s="332">
        <v>15</v>
      </c>
      <c r="P7" s="331">
        <v>16</v>
      </c>
      <c r="Q7" s="332">
        <v>17</v>
      </c>
      <c r="R7" s="332">
        <v>18</v>
      </c>
      <c r="S7" s="331">
        <v>19</v>
      </c>
      <c r="T7" s="332">
        <v>20</v>
      </c>
      <c r="U7" s="332">
        <v>21</v>
      </c>
      <c r="V7" s="331">
        <v>22</v>
      </c>
      <c r="W7" s="332">
        <v>23</v>
      </c>
      <c r="X7" s="331">
        <v>24</v>
      </c>
      <c r="Y7" s="332">
        <v>25</v>
      </c>
      <c r="Z7" s="331">
        <v>26</v>
      </c>
      <c r="AA7" s="332">
        <v>27</v>
      </c>
      <c r="AB7" s="331">
        <v>28</v>
      </c>
      <c r="AC7" s="332">
        <v>29</v>
      </c>
      <c r="AD7" s="331">
        <v>30</v>
      </c>
      <c r="AE7" s="331">
        <v>31</v>
      </c>
      <c r="AF7" s="332">
        <v>32</v>
      </c>
      <c r="AG7" s="331">
        <v>33</v>
      </c>
      <c r="AH7" s="332">
        <v>34</v>
      </c>
      <c r="AI7" s="331">
        <v>35</v>
      </c>
      <c r="AJ7" s="332">
        <v>36</v>
      </c>
      <c r="AK7" s="331">
        <v>37</v>
      </c>
      <c r="AL7" s="332">
        <v>38</v>
      </c>
      <c r="AM7" s="331">
        <v>39</v>
      </c>
      <c r="AN7" s="331">
        <v>40</v>
      </c>
      <c r="AO7" s="332">
        <v>41</v>
      </c>
      <c r="AP7" s="331">
        <v>42</v>
      </c>
      <c r="AQ7" s="332">
        <v>43</v>
      </c>
      <c r="AR7" s="331"/>
      <c r="AS7" s="331">
        <v>44</v>
      </c>
      <c r="AT7" s="332">
        <v>45</v>
      </c>
      <c r="AU7" s="331">
        <v>46</v>
      </c>
      <c r="AV7" s="332">
        <v>47</v>
      </c>
      <c r="AW7" s="331">
        <v>48</v>
      </c>
      <c r="AX7" s="331">
        <v>49</v>
      </c>
      <c r="AY7" s="332"/>
      <c r="AZ7" s="332">
        <v>50</v>
      </c>
      <c r="BA7" s="332">
        <v>51</v>
      </c>
      <c r="BB7" s="332">
        <v>52</v>
      </c>
      <c r="BC7" s="332">
        <v>53</v>
      </c>
      <c r="BD7" s="332">
        <v>54</v>
      </c>
      <c r="BE7" s="332"/>
      <c r="BF7" s="332">
        <v>55</v>
      </c>
      <c r="BG7" s="332">
        <v>56</v>
      </c>
      <c r="BH7" s="309"/>
      <c r="BI7" s="309"/>
    </row>
    <row r="8" spans="1:59" s="20" customFormat="1" ht="13.5" thickBot="1">
      <c r="A8" s="22" t="s">
        <v>54</v>
      </c>
      <c r="B8" s="333"/>
      <c r="C8" s="333">
        <f>Лист1!C44</f>
        <v>1297797.56</v>
      </c>
      <c r="D8" s="333">
        <f>Лист1!D44</f>
        <v>298966.14409795</v>
      </c>
      <c r="E8" s="333">
        <f>Лист1!E44</f>
        <v>113822.37000000001</v>
      </c>
      <c r="F8" s="333">
        <f>Лист1!F44</f>
        <v>19675.64</v>
      </c>
      <c r="G8" s="333">
        <f>0</f>
        <v>0</v>
      </c>
      <c r="H8" s="333">
        <f>0</f>
        <v>0</v>
      </c>
      <c r="I8" s="333">
        <f>Лист1!G44</f>
        <v>153605.81</v>
      </c>
      <c r="J8" s="333">
        <f>Лист1!H44</f>
        <v>26636.05</v>
      </c>
      <c r="K8" s="333">
        <f>Лист1!K44</f>
        <v>254916.80999999997</v>
      </c>
      <c r="L8" s="333">
        <f>Лист1!L44</f>
        <v>44343.69</v>
      </c>
      <c r="M8" s="333">
        <f>Лист1!I44</f>
        <v>367484.56999999995</v>
      </c>
      <c r="N8" s="333">
        <f>Лист1!J44</f>
        <v>64019.08</v>
      </c>
      <c r="O8" s="333">
        <f>Лист1!M44</f>
        <v>91308.95</v>
      </c>
      <c r="P8" s="333">
        <f>Лист1!N44</f>
        <v>15739.98</v>
      </c>
      <c r="Q8" s="333">
        <f>'[10]Лист1'!O44</f>
        <v>0</v>
      </c>
      <c r="R8" s="333">
        <f>'[10]Лист1'!P44</f>
        <v>0</v>
      </c>
      <c r="S8" s="333">
        <f>'[10]Лист1'!Q44</f>
        <v>0</v>
      </c>
      <c r="T8" s="333">
        <f>'[10]Лист1'!R44</f>
        <v>0</v>
      </c>
      <c r="U8" s="333">
        <f>Лист1!S44</f>
        <v>981138.51</v>
      </c>
      <c r="V8" s="333">
        <f>Лист1!T44</f>
        <v>170414.44</v>
      </c>
      <c r="W8" s="333">
        <f>Лист1!U44</f>
        <v>104687.16999999998</v>
      </c>
      <c r="X8" s="333">
        <v>0</v>
      </c>
      <c r="Y8" s="333">
        <f>Лист1!V44</f>
        <v>141217.44</v>
      </c>
      <c r="Z8" s="333">
        <f>Лист1!X44</f>
        <v>234306.70999999996</v>
      </c>
      <c r="AA8" s="333">
        <f>Лист1!W44</f>
        <v>337739.68999999994</v>
      </c>
      <c r="AB8" s="333">
        <f>Лист1!Y44</f>
        <v>84000.69999999998</v>
      </c>
      <c r="AC8" s="333">
        <f>'[11]Лист1'!Z42</f>
        <v>0</v>
      </c>
      <c r="AD8" s="333">
        <f>'[11]Лист1'!AA42</f>
        <v>0</v>
      </c>
      <c r="AE8" s="333">
        <f>0</f>
        <v>0</v>
      </c>
      <c r="AF8" s="333">
        <f>Лист1!AB44</f>
        <v>901951.71</v>
      </c>
      <c r="AG8" s="333">
        <f>Лист1!AC44</f>
        <v>1371332.29409795</v>
      </c>
      <c r="AH8" s="333">
        <f>'[11]Лист1'!AD42</f>
        <v>0</v>
      </c>
      <c r="AI8" s="333">
        <f>'[11]Лист1'!AE42</f>
        <v>0</v>
      </c>
      <c r="AJ8" s="333">
        <f>Лист1!AF44</f>
        <v>359818.75636000006</v>
      </c>
      <c r="AK8" s="333">
        <f>Лист1!AG44</f>
        <v>88685.34599999999</v>
      </c>
      <c r="AL8" s="333">
        <f>Лист1!AH44</f>
        <v>29717.051146</v>
      </c>
      <c r="AM8" s="333">
        <f>Лист1!AI44+Лист1!AJ44</f>
        <v>147380.10909142002</v>
      </c>
      <c r="AN8" s="333">
        <v>0</v>
      </c>
      <c r="AO8" s="333">
        <f>Лист1!AK44+Лист1!AL44</f>
        <v>146954.4336797908</v>
      </c>
      <c r="AP8" s="333">
        <f>Лист1!AM44+Лист1!AN44</f>
        <v>328741.8953352562</v>
      </c>
      <c r="AQ8" s="333">
        <v>0</v>
      </c>
      <c r="AR8" s="333">
        <v>0</v>
      </c>
      <c r="AS8" s="333">
        <v>0</v>
      </c>
      <c r="AT8" s="333">
        <f>Лист1!AO44</f>
        <v>0</v>
      </c>
      <c r="AU8" s="333">
        <f>Лист1!AS44</f>
        <v>519981.75000000006</v>
      </c>
      <c r="AV8" s="333">
        <v>0</v>
      </c>
      <c r="AW8" s="333">
        <f>Лист1!AT44+Лист1!AU44</f>
        <v>134203.9192</v>
      </c>
      <c r="AX8" s="333">
        <f>Лист1!AQ44+Лист1!AR44</f>
        <v>50558.46734</v>
      </c>
      <c r="AY8" s="334">
        <f>Лист1!AX44</f>
        <v>38918.894</v>
      </c>
      <c r="AZ8" s="334">
        <f>'[10]Лист1'!AY44</f>
        <v>0</v>
      </c>
      <c r="BA8" s="334">
        <v>0</v>
      </c>
      <c r="BB8" s="334">
        <v>0</v>
      </c>
      <c r="BC8" s="334">
        <f>Лист1!BB44</f>
        <v>1485141.8657924668</v>
      </c>
      <c r="BD8" s="333">
        <f>Лист1!BC44</f>
        <v>152109.09681447898</v>
      </c>
      <c r="BE8" s="335">
        <f>Лист1!BB44+Лист1!BC44</f>
        <v>1637250.9626069458</v>
      </c>
      <c r="BF8" s="336">
        <f>Лист1!BD44</f>
        <v>93900.08785100418</v>
      </c>
      <c r="BG8" s="336">
        <f>Лист1!BE44</f>
        <v>-79186.8</v>
      </c>
    </row>
    <row r="9" spans="1:59" ht="12.75">
      <c r="A9" s="5" t="s">
        <v>116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9"/>
      <c r="BF9" s="336"/>
      <c r="BG9" s="337"/>
    </row>
    <row r="10" spans="1:69" ht="12.75">
      <c r="A10" s="340" t="s">
        <v>45</v>
      </c>
      <c r="B10" s="149">
        <v>5548.8</v>
      </c>
      <c r="C10" s="131">
        <f aca="true" t="shared" si="0" ref="C10:C21">B10*8.55</f>
        <v>47442.240000000005</v>
      </c>
      <c r="D10" s="106">
        <v>575.421</v>
      </c>
      <c r="E10" s="150">
        <v>0</v>
      </c>
      <c r="F10" s="151">
        <v>0</v>
      </c>
      <c r="G10" s="150">
        <v>29247.41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14024.53</v>
      </c>
      <c r="N10" s="150">
        <v>0</v>
      </c>
      <c r="O10" s="150">
        <v>4864</v>
      </c>
      <c r="P10" s="151">
        <v>0</v>
      </c>
      <c r="Q10" s="343">
        <v>0</v>
      </c>
      <c r="R10" s="342">
        <v>0</v>
      </c>
      <c r="S10" s="343">
        <v>0</v>
      </c>
      <c r="T10" s="342">
        <v>0</v>
      </c>
      <c r="U10" s="344">
        <f aca="true" t="shared" si="1" ref="U10:V21">E10+G10+I10+K10+M10+O10+Q10+S10</f>
        <v>48135.94</v>
      </c>
      <c r="V10" s="345">
        <f t="shared" si="1"/>
        <v>0</v>
      </c>
      <c r="W10" s="152">
        <v>3296.56</v>
      </c>
      <c r="X10" s="152"/>
      <c r="Y10" s="152">
        <v>4465.43</v>
      </c>
      <c r="Z10" s="152">
        <v>7432.24</v>
      </c>
      <c r="AA10" s="152">
        <v>10729.23</v>
      </c>
      <c r="AB10" s="152">
        <v>2637.41</v>
      </c>
      <c r="AC10" s="154">
        <v>0</v>
      </c>
      <c r="AD10" s="154">
        <v>0</v>
      </c>
      <c r="AE10" s="346">
        <v>0</v>
      </c>
      <c r="AF10" s="346">
        <f>SUM(W10:AE10)</f>
        <v>28560.87</v>
      </c>
      <c r="AG10" s="347">
        <f>AF10+V10+D10</f>
        <v>29136.290999999997</v>
      </c>
      <c r="AH10" s="348">
        <f aca="true" t="shared" si="2" ref="AH10:AI21">AC10</f>
        <v>0</v>
      </c>
      <c r="AI10" s="348">
        <f t="shared" si="2"/>
        <v>0</v>
      </c>
      <c r="AJ10" s="156">
        <f>'[12]Т01'!$I$13+'[12]Т01'!$I$34+'[12]Т01'!$I$38+'[12]Т01'!$I$39+'[12]Т01'!$I$46+'[12]Т01'!$I$59+'[12]Т01'!$I$72+'[12]Т01'!$I$74+'[12]Т01'!$I$75+'[12]Т01'!$I$97+'[12]Т01'!$I$110+'[12]Т01'!$I$117+'[12]Т01'!$I$135+'[12]Т01'!$I$182</f>
        <v>26508.870000000003</v>
      </c>
      <c r="AK10" s="157">
        <f aca="true" t="shared" si="3" ref="AK10:AK17">0.67*B10</f>
        <v>3717.6960000000004</v>
      </c>
      <c r="AL10" s="157">
        <f aca="true" t="shared" si="4" ref="AL10:AL17">B10*0.2</f>
        <v>1109.76</v>
      </c>
      <c r="AM10" s="157">
        <f aca="true" t="shared" si="5" ref="AM10:AM21">B10*1</f>
        <v>5548.8</v>
      </c>
      <c r="AN10" s="157">
        <f aca="true" t="shared" si="6" ref="AN10:AN21">B10*0.21</f>
        <v>1165.248</v>
      </c>
      <c r="AO10" s="157">
        <f aca="true" t="shared" si="7" ref="AO10:AO21">2.02*B10</f>
        <v>11208.576000000001</v>
      </c>
      <c r="AP10" s="157">
        <f aca="true" t="shared" si="8" ref="AP10:AP21">B10*1.03</f>
        <v>5715.264</v>
      </c>
      <c r="AQ10" s="157">
        <f aca="true" t="shared" si="9" ref="AQ10:AQ21">B10*0.75</f>
        <v>4161.6</v>
      </c>
      <c r="AR10" s="157">
        <f aca="true" t="shared" si="10" ref="AR10:AR21">B10*0.75</f>
        <v>4161.6</v>
      </c>
      <c r="AS10" s="157">
        <f>B10*1.15</f>
        <v>6381.12</v>
      </c>
      <c r="AT10" s="157"/>
      <c r="AU10" s="159">
        <v>3681</v>
      </c>
      <c r="AV10" s="158">
        <v>1414</v>
      </c>
      <c r="AW10" s="159"/>
      <c r="AX10" s="159">
        <f>1.85+52+6.64+10+67.9+9.48+46.2+26+10500+59400.88</f>
        <v>70120.95</v>
      </c>
      <c r="AY10" s="121"/>
      <c r="AZ10" s="449"/>
      <c r="BA10" s="162"/>
      <c r="BB10" s="162">
        <f>BA10*0.18</f>
        <v>0</v>
      </c>
      <c r="BC10" s="162">
        <f>SUM(AK10:BB10)</f>
        <v>118385.614</v>
      </c>
      <c r="BD10" s="163">
        <f>'[12]Т01'!$R$13+'[12]Т01'!$R$34+'[12]Т01'!$R$38+'[12]Т01'!$R$39+'[12]Т01'!$R$46+'[12]Т01'!$R$59+'[12]Т01'!$R$72+'[12]Т01'!$R$74+'[12]Т01'!$R$75+'[12]Т01'!$R$97+'[12]Т01'!$R$110+'[12]Т01'!$R$117+'[12]Т01'!$R$135+'[12]Т01'!$R$182</f>
        <v>17580.79</v>
      </c>
      <c r="BE10" s="163">
        <f>BC10+BD10</f>
        <v>135966.404</v>
      </c>
      <c r="BF10" s="163">
        <f>AG10+AJ10-BE10</f>
        <v>-80321.24300000002</v>
      </c>
      <c r="BG10" s="163">
        <f>AF10-U10</f>
        <v>-19575.070000000003</v>
      </c>
      <c r="BH10" s="163"/>
      <c r="BI10" s="162"/>
      <c r="BJ10" s="162"/>
      <c r="BK10" s="336"/>
      <c r="BL10" s="336"/>
      <c r="BM10" s="337"/>
      <c r="BN10" s="349"/>
      <c r="BO10" s="350"/>
      <c r="BP10" s="351"/>
      <c r="BQ10" s="352"/>
    </row>
    <row r="11" spans="1:67" ht="12.75">
      <c r="A11" s="340" t="s">
        <v>46</v>
      </c>
      <c r="B11" s="149">
        <v>5548.8</v>
      </c>
      <c r="C11" s="131">
        <f t="shared" si="0"/>
        <v>47442.240000000005</v>
      </c>
      <c r="D11" s="106">
        <v>575.421</v>
      </c>
      <c r="E11" s="150">
        <v>-1.73</v>
      </c>
      <c r="F11" s="151">
        <v>0</v>
      </c>
      <c r="G11" s="150">
        <v>28533.72</v>
      </c>
      <c r="H11" s="150">
        <v>0</v>
      </c>
      <c r="I11" s="150">
        <v>-2.34</v>
      </c>
      <c r="J11" s="150">
        <v>0</v>
      </c>
      <c r="K11" s="150">
        <v>-3.9</v>
      </c>
      <c r="L11" s="150">
        <v>0</v>
      </c>
      <c r="M11" s="150">
        <v>14028.62</v>
      </c>
      <c r="N11" s="150">
        <v>0</v>
      </c>
      <c r="O11" s="150">
        <v>4866.07</v>
      </c>
      <c r="P11" s="150">
        <v>0</v>
      </c>
      <c r="Q11" s="151">
        <v>0</v>
      </c>
      <c r="R11" s="151">
        <v>0</v>
      </c>
      <c r="S11" s="154">
        <v>0</v>
      </c>
      <c r="T11" s="152">
        <v>0</v>
      </c>
      <c r="U11" s="353">
        <f t="shared" si="1"/>
        <v>47420.44</v>
      </c>
      <c r="V11" s="345">
        <f t="shared" si="1"/>
        <v>0</v>
      </c>
      <c r="W11" s="152">
        <v>999.58</v>
      </c>
      <c r="X11" s="154">
        <v>23171.39</v>
      </c>
      <c r="Y11" s="152">
        <v>1353.74</v>
      </c>
      <c r="Z11" s="152">
        <v>2253.7</v>
      </c>
      <c r="AA11" s="152">
        <v>14607.69</v>
      </c>
      <c r="AB11" s="152">
        <v>4759.15</v>
      </c>
      <c r="AC11" s="154">
        <v>0</v>
      </c>
      <c r="AD11" s="154">
        <v>0</v>
      </c>
      <c r="AE11" s="154">
        <v>0</v>
      </c>
      <c r="AF11" s="346">
        <f>SUM(W11:AE11)</f>
        <v>47145.25000000001</v>
      </c>
      <c r="AG11" s="347">
        <f>AF11+V11+D11</f>
        <v>47720.67100000001</v>
      </c>
      <c r="AH11" s="348">
        <f t="shared" si="2"/>
        <v>0</v>
      </c>
      <c r="AI11" s="348">
        <f t="shared" si="2"/>
        <v>0</v>
      </c>
      <c r="AJ11" s="156">
        <f>'[12]Т02'!$J$13+'[12]Т02'!$J$34+'[12]Т02'!$J$38+'[12]Т02'!$J$39+'[12]Т02'!$J$46+'[12]Т02'!$J$59+'[12]Т02'!$J$72+'[12]Т02'!$J$74+'[12]Т02'!$J$75+'[12]Т02'!$J$97+'[12]Т02'!$J$110+'[12]Т02'!$J$117+'[12]Т02'!$J$183+'[12]Т03'!$J$137</f>
        <v>26508.86</v>
      </c>
      <c r="AK11" s="157">
        <f t="shared" si="3"/>
        <v>3717.6960000000004</v>
      </c>
      <c r="AL11" s="157">
        <f t="shared" si="4"/>
        <v>1109.76</v>
      </c>
      <c r="AM11" s="157">
        <f t="shared" si="5"/>
        <v>5548.8</v>
      </c>
      <c r="AN11" s="157">
        <f t="shared" si="6"/>
        <v>1165.248</v>
      </c>
      <c r="AO11" s="157">
        <f t="shared" si="7"/>
        <v>11208.576000000001</v>
      </c>
      <c r="AP11" s="157">
        <f t="shared" si="8"/>
        <v>5715.264</v>
      </c>
      <c r="AQ11" s="157">
        <f t="shared" si="9"/>
        <v>4161.6</v>
      </c>
      <c r="AR11" s="157">
        <f t="shared" si="10"/>
        <v>4161.6</v>
      </c>
      <c r="AS11" s="157">
        <f>B11*1.15</f>
        <v>6381.12</v>
      </c>
      <c r="AT11" s="157"/>
      <c r="AU11" s="159"/>
      <c r="AV11" s="158">
        <v>180</v>
      </c>
      <c r="AW11" s="159"/>
      <c r="AX11" s="159">
        <f>33.84+12000</f>
        <v>12033.84</v>
      </c>
      <c r="AY11" s="121"/>
      <c r="AZ11" s="449"/>
      <c r="BA11" s="162"/>
      <c r="BB11" s="162">
        <f>BA11*0.18</f>
        <v>0</v>
      </c>
      <c r="BC11" s="162">
        <f>SUM(AK11:BB11)</f>
        <v>55383.504</v>
      </c>
      <c r="BD11" s="163">
        <f>'[12]Т02'!$S$13+'[12]Т02'!$S$34+'[12]Т02'!$S$38+'[12]Т02'!$S$39+'[12]Т02'!$S$46+'[12]Т02'!$S$59+'[12]Т02'!$S$72+'[12]Т02'!$S$74+'[12]Т02'!$S$75+'[12]Т02'!$S$97+'[12]Т02'!$S$110+'[12]Т02'!$S$117+'[12]Т02'!$S$135+'[12]Т02'!$S$182</f>
        <v>17580.79</v>
      </c>
      <c r="BE11" s="163">
        <f aca="true" t="shared" si="11" ref="BE11:BE21">BC11+BD11</f>
        <v>72964.294</v>
      </c>
      <c r="BF11" s="163">
        <f aca="true" t="shared" si="12" ref="BF11:BF21">AG11+AJ11-BE11</f>
        <v>1265.2370000000228</v>
      </c>
      <c r="BG11" s="163">
        <f aca="true" t="shared" si="13" ref="BG11:BG21">AF11-U11</f>
        <v>-275.18999999999505</v>
      </c>
      <c r="BH11" s="163"/>
      <c r="BI11" s="162"/>
      <c r="BJ11" s="162"/>
      <c r="BK11" s="336"/>
      <c r="BL11" s="336"/>
      <c r="BM11" s="337"/>
      <c r="BN11" s="350"/>
      <c r="BO11" s="354"/>
    </row>
    <row r="12" spans="1:65" ht="12.75">
      <c r="A12" s="340" t="s">
        <v>47</v>
      </c>
      <c r="B12" s="149">
        <v>5548.8</v>
      </c>
      <c r="C12" s="131">
        <f t="shared" si="0"/>
        <v>47442.240000000005</v>
      </c>
      <c r="D12" s="106">
        <v>575.421</v>
      </c>
      <c r="E12" s="150">
        <v>-3.19</v>
      </c>
      <c r="F12" s="151">
        <v>0</v>
      </c>
      <c r="G12" s="150">
        <v>28888.52</v>
      </c>
      <c r="H12" s="150">
        <v>0</v>
      </c>
      <c r="I12" s="150">
        <v>-4.33</v>
      </c>
      <c r="J12" s="150">
        <v>0</v>
      </c>
      <c r="K12" s="150">
        <v>-7.19</v>
      </c>
      <c r="L12" s="150">
        <v>0</v>
      </c>
      <c r="M12" s="150">
        <v>14020.82</v>
      </c>
      <c r="N12" s="150">
        <v>0</v>
      </c>
      <c r="O12" s="150">
        <v>4863.85</v>
      </c>
      <c r="P12" s="150">
        <v>0</v>
      </c>
      <c r="Q12" s="150">
        <v>0</v>
      </c>
      <c r="R12" s="150">
        <v>0</v>
      </c>
      <c r="S12" s="150">
        <v>0</v>
      </c>
      <c r="T12" s="152">
        <v>0</v>
      </c>
      <c r="U12" s="152">
        <f t="shared" si="1"/>
        <v>47758.48</v>
      </c>
      <c r="V12" s="153">
        <f t="shared" si="1"/>
        <v>0</v>
      </c>
      <c r="W12" s="355">
        <v>593.52</v>
      </c>
      <c r="X12" s="154">
        <v>27505.57</v>
      </c>
      <c r="Y12" s="152">
        <v>803.9</v>
      </c>
      <c r="Z12" s="152">
        <v>1338.04</v>
      </c>
      <c r="AA12" s="152">
        <v>14733.18</v>
      </c>
      <c r="AB12" s="152">
        <v>4915.09</v>
      </c>
      <c r="AC12" s="154">
        <v>0</v>
      </c>
      <c r="AD12" s="154">
        <v>0</v>
      </c>
      <c r="AE12" s="152">
        <v>0</v>
      </c>
      <c r="AF12" s="356">
        <f>SUM(W12:AE12)</f>
        <v>49889.3</v>
      </c>
      <c r="AG12" s="347">
        <f>AF12+V12+D12</f>
        <v>50464.721000000005</v>
      </c>
      <c r="AH12" s="348">
        <f t="shared" si="2"/>
        <v>0</v>
      </c>
      <c r="AI12" s="348">
        <f t="shared" si="2"/>
        <v>0</v>
      </c>
      <c r="AJ12" s="156">
        <f>'[12]Т03'!$J$13+'[12]Т03'!$J$34+'[12]Т03'!$J$38+'[12]Т03'!$J$39+'[12]Т03'!$J$46+'[12]Т03'!$J$59+'[12]Т03'!$J$72+'[12]Т03'!$J$74+'[12]Т03'!$J$75+'[12]Т03'!$J$97+'[12]Т03'!$J$110+'[12]Т03'!$J$117+'[12]Т03'!$J$137+'[12]Т03'!$J$183</f>
        <v>26508.870000000003</v>
      </c>
      <c r="AK12" s="157">
        <f t="shared" si="3"/>
        <v>3717.6960000000004</v>
      </c>
      <c r="AL12" s="157">
        <f t="shared" si="4"/>
        <v>1109.76</v>
      </c>
      <c r="AM12" s="157">
        <f t="shared" si="5"/>
        <v>5548.8</v>
      </c>
      <c r="AN12" s="157">
        <f t="shared" si="6"/>
        <v>1165.248</v>
      </c>
      <c r="AO12" s="157">
        <f t="shared" si="7"/>
        <v>11208.576000000001</v>
      </c>
      <c r="AP12" s="157">
        <f t="shared" si="8"/>
        <v>5715.264</v>
      </c>
      <c r="AQ12" s="157">
        <f t="shared" si="9"/>
        <v>4161.6</v>
      </c>
      <c r="AR12" s="157">
        <f t="shared" si="10"/>
        <v>4161.6</v>
      </c>
      <c r="AS12" s="157">
        <f>B12*1.15</f>
        <v>6381.12</v>
      </c>
      <c r="AT12" s="157"/>
      <c r="AU12" s="159">
        <v>3421</v>
      </c>
      <c r="AV12" s="158">
        <v>1494</v>
      </c>
      <c r="AW12" s="159"/>
      <c r="AX12" s="159">
        <v>120</v>
      </c>
      <c r="AY12" s="121"/>
      <c r="AZ12" s="449"/>
      <c r="BA12" s="162"/>
      <c r="BB12" s="162">
        <f>BA12*0.18</f>
        <v>0</v>
      </c>
      <c r="BC12" s="162">
        <f>SUM(AK12:BB12)</f>
        <v>48204.664000000004</v>
      </c>
      <c r="BD12" s="163">
        <f>'[12]Т03'!$S$13+'[12]Т03'!$S$34+'[12]Т03'!$S$38+'[12]Т03'!$S$39+'[12]Т03'!$S$46+'[12]Т03'!$S$59+'[12]Т03'!$S$72+'[12]Т03'!$S$74+'[12]Т03'!$S$75+'[12]Т03'!$S$97+'[12]Т03'!$S$110+'[12]Т03'!$S$117+'[12]Т03'!$S$137+'[12]Т03'!$S$183</f>
        <v>17580.79</v>
      </c>
      <c r="BE12" s="163">
        <f t="shared" si="11"/>
        <v>65785.454</v>
      </c>
      <c r="BF12" s="163">
        <f t="shared" si="12"/>
        <v>11188.137000000017</v>
      </c>
      <c r="BG12" s="163">
        <f t="shared" si="13"/>
        <v>2130.8199999999997</v>
      </c>
      <c r="BH12" s="163"/>
      <c r="BI12" s="162"/>
      <c r="BJ12" s="336"/>
      <c r="BK12" s="336"/>
      <c r="BL12" s="350"/>
      <c r="BM12" s="354"/>
    </row>
    <row r="13" spans="1:67" ht="12.75">
      <c r="A13" s="340" t="s">
        <v>48</v>
      </c>
      <c r="B13" s="357">
        <v>5542.1</v>
      </c>
      <c r="C13" s="131">
        <f t="shared" si="0"/>
        <v>47384.95500000001</v>
      </c>
      <c r="D13" s="358">
        <v>575.421</v>
      </c>
      <c r="E13" s="343">
        <v>0</v>
      </c>
      <c r="F13" s="151">
        <v>0</v>
      </c>
      <c r="G13" s="359">
        <v>28867.24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0">
        <v>14018.13</v>
      </c>
      <c r="N13" s="150">
        <v>0</v>
      </c>
      <c r="O13" s="150">
        <v>4861.89</v>
      </c>
      <c r="P13" s="150">
        <v>0</v>
      </c>
      <c r="Q13" s="150">
        <v>0</v>
      </c>
      <c r="R13" s="151">
        <v>0</v>
      </c>
      <c r="S13" s="341">
        <v>0</v>
      </c>
      <c r="T13" s="360">
        <v>0</v>
      </c>
      <c r="U13" s="353">
        <f t="shared" si="1"/>
        <v>47747.26</v>
      </c>
      <c r="V13" s="153">
        <f t="shared" si="1"/>
        <v>0</v>
      </c>
      <c r="W13" s="152">
        <v>719.15</v>
      </c>
      <c r="X13" s="154">
        <v>26743.87</v>
      </c>
      <c r="Y13" s="152">
        <v>974.15</v>
      </c>
      <c r="Z13" s="152">
        <v>1621.53</v>
      </c>
      <c r="AA13" s="152">
        <v>17504.82</v>
      </c>
      <c r="AB13" s="154">
        <v>5020.78</v>
      </c>
      <c r="AC13" s="152">
        <v>0</v>
      </c>
      <c r="AD13" s="154">
        <v>0</v>
      </c>
      <c r="AE13" s="154">
        <v>0</v>
      </c>
      <c r="AF13" s="346">
        <f>SUM(W13:AD13)</f>
        <v>52584.3</v>
      </c>
      <c r="AG13" s="361">
        <f>AF13+V13+D13</f>
        <v>53159.721000000005</v>
      </c>
      <c r="AH13" s="362">
        <f t="shared" si="2"/>
        <v>0</v>
      </c>
      <c r="AI13" s="362">
        <f t="shared" si="2"/>
        <v>0</v>
      </c>
      <c r="AJ13" s="363">
        <f>'[14]Т04'!$J$13+'[14]Т04'!$J$34+'[14]Т04'!$J$38+'[14]Т04'!$J$39+'[14]Т04'!$J$46+'[14]Т04'!$J$59+'[14]Т04'!$J$72+'[14]Т04'!$J$74+'[14]Т04'!$J$75+'[14]Т04'!$J$76+'[14]Т04'!$J$98+'[14]Т04'!$J$111+'[14]Т04'!$J$118+'[14]Т04'!$J$138+'[14]Т04'!$J$185</f>
        <v>27952.246000000003</v>
      </c>
      <c r="AK13" s="157">
        <f t="shared" si="3"/>
        <v>3713.2070000000003</v>
      </c>
      <c r="AL13" s="157">
        <f t="shared" si="4"/>
        <v>1108.42</v>
      </c>
      <c r="AM13" s="157">
        <f t="shared" si="5"/>
        <v>5542.1</v>
      </c>
      <c r="AN13" s="157">
        <f t="shared" si="6"/>
        <v>1163.8410000000001</v>
      </c>
      <c r="AO13" s="157">
        <f t="shared" si="7"/>
        <v>11195.042000000001</v>
      </c>
      <c r="AP13" s="157">
        <f t="shared" si="8"/>
        <v>5708.363</v>
      </c>
      <c r="AQ13" s="157">
        <f t="shared" si="9"/>
        <v>4156.575000000001</v>
      </c>
      <c r="AR13" s="157">
        <f t="shared" si="10"/>
        <v>4156.575000000001</v>
      </c>
      <c r="AS13" s="157"/>
      <c r="AT13" s="364"/>
      <c r="AU13" s="365">
        <v>713</v>
      </c>
      <c r="AV13" s="365"/>
      <c r="AW13" s="365"/>
      <c r="AX13" s="365">
        <f>15+15+55+24+93.5+22+159.75+3375+308+252+2604+3000+198+500+1080+215</f>
        <v>11916.25</v>
      </c>
      <c r="AY13" s="121"/>
      <c r="AZ13" s="121"/>
      <c r="BA13" s="364"/>
      <c r="BB13" s="364"/>
      <c r="BC13" s="150">
        <f>SUM(AK13:BB13)</f>
        <v>49373.37300000001</v>
      </c>
      <c r="BD13" s="366">
        <f>'[12]Т04'!$S$13+'[12]Т04'!$S$34+'[12]Т04'!$S$38+'[12]Т04'!$S$39+'[12]Т04'!$S$46+'[12]Т04'!$S$59+'[12]Т04'!$S$72+'[12]Т04'!$S$74+'[12]Т04'!$S$75+'[12]Т04'!$S$76+'[12]Т04'!$S$98+'[12]Т04'!$S$111+'[12]Т04'!$S$118+'[12]Т04'!$S$138+'[12]Т04'!$S$185</f>
        <v>17800.688</v>
      </c>
      <c r="BE13" s="163">
        <f t="shared" si="11"/>
        <v>67174.061</v>
      </c>
      <c r="BF13" s="163">
        <f t="shared" si="12"/>
        <v>13937.906000000003</v>
      </c>
      <c r="BG13" s="163">
        <f t="shared" si="13"/>
        <v>4837.040000000001</v>
      </c>
      <c r="BH13" s="163"/>
      <c r="BI13" s="162"/>
      <c r="BJ13" s="336"/>
      <c r="BK13" s="336"/>
      <c r="BL13" s="336"/>
      <c r="BM13" s="337"/>
      <c r="BN13" s="350"/>
      <c r="BO13" s="354"/>
    </row>
    <row r="14" spans="1:66" ht="12.75">
      <c r="A14" s="340" t="s">
        <v>49</v>
      </c>
      <c r="B14" s="367">
        <v>5542.1</v>
      </c>
      <c r="C14" s="131">
        <f t="shared" si="0"/>
        <v>47384.95500000001</v>
      </c>
      <c r="D14" s="358">
        <v>575.421</v>
      </c>
      <c r="E14" s="359">
        <v>0</v>
      </c>
      <c r="F14" s="151">
        <v>0</v>
      </c>
      <c r="G14" s="150">
        <v>28884.82</v>
      </c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14026.77</v>
      </c>
      <c r="N14" s="150">
        <v>0</v>
      </c>
      <c r="O14" s="150">
        <v>4864.97</v>
      </c>
      <c r="P14" s="150">
        <v>0</v>
      </c>
      <c r="Q14" s="150">
        <v>0</v>
      </c>
      <c r="R14" s="151">
        <v>0</v>
      </c>
      <c r="S14" s="150">
        <v>0</v>
      </c>
      <c r="T14" s="154">
        <v>0</v>
      </c>
      <c r="U14" s="368">
        <f t="shared" si="1"/>
        <v>47776.56</v>
      </c>
      <c r="V14" s="369">
        <f>F14+H14+J14+L14+N14++R14+T14</f>
        <v>0</v>
      </c>
      <c r="W14" s="152">
        <v>40.53</v>
      </c>
      <c r="X14" s="154">
        <v>27052.03</v>
      </c>
      <c r="Y14" s="152">
        <v>55.05</v>
      </c>
      <c r="Z14" s="152">
        <v>91.38</v>
      </c>
      <c r="AA14" s="152">
        <v>13372.15</v>
      </c>
      <c r="AB14" s="152">
        <v>4612.56</v>
      </c>
      <c r="AC14" s="154">
        <v>0</v>
      </c>
      <c r="AD14" s="154">
        <v>0</v>
      </c>
      <c r="AE14" s="346">
        <v>0</v>
      </c>
      <c r="AF14" s="370">
        <f>SUM(W14:AE14)</f>
        <v>45223.7</v>
      </c>
      <c r="AG14" s="361">
        <f aca="true" t="shared" si="14" ref="AG14:AG21">D14+V14+AF14</f>
        <v>45799.121</v>
      </c>
      <c r="AH14" s="362">
        <f t="shared" si="2"/>
        <v>0</v>
      </c>
      <c r="AI14" s="362">
        <f t="shared" si="2"/>
        <v>0</v>
      </c>
      <c r="AJ14" s="363">
        <f>'[12]Т05'!$J$13+'[12]Т05'!$J$34+'[12]Т05'!$J$38+'[12]Т05'!$J$39+'[12]Т05'!$J$46+'[12]Т05'!$J$59+'[12]Т05'!$J$72+'[12]Т05'!$J$74+'[12]Т05'!$J$96+'[12]Т05'!$J$109+'[12]Т05'!$J$116+'[12]Т05'!$J$136+'[12]Т05'!$J$183</f>
        <v>26869.714000000004</v>
      </c>
      <c r="AK14" s="157">
        <f t="shared" si="3"/>
        <v>3713.2070000000003</v>
      </c>
      <c r="AL14" s="157">
        <f t="shared" si="4"/>
        <v>1108.42</v>
      </c>
      <c r="AM14" s="157">
        <f t="shared" si="5"/>
        <v>5542.1</v>
      </c>
      <c r="AN14" s="157">
        <f t="shared" si="6"/>
        <v>1163.8410000000001</v>
      </c>
      <c r="AO14" s="157">
        <f t="shared" si="7"/>
        <v>11195.042000000001</v>
      </c>
      <c r="AP14" s="157">
        <f t="shared" si="8"/>
        <v>5708.363</v>
      </c>
      <c r="AQ14" s="157">
        <f t="shared" si="9"/>
        <v>4156.575000000001</v>
      </c>
      <c r="AR14" s="157">
        <f t="shared" si="10"/>
        <v>4156.575000000001</v>
      </c>
      <c r="AS14" s="157"/>
      <c r="AT14" s="364"/>
      <c r="AU14" s="365">
        <v>5099</v>
      </c>
      <c r="AV14" s="365"/>
      <c r="AW14" s="365">
        <v>3148</v>
      </c>
      <c r="AX14" s="365">
        <f>34+312+240+5.2+9+18+39.83+247</f>
        <v>905.0300000000001</v>
      </c>
      <c r="AY14" s="121"/>
      <c r="AZ14" s="121"/>
      <c r="BA14" s="364"/>
      <c r="BB14" s="364"/>
      <c r="BC14" s="150">
        <f>SUM(AK14:BB14)</f>
        <v>45896.153000000006</v>
      </c>
      <c r="BD14" s="366">
        <f>'[12]Т05'!$S$13+'[12]Т05'!$S$34+'[12]Т05'!$S$38+'[12]Т05'!$S$39+'[12]Т05'!$S$46+'[12]Т05'!$S$59+'[12]Т05'!$S$72+'[12]Т05'!$S$74+'[12]Т05'!$S$96+'[12]Т05'!$S$109+'[12]Т05'!$S$116+'[12]Т05'!$S$136+'[12]Т05'!$S$183</f>
        <v>17800.688000000002</v>
      </c>
      <c r="BE14" s="163">
        <f t="shared" si="11"/>
        <v>63696.84100000001</v>
      </c>
      <c r="BF14" s="163">
        <f t="shared" si="12"/>
        <v>8971.993999999999</v>
      </c>
      <c r="BG14" s="163">
        <f t="shared" si="13"/>
        <v>-2552.8600000000006</v>
      </c>
      <c r="BH14" s="163"/>
      <c r="BI14" s="162"/>
      <c r="BJ14" s="336"/>
      <c r="BK14" s="336"/>
      <c r="BL14" s="337"/>
      <c r="BM14" s="350"/>
      <c r="BN14" s="354"/>
    </row>
    <row r="15" spans="1:66" ht="13.5" thickBot="1">
      <c r="A15" s="340" t="s">
        <v>50</v>
      </c>
      <c r="B15" s="447">
        <v>5540.9</v>
      </c>
      <c r="C15" s="131">
        <f t="shared" si="0"/>
        <v>47374.695</v>
      </c>
      <c r="D15" s="358">
        <v>575.421</v>
      </c>
      <c r="E15" s="371">
        <v>0</v>
      </c>
      <c r="F15" s="371"/>
      <c r="G15" s="371">
        <v>28890.01</v>
      </c>
      <c r="H15" s="371"/>
      <c r="I15" s="372">
        <v>0</v>
      </c>
      <c r="J15" s="372"/>
      <c r="K15" s="372">
        <v>0</v>
      </c>
      <c r="L15" s="372"/>
      <c r="M15" s="372">
        <v>14029.35</v>
      </c>
      <c r="N15" s="372"/>
      <c r="O15" s="372">
        <v>4865.92</v>
      </c>
      <c r="P15" s="372"/>
      <c r="Q15" s="372">
        <v>0</v>
      </c>
      <c r="R15" s="373"/>
      <c r="S15" s="373">
        <v>0</v>
      </c>
      <c r="T15" s="372"/>
      <c r="U15" s="374">
        <f t="shared" si="1"/>
        <v>47785.28</v>
      </c>
      <c r="V15" s="375">
        <f t="shared" si="1"/>
        <v>0</v>
      </c>
      <c r="W15" s="376">
        <v>8.52</v>
      </c>
      <c r="X15" s="371">
        <v>23312.39</v>
      </c>
      <c r="Y15" s="371">
        <v>11.55</v>
      </c>
      <c r="Z15" s="371">
        <v>19.22</v>
      </c>
      <c r="AA15" s="371">
        <v>11286.13</v>
      </c>
      <c r="AB15" s="371">
        <v>3932.98</v>
      </c>
      <c r="AC15" s="371">
        <v>0</v>
      </c>
      <c r="AD15" s="371">
        <v>0</v>
      </c>
      <c r="AE15" s="377">
        <v>0</v>
      </c>
      <c r="AF15" s="378">
        <f aca="true" t="shared" si="15" ref="AF15:AF21">SUM(W15:AE15)</f>
        <v>38570.79</v>
      </c>
      <c r="AG15" s="361">
        <f t="shared" si="14"/>
        <v>39146.211</v>
      </c>
      <c r="AH15" s="362">
        <f t="shared" si="2"/>
        <v>0</v>
      </c>
      <c r="AI15" s="362">
        <f t="shared" si="2"/>
        <v>0</v>
      </c>
      <c r="AJ15" s="363">
        <f>'[12]Т06'!$J$13+'[12]Т06'!$J$34+'[12]Т06'!$J$38+'[12]Т06'!$J$39+'[12]Т06'!$J$46+'[12]Т06'!$J$59+'[12]Т06'!$J$72+'[12]Т06'!$J$74+'[12]Т06'!$J$96+'[12]Т06'!$J$109+'[12]Т06'!$J$116+'[12]Т06'!$J$136+'[12]Т06'!$J$183</f>
        <v>26869.714000000004</v>
      </c>
      <c r="AK15" s="157">
        <f t="shared" si="3"/>
        <v>3712.403</v>
      </c>
      <c r="AL15" s="157">
        <f t="shared" si="4"/>
        <v>1108.18</v>
      </c>
      <c r="AM15" s="157">
        <f t="shared" si="5"/>
        <v>5540.9</v>
      </c>
      <c r="AN15" s="157">
        <f t="shared" si="6"/>
        <v>1163.589</v>
      </c>
      <c r="AO15" s="157">
        <f t="shared" si="7"/>
        <v>11192.617999999999</v>
      </c>
      <c r="AP15" s="157">
        <f t="shared" si="8"/>
        <v>5707.1269999999995</v>
      </c>
      <c r="AQ15" s="157">
        <f t="shared" si="9"/>
        <v>4155.674999999999</v>
      </c>
      <c r="AR15" s="157">
        <f t="shared" si="10"/>
        <v>4155.674999999999</v>
      </c>
      <c r="AS15" s="157"/>
      <c r="AT15" s="364"/>
      <c r="AU15" s="365">
        <v>5493</v>
      </c>
      <c r="AV15" s="365"/>
      <c r="AW15" s="365"/>
      <c r="AX15" s="365">
        <f>93.5+400</f>
        <v>493.5</v>
      </c>
      <c r="AY15" s="157"/>
      <c r="AZ15" s="157"/>
      <c r="BA15" s="364"/>
      <c r="BB15" s="364"/>
      <c r="BC15" s="448">
        <f>SUM(AK15:BB15)</f>
        <v>42722.667</v>
      </c>
      <c r="BD15" s="366">
        <f>'[12]Т06'!$S$13+'[12]Т06'!$S$34+'[12]Т06'!$S$38+'[12]Т06'!$S$39+'[12]Т06'!$S$46+'[12]Т06'!$S$59+'[12]Т06'!$S$72+'[12]Т06'!$S$74+'[12]Т06'!$S$96+'[12]Т06'!$S$109+'[12]Т06'!$S$116+'[12]Т06'!$S$136+'[12]Т06'!$S$183</f>
        <v>17800.688000000002</v>
      </c>
      <c r="BE15" s="163">
        <f t="shared" si="11"/>
        <v>60523.355</v>
      </c>
      <c r="BF15" s="163">
        <f t="shared" si="12"/>
        <v>5492.57</v>
      </c>
      <c r="BG15" s="163">
        <f t="shared" si="13"/>
        <v>-9214.489999999998</v>
      </c>
      <c r="BH15" s="163"/>
      <c r="BI15" s="162"/>
      <c r="BJ15" s="336"/>
      <c r="BK15" s="336"/>
      <c r="BL15" s="337"/>
      <c r="BM15" s="379"/>
      <c r="BN15" s="354"/>
    </row>
    <row r="16" spans="1:63" ht="12.75">
      <c r="A16" s="340" t="s">
        <v>51</v>
      </c>
      <c r="B16" s="149">
        <v>5540.9</v>
      </c>
      <c r="C16" s="131">
        <f t="shared" si="0"/>
        <v>47374.695</v>
      </c>
      <c r="D16" s="358">
        <v>575.421</v>
      </c>
      <c r="E16" s="380"/>
      <c r="F16" s="380"/>
      <c r="G16" s="380">
        <v>28891.66</v>
      </c>
      <c r="H16" s="380"/>
      <c r="I16" s="380"/>
      <c r="J16" s="380"/>
      <c r="K16" s="380"/>
      <c r="L16" s="380"/>
      <c r="M16" s="380">
        <v>14030.16</v>
      </c>
      <c r="N16" s="380"/>
      <c r="O16" s="380">
        <v>4866.21</v>
      </c>
      <c r="P16" s="380"/>
      <c r="Q16" s="380"/>
      <c r="R16" s="380"/>
      <c r="S16" s="381"/>
      <c r="T16" s="376"/>
      <c r="U16" s="382">
        <f t="shared" si="1"/>
        <v>47788.03</v>
      </c>
      <c r="V16" s="383">
        <f t="shared" si="1"/>
        <v>0</v>
      </c>
      <c r="W16" s="384">
        <v>71.03</v>
      </c>
      <c r="X16" s="380">
        <v>25593.59</v>
      </c>
      <c r="Y16" s="380">
        <v>96.23</v>
      </c>
      <c r="Z16" s="380">
        <v>160.13</v>
      </c>
      <c r="AA16" s="380">
        <v>12683.63</v>
      </c>
      <c r="AB16" s="380">
        <v>4365.28</v>
      </c>
      <c r="AC16" s="371"/>
      <c r="AD16" s="380"/>
      <c r="AE16" s="381"/>
      <c r="AF16" s="378">
        <f t="shared" si="15"/>
        <v>42969.89</v>
      </c>
      <c r="AG16" s="385">
        <f t="shared" si="14"/>
        <v>43545.311</v>
      </c>
      <c r="AH16" s="362">
        <f t="shared" si="2"/>
        <v>0</v>
      </c>
      <c r="AI16" s="362">
        <f t="shared" si="2"/>
        <v>0</v>
      </c>
      <c r="AJ16" s="363">
        <f>'[12]Т07'!$J$13+'[12]Т07'!$J$34+'[12]Т07'!$J$38+'[12]Т07'!$J$39+'[12]Т07'!$J$46+'[12]Т07'!$J$59+'[12]Т07'!$J$72+'[12]Т07'!$J$74+'[12]Т07'!$J$96+'[12]Т07'!$J$109+'[12]Т07'!$J$116+'[12]Т07'!$J$136+'[12]Т07'!$J$187</f>
        <v>26869.714000000004</v>
      </c>
      <c r="AK16" s="157">
        <f t="shared" si="3"/>
        <v>3712.403</v>
      </c>
      <c r="AL16" s="157">
        <f t="shared" si="4"/>
        <v>1108.18</v>
      </c>
      <c r="AM16" s="157">
        <f t="shared" si="5"/>
        <v>5540.9</v>
      </c>
      <c r="AN16" s="157">
        <f t="shared" si="6"/>
        <v>1163.589</v>
      </c>
      <c r="AO16" s="157">
        <f t="shared" si="7"/>
        <v>11192.617999999999</v>
      </c>
      <c r="AP16" s="157">
        <f t="shared" si="8"/>
        <v>5707.1269999999995</v>
      </c>
      <c r="AQ16" s="157">
        <f t="shared" si="9"/>
        <v>4155.674999999999</v>
      </c>
      <c r="AR16" s="157">
        <f t="shared" si="10"/>
        <v>4155.674999999999</v>
      </c>
      <c r="AS16" s="157"/>
      <c r="AT16" s="364"/>
      <c r="AU16" s="365">
        <v>8974</v>
      </c>
      <c r="AV16" s="365"/>
      <c r="AW16" s="365"/>
      <c r="AX16" s="365">
        <f>320+72+1435.6+927.12+96.43+9.43+8.14+48</f>
        <v>2916.7199999999993</v>
      </c>
      <c r="AY16" s="121"/>
      <c r="AZ16" s="121"/>
      <c r="BA16" s="364">
        <v>0</v>
      </c>
      <c r="BB16" s="364"/>
      <c r="BC16" s="150">
        <f>SUM(AK16:BB16)</f>
        <v>48626.887</v>
      </c>
      <c r="BD16" s="366">
        <f>'[12]Т07'!$S$13+'[12]Т07'!$S$34+'[12]Т07'!$S$38+'[12]Т07'!$S$39+'[12]Т07'!$S$46+'[12]Т07'!$S$59+'[12]Т07'!$S$72+'[12]Т07'!$S$74+'[12]Т07'!$S$96+'[12]Т07'!$S$109+'[12]Т07'!$S$116+'[12]Т07'!$S$136+'[12]Т07'!$S$187</f>
        <v>17800.688000000002</v>
      </c>
      <c r="BE16" s="163">
        <f t="shared" si="11"/>
        <v>66427.57500000001</v>
      </c>
      <c r="BF16" s="163">
        <f t="shared" si="12"/>
        <v>3987.449999999997</v>
      </c>
      <c r="BG16" s="163">
        <f t="shared" si="13"/>
        <v>-4818.139999999999</v>
      </c>
      <c r="BH16" s="163"/>
      <c r="BI16" s="162"/>
      <c r="BJ16" s="336"/>
      <c r="BK16" s="336"/>
    </row>
    <row r="17" spans="1:63" ht="12.75">
      <c r="A17" s="340" t="s">
        <v>52</v>
      </c>
      <c r="B17" s="149">
        <v>5540.9</v>
      </c>
      <c r="C17" s="131">
        <f t="shared" si="0"/>
        <v>47374.695</v>
      </c>
      <c r="D17" s="358">
        <v>575.421</v>
      </c>
      <c r="E17" s="380"/>
      <c r="F17" s="380"/>
      <c r="G17" s="380">
        <v>28891.14</v>
      </c>
      <c r="H17" s="380"/>
      <c r="I17" s="380"/>
      <c r="J17" s="380"/>
      <c r="K17" s="380"/>
      <c r="L17" s="380"/>
      <c r="M17" s="380">
        <v>14029.93</v>
      </c>
      <c r="N17" s="380"/>
      <c r="O17" s="380">
        <v>4866.15</v>
      </c>
      <c r="P17" s="380"/>
      <c r="Q17" s="380"/>
      <c r="R17" s="380"/>
      <c r="S17" s="381"/>
      <c r="T17" s="377"/>
      <c r="U17" s="386">
        <f t="shared" si="1"/>
        <v>47787.22</v>
      </c>
      <c r="V17" s="387">
        <f t="shared" si="1"/>
        <v>0</v>
      </c>
      <c r="W17" s="380">
        <v>1.14</v>
      </c>
      <c r="X17" s="380">
        <v>25590.45</v>
      </c>
      <c r="Y17" s="380">
        <v>1.54</v>
      </c>
      <c r="Z17" s="380">
        <v>2.55</v>
      </c>
      <c r="AA17" s="380">
        <v>12438.62</v>
      </c>
      <c r="AB17" s="380">
        <v>4309.22</v>
      </c>
      <c r="AC17" s="380"/>
      <c r="AD17" s="380"/>
      <c r="AE17" s="381"/>
      <c r="AF17" s="378">
        <f t="shared" si="15"/>
        <v>42343.520000000004</v>
      </c>
      <c r="AG17" s="385">
        <f t="shared" si="14"/>
        <v>42918.941000000006</v>
      </c>
      <c r="AH17" s="362">
        <f t="shared" si="2"/>
        <v>0</v>
      </c>
      <c r="AI17" s="362">
        <f t="shared" si="2"/>
        <v>0</v>
      </c>
      <c r="AJ17" s="363">
        <f>'[12]Т08'!$J$13+'[12]Т08'!$J$34+'[12]Т08'!$J$38+'[12]Т08'!$J$39+'[12]Т08'!$J$46+'[12]Т08'!$J$59+'[12]Т08'!$J$72+'[12]Т08'!$J$74+'[12]Т08'!$J$96+'[12]Т08'!$J$109+'[12]Т08'!$J$116+'[12]Т08'!$J$136+'[12]Т08'!$J$191</f>
        <v>26869.714000000004</v>
      </c>
      <c r="AK17" s="157">
        <f t="shared" si="3"/>
        <v>3712.403</v>
      </c>
      <c r="AL17" s="157">
        <f t="shared" si="4"/>
        <v>1108.18</v>
      </c>
      <c r="AM17" s="157">
        <f t="shared" si="5"/>
        <v>5540.9</v>
      </c>
      <c r="AN17" s="157">
        <f t="shared" si="6"/>
        <v>1163.589</v>
      </c>
      <c r="AO17" s="157">
        <f t="shared" si="7"/>
        <v>11192.617999999999</v>
      </c>
      <c r="AP17" s="157">
        <f t="shared" si="8"/>
        <v>5707.1269999999995</v>
      </c>
      <c r="AQ17" s="157">
        <f t="shared" si="9"/>
        <v>4155.674999999999</v>
      </c>
      <c r="AR17" s="157">
        <f t="shared" si="10"/>
        <v>4155.674999999999</v>
      </c>
      <c r="AS17" s="157"/>
      <c r="AT17" s="364"/>
      <c r="AU17" s="365">
        <v>2920</v>
      </c>
      <c r="AV17" s="365"/>
      <c r="AW17" s="365"/>
      <c r="AX17" s="365">
        <f>927.12+4+30.4+497</f>
        <v>1458.52</v>
      </c>
      <c r="AY17" s="121"/>
      <c r="AZ17" s="121"/>
      <c r="BA17" s="364"/>
      <c r="BB17" s="364"/>
      <c r="BC17" s="150">
        <f>SUM(AK17:BB17)</f>
        <v>41114.687</v>
      </c>
      <c r="BD17" s="366">
        <f>'[12]Т08'!$S$13+'[12]Т08'!$S$34+'[12]Т08'!$S$38+'[12]Т08'!$S$39+'[12]Т08'!$S$46+'[12]Т08'!$S$59+'[12]Т08'!$S$72+'[12]Т08'!$S$74+'[12]Т08'!$S$96+'[12]Т08'!$S$109+'[12]Т08'!$S$116+'[12]Т08'!$S$136+'[12]Т08'!$S$191</f>
        <v>17800.688000000002</v>
      </c>
      <c r="BE17" s="163">
        <f t="shared" si="11"/>
        <v>58915.375</v>
      </c>
      <c r="BF17" s="163">
        <f t="shared" si="12"/>
        <v>10873.280000000013</v>
      </c>
      <c r="BG17" s="163">
        <f t="shared" si="13"/>
        <v>-5443.699999999997</v>
      </c>
      <c r="BH17" s="163"/>
      <c r="BI17" s="162"/>
      <c r="BJ17" s="336"/>
      <c r="BK17" s="336"/>
    </row>
    <row r="18" spans="1:63" ht="12.75">
      <c r="A18" s="340" t="s">
        <v>53</v>
      </c>
      <c r="B18" s="149">
        <v>5540.9</v>
      </c>
      <c r="C18" s="131">
        <f t="shared" si="0"/>
        <v>47374.695</v>
      </c>
      <c r="D18" s="358">
        <v>575.421</v>
      </c>
      <c r="E18" s="380"/>
      <c r="F18" s="380"/>
      <c r="G18" s="380">
        <v>29239.59</v>
      </c>
      <c r="H18" s="380"/>
      <c r="I18" s="380"/>
      <c r="J18" s="380"/>
      <c r="K18" s="380"/>
      <c r="L18" s="380"/>
      <c r="M18" s="380">
        <v>14199.06</v>
      </c>
      <c r="N18" s="380"/>
      <c r="O18" s="380">
        <v>4924.74</v>
      </c>
      <c r="P18" s="380"/>
      <c r="Q18" s="380"/>
      <c r="R18" s="380"/>
      <c r="S18" s="381"/>
      <c r="T18" s="388"/>
      <c r="U18" s="388">
        <f t="shared" si="1"/>
        <v>48363.39</v>
      </c>
      <c r="V18" s="389">
        <f t="shared" si="1"/>
        <v>0</v>
      </c>
      <c r="W18" s="380">
        <v>223.92</v>
      </c>
      <c r="X18" s="380">
        <v>29005.8</v>
      </c>
      <c r="Y18" s="380">
        <v>303.54</v>
      </c>
      <c r="Z18" s="380">
        <v>505.08</v>
      </c>
      <c r="AA18" s="380">
        <v>14500.26</v>
      </c>
      <c r="AB18" s="380">
        <v>5065.71</v>
      </c>
      <c r="AC18" s="380"/>
      <c r="AD18" s="380"/>
      <c r="AE18" s="381"/>
      <c r="AF18" s="378">
        <f t="shared" si="15"/>
        <v>49604.31</v>
      </c>
      <c r="AG18" s="385">
        <f t="shared" si="14"/>
        <v>50179.731</v>
      </c>
      <c r="AH18" s="362">
        <f t="shared" si="2"/>
        <v>0</v>
      </c>
      <c r="AI18" s="362">
        <f t="shared" si="2"/>
        <v>0</v>
      </c>
      <c r="AJ18" s="363">
        <f>'[12]Т09'!$J$13+'[12]Т09'!$J$34+'[12]Т09'!$J$38+'[12]Т09'!$J$39+'[12]Т09'!$J$46+'[12]Т09'!$J$59+'[12]Т09'!$J$72+'[12]Т09'!$J$74+'[12]Т09'!$J$96+'[12]Т09'!$J$109+'[12]Т09'!$J$116+'[12]Т09'!$J$136+'[12]Т09'!$J$191</f>
        <v>26869.714000000004</v>
      </c>
      <c r="AK18" s="157">
        <f>0.67*B18</f>
        <v>3712.403</v>
      </c>
      <c r="AL18" s="157">
        <f>B18*0.2</f>
        <v>1108.18</v>
      </c>
      <c r="AM18" s="157">
        <f t="shared" si="5"/>
        <v>5540.9</v>
      </c>
      <c r="AN18" s="157">
        <f t="shared" si="6"/>
        <v>1163.589</v>
      </c>
      <c r="AO18" s="157">
        <f t="shared" si="7"/>
        <v>11192.617999999999</v>
      </c>
      <c r="AP18" s="157">
        <f t="shared" si="8"/>
        <v>5707.1269999999995</v>
      </c>
      <c r="AQ18" s="157">
        <f t="shared" si="9"/>
        <v>4155.674999999999</v>
      </c>
      <c r="AR18" s="157">
        <f t="shared" si="10"/>
        <v>4155.674999999999</v>
      </c>
      <c r="AS18" s="157"/>
      <c r="AT18" s="364"/>
      <c r="AU18" s="365"/>
      <c r="AV18" s="365"/>
      <c r="AW18" s="365">
        <v>1201</v>
      </c>
      <c r="AX18" s="365">
        <f>108240+213.34</f>
        <v>108453.34</v>
      </c>
      <c r="AY18" s="121"/>
      <c r="AZ18" s="121"/>
      <c r="BA18" s="364"/>
      <c r="BB18" s="364"/>
      <c r="BC18" s="150">
        <f>SUM(AK18:BB18)</f>
        <v>146390.50699999998</v>
      </c>
      <c r="BD18" s="366">
        <f>'[12]Т08'!$S$13+'[12]Т08'!$S$34+'[12]Т08'!$S$38+'[12]Т08'!$S$39+'[12]Т08'!$S$46+'[12]Т08'!$S$59+'[12]Т08'!$S$72+'[12]Т08'!$S$74+'[12]Т08'!$S$96+'[12]Т08'!$S$109+'[12]Т08'!$S$116+'[12]Т08'!$S$136+'[12]Т08'!$S$191</f>
        <v>17800.688000000002</v>
      </c>
      <c r="BE18" s="163">
        <f t="shared" si="11"/>
        <v>164191.19499999998</v>
      </c>
      <c r="BF18" s="163">
        <f t="shared" si="12"/>
        <v>-87141.74999999997</v>
      </c>
      <c r="BG18" s="163">
        <f t="shared" si="13"/>
        <v>1240.9199999999983</v>
      </c>
      <c r="BH18" s="163"/>
      <c r="BI18" s="162"/>
      <c r="BJ18" s="335"/>
      <c r="BK18" s="73"/>
    </row>
    <row r="19" spans="1:63" ht="12.75">
      <c r="A19" s="340" t="s">
        <v>41</v>
      </c>
      <c r="B19" s="149">
        <v>5540.9</v>
      </c>
      <c r="C19" s="131">
        <f t="shared" si="0"/>
        <v>47374.695</v>
      </c>
      <c r="D19" s="390">
        <v>575.421</v>
      </c>
      <c r="E19" s="371"/>
      <c r="F19" s="371"/>
      <c r="G19" s="371">
        <v>29235.22</v>
      </c>
      <c r="H19" s="371"/>
      <c r="I19" s="371"/>
      <c r="J19" s="371"/>
      <c r="K19" s="371"/>
      <c r="L19" s="371"/>
      <c r="M19" s="371">
        <v>14196.91</v>
      </c>
      <c r="N19" s="371"/>
      <c r="O19" s="371">
        <v>4923.97</v>
      </c>
      <c r="P19" s="371"/>
      <c r="Q19" s="371"/>
      <c r="R19" s="371"/>
      <c r="S19" s="377"/>
      <c r="T19" s="391"/>
      <c r="U19" s="392">
        <f t="shared" si="1"/>
        <v>48356.100000000006</v>
      </c>
      <c r="V19" s="393">
        <f t="shared" si="1"/>
        <v>0</v>
      </c>
      <c r="W19" s="371">
        <v>0</v>
      </c>
      <c r="X19" s="371">
        <v>29610.04</v>
      </c>
      <c r="Y19" s="371">
        <v>0</v>
      </c>
      <c r="Z19" s="371">
        <v>0</v>
      </c>
      <c r="AA19" s="371">
        <v>14389.37</v>
      </c>
      <c r="AB19" s="371">
        <v>5004.09</v>
      </c>
      <c r="AC19" s="371"/>
      <c r="AD19" s="371"/>
      <c r="AE19" s="377"/>
      <c r="AF19" s="378">
        <f t="shared" si="15"/>
        <v>49003.5</v>
      </c>
      <c r="AG19" s="385">
        <f t="shared" si="14"/>
        <v>49578.921</v>
      </c>
      <c r="AH19" s="362">
        <f t="shared" si="2"/>
        <v>0</v>
      </c>
      <c r="AI19" s="362">
        <f t="shared" si="2"/>
        <v>0</v>
      </c>
      <c r="AJ19" s="363">
        <f>+'[15]Т10'!$J$13+'[15]Т10'!$J$34+'[15]Т10'!$J$38+'[15]Т10'!$J$39+'[15]Т10'!$J$46+'[15]Т10'!$J$59+'[15]Т10'!$J$72+'[15]Т10'!$J$74+'[15]Т10'!$J$96+'[15]Т10'!$J$109+'[15]Т10'!$J$116+'[15]Т10'!$J$136+'[15]Т10'!$J$191</f>
        <v>26869.714000000004</v>
      </c>
      <c r="AK19" s="157">
        <f>0.67*B19</f>
        <v>3712.403</v>
      </c>
      <c r="AL19" s="157">
        <f>B19*0.2</f>
        <v>1108.18</v>
      </c>
      <c r="AM19" s="157">
        <f t="shared" si="5"/>
        <v>5540.9</v>
      </c>
      <c r="AN19" s="157">
        <f t="shared" si="6"/>
        <v>1163.589</v>
      </c>
      <c r="AO19" s="157">
        <f t="shared" si="7"/>
        <v>11192.617999999999</v>
      </c>
      <c r="AP19" s="157">
        <f t="shared" si="8"/>
        <v>5707.1269999999995</v>
      </c>
      <c r="AQ19" s="157">
        <f t="shared" si="9"/>
        <v>4155.674999999999</v>
      </c>
      <c r="AR19" s="157">
        <f t="shared" si="10"/>
        <v>4155.674999999999</v>
      </c>
      <c r="AS19" s="394">
        <f>B19*1.15</f>
        <v>6372.034999999999</v>
      </c>
      <c r="AT19" s="364"/>
      <c r="AU19" s="365"/>
      <c r="AV19" s="365"/>
      <c r="AW19" s="365">
        <v>381</v>
      </c>
      <c r="AX19" s="365">
        <f>73.15+14+22.06</f>
        <v>109.21000000000001</v>
      </c>
      <c r="AY19" s="121"/>
      <c r="AZ19" s="121"/>
      <c r="BA19" s="364"/>
      <c r="BB19" s="364"/>
      <c r="BC19" s="150">
        <f>SUM(AK19:BB19)</f>
        <v>43598.412</v>
      </c>
      <c r="BD19" s="366">
        <f>'[12]Т10'!$S$13+'[12]Т10'!$S$34+'[12]Т10'!$S$38+'[12]Т10'!$S$39+'[12]Т10'!$S$46+'[12]Т10'!$S$59+'[12]Т10'!$S$72+'[12]Т10'!$S$74+'[12]Т10'!$S$96+'[12]Т10'!$S$109+'[12]Т10'!$S$116+'[12]Т10'!$S$136+'[12]Т10'!$S$191</f>
        <v>17800.688000000002</v>
      </c>
      <c r="BE19" s="163">
        <f t="shared" si="11"/>
        <v>61399.1</v>
      </c>
      <c r="BF19" s="163">
        <f t="shared" si="12"/>
        <v>15049.53500000001</v>
      </c>
      <c r="BG19" s="163">
        <f t="shared" si="13"/>
        <v>647.3999999999942</v>
      </c>
      <c r="BH19" s="163"/>
      <c r="BI19" s="162"/>
      <c r="BJ19" s="335"/>
      <c r="BK19" s="73"/>
    </row>
    <row r="20" spans="1:63" ht="12.75">
      <c r="A20" s="340" t="s">
        <v>42</v>
      </c>
      <c r="B20" s="149">
        <v>5540.9</v>
      </c>
      <c r="C20" s="131">
        <f t="shared" si="0"/>
        <v>47374.695</v>
      </c>
      <c r="D20" s="395">
        <v>575.421</v>
      </c>
      <c r="E20" s="371"/>
      <c r="F20" s="371"/>
      <c r="G20" s="371">
        <v>29266</v>
      </c>
      <c r="H20" s="371"/>
      <c r="I20" s="371"/>
      <c r="J20" s="371"/>
      <c r="K20" s="371"/>
      <c r="L20" s="371"/>
      <c r="M20" s="371">
        <v>14212.02</v>
      </c>
      <c r="N20" s="371"/>
      <c r="O20" s="371">
        <v>4929.27</v>
      </c>
      <c r="P20" s="371"/>
      <c r="Q20" s="371"/>
      <c r="R20" s="371"/>
      <c r="S20" s="377"/>
      <c r="T20" s="391"/>
      <c r="U20" s="392">
        <f t="shared" si="1"/>
        <v>48407.29000000001</v>
      </c>
      <c r="V20" s="393">
        <f t="shared" si="1"/>
        <v>0</v>
      </c>
      <c r="W20" s="371">
        <v>0</v>
      </c>
      <c r="X20" s="371">
        <v>28883.36</v>
      </c>
      <c r="Y20" s="371">
        <v>0</v>
      </c>
      <c r="Z20" s="371">
        <v>0</v>
      </c>
      <c r="AA20" s="371">
        <v>14015.84</v>
      </c>
      <c r="AB20" s="371">
        <v>4848.5</v>
      </c>
      <c r="AC20" s="371"/>
      <c r="AD20" s="371"/>
      <c r="AE20" s="377"/>
      <c r="AF20" s="378">
        <f t="shared" si="15"/>
        <v>47747.7</v>
      </c>
      <c r="AG20" s="385">
        <f t="shared" si="14"/>
        <v>48323.121</v>
      </c>
      <c r="AH20" s="362">
        <f t="shared" si="2"/>
        <v>0</v>
      </c>
      <c r="AI20" s="362">
        <f t="shared" si="2"/>
        <v>0</v>
      </c>
      <c r="AJ20" s="363">
        <f>'[12]Т11'!$J$13+'[12]Т11'!$J$34+'[12]Т11'!$J$38+'[12]Т11'!$J$39+'[12]Т11'!$J$46+'[12]Т11'!$J$59+'[12]Т11'!$J$72+'[12]Т11'!$J$74+'[12]Т11'!$J$96+'[12]Т11'!$J$109+'[12]Т11'!$J$116+'[12]Т11'!$J$136+'[12]Т11'!$J$191</f>
        <v>26869.714000000004</v>
      </c>
      <c r="AK20" s="157">
        <f>0.67*B20</f>
        <v>3712.403</v>
      </c>
      <c r="AL20" s="157">
        <f>B20*0.2</f>
        <v>1108.18</v>
      </c>
      <c r="AM20" s="157">
        <f t="shared" si="5"/>
        <v>5540.9</v>
      </c>
      <c r="AN20" s="157">
        <f t="shared" si="6"/>
        <v>1163.589</v>
      </c>
      <c r="AO20" s="157">
        <f t="shared" si="7"/>
        <v>11192.617999999999</v>
      </c>
      <c r="AP20" s="157">
        <f t="shared" si="8"/>
        <v>5707.1269999999995</v>
      </c>
      <c r="AQ20" s="157">
        <f t="shared" si="9"/>
        <v>4155.674999999999</v>
      </c>
      <c r="AR20" s="157">
        <f t="shared" si="10"/>
        <v>4155.674999999999</v>
      </c>
      <c r="AS20" s="394">
        <f>B20*1.15</f>
        <v>6372.034999999999</v>
      </c>
      <c r="AT20" s="364"/>
      <c r="AU20" s="365">
        <v>3422</v>
      </c>
      <c r="AV20" s="365"/>
      <c r="AW20" s="365"/>
      <c r="AX20" s="365">
        <f>79.02+44+580+1082.5</f>
        <v>1785.52</v>
      </c>
      <c r="AY20" s="121"/>
      <c r="AZ20" s="121"/>
      <c r="BA20" s="364"/>
      <c r="BB20" s="364"/>
      <c r="BC20" s="150">
        <f>SUM(AK20:BB20)</f>
        <v>48315.721999999994</v>
      </c>
      <c r="BD20" s="366">
        <f>'[12]Т11'!$S$13+'[12]Т11'!$S$34+'[12]Т11'!$S$38+'[12]Т11'!$S$39+'[12]Т11'!$S$46+'[12]Т11'!$S$59+'[12]Т11'!$S$72+'[12]Т11'!$S$74+'[12]Т11'!$S$96+'[12]Т11'!$S$109+'[12]Т11'!$S$116+'[12]Т11'!$S$136+'[12]Т11'!$S$191</f>
        <v>17800.688000000002</v>
      </c>
      <c r="BE20" s="163">
        <f t="shared" si="11"/>
        <v>66116.41</v>
      </c>
      <c r="BF20" s="163">
        <f t="shared" si="12"/>
        <v>9076.425000000003</v>
      </c>
      <c r="BG20" s="163">
        <f t="shared" si="13"/>
        <v>-659.5900000000111</v>
      </c>
      <c r="BH20" s="163"/>
      <c r="BI20" s="162"/>
      <c r="BJ20" s="335"/>
      <c r="BK20" s="73"/>
    </row>
    <row r="21" spans="1:63" ht="13.5" thickBot="1">
      <c r="A21" s="340" t="s">
        <v>43</v>
      </c>
      <c r="B21" s="149">
        <v>5540.9</v>
      </c>
      <c r="C21" s="131">
        <f t="shared" si="0"/>
        <v>47374.695</v>
      </c>
      <c r="D21" s="395">
        <v>575.421</v>
      </c>
      <c r="E21" s="396"/>
      <c r="F21" s="396"/>
      <c r="G21" s="396">
        <v>29230.91</v>
      </c>
      <c r="H21" s="396"/>
      <c r="I21" s="396"/>
      <c r="J21" s="396"/>
      <c r="K21" s="396"/>
      <c r="L21" s="396"/>
      <c r="M21" s="396">
        <v>14194.81</v>
      </c>
      <c r="N21" s="396"/>
      <c r="O21" s="396">
        <v>4923.2</v>
      </c>
      <c r="P21" s="396"/>
      <c r="Q21" s="396"/>
      <c r="R21" s="396"/>
      <c r="S21" s="397"/>
      <c r="T21" s="398"/>
      <c r="U21" s="392">
        <f t="shared" si="1"/>
        <v>48348.92</v>
      </c>
      <c r="V21" s="393">
        <f t="shared" si="1"/>
        <v>0</v>
      </c>
      <c r="W21" s="371">
        <v>0</v>
      </c>
      <c r="X21" s="371">
        <v>37717.09</v>
      </c>
      <c r="Y21" s="371">
        <v>0</v>
      </c>
      <c r="Z21" s="371">
        <v>0</v>
      </c>
      <c r="AA21" s="371">
        <v>18315.49</v>
      </c>
      <c r="AB21" s="371">
        <v>6352.06</v>
      </c>
      <c r="AC21" s="371"/>
      <c r="AD21" s="371"/>
      <c r="AE21" s="377"/>
      <c r="AF21" s="378">
        <f t="shared" si="15"/>
        <v>62384.64</v>
      </c>
      <c r="AG21" s="385">
        <f t="shared" si="14"/>
        <v>62960.061</v>
      </c>
      <c r="AH21" s="362">
        <f t="shared" si="2"/>
        <v>0</v>
      </c>
      <c r="AI21" s="362">
        <f t="shared" si="2"/>
        <v>0</v>
      </c>
      <c r="AJ21" s="363">
        <f>'[12]Т12'!$J$13+'[12]Т12'!$J$34+'[12]Т12'!$J$38+'[12]Т12'!$J$39+'[12]Т12'!$J$46+'[12]Т12'!$J$59+'[12]Т12'!$J$72+'[12]Т12'!$J$74+'[12]Т12'!$J$96+'[12]Т12'!$J$109+'[12]Т12'!$J$116+'[12]Т12'!$J$136+'[12]Т12'!$J$211</f>
        <v>26869.714000000004</v>
      </c>
      <c r="AK21" s="157">
        <f>0.67*B21</f>
        <v>3712.403</v>
      </c>
      <c r="AL21" s="157">
        <f>B21*0.2</f>
        <v>1108.18</v>
      </c>
      <c r="AM21" s="157">
        <f t="shared" si="5"/>
        <v>5540.9</v>
      </c>
      <c r="AN21" s="157">
        <f t="shared" si="6"/>
        <v>1163.589</v>
      </c>
      <c r="AO21" s="157">
        <f t="shared" si="7"/>
        <v>11192.617999999999</v>
      </c>
      <c r="AP21" s="157">
        <f t="shared" si="8"/>
        <v>5707.1269999999995</v>
      </c>
      <c r="AQ21" s="157">
        <f t="shared" si="9"/>
        <v>4155.674999999999</v>
      </c>
      <c r="AR21" s="157">
        <f t="shared" si="10"/>
        <v>4155.674999999999</v>
      </c>
      <c r="AS21" s="394">
        <f>B21*1.15</f>
        <v>6372.034999999999</v>
      </c>
      <c r="AT21" s="364"/>
      <c r="AU21" s="365"/>
      <c r="AV21" s="365"/>
      <c r="AW21" s="365"/>
      <c r="AX21" s="365">
        <v>220</v>
      </c>
      <c r="AY21" s="121"/>
      <c r="AZ21" s="121"/>
      <c r="BA21" s="364"/>
      <c r="BB21" s="364"/>
      <c r="BC21" s="150">
        <f>SUM(AK21:BB21)</f>
        <v>43328.202</v>
      </c>
      <c r="BD21" s="366">
        <f>'[12]Т12'!$S$13+'[12]Т12'!$S$34+'[12]Т12'!$S$38+'[12]Т12'!$S$39+'[12]Т12'!$S$46+'[12]Т12'!$S$59+'[12]Т12'!$S$72+'[12]Т12'!$S$74+'[12]Т12'!$S$96+'[12]Т12'!$S$109+'[12]Т12'!$S$116+'[12]Т12'!$S$136+'[12]Т12'!$S$211</f>
        <v>17800.688000000002</v>
      </c>
      <c r="BE21" s="163">
        <f t="shared" si="11"/>
        <v>61128.89</v>
      </c>
      <c r="BF21" s="163">
        <f t="shared" si="12"/>
        <v>28700.88500000001</v>
      </c>
      <c r="BG21" s="163">
        <f t="shared" si="13"/>
        <v>14035.720000000001</v>
      </c>
      <c r="BH21" s="163"/>
      <c r="BI21" s="162"/>
      <c r="BJ21" s="335"/>
      <c r="BK21" s="73"/>
    </row>
    <row r="22" spans="1:61" s="20" customFormat="1" ht="13.5" thickBot="1">
      <c r="A22" s="399" t="s">
        <v>5</v>
      </c>
      <c r="B22" s="400"/>
      <c r="C22" s="401">
        <f aca="true" t="shared" si="16" ref="C22:BF22">SUM(C10:C21)</f>
        <v>568719.4950000001</v>
      </c>
      <c r="D22" s="401">
        <f t="shared" si="16"/>
        <v>6905.052000000002</v>
      </c>
      <c r="E22" s="401">
        <f t="shared" si="16"/>
        <v>-4.92</v>
      </c>
      <c r="F22" s="401">
        <f t="shared" si="16"/>
        <v>0</v>
      </c>
      <c r="G22" s="401">
        <f t="shared" si="16"/>
        <v>348066.24</v>
      </c>
      <c r="H22" s="401">
        <f t="shared" si="16"/>
        <v>0</v>
      </c>
      <c r="I22" s="401">
        <f t="shared" si="16"/>
        <v>-6.67</v>
      </c>
      <c r="J22" s="401">
        <f t="shared" si="16"/>
        <v>0</v>
      </c>
      <c r="K22" s="401">
        <f t="shared" si="16"/>
        <v>-11.09</v>
      </c>
      <c r="L22" s="401">
        <f t="shared" si="16"/>
        <v>0</v>
      </c>
      <c r="M22" s="401">
        <f t="shared" si="16"/>
        <v>169011.11</v>
      </c>
      <c r="N22" s="401">
        <f t="shared" si="16"/>
        <v>0</v>
      </c>
      <c r="O22" s="401">
        <f t="shared" si="16"/>
        <v>58620.240000000005</v>
      </c>
      <c r="P22" s="401">
        <f t="shared" si="16"/>
        <v>0</v>
      </c>
      <c r="Q22" s="401">
        <f t="shared" si="16"/>
        <v>0</v>
      </c>
      <c r="R22" s="401">
        <f t="shared" si="16"/>
        <v>0</v>
      </c>
      <c r="S22" s="401">
        <f t="shared" si="16"/>
        <v>0</v>
      </c>
      <c r="T22" s="401">
        <f t="shared" si="16"/>
        <v>0</v>
      </c>
      <c r="U22" s="401">
        <f t="shared" si="16"/>
        <v>575674.91</v>
      </c>
      <c r="V22" s="401">
        <f t="shared" si="16"/>
        <v>0</v>
      </c>
      <c r="W22" s="401">
        <f t="shared" si="16"/>
        <v>5953.95</v>
      </c>
      <c r="X22" s="401">
        <f t="shared" si="16"/>
        <v>304185.57999999996</v>
      </c>
      <c r="Y22" s="401">
        <f t="shared" si="16"/>
        <v>8065.129999999999</v>
      </c>
      <c r="Z22" s="401">
        <f t="shared" si="16"/>
        <v>13423.869999999997</v>
      </c>
      <c r="AA22" s="401">
        <f t="shared" si="16"/>
        <v>168576.40999999997</v>
      </c>
      <c r="AB22" s="401">
        <f t="shared" si="16"/>
        <v>55822.83</v>
      </c>
      <c r="AC22" s="401">
        <f t="shared" si="16"/>
        <v>0</v>
      </c>
      <c r="AD22" s="401">
        <f t="shared" si="16"/>
        <v>0</v>
      </c>
      <c r="AE22" s="401">
        <f t="shared" si="16"/>
        <v>0</v>
      </c>
      <c r="AF22" s="401">
        <f t="shared" si="16"/>
        <v>556027.77</v>
      </c>
      <c r="AG22" s="401">
        <f t="shared" si="16"/>
        <v>562932.822</v>
      </c>
      <c r="AH22" s="401">
        <f t="shared" si="16"/>
        <v>0</v>
      </c>
      <c r="AI22" s="401">
        <f t="shared" si="16"/>
        <v>0</v>
      </c>
      <c r="AJ22" s="401">
        <f t="shared" si="16"/>
        <v>322436.55799999996</v>
      </c>
      <c r="AK22" s="401">
        <f t="shared" si="16"/>
        <v>44566.32299999999</v>
      </c>
      <c r="AL22" s="401">
        <f t="shared" si="16"/>
        <v>13303.380000000001</v>
      </c>
      <c r="AM22" s="401">
        <f t="shared" si="16"/>
        <v>66516.90000000001</v>
      </c>
      <c r="AN22" s="401">
        <f t="shared" si="16"/>
        <v>13968.548999999999</v>
      </c>
      <c r="AO22" s="401">
        <f t="shared" si="16"/>
        <v>134364.138</v>
      </c>
      <c r="AP22" s="401">
        <f t="shared" si="16"/>
        <v>68512.407</v>
      </c>
      <c r="AQ22" s="401">
        <f t="shared" si="16"/>
        <v>49887.675</v>
      </c>
      <c r="AR22" s="401">
        <f t="shared" si="16"/>
        <v>49887.675</v>
      </c>
      <c r="AS22" s="401">
        <f t="shared" si="16"/>
        <v>38259.465</v>
      </c>
      <c r="AT22" s="401">
        <f t="shared" si="16"/>
        <v>0</v>
      </c>
      <c r="AU22" s="401">
        <f t="shared" si="16"/>
        <v>33723</v>
      </c>
      <c r="AV22" s="401">
        <f t="shared" si="16"/>
        <v>3088</v>
      </c>
      <c r="AW22" s="401">
        <f t="shared" si="16"/>
        <v>4730</v>
      </c>
      <c r="AX22" s="401">
        <f t="shared" si="16"/>
        <v>210532.87999999998</v>
      </c>
      <c r="AY22" s="401">
        <f t="shared" si="16"/>
        <v>0</v>
      </c>
      <c r="AZ22" s="401">
        <f t="shared" si="16"/>
        <v>0</v>
      </c>
      <c r="BA22" s="401">
        <f t="shared" si="16"/>
        <v>0</v>
      </c>
      <c r="BB22" s="401">
        <f t="shared" si="16"/>
        <v>0</v>
      </c>
      <c r="BC22" s="401">
        <f t="shared" si="16"/>
        <v>731340.392</v>
      </c>
      <c r="BD22" s="401">
        <f t="shared" si="16"/>
        <v>212948.56199999998</v>
      </c>
      <c r="BE22" s="401">
        <f t="shared" si="16"/>
        <v>944288.9539999999</v>
      </c>
      <c r="BF22" s="401">
        <f t="shared" si="16"/>
        <v>-58919.57399999992</v>
      </c>
      <c r="BG22" s="401">
        <f>SUM(BG10:BG21)</f>
        <v>-19647.140000000014</v>
      </c>
      <c r="BI22" s="72"/>
    </row>
    <row r="23" spans="1:61" s="20" customFormat="1" ht="13.5" thickBot="1">
      <c r="A23" s="402"/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4"/>
      <c r="BF23" s="403"/>
      <c r="BG23" s="405"/>
      <c r="BI23" s="72"/>
    </row>
    <row r="24" spans="1:59" s="20" customFormat="1" ht="13.5" thickBot="1">
      <c r="A24" s="22" t="s">
        <v>54</v>
      </c>
      <c r="B24" s="403"/>
      <c r="C24" s="406">
        <f aca="true" t="shared" si="17" ref="C24:BG24">C22+C8</f>
        <v>1866517.0550000002</v>
      </c>
      <c r="D24" s="406">
        <f t="shared" si="17"/>
        <v>305871.19609795004</v>
      </c>
      <c r="E24" s="406">
        <f t="shared" si="17"/>
        <v>113817.45000000001</v>
      </c>
      <c r="F24" s="406">
        <f t="shared" si="17"/>
        <v>19675.64</v>
      </c>
      <c r="G24" s="406">
        <f t="shared" si="17"/>
        <v>348066.24</v>
      </c>
      <c r="H24" s="406">
        <f t="shared" si="17"/>
        <v>0</v>
      </c>
      <c r="I24" s="406">
        <f t="shared" si="17"/>
        <v>153599.13999999998</v>
      </c>
      <c r="J24" s="406">
        <f t="shared" si="17"/>
        <v>26636.05</v>
      </c>
      <c r="K24" s="406">
        <f t="shared" si="17"/>
        <v>254905.71999999997</v>
      </c>
      <c r="L24" s="406">
        <f t="shared" si="17"/>
        <v>44343.69</v>
      </c>
      <c r="M24" s="406">
        <f t="shared" si="17"/>
        <v>536495.6799999999</v>
      </c>
      <c r="N24" s="406">
        <f t="shared" si="17"/>
        <v>64019.08</v>
      </c>
      <c r="O24" s="406">
        <f t="shared" si="17"/>
        <v>149929.19</v>
      </c>
      <c r="P24" s="406">
        <f t="shared" si="17"/>
        <v>15739.98</v>
      </c>
      <c r="Q24" s="406">
        <f t="shared" si="17"/>
        <v>0</v>
      </c>
      <c r="R24" s="406">
        <f t="shared" si="17"/>
        <v>0</v>
      </c>
      <c r="S24" s="406">
        <f t="shared" si="17"/>
        <v>0</v>
      </c>
      <c r="T24" s="406">
        <f t="shared" si="17"/>
        <v>0</v>
      </c>
      <c r="U24" s="406">
        <f t="shared" si="17"/>
        <v>1556813.42</v>
      </c>
      <c r="V24" s="406">
        <f t="shared" si="17"/>
        <v>170414.44</v>
      </c>
      <c r="W24" s="406">
        <f t="shared" si="17"/>
        <v>110641.11999999998</v>
      </c>
      <c r="X24" s="406">
        <f t="shared" si="17"/>
        <v>304185.57999999996</v>
      </c>
      <c r="Y24" s="406">
        <f t="shared" si="17"/>
        <v>149282.57</v>
      </c>
      <c r="Z24" s="406">
        <f t="shared" si="17"/>
        <v>247730.57999999996</v>
      </c>
      <c r="AA24" s="406">
        <f t="shared" si="17"/>
        <v>506316.0999999999</v>
      </c>
      <c r="AB24" s="406">
        <f t="shared" si="17"/>
        <v>139823.52999999997</v>
      </c>
      <c r="AC24" s="406">
        <f t="shared" si="17"/>
        <v>0</v>
      </c>
      <c r="AD24" s="406">
        <f t="shared" si="17"/>
        <v>0</v>
      </c>
      <c r="AE24" s="406">
        <f t="shared" si="17"/>
        <v>0</v>
      </c>
      <c r="AF24" s="406">
        <f t="shared" si="17"/>
        <v>1457979.48</v>
      </c>
      <c r="AG24" s="406">
        <f t="shared" si="17"/>
        <v>1934265.11609795</v>
      </c>
      <c r="AH24" s="406">
        <f t="shared" si="17"/>
        <v>0</v>
      </c>
      <c r="AI24" s="406">
        <f t="shared" si="17"/>
        <v>0</v>
      </c>
      <c r="AJ24" s="406">
        <f t="shared" si="17"/>
        <v>682255.31436</v>
      </c>
      <c r="AK24" s="406">
        <f t="shared" si="17"/>
        <v>133251.669</v>
      </c>
      <c r="AL24" s="406">
        <f t="shared" si="17"/>
        <v>43020.431146</v>
      </c>
      <c r="AM24" s="406">
        <f t="shared" si="17"/>
        <v>213897.00909142004</v>
      </c>
      <c r="AN24" s="406">
        <f t="shared" si="17"/>
        <v>13968.548999999999</v>
      </c>
      <c r="AO24" s="406">
        <f t="shared" si="17"/>
        <v>281318.5716797908</v>
      </c>
      <c r="AP24" s="406">
        <f t="shared" si="17"/>
        <v>397254.3023352562</v>
      </c>
      <c r="AQ24" s="406">
        <f t="shared" si="17"/>
        <v>49887.675</v>
      </c>
      <c r="AR24" s="406">
        <f t="shared" si="17"/>
        <v>49887.675</v>
      </c>
      <c r="AS24" s="406">
        <f t="shared" si="17"/>
        <v>38259.465</v>
      </c>
      <c r="AT24" s="406">
        <f t="shared" si="17"/>
        <v>0</v>
      </c>
      <c r="AU24" s="406">
        <f t="shared" si="17"/>
        <v>553704.75</v>
      </c>
      <c r="AV24" s="406">
        <f t="shared" si="17"/>
        <v>3088</v>
      </c>
      <c r="AW24" s="406">
        <f t="shared" si="17"/>
        <v>138933.9192</v>
      </c>
      <c r="AX24" s="406">
        <f t="shared" si="17"/>
        <v>261091.34733999998</v>
      </c>
      <c r="AY24" s="406">
        <f t="shared" si="17"/>
        <v>38918.894</v>
      </c>
      <c r="AZ24" s="406">
        <f t="shared" si="17"/>
        <v>0</v>
      </c>
      <c r="BA24" s="406">
        <f t="shared" si="17"/>
        <v>0</v>
      </c>
      <c r="BB24" s="406">
        <f t="shared" si="17"/>
        <v>0</v>
      </c>
      <c r="BC24" s="406">
        <f t="shared" si="17"/>
        <v>2216482.257792467</v>
      </c>
      <c r="BD24" s="406">
        <f t="shared" si="17"/>
        <v>365057.65881447896</v>
      </c>
      <c r="BE24" s="407">
        <f>BE22+BE8-20791.12</f>
        <v>2560748.796606946</v>
      </c>
      <c r="BF24" s="406">
        <f t="shared" si="17"/>
        <v>34980.51385100426</v>
      </c>
      <c r="BG24" s="408">
        <f t="shared" si="17"/>
        <v>-98833.94000000002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6">
      <selection activeCell="C36" sqref="C36"/>
    </sheetView>
  </sheetViews>
  <sheetFormatPr defaultColWidth="9.00390625" defaultRowHeight="12.75"/>
  <cols>
    <col min="1" max="1" width="10.00390625" style="258" customWidth="1"/>
    <col min="2" max="2" width="11.125" style="258" customWidth="1"/>
    <col min="3" max="3" width="11.875" style="258" customWidth="1"/>
    <col min="4" max="4" width="10.75390625" style="258" customWidth="1"/>
    <col min="5" max="5" width="11.625" style="258" customWidth="1"/>
    <col min="6" max="6" width="9.875" style="258" customWidth="1"/>
    <col min="7" max="7" width="12.75390625" style="258" customWidth="1"/>
    <col min="8" max="9" width="11.375" style="258" customWidth="1"/>
    <col min="10" max="10" width="11.00390625" style="258" customWidth="1"/>
    <col min="11" max="11" width="9.875" style="258" customWidth="1"/>
    <col min="12" max="12" width="12.00390625" style="258" customWidth="1"/>
    <col min="13" max="13" width="10.125" style="258" customWidth="1"/>
    <col min="14" max="14" width="11.375" style="258" customWidth="1"/>
    <col min="15" max="15" width="12.625" style="258" customWidth="1"/>
    <col min="16" max="16" width="10.375" style="258" customWidth="1"/>
    <col min="17" max="17" width="10.75390625" style="258" customWidth="1"/>
    <col min="18" max="16384" width="9.125" style="258" customWidth="1"/>
  </cols>
  <sheetData>
    <row r="1" spans="2:9" ht="20.25" customHeight="1">
      <c r="B1" s="218" t="s">
        <v>55</v>
      </c>
      <c r="C1" s="218"/>
      <c r="D1" s="218"/>
      <c r="E1" s="218"/>
      <c r="F1" s="218"/>
      <c r="G1" s="218"/>
      <c r="H1" s="218"/>
      <c r="I1" s="148"/>
    </row>
    <row r="2" spans="2:12" ht="21" customHeight="1">
      <c r="B2" s="218" t="s">
        <v>56</v>
      </c>
      <c r="C2" s="218"/>
      <c r="D2" s="218"/>
      <c r="E2" s="218"/>
      <c r="F2" s="218"/>
      <c r="G2" s="218"/>
      <c r="H2" s="218"/>
      <c r="I2" s="148"/>
      <c r="K2" s="257"/>
      <c r="L2" s="257"/>
    </row>
    <row r="5" spans="1:14" ht="12.75">
      <c r="A5" s="220" t="s">
        <v>124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</row>
    <row r="6" spans="1:14" ht="12.75">
      <c r="A6" s="221" t="s">
        <v>117</v>
      </c>
      <c r="B6" s="221"/>
      <c r="C6" s="221"/>
      <c r="D6" s="221"/>
      <c r="E6" s="221"/>
      <c r="F6" s="221"/>
      <c r="G6" s="221"/>
      <c r="H6" s="103"/>
      <c r="I6" s="103"/>
      <c r="J6" s="103"/>
      <c r="K6" s="103"/>
      <c r="L6" s="103"/>
      <c r="M6" s="103"/>
      <c r="N6" s="103"/>
    </row>
    <row r="7" spans="1:15" ht="13.5" thickBot="1">
      <c r="A7" s="409" t="s">
        <v>57</v>
      </c>
      <c r="B7" s="409"/>
      <c r="C7" s="409"/>
      <c r="D7" s="409"/>
      <c r="E7" s="409">
        <v>8.55</v>
      </c>
      <c r="F7" s="409"/>
      <c r="J7" s="410"/>
      <c r="K7" s="410"/>
      <c r="L7" s="410"/>
      <c r="M7" s="410"/>
      <c r="N7" s="410"/>
      <c r="O7" s="410"/>
    </row>
    <row r="8" spans="1:17" ht="12.75" customHeight="1">
      <c r="A8" s="165" t="s">
        <v>58</v>
      </c>
      <c r="B8" s="222" t="s">
        <v>1</v>
      </c>
      <c r="C8" s="212" t="s">
        <v>59</v>
      </c>
      <c r="D8" s="215" t="s">
        <v>3</v>
      </c>
      <c r="E8" s="236" t="s">
        <v>60</v>
      </c>
      <c r="F8" s="237"/>
      <c r="G8" s="240" t="s">
        <v>61</v>
      </c>
      <c r="H8" s="241"/>
      <c r="I8" s="411" t="s">
        <v>118</v>
      </c>
      <c r="J8" s="412" t="s">
        <v>10</v>
      </c>
      <c r="K8" s="413"/>
      <c r="L8" s="413"/>
      <c r="M8" s="413"/>
      <c r="N8" s="413"/>
      <c r="O8" s="414"/>
      <c r="P8" s="415" t="s">
        <v>62</v>
      </c>
      <c r="Q8" s="415" t="s">
        <v>12</v>
      </c>
    </row>
    <row r="9" spans="1:17" ht="12.75">
      <c r="A9" s="166"/>
      <c r="B9" s="223"/>
      <c r="C9" s="213"/>
      <c r="D9" s="216"/>
      <c r="E9" s="238"/>
      <c r="F9" s="239"/>
      <c r="G9" s="242"/>
      <c r="H9" s="243"/>
      <c r="I9" s="416"/>
      <c r="J9" s="417"/>
      <c r="K9" s="418"/>
      <c r="L9" s="418"/>
      <c r="M9" s="418"/>
      <c r="N9" s="418"/>
      <c r="O9" s="419"/>
      <c r="P9" s="420"/>
      <c r="Q9" s="420"/>
    </row>
    <row r="10" spans="1:17" ht="26.25" customHeight="1">
      <c r="A10" s="166"/>
      <c r="B10" s="223"/>
      <c r="C10" s="213"/>
      <c r="D10" s="216"/>
      <c r="E10" s="228" t="s">
        <v>63</v>
      </c>
      <c r="F10" s="229"/>
      <c r="G10" s="89" t="s">
        <v>64</v>
      </c>
      <c r="H10" s="230" t="s">
        <v>7</v>
      </c>
      <c r="I10" s="416"/>
      <c r="J10" s="232" t="s">
        <v>65</v>
      </c>
      <c r="K10" s="234" t="s">
        <v>119</v>
      </c>
      <c r="L10" s="234" t="s">
        <v>66</v>
      </c>
      <c r="M10" s="234" t="s">
        <v>37</v>
      </c>
      <c r="N10" s="235" t="s">
        <v>120</v>
      </c>
      <c r="O10" s="231" t="s">
        <v>39</v>
      </c>
      <c r="P10" s="420"/>
      <c r="Q10" s="420"/>
    </row>
    <row r="11" spans="1:17" ht="66.75" customHeight="1" thickBot="1">
      <c r="A11" s="256"/>
      <c r="B11" s="224"/>
      <c r="C11" s="214"/>
      <c r="D11" s="217"/>
      <c r="E11" s="63" t="s">
        <v>68</v>
      </c>
      <c r="F11" s="67" t="s">
        <v>21</v>
      </c>
      <c r="G11" s="82" t="s">
        <v>69</v>
      </c>
      <c r="H11" s="231"/>
      <c r="I11" s="421"/>
      <c r="J11" s="233"/>
      <c r="K11" s="235"/>
      <c r="L11" s="235"/>
      <c r="M11" s="235"/>
      <c r="N11" s="422"/>
      <c r="O11" s="423"/>
      <c r="P11" s="424"/>
      <c r="Q11" s="424"/>
    </row>
    <row r="12" spans="1:17" ht="13.5" thickBot="1">
      <c r="A12" s="64">
        <v>1</v>
      </c>
      <c r="B12" s="65">
        <v>2</v>
      </c>
      <c r="C12" s="64">
        <v>3</v>
      </c>
      <c r="D12" s="65">
        <v>4</v>
      </c>
      <c r="E12" s="425">
        <v>5</v>
      </c>
      <c r="F12" s="332">
        <v>6</v>
      </c>
      <c r="G12" s="425">
        <v>7</v>
      </c>
      <c r="H12" s="332">
        <v>8</v>
      </c>
      <c r="I12" s="426">
        <v>9</v>
      </c>
      <c r="J12" s="425">
        <v>10</v>
      </c>
      <c r="K12" s="332">
        <v>11</v>
      </c>
      <c r="L12" s="426">
        <v>12</v>
      </c>
      <c r="M12" s="64">
        <v>13</v>
      </c>
      <c r="N12" s="425">
        <v>14</v>
      </c>
      <c r="O12" s="332">
        <v>15</v>
      </c>
      <c r="P12" s="426">
        <v>16</v>
      </c>
      <c r="Q12" s="332">
        <v>17</v>
      </c>
    </row>
    <row r="13" spans="1:17" ht="13.5" thickBot="1">
      <c r="A13" s="244" t="s">
        <v>121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427"/>
      <c r="P13" s="428"/>
      <c r="Q13" s="428"/>
    </row>
    <row r="14" spans="1:19" s="20" customFormat="1" ht="13.5" thickBot="1">
      <c r="A14" s="81" t="s">
        <v>54</v>
      </c>
      <c r="B14" s="38"/>
      <c r="C14" s="39">
        <f>'2011 полн'!C8</f>
        <v>1297797.56</v>
      </c>
      <c r="D14" s="39">
        <f>'2011 полн'!D8</f>
        <v>298966.14409795</v>
      </c>
      <c r="E14" s="39">
        <f>'2011 полн'!U8</f>
        <v>981138.51</v>
      </c>
      <c r="F14" s="39">
        <f>'2011 полн'!V8</f>
        <v>170414.44</v>
      </c>
      <c r="G14" s="39">
        <f>'2011 полн'!AF8</f>
        <v>901951.71</v>
      </c>
      <c r="H14" s="39">
        <f>'2011 полн'!AG8</f>
        <v>1371332.29409795</v>
      </c>
      <c r="I14" s="39">
        <f>'2011 полн'!AJ8</f>
        <v>359818.75636000006</v>
      </c>
      <c r="J14" s="39">
        <f>'2011 полн'!AK8</f>
        <v>88685.34599999999</v>
      </c>
      <c r="K14" s="39">
        <f>'2011 полн'!AL8</f>
        <v>29717.051146</v>
      </c>
      <c r="L14" s="39">
        <f>'2011 полн'!AM8+'2011 полн'!AN8+'2011 полн'!AO8+'2011 полн'!AP8+'2011 полн'!AQ8+'2011 полн'!AR8+'2011 полн'!AS8+'2011 полн'!AT8+'2011 полн'!AX8+'2011 полн'!AY8</f>
        <v>712553.799446467</v>
      </c>
      <c r="M14" s="39">
        <f>'2011 полн'!AU8+'2011 полн'!AV8+'2011 полн'!AW8</f>
        <v>654185.6692000001</v>
      </c>
      <c r="N14" s="39">
        <f>'2011 полн'!BE8</f>
        <v>1637250.9626069458</v>
      </c>
      <c r="O14" s="39">
        <f>SUM(J14:N14)</f>
        <v>3122392.828399413</v>
      </c>
      <c r="P14" s="39">
        <f>'2011 полн'!BF8</f>
        <v>93900.08785100418</v>
      </c>
      <c r="Q14" s="39">
        <f>'2011 полн'!BG8</f>
        <v>-79186.8</v>
      </c>
      <c r="R14" s="73"/>
      <c r="S14" s="72"/>
    </row>
    <row r="15" spans="1:19" ht="12.75">
      <c r="A15" s="7" t="s">
        <v>116</v>
      </c>
      <c r="B15" s="429"/>
      <c r="C15" s="41"/>
      <c r="D15" s="42"/>
      <c r="E15" s="430"/>
      <c r="F15" s="431"/>
      <c r="G15" s="432"/>
      <c r="H15" s="431"/>
      <c r="I15" s="433"/>
      <c r="J15" s="432"/>
      <c r="K15" s="434"/>
      <c r="L15" s="434"/>
      <c r="M15" s="435"/>
      <c r="N15" s="436"/>
      <c r="O15" s="437"/>
      <c r="P15" s="438"/>
      <c r="Q15" s="438"/>
      <c r="R15" s="257"/>
      <c r="S15" s="257"/>
    </row>
    <row r="16" spans="1:19" ht="12.75">
      <c r="A16" s="340" t="s">
        <v>45</v>
      </c>
      <c r="B16" s="84">
        <f>'2011 полн'!B10</f>
        <v>5548.8</v>
      </c>
      <c r="C16" s="27">
        <f>'2011 полн'!C10</f>
        <v>47442.240000000005</v>
      </c>
      <c r="D16" s="28">
        <f>'2011 полн'!D10</f>
        <v>575.421</v>
      </c>
      <c r="E16" s="434">
        <f>'2011 полн'!U10</f>
        <v>48135.94</v>
      </c>
      <c r="F16" s="434">
        <f>'2011 полн'!V10</f>
        <v>0</v>
      </c>
      <c r="G16" s="439">
        <f>'2011 полн'!AF10</f>
        <v>28560.87</v>
      </c>
      <c r="H16" s="439">
        <f>'2011 полн'!AG10</f>
        <v>29136.290999999997</v>
      </c>
      <c r="I16" s="439">
        <f>'2011 полн'!AJ10</f>
        <v>26508.870000000003</v>
      </c>
      <c r="J16" s="439">
        <f>'2011 полн'!AK10</f>
        <v>3717.6960000000004</v>
      </c>
      <c r="K16" s="439">
        <f>'2011 полн'!AL10</f>
        <v>1109.76</v>
      </c>
      <c r="L16" s="434">
        <f>'2011 полн'!AM10+'2011 полн'!AN10+'2011 полн'!AO10+'2011 полн'!AP10+'2011 полн'!AQ10+'2011 полн'!AR10+'2011 полн'!AS10+'2011 полн'!AT10+'2011 полн'!AX10</f>
        <v>108463.158</v>
      </c>
      <c r="M16" s="435">
        <f>'2011 полн'!AU10+'2011 полн'!AV10+'2011 полн'!AW10</f>
        <v>5095</v>
      </c>
      <c r="N16" s="440">
        <f>'2011 полн'!BD10</f>
        <v>17580.79</v>
      </c>
      <c r="O16" s="437">
        <f>'2011 полн'!BE10</f>
        <v>135966.404</v>
      </c>
      <c r="P16" s="438">
        <f>'2011 полн'!BF10</f>
        <v>-80321.24300000002</v>
      </c>
      <c r="Q16" s="438">
        <f>'2011 полн'!BG10</f>
        <v>-19575.070000000003</v>
      </c>
      <c r="R16" s="257"/>
      <c r="S16" s="257"/>
    </row>
    <row r="17" spans="1:19" ht="12.75">
      <c r="A17" s="340" t="s">
        <v>46</v>
      </c>
      <c r="B17" s="84">
        <f>'2011 полн'!B11</f>
        <v>5548.8</v>
      </c>
      <c r="C17" s="27">
        <f>'2011 полн'!C11</f>
        <v>47442.240000000005</v>
      </c>
      <c r="D17" s="28">
        <f>'2011 полн'!D11</f>
        <v>575.421</v>
      </c>
      <c r="E17" s="434">
        <f>'2011 полн'!U11</f>
        <v>47420.44</v>
      </c>
      <c r="F17" s="434">
        <f>'2011 полн'!V11</f>
        <v>0</v>
      </c>
      <c r="G17" s="439">
        <f>'2011 полн'!AF11</f>
        <v>47145.25000000001</v>
      </c>
      <c r="H17" s="439">
        <f>'2011 полн'!AG11</f>
        <v>47720.67100000001</v>
      </c>
      <c r="I17" s="439">
        <f>'2011 полн'!AJ11</f>
        <v>26508.86</v>
      </c>
      <c r="J17" s="439">
        <f>'2011 полн'!AK11</f>
        <v>3717.6960000000004</v>
      </c>
      <c r="K17" s="439">
        <f>'2011 полн'!AL11</f>
        <v>1109.76</v>
      </c>
      <c r="L17" s="434">
        <f>'2011 полн'!AM11+'2011 полн'!AN11+'2011 полн'!AO11+'2011 полн'!AP11+'2011 полн'!AQ11+'2011 полн'!AR11+'2011 полн'!AS11+'2011 полн'!AT11+'2011 полн'!AX11</f>
        <v>50376.04800000001</v>
      </c>
      <c r="M17" s="435">
        <f>'2011 полн'!AU11+'2011 полн'!AV11+'2011 полн'!AW11</f>
        <v>180</v>
      </c>
      <c r="N17" s="440">
        <f>'2011 полн'!BD11</f>
        <v>17580.79</v>
      </c>
      <c r="O17" s="437">
        <f>'2011 полн'!BE11</f>
        <v>72964.294</v>
      </c>
      <c r="P17" s="438">
        <f>'2011 полн'!BF11</f>
        <v>1265.2370000000228</v>
      </c>
      <c r="Q17" s="438">
        <f>'2011 полн'!BG11</f>
        <v>-275.18999999999505</v>
      </c>
      <c r="R17" s="257"/>
      <c r="S17" s="257"/>
    </row>
    <row r="18" spans="1:19" ht="12.75">
      <c r="A18" s="340" t="s">
        <v>47</v>
      </c>
      <c r="B18" s="84">
        <f>'2011 полн'!B12</f>
        <v>5548.8</v>
      </c>
      <c r="C18" s="27">
        <f>'2011 полн'!C12</f>
        <v>47442.240000000005</v>
      </c>
      <c r="D18" s="28">
        <f>'2011 полн'!D12</f>
        <v>575.421</v>
      </c>
      <c r="E18" s="434">
        <f>'2011 полн'!U12</f>
        <v>47758.48</v>
      </c>
      <c r="F18" s="434">
        <f>'2011 полн'!V12</f>
        <v>0</v>
      </c>
      <c r="G18" s="439">
        <f>'2011 полн'!AF12</f>
        <v>49889.3</v>
      </c>
      <c r="H18" s="439">
        <f>'2011 полн'!AG12</f>
        <v>50464.721000000005</v>
      </c>
      <c r="I18" s="439">
        <f>'2011 полн'!AJ12</f>
        <v>26508.870000000003</v>
      </c>
      <c r="J18" s="439">
        <f>'2011 полн'!AK12</f>
        <v>3717.6960000000004</v>
      </c>
      <c r="K18" s="439">
        <f>'2011 полн'!AL12</f>
        <v>1109.76</v>
      </c>
      <c r="L18" s="434">
        <f>'2011 полн'!AM12+'2011 полн'!AN12+'2011 полн'!AO12+'2011 полн'!AP12+'2011 полн'!AQ12+'2011 полн'!AR12+'2011 полн'!AS12+'2011 полн'!AT12+'2011 полн'!AX12</f>
        <v>38462.208000000006</v>
      </c>
      <c r="M18" s="435">
        <f>'2011 полн'!AU12+'2011 полн'!AV12+'2011 полн'!AW12</f>
        <v>4915</v>
      </c>
      <c r="N18" s="440">
        <f>'2011 полн'!BD12</f>
        <v>17580.79</v>
      </c>
      <c r="O18" s="437">
        <f>'2011 полн'!BE12</f>
        <v>65785.454</v>
      </c>
      <c r="P18" s="438">
        <f>'2011 полн'!BF12</f>
        <v>11188.137000000017</v>
      </c>
      <c r="Q18" s="438">
        <f>'2011 полн'!BG12</f>
        <v>2130.8199999999997</v>
      </c>
      <c r="R18" s="257"/>
      <c r="S18" s="257"/>
    </row>
    <row r="19" spans="1:19" ht="12.75">
      <c r="A19" s="340" t="s">
        <v>48</v>
      </c>
      <c r="B19" s="84">
        <f>'2011 полн'!B13</f>
        <v>5542.1</v>
      </c>
      <c r="C19" s="27">
        <f>'2011 полн'!C13</f>
        <v>47384.95500000001</v>
      </c>
      <c r="D19" s="28">
        <f>'2011 полн'!D13</f>
        <v>575.421</v>
      </c>
      <c r="E19" s="434">
        <f>'2011 полн'!U13</f>
        <v>47747.26</v>
      </c>
      <c r="F19" s="434">
        <f>'2011 полн'!V13</f>
        <v>0</v>
      </c>
      <c r="G19" s="439">
        <f>'2011 полн'!AF13</f>
        <v>52584.3</v>
      </c>
      <c r="H19" s="439">
        <f>'2011 полн'!AG13</f>
        <v>53159.721000000005</v>
      </c>
      <c r="I19" s="439">
        <f>'2011 полн'!AJ13</f>
        <v>27952.246000000003</v>
      </c>
      <c r="J19" s="439">
        <f>'2011 полн'!AK13</f>
        <v>3713.2070000000003</v>
      </c>
      <c r="K19" s="439">
        <f>'2011 полн'!AL13</f>
        <v>1108.42</v>
      </c>
      <c r="L19" s="434">
        <f>'2011 полн'!AM13+'2011 полн'!AN13+'2011 полн'!AO13+'2011 полн'!AP13+'2011 полн'!AQ13+'2011 полн'!AR13+'2011 полн'!AS13+'2011 полн'!AT13+'2011 полн'!AX13</f>
        <v>43838.746</v>
      </c>
      <c r="M19" s="435">
        <f>'2011 полн'!AU13+'2011 полн'!AV13+'2011 полн'!AW13</f>
        <v>713</v>
      </c>
      <c r="N19" s="440">
        <f>'2011 полн'!BD13</f>
        <v>17800.688</v>
      </c>
      <c r="O19" s="437">
        <f>'2011 полн'!BE13</f>
        <v>67174.061</v>
      </c>
      <c r="P19" s="438">
        <f>'2011 полн'!BF13</f>
        <v>13937.906000000003</v>
      </c>
      <c r="Q19" s="438">
        <f>'2011 полн'!BG13</f>
        <v>4837.040000000001</v>
      </c>
      <c r="R19" s="257"/>
      <c r="S19" s="257"/>
    </row>
    <row r="20" spans="1:19" ht="12.75">
      <c r="A20" s="340" t="s">
        <v>49</v>
      </c>
      <c r="B20" s="84">
        <f>'2011 полн'!B14</f>
        <v>5542.1</v>
      </c>
      <c r="C20" s="27">
        <f>'2011 полн'!C14</f>
        <v>47384.95500000001</v>
      </c>
      <c r="D20" s="28">
        <f>'2011 полн'!D14</f>
        <v>575.421</v>
      </c>
      <c r="E20" s="434">
        <f>'2011 полн'!U14</f>
        <v>47776.56</v>
      </c>
      <c r="F20" s="434">
        <f>'2011 полн'!V14</f>
        <v>0</v>
      </c>
      <c r="G20" s="439">
        <f>'2011 полн'!AF14</f>
        <v>45223.7</v>
      </c>
      <c r="H20" s="439">
        <f>'2011 полн'!AG14</f>
        <v>45799.121</v>
      </c>
      <c r="I20" s="439">
        <f>'2011 полн'!AJ14</f>
        <v>26869.714000000004</v>
      </c>
      <c r="J20" s="439">
        <f>'2011 полн'!AK14</f>
        <v>3713.2070000000003</v>
      </c>
      <c r="K20" s="439">
        <f>'2011 полн'!AL14</f>
        <v>1108.42</v>
      </c>
      <c r="L20" s="434">
        <f>'2011 полн'!AM14+'2011 полн'!AN14+'2011 полн'!AO14+'2011 полн'!AP14+'2011 полн'!AQ14+'2011 полн'!AR14+'2011 полн'!AS14+'2011 полн'!AT14+'2011 полн'!AX14</f>
        <v>32827.526000000005</v>
      </c>
      <c r="M20" s="435">
        <f>'2011 полн'!AU14+'2011 полн'!AV14+'2011 полн'!AW14</f>
        <v>8247</v>
      </c>
      <c r="N20" s="440">
        <f>'2011 полн'!BD14</f>
        <v>17800.688000000002</v>
      </c>
      <c r="O20" s="437">
        <f>'2011 полн'!BE14</f>
        <v>63696.84100000001</v>
      </c>
      <c r="P20" s="438">
        <f>'2011 полн'!BF14</f>
        <v>8971.993999999999</v>
      </c>
      <c r="Q20" s="438">
        <f>'2011 полн'!BG14</f>
        <v>-2552.8600000000006</v>
      </c>
      <c r="R20" s="257"/>
      <c r="S20" s="257"/>
    </row>
    <row r="21" spans="1:19" ht="12.75">
      <c r="A21" s="340" t="s">
        <v>50</v>
      </c>
      <c r="B21" s="84">
        <f>'2011 полн'!B15</f>
        <v>5540.9</v>
      </c>
      <c r="C21" s="27">
        <f>'2011 полн'!C15</f>
        <v>47374.695</v>
      </c>
      <c r="D21" s="28">
        <f>'2011 полн'!D15</f>
        <v>575.421</v>
      </c>
      <c r="E21" s="434">
        <f>'2011 полн'!U15</f>
        <v>47785.28</v>
      </c>
      <c r="F21" s="434">
        <f>'2011 полн'!V15</f>
        <v>0</v>
      </c>
      <c r="G21" s="439">
        <f>'2011 полн'!AF15</f>
        <v>38570.79</v>
      </c>
      <c r="H21" s="439">
        <f>'2011 полн'!AG15</f>
        <v>39146.211</v>
      </c>
      <c r="I21" s="439">
        <f>'2011 полн'!AJ15</f>
        <v>26869.714000000004</v>
      </c>
      <c r="J21" s="439">
        <f>'2011 полн'!AK15</f>
        <v>3712.403</v>
      </c>
      <c r="K21" s="439">
        <f>'2011 полн'!AL15</f>
        <v>1108.18</v>
      </c>
      <c r="L21" s="434">
        <f>'2011 полн'!AM15+'2011 полн'!AN15+'2011 полн'!AO15+'2011 полн'!AP15+'2011 полн'!AQ15+'2011 полн'!AR15+'2011 полн'!AS15+'2011 полн'!AT15+'2011 полн'!AX15</f>
        <v>32409.083999999995</v>
      </c>
      <c r="M21" s="435">
        <f>'2011 полн'!AU15+'2011 полн'!AV15+'2011 полн'!AW15</f>
        <v>5493</v>
      </c>
      <c r="N21" s="440">
        <f>'2011 полн'!BD15</f>
        <v>17800.688000000002</v>
      </c>
      <c r="O21" s="437">
        <f>'2011 полн'!BE15</f>
        <v>60523.355</v>
      </c>
      <c r="P21" s="438">
        <f>'2011 полн'!BF15</f>
        <v>5492.57</v>
      </c>
      <c r="Q21" s="438">
        <f>'2011 полн'!BG15</f>
        <v>-9214.489999999998</v>
      </c>
      <c r="R21" s="257"/>
      <c r="S21" s="257"/>
    </row>
    <row r="22" spans="1:17" ht="12.75">
      <c r="A22" s="340" t="s">
        <v>51</v>
      </c>
      <c r="B22" s="84">
        <f>'2011 полн'!B16</f>
        <v>5540.9</v>
      </c>
      <c r="C22" s="27">
        <f>'2011 полн'!C16</f>
        <v>47374.695</v>
      </c>
      <c r="D22" s="28">
        <f>'2011 полн'!D16</f>
        <v>575.421</v>
      </c>
      <c r="E22" s="434">
        <f>'2011 полн'!U16</f>
        <v>47788.03</v>
      </c>
      <c r="F22" s="434">
        <f>'2011 полн'!V16</f>
        <v>0</v>
      </c>
      <c r="G22" s="439">
        <f>'2011 полн'!AF16</f>
        <v>42969.89</v>
      </c>
      <c r="H22" s="439">
        <f>'2011 полн'!AG16</f>
        <v>43545.311</v>
      </c>
      <c r="I22" s="439">
        <f>'2011 полн'!AJ16</f>
        <v>26869.714000000004</v>
      </c>
      <c r="J22" s="439">
        <f>'2011 полн'!AK16</f>
        <v>3712.403</v>
      </c>
      <c r="K22" s="439">
        <f>'2011 полн'!AL16</f>
        <v>1108.18</v>
      </c>
      <c r="L22" s="434">
        <f>'2011 полн'!AM16+'2011 полн'!AN16+'2011 полн'!AO16+'2011 полн'!AP16+'2011 полн'!AQ16+'2011 полн'!AR16+'2011 полн'!AS16+'2011 полн'!AT16+'2011 полн'!AX16</f>
        <v>34832.304</v>
      </c>
      <c r="M22" s="435">
        <f>'2011 полн'!AU16+'2011 полн'!AV16+'2011 полн'!AW16</f>
        <v>8974</v>
      </c>
      <c r="N22" s="440">
        <f>'2011 полн'!BD16</f>
        <v>17800.688000000002</v>
      </c>
      <c r="O22" s="437">
        <f>'2011 полн'!BE16</f>
        <v>66427.57500000001</v>
      </c>
      <c r="P22" s="438">
        <f>'2011 полн'!BF16</f>
        <v>3987.449999999997</v>
      </c>
      <c r="Q22" s="438">
        <f>'2011 полн'!BG16</f>
        <v>-4818.139999999999</v>
      </c>
    </row>
    <row r="23" spans="1:17" ht="12.75">
      <c r="A23" s="340" t="s">
        <v>52</v>
      </c>
      <c r="B23" s="84">
        <f>'2011 полн'!B17</f>
        <v>5540.9</v>
      </c>
      <c r="C23" s="27">
        <f>'2011 полн'!C17</f>
        <v>47374.695</v>
      </c>
      <c r="D23" s="28">
        <f>'2011 полн'!D17</f>
        <v>575.421</v>
      </c>
      <c r="E23" s="434">
        <f>'2011 полн'!U17</f>
        <v>47787.22</v>
      </c>
      <c r="F23" s="434">
        <f>'2011 полн'!V17</f>
        <v>0</v>
      </c>
      <c r="G23" s="439">
        <f>'2011 полн'!AF17</f>
        <v>42343.520000000004</v>
      </c>
      <c r="H23" s="439">
        <f>'2011 полн'!AG17</f>
        <v>42918.941000000006</v>
      </c>
      <c r="I23" s="439">
        <f>'2011 полн'!AJ17</f>
        <v>26869.714000000004</v>
      </c>
      <c r="J23" s="439">
        <f>'2011 полн'!AK17</f>
        <v>3712.403</v>
      </c>
      <c r="K23" s="439">
        <f>'2011 полн'!AL17</f>
        <v>1108.18</v>
      </c>
      <c r="L23" s="434">
        <f>'2011 полн'!AM17+'2011 полн'!AN17+'2011 полн'!AO17+'2011 полн'!AP17+'2011 полн'!AQ17+'2011 полн'!AR17+'2011 полн'!AS17+'2011 полн'!AT17+'2011 полн'!AX17</f>
        <v>33374.10399999999</v>
      </c>
      <c r="M23" s="435">
        <f>'2011 полн'!AU17+'2011 полн'!AV17+'2011 полн'!AW17</f>
        <v>2920</v>
      </c>
      <c r="N23" s="440">
        <f>'2011 полн'!BD17</f>
        <v>17800.688000000002</v>
      </c>
      <c r="O23" s="437">
        <f>'2011 полн'!BE17</f>
        <v>58915.375</v>
      </c>
      <c r="P23" s="438">
        <f>'2011 полн'!BF17</f>
        <v>10873.280000000013</v>
      </c>
      <c r="Q23" s="438">
        <f>'2011 полн'!BG17</f>
        <v>-5443.699999999997</v>
      </c>
    </row>
    <row r="24" spans="1:17" ht="12.75">
      <c r="A24" s="340" t="s">
        <v>53</v>
      </c>
      <c r="B24" s="84">
        <f>'2011 полн'!B18</f>
        <v>5540.9</v>
      </c>
      <c r="C24" s="27">
        <f>'2011 полн'!C18</f>
        <v>47374.695</v>
      </c>
      <c r="D24" s="28">
        <f>'2011 полн'!D18</f>
        <v>575.421</v>
      </c>
      <c r="E24" s="434">
        <f>'2011 полн'!U18</f>
        <v>48363.39</v>
      </c>
      <c r="F24" s="434">
        <f>'2011 полн'!V18</f>
        <v>0</v>
      </c>
      <c r="G24" s="439">
        <f>'2011 полн'!AF18</f>
        <v>49604.31</v>
      </c>
      <c r="H24" s="439">
        <f>'2011 полн'!AG18</f>
        <v>50179.731</v>
      </c>
      <c r="I24" s="439">
        <f>'2011 полн'!AJ18</f>
        <v>26869.714000000004</v>
      </c>
      <c r="J24" s="439">
        <f>'2011 полн'!AK18</f>
        <v>3712.403</v>
      </c>
      <c r="K24" s="439">
        <f>'2011 полн'!AL18</f>
        <v>1108.18</v>
      </c>
      <c r="L24" s="434">
        <f>'2011 полн'!AM18+'2011 полн'!AN18+'2011 полн'!AO18+'2011 полн'!AP18+'2011 полн'!AQ18+'2011 полн'!AR18+'2011 полн'!AS18+'2011 полн'!AT18+'2011 полн'!AX18</f>
        <v>140368.924</v>
      </c>
      <c r="M24" s="435">
        <f>'2011 полн'!AU18+'2011 полн'!AV18+'2011 полн'!AW18</f>
        <v>1201</v>
      </c>
      <c r="N24" s="440">
        <f>'2011 полн'!BD18</f>
        <v>17800.688000000002</v>
      </c>
      <c r="O24" s="437">
        <f>'2011 полн'!BE18</f>
        <v>164191.19499999998</v>
      </c>
      <c r="P24" s="438">
        <f>'2011 полн'!BF18</f>
        <v>-87141.74999999997</v>
      </c>
      <c r="Q24" s="438">
        <f>'2011 полн'!BG18</f>
        <v>1240.9199999999983</v>
      </c>
    </row>
    <row r="25" spans="1:17" ht="12.75">
      <c r="A25" s="340" t="s">
        <v>41</v>
      </c>
      <c r="B25" s="84">
        <f>'2011 полн'!B19</f>
        <v>5540.9</v>
      </c>
      <c r="C25" s="27">
        <f>'2011 полн'!C19</f>
        <v>47374.695</v>
      </c>
      <c r="D25" s="28">
        <f>'2011 полн'!D19</f>
        <v>575.421</v>
      </c>
      <c r="E25" s="434">
        <f>'2011 полн'!U19</f>
        <v>48356.100000000006</v>
      </c>
      <c r="F25" s="434">
        <f>'2011 полн'!V19</f>
        <v>0</v>
      </c>
      <c r="G25" s="439">
        <f>'2011 полн'!AF19</f>
        <v>49003.5</v>
      </c>
      <c r="H25" s="439">
        <f>'2011 полн'!AG19</f>
        <v>49578.921</v>
      </c>
      <c r="I25" s="439">
        <f>'2011 полн'!AJ19</f>
        <v>26869.714000000004</v>
      </c>
      <c r="J25" s="439">
        <f>'2011 полн'!AK19</f>
        <v>3712.403</v>
      </c>
      <c r="K25" s="439">
        <f>'2011 полн'!AL19</f>
        <v>1108.18</v>
      </c>
      <c r="L25" s="434">
        <f>'2011 полн'!AM19+'2011 полн'!AN19+'2011 полн'!AO19+'2011 полн'!AP19+'2011 полн'!AQ19+'2011 полн'!AR19+'2011 полн'!AS19+'2011 полн'!AT19+'2011 полн'!AX19</f>
        <v>38396.82899999999</v>
      </c>
      <c r="M25" s="435">
        <f>'2011 полн'!AU19+'2011 полн'!AV19+'2011 полн'!AW19</f>
        <v>381</v>
      </c>
      <c r="N25" s="440">
        <f>'2011 полн'!BD19</f>
        <v>17800.688000000002</v>
      </c>
      <c r="O25" s="437">
        <f>'2011 полн'!BE19</f>
        <v>61399.1</v>
      </c>
      <c r="P25" s="438">
        <f>'2011 полн'!BF19</f>
        <v>15049.53500000001</v>
      </c>
      <c r="Q25" s="438">
        <f>'2011 полн'!BG19</f>
        <v>647.3999999999942</v>
      </c>
    </row>
    <row r="26" spans="1:17" ht="12.75">
      <c r="A26" s="340" t="s">
        <v>42</v>
      </c>
      <c r="B26" s="84">
        <f>'2011 полн'!B20</f>
        <v>5540.9</v>
      </c>
      <c r="C26" s="27">
        <f>'2011 полн'!C20</f>
        <v>47374.695</v>
      </c>
      <c r="D26" s="28">
        <f>'2011 полн'!D20</f>
        <v>575.421</v>
      </c>
      <c r="E26" s="434">
        <f>'2011 полн'!U20</f>
        <v>48407.29000000001</v>
      </c>
      <c r="F26" s="434">
        <f>'2011 полн'!V20</f>
        <v>0</v>
      </c>
      <c r="G26" s="439">
        <f>'2011 полн'!AF20</f>
        <v>47747.7</v>
      </c>
      <c r="H26" s="439">
        <f>'2011 полн'!AG20</f>
        <v>48323.121</v>
      </c>
      <c r="I26" s="439">
        <f>'2011 полн'!AJ20</f>
        <v>26869.714000000004</v>
      </c>
      <c r="J26" s="439">
        <f>'2011 полн'!AK20</f>
        <v>3712.403</v>
      </c>
      <c r="K26" s="439">
        <f>'2011 полн'!AL20</f>
        <v>1108.18</v>
      </c>
      <c r="L26" s="434">
        <f>'2011 полн'!AM20+'2011 полн'!AN20+'2011 полн'!AO20+'2011 полн'!AP20+'2011 полн'!AQ20+'2011 полн'!AR20+'2011 полн'!AS20+'2011 полн'!AT20+'2011 полн'!AX20</f>
        <v>40073.13899999999</v>
      </c>
      <c r="M26" s="435">
        <f>'2011 полн'!AU20+'2011 полн'!AV20+'2011 полн'!AW20</f>
        <v>3422</v>
      </c>
      <c r="N26" s="440">
        <f>'2011 полн'!BD20</f>
        <v>17800.688000000002</v>
      </c>
      <c r="O26" s="437">
        <f>'2011 полн'!BE20</f>
        <v>66116.41</v>
      </c>
      <c r="P26" s="438">
        <f>'2011 полн'!BF20</f>
        <v>9076.425000000003</v>
      </c>
      <c r="Q26" s="438">
        <f>'2011 полн'!BG20</f>
        <v>-659.5900000000111</v>
      </c>
    </row>
    <row r="27" spans="1:17" ht="13.5" thickBot="1">
      <c r="A27" s="441" t="s">
        <v>43</v>
      </c>
      <c r="B27" s="84">
        <f>'2011 полн'!B21</f>
        <v>5540.9</v>
      </c>
      <c r="C27" s="27">
        <f>'2011 полн'!C21</f>
        <v>47374.695</v>
      </c>
      <c r="D27" s="28">
        <f>'2011 полн'!D21</f>
        <v>575.421</v>
      </c>
      <c r="E27" s="434">
        <f>'2011 полн'!U21</f>
        <v>48348.92</v>
      </c>
      <c r="F27" s="434">
        <f>'2011 полн'!V21</f>
        <v>0</v>
      </c>
      <c r="G27" s="439">
        <f>'2011 полн'!AF21</f>
        <v>62384.64</v>
      </c>
      <c r="H27" s="439">
        <f>'2011 полн'!AG21</f>
        <v>62960.061</v>
      </c>
      <c r="I27" s="439">
        <f>'2011 полн'!AJ21</f>
        <v>26869.714000000004</v>
      </c>
      <c r="J27" s="439">
        <f>'2011 полн'!AK21</f>
        <v>3712.403</v>
      </c>
      <c r="K27" s="439">
        <f>'2011 полн'!AL21</f>
        <v>1108.18</v>
      </c>
      <c r="L27" s="434">
        <f>'2011 полн'!AM21+'2011 полн'!AN21+'2011 полн'!AO21+'2011 полн'!AP21+'2011 полн'!AQ21+'2011 полн'!AR21+'2011 полн'!AS21+'2011 полн'!AT21+'2011 полн'!AX21</f>
        <v>38507.61899999999</v>
      </c>
      <c r="M27" s="435">
        <f>'2011 полн'!AU21+'2011 полн'!AV21+'2011 полн'!AW21</f>
        <v>0</v>
      </c>
      <c r="N27" s="440">
        <f>'2011 полн'!BD21</f>
        <v>17800.688000000002</v>
      </c>
      <c r="O27" s="437">
        <f>'2011 полн'!BE21</f>
        <v>61128.89</v>
      </c>
      <c r="P27" s="438">
        <f>'2011 полн'!BF21</f>
        <v>28700.88500000001</v>
      </c>
      <c r="Q27" s="438">
        <f>'2011 полн'!BG21</f>
        <v>14035.720000000001</v>
      </c>
    </row>
    <row r="28" spans="1:19" s="20" customFormat="1" ht="13.5" thickBot="1">
      <c r="A28" s="34" t="s">
        <v>5</v>
      </c>
      <c r="B28" s="35"/>
      <c r="C28" s="76">
        <f aca="true" t="shared" si="0" ref="C28:O28">SUM(C16:C27)</f>
        <v>568719.4950000001</v>
      </c>
      <c r="D28" s="76">
        <f t="shared" si="0"/>
        <v>6905.052000000002</v>
      </c>
      <c r="E28" s="76">
        <f t="shared" si="0"/>
        <v>575674.91</v>
      </c>
      <c r="F28" s="76">
        <f t="shared" si="0"/>
        <v>0</v>
      </c>
      <c r="G28" s="76">
        <f t="shared" si="0"/>
        <v>556027.77</v>
      </c>
      <c r="H28" s="76">
        <f t="shared" si="0"/>
        <v>562932.822</v>
      </c>
      <c r="I28" s="76">
        <f t="shared" si="0"/>
        <v>322436.55799999996</v>
      </c>
      <c r="J28" s="76">
        <f t="shared" si="0"/>
        <v>44566.32299999999</v>
      </c>
      <c r="K28" s="76">
        <f t="shared" si="0"/>
        <v>13303.380000000001</v>
      </c>
      <c r="L28" s="76">
        <f t="shared" si="0"/>
        <v>631929.6889999999</v>
      </c>
      <c r="M28" s="76">
        <f t="shared" si="0"/>
        <v>41541</v>
      </c>
      <c r="N28" s="76">
        <f t="shared" si="0"/>
        <v>212948.56199999998</v>
      </c>
      <c r="O28" s="76">
        <f t="shared" si="0"/>
        <v>944288.9539999999</v>
      </c>
      <c r="P28" s="76">
        <f>SUM(P16:P27)</f>
        <v>-58919.57399999992</v>
      </c>
      <c r="Q28" s="76">
        <f>SUM(Q16:Q27)</f>
        <v>-19647.140000000014</v>
      </c>
      <c r="R28" s="72"/>
      <c r="S28" s="72"/>
    </row>
    <row r="29" spans="1:17" ht="13.5" thickBot="1">
      <c r="A29" s="244" t="s">
        <v>70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427"/>
      <c r="P29" s="428"/>
      <c r="Q29" s="428"/>
    </row>
    <row r="30" spans="1:19" s="20" customFormat="1" ht="13.5" thickBot="1">
      <c r="A30" s="81" t="s">
        <v>54</v>
      </c>
      <c r="B30" s="38"/>
      <c r="C30" s="39">
        <f aca="true" t="shared" si="1" ref="C30:Q30">C28+C14</f>
        <v>1866517.0550000002</v>
      </c>
      <c r="D30" s="39">
        <f t="shared" si="1"/>
        <v>305871.19609795004</v>
      </c>
      <c r="E30" s="39">
        <f t="shared" si="1"/>
        <v>1556813.42</v>
      </c>
      <c r="F30" s="39">
        <f t="shared" si="1"/>
        <v>170414.44</v>
      </c>
      <c r="G30" s="39">
        <f>G28+G14</f>
        <v>1457979.48</v>
      </c>
      <c r="H30" s="39">
        <f>H28+H14</f>
        <v>1934265.11609795</v>
      </c>
      <c r="I30" s="39">
        <f>I28+I14</f>
        <v>682255.31436</v>
      </c>
      <c r="J30" s="39">
        <f>J28+J14</f>
        <v>133251.669</v>
      </c>
      <c r="K30" s="39">
        <f t="shared" si="1"/>
        <v>43020.431146</v>
      </c>
      <c r="L30" s="39">
        <f t="shared" si="1"/>
        <v>1344483.4884464669</v>
      </c>
      <c r="M30" s="39">
        <f t="shared" si="1"/>
        <v>695726.6692000001</v>
      </c>
      <c r="N30" s="39">
        <f t="shared" si="1"/>
        <v>1850199.5246069457</v>
      </c>
      <c r="O30" s="39">
        <f t="shared" si="1"/>
        <v>4066681.7823994127</v>
      </c>
      <c r="P30" s="39">
        <f t="shared" si="1"/>
        <v>34980.51385100426</v>
      </c>
      <c r="Q30" s="39">
        <f t="shared" si="1"/>
        <v>-98833.94000000002</v>
      </c>
      <c r="R30" s="73"/>
      <c r="S30" s="72"/>
    </row>
    <row r="32" spans="1:4" ht="12.75">
      <c r="A32" s="20" t="s">
        <v>71</v>
      </c>
      <c r="D32" s="85" t="s">
        <v>122</v>
      </c>
    </row>
    <row r="33" spans="1:4" ht="12.75">
      <c r="A33" s="338" t="s">
        <v>72</v>
      </c>
      <c r="B33" s="338" t="s">
        <v>73</v>
      </c>
      <c r="C33" s="442" t="s">
        <v>74</v>
      </c>
      <c r="D33" s="443"/>
    </row>
    <row r="34" spans="1:4" ht="12.75">
      <c r="A34" s="133">
        <v>441174.15</v>
      </c>
      <c r="B34" s="444">
        <v>261063.15</v>
      </c>
      <c r="C34" s="445">
        <f>A34-B34</f>
        <v>180111.00000000003</v>
      </c>
      <c r="D34" s="446"/>
    </row>
    <row r="35" ht="12.75">
      <c r="A35" s="46"/>
    </row>
    <row r="36" spans="1:7" ht="12.75">
      <c r="A36" s="258" t="s">
        <v>77</v>
      </c>
      <c r="G36" s="258" t="s">
        <v>78</v>
      </c>
    </row>
    <row r="37" ht="12.75">
      <c r="A37" s="257"/>
    </row>
    <row r="38" ht="12.75">
      <c r="A38" s="257"/>
    </row>
    <row r="39" ht="12.75">
      <c r="A39" s="258" t="s">
        <v>123</v>
      </c>
    </row>
    <row r="40" ht="12.75">
      <c r="A40" s="258" t="s">
        <v>79</v>
      </c>
    </row>
  </sheetData>
  <sheetProtection/>
  <mergeCells count="27">
    <mergeCell ref="C33:D33"/>
    <mergeCell ref="N10:N11"/>
    <mergeCell ref="O10:O11"/>
    <mergeCell ref="A13:N13"/>
    <mergeCell ref="A29:N29"/>
    <mergeCell ref="I8:I11"/>
    <mergeCell ref="J8:O9"/>
    <mergeCell ref="P8:P11"/>
    <mergeCell ref="Q8:Q11"/>
    <mergeCell ref="E10:F10"/>
    <mergeCell ref="H10:H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N5"/>
    <mergeCell ref="A6:G6"/>
    <mergeCell ref="A7:D7"/>
    <mergeCell ref="E7:F7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2010-07-02T04:14:53Z</cp:lastPrinted>
  <dcterms:created xsi:type="dcterms:W3CDTF">2010-04-02T05:03:24Z</dcterms:created>
  <dcterms:modified xsi:type="dcterms:W3CDTF">2012-03-28T11:03:15Z</dcterms:modified>
  <cp:category/>
  <cp:version/>
  <cp:contentType/>
  <cp:contentStatus/>
</cp:coreProperties>
</file>