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<sst xmlns="http://schemas.openxmlformats.org/spreadsheetml/2006/main" count="123" uniqueCount="101">
  <si>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</si>
  <si>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</si>
  <si>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</si>
  <si>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</si>
  <si>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</si>
  <si>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</si>
  <si>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</si>
  <si>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</si>
  <si>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</si>
  <si>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</si>
  <si>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</si>
  <si>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</si>
  <si>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</si>
  <si>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</si>
  <si>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</si>
  <si>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</si>
  <si>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</si>
  <si>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</si>
  <si>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</si>
  <si>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</si>
  <si>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</si>
  <si>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</si>
  <si>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</si>
  <si>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</si>
  <si>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</si>
  <si>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</si>
  <si>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</si>
  <si>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</si>
  <si>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</si>
  <si>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</si>
  <si>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</si>
  <si>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</si>
  <si>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</si>
  <si>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</si>
  <si>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</si>
  <si>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</si>
  <si>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</si>
  <si>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</si>
  <si>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</si>
  <si>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</si>
  <si>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</si>
  <si>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</si>
  <si>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</si>
  <si>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</si>
  <si>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</si>
  <si>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</si>
  <si>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</si>
  <si>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</si>
  <si>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</si>
  <si>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</si>
  <si>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</si>
  <si>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</si>
  <si>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</si>
  <si>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</si>
  <si>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</si>
  <si>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</si>
  <si>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</si>
  <si>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</si>
  <si>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</si>
  <si>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</si>
  <si>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</si>
  <si>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</si>
  <si>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</si>
  <si>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</si>
  <si>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</si>
  <si>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</si>
  <si>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</si>
  <si>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</si>
  <si>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</si>
  <si>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</si>
  <si>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</si>
  <si>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</si>
  <si>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</si>
  <si>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</si>
  <si>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</si>
  <si>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</si>
  <si>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</si>
  <si>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</si>
  <si>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</si>
  <si>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</si>
  <si>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</si>
  <si>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</si>
  <si>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</si>
  <si>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</si>
  <si>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</si>
  <si>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</si>
  <si>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</si>
  <si>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</si>
  <si>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</si>
  <si>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</si>
  <si>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</si>
  <si>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</si>
  <si>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</si>
  <si>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</si>
  <si>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</si>
  <si>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</si>
  <si>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</si>
  <si>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Доходы по нежилым помещениям</t>
  </si>
  <si>
    <t>Расходы по нежилым помещениям</t>
  </si>
  <si>
    <t>Выписка по лицевому счету по адресу г. Таштагол ул. Ноградская, д.4</t>
  </si>
  <si>
    <t>Тариф по содержанию и тек.ремонту 100 % (8,55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</si>
</sst>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4" fontId="8" fillId="0" borderId="20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horizontal="center" wrapText="1"/>
    </xf>
    <xf numFmtId="43" fontId="0" fillId="36" borderId="1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36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6" fillId="34" borderId="28" xfId="0" applyNumberFormat="1" applyFont="1" applyFill="1" applyBorder="1" applyAlignment="1">
      <alignment horizontal="right" wrapText="1"/>
    </xf>
    <xf numFmtId="4" fontId="0" fillId="35" borderId="22" xfId="0" applyNumberFormat="1" applyFont="1" applyFill="1" applyBorder="1" applyAlignment="1">
      <alignment horizontal="center" wrapText="1"/>
    </xf>
    <xf numFmtId="4" fontId="0" fillId="0" borderId="24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textRotation="90" wrapText="1"/>
    </xf>
    <xf numFmtId="0" fontId="2" fillId="0" borderId="45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20">
          <cell r="F120">
            <v>191.77499999999998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80">
          <cell r="I180">
            <v>114</v>
          </cell>
          <cell r="R180">
            <v>28.5</v>
          </cell>
        </row>
      </sheetData>
      <sheetData sheetId="1">
        <row r="181">
          <cell r="S181">
            <v>28.5</v>
          </cell>
        </row>
        <row r="182">
          <cell r="G182">
            <v>114</v>
          </cell>
        </row>
      </sheetData>
      <sheetData sheetId="2">
        <row r="182">
          <cell r="J182">
            <v>114</v>
          </cell>
          <cell r="S182">
            <v>28.5</v>
          </cell>
        </row>
      </sheetData>
      <sheetData sheetId="3">
        <row r="184">
          <cell r="S184">
            <v>28.5</v>
          </cell>
        </row>
      </sheetData>
      <sheetData sheetId="4">
        <row r="182">
          <cell r="J182">
            <v>114</v>
          </cell>
          <cell r="S182">
            <v>28.5</v>
          </cell>
        </row>
      </sheetData>
      <sheetData sheetId="5">
        <row r="182">
          <cell r="J182">
            <v>114</v>
          </cell>
          <cell r="S182">
            <v>28.5</v>
          </cell>
        </row>
      </sheetData>
      <sheetData sheetId="6">
        <row r="186">
          <cell r="J186">
            <v>114</v>
          </cell>
          <cell r="S186">
            <v>28.5</v>
          </cell>
        </row>
      </sheetData>
      <sheetData sheetId="7">
        <row r="190">
          <cell r="J190">
            <v>114</v>
          </cell>
          <cell r="S190">
            <v>28.5</v>
          </cell>
        </row>
      </sheetData>
      <sheetData sheetId="8">
        <row r="190">
          <cell r="J190">
            <v>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84">
          <cell r="J184">
            <v>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90">
          <cell r="J190">
            <v>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90">
          <cell r="S190">
            <v>28.5</v>
          </cell>
        </row>
      </sheetData>
      <sheetData sheetId="10">
        <row r="190">
          <cell r="J190">
            <v>114</v>
          </cell>
          <cell r="S190">
            <v>28.5</v>
          </cell>
        </row>
      </sheetData>
      <sheetData sheetId="11">
        <row r="214">
          <cell r="J214">
            <v>114</v>
          </cell>
          <cell r="S214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" sqref="B10:BC1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6" t="s">
        <v>1</v>
      </c>
      <c r="B3" s="148" t="s">
        <v>2</v>
      </c>
      <c r="C3" s="150" t="s">
        <v>3</v>
      </c>
      <c r="D3" s="152" t="s">
        <v>4</v>
      </c>
      <c r="E3" s="146" t="s">
        <v>5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146"/>
      <c r="T3" s="154"/>
      <c r="U3" s="146" t="s">
        <v>6</v>
      </c>
      <c r="V3" s="154"/>
      <c r="W3" s="160" t="s">
        <v>7</v>
      </c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J3" s="166" t="s">
        <v>8</v>
      </c>
      <c r="AK3" s="169" t="s">
        <v>9</v>
      </c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1"/>
      <c r="BF3" s="175" t="s">
        <v>10</v>
      </c>
      <c r="BG3" s="182" t="s">
        <v>11</v>
      </c>
    </row>
    <row r="4" spans="1:59" ht="51.75" customHeight="1" hidden="1" thickBot="1">
      <c r="A4" s="147"/>
      <c r="B4" s="149"/>
      <c r="C4" s="151"/>
      <c r="D4" s="153"/>
      <c r="E4" s="147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58"/>
      <c r="T4" s="159"/>
      <c r="U4" s="158"/>
      <c r="V4" s="159"/>
      <c r="W4" s="163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5"/>
      <c r="AJ4" s="167"/>
      <c r="AK4" s="172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4"/>
      <c r="BF4" s="176"/>
      <c r="BG4" s="183"/>
    </row>
    <row r="5" spans="1:61" ht="19.5" customHeight="1">
      <c r="A5" s="147"/>
      <c r="B5" s="149"/>
      <c r="C5" s="151"/>
      <c r="D5" s="153"/>
      <c r="E5" s="185" t="s">
        <v>12</v>
      </c>
      <c r="F5" s="186"/>
      <c r="G5" s="185" t="s">
        <v>13</v>
      </c>
      <c r="H5" s="186"/>
      <c r="I5" s="185" t="s">
        <v>14</v>
      </c>
      <c r="J5" s="186"/>
      <c r="K5" s="185" t="s">
        <v>15</v>
      </c>
      <c r="L5" s="186"/>
      <c r="M5" s="185" t="s">
        <v>16</v>
      </c>
      <c r="N5" s="186"/>
      <c r="O5" s="189" t="s">
        <v>17</v>
      </c>
      <c r="P5" s="189"/>
      <c r="Q5" s="185" t="s">
        <v>18</v>
      </c>
      <c r="R5" s="186"/>
      <c r="S5" s="189" t="s">
        <v>19</v>
      </c>
      <c r="T5" s="186"/>
      <c r="U5" s="192" t="s">
        <v>20</v>
      </c>
      <c r="V5" s="178" t="s">
        <v>21</v>
      </c>
      <c r="W5" s="180" t="s">
        <v>22</v>
      </c>
      <c r="X5" s="180" t="s">
        <v>23</v>
      </c>
      <c r="Y5" s="180" t="s">
        <v>24</v>
      </c>
      <c r="Z5" s="180" t="s">
        <v>25</v>
      </c>
      <c r="AA5" s="180" t="s">
        <v>26</v>
      </c>
      <c r="AB5" s="180" t="s">
        <v>27</v>
      </c>
      <c r="AC5" s="180" t="s">
        <v>28</v>
      </c>
      <c r="AD5" s="194" t="s">
        <v>29</v>
      </c>
      <c r="AE5" s="194" t="s">
        <v>30</v>
      </c>
      <c r="AF5" s="196" t="s">
        <v>31</v>
      </c>
      <c r="AG5" s="198" t="s">
        <v>32</v>
      </c>
      <c r="AH5" s="200" t="s">
        <v>33</v>
      </c>
      <c r="AI5" s="202" t="s">
        <v>34</v>
      </c>
      <c r="AJ5" s="167"/>
      <c r="AK5" s="204" t="s">
        <v>35</v>
      </c>
      <c r="AL5" s="206" t="s">
        <v>36</v>
      </c>
      <c r="AM5" s="206" t="s">
        <v>37</v>
      </c>
      <c r="AN5" s="208" t="s">
        <v>38</v>
      </c>
      <c r="AO5" s="206" t="s">
        <v>39</v>
      </c>
      <c r="AP5" s="208" t="s">
        <v>40</v>
      </c>
      <c r="AQ5" s="208" t="s">
        <v>41</v>
      </c>
      <c r="AR5" s="208" t="s">
        <v>42</v>
      </c>
      <c r="AS5" s="208" t="s">
        <v>43</v>
      </c>
      <c r="AT5" s="208" t="s">
        <v>44</v>
      </c>
      <c r="AU5" s="210" t="s">
        <v>45</v>
      </c>
      <c r="AV5" s="212" t="s">
        <v>46</v>
      </c>
      <c r="AW5" s="210" t="s">
        <v>47</v>
      </c>
      <c r="AX5" s="214" t="s">
        <v>48</v>
      </c>
      <c r="AY5" s="7"/>
      <c r="AZ5" s="216" t="s">
        <v>49</v>
      </c>
      <c r="BA5" s="208" t="s">
        <v>50</v>
      </c>
      <c r="BB5" s="208" t="s">
        <v>51</v>
      </c>
      <c r="BC5" s="218" t="s">
        <v>52</v>
      </c>
      <c r="BD5" s="220" t="s">
        <v>53</v>
      </c>
      <c r="BE5" s="208" t="s">
        <v>54</v>
      </c>
      <c r="BF5" s="176"/>
      <c r="BG5" s="183"/>
      <c r="BH5" s="5"/>
      <c r="BI5" s="6"/>
    </row>
    <row r="6" spans="1:61" ht="56.25" customHeight="1" thickBot="1">
      <c r="A6" s="147"/>
      <c r="B6" s="149"/>
      <c r="C6" s="151"/>
      <c r="D6" s="153"/>
      <c r="E6" s="187"/>
      <c r="F6" s="188"/>
      <c r="G6" s="187"/>
      <c r="H6" s="188"/>
      <c r="I6" s="187"/>
      <c r="J6" s="188"/>
      <c r="K6" s="187"/>
      <c r="L6" s="188"/>
      <c r="M6" s="187"/>
      <c r="N6" s="188"/>
      <c r="O6" s="190"/>
      <c r="P6" s="190"/>
      <c r="Q6" s="187"/>
      <c r="R6" s="188"/>
      <c r="S6" s="191"/>
      <c r="T6" s="188"/>
      <c r="U6" s="193"/>
      <c r="V6" s="179"/>
      <c r="W6" s="181"/>
      <c r="X6" s="181"/>
      <c r="Y6" s="181"/>
      <c r="Z6" s="181"/>
      <c r="AA6" s="181"/>
      <c r="AB6" s="181"/>
      <c r="AC6" s="181"/>
      <c r="AD6" s="195"/>
      <c r="AE6" s="195"/>
      <c r="AF6" s="197"/>
      <c r="AG6" s="199"/>
      <c r="AH6" s="201"/>
      <c r="AI6" s="203"/>
      <c r="AJ6" s="168"/>
      <c r="AK6" s="205"/>
      <c r="AL6" s="207"/>
      <c r="AM6" s="207"/>
      <c r="AN6" s="209"/>
      <c r="AO6" s="207"/>
      <c r="AP6" s="209"/>
      <c r="AQ6" s="209"/>
      <c r="AR6" s="209"/>
      <c r="AS6" s="209"/>
      <c r="AT6" s="209"/>
      <c r="AU6" s="211"/>
      <c r="AV6" s="213"/>
      <c r="AW6" s="211"/>
      <c r="AX6" s="215"/>
      <c r="AY6" s="8" t="s">
        <v>55</v>
      </c>
      <c r="AZ6" s="217"/>
      <c r="BA6" s="209"/>
      <c r="BB6" s="209"/>
      <c r="BC6" s="219"/>
      <c r="BD6" s="221"/>
      <c r="BE6" s="209"/>
      <c r="BF6" s="177"/>
      <c r="BG6" s="184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03" ht="12.75">
      <c r="A10" s="20" t="s">
        <v>58</v>
      </c>
      <c r="B10" s="21">
        <v>6150.22</v>
      </c>
      <c r="C10" s="22">
        <f aca="true" t="shared" si="0" ref="C10:C21">B10*8.55</f>
        <v>52584.38100000001</v>
      </c>
      <c r="D10" s="23">
        <v>2230.7516</v>
      </c>
      <c r="E10" s="47">
        <v>0</v>
      </c>
      <c r="F10" s="47">
        <v>0</v>
      </c>
      <c r="G10" s="47">
        <v>32244.8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12888.21</v>
      </c>
      <c r="N10" s="47">
        <v>0</v>
      </c>
      <c r="O10" s="130">
        <v>5113.13</v>
      </c>
      <c r="P10" s="57">
        <v>0</v>
      </c>
      <c r="Q10" s="26">
        <v>0</v>
      </c>
      <c r="R10" s="27">
        <v>0</v>
      </c>
      <c r="S10" s="26">
        <v>0</v>
      </c>
      <c r="T10" s="27">
        <v>0</v>
      </c>
      <c r="U10" s="30">
        <f aca="true" t="shared" si="1" ref="U10:V21">E10+G10+I10+K10+M10+O10+Q10+S10</f>
        <v>50246.13999999999</v>
      </c>
      <c r="V10" s="31">
        <f t="shared" si="1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2230.7516</v>
      </c>
      <c r="AH10" s="34">
        <f aca="true" t="shared" si="2" ref="AH10:AI21">AC10</f>
        <v>0</v>
      </c>
      <c r="AI10" s="34">
        <f t="shared" si="2"/>
        <v>0</v>
      </c>
      <c r="AJ10" s="131">
        <f>'[3]Т01'!$I$180</f>
        <v>114</v>
      </c>
      <c r="AK10" s="35">
        <f aca="true" t="shared" si="3" ref="AK10:AK21">0.67*B10</f>
        <v>4120.647400000001</v>
      </c>
      <c r="AL10" s="35">
        <f aca="true" t="shared" si="4" ref="AL10:AL21">B10*0.2</f>
        <v>1230.044</v>
      </c>
      <c r="AM10" s="35">
        <f aca="true" t="shared" si="5" ref="AM10:AM21">B10*1</f>
        <v>6150.22</v>
      </c>
      <c r="AN10" s="35">
        <f aca="true" t="shared" si="6" ref="AN10:AN21">B10*0.21</f>
        <v>1291.5462</v>
      </c>
      <c r="AO10" s="35">
        <f aca="true" t="shared" si="7" ref="AO10:AO21">2.02*B10</f>
        <v>12423.4444</v>
      </c>
      <c r="AP10" s="35">
        <f aca="true" t="shared" si="8" ref="AP10:AP21">B10*1.03</f>
        <v>6334.726600000001</v>
      </c>
      <c r="AQ10" s="35">
        <f aca="true" t="shared" si="9" ref="AQ10:AQ21">B10*0.75</f>
        <v>4612.665</v>
      </c>
      <c r="AR10" s="35">
        <f aca="true" t="shared" si="10" ref="AR10:AR21">B10*0.75</f>
        <v>4612.665</v>
      </c>
      <c r="AS10" s="35">
        <f>B10*1.15</f>
        <v>7072.753</v>
      </c>
      <c r="AT10" s="35"/>
      <c r="AU10" s="45"/>
      <c r="AV10" s="132"/>
      <c r="AW10" s="45"/>
      <c r="AX10" s="45">
        <f>180+48.5</f>
        <v>228.5</v>
      </c>
      <c r="AY10" s="56"/>
      <c r="AZ10" s="137"/>
      <c r="BA10" s="36"/>
      <c r="BB10" s="36">
        <f>BA10*0.18</f>
        <v>0</v>
      </c>
      <c r="BC10" s="36">
        <f>SUM(AK10:BB10)</f>
        <v>48077.2116</v>
      </c>
      <c r="BD10" s="38">
        <f>'[3]Т01'!$R$180</f>
        <v>28.5</v>
      </c>
      <c r="BE10" s="38">
        <f>BC10+BD10</f>
        <v>48105.7116</v>
      </c>
      <c r="BF10" s="38">
        <f>AG10+AJ10-BE10</f>
        <v>-45760.96</v>
      </c>
      <c r="BG10" s="38">
        <f>AF10-U10</f>
        <v>-50246.13999999999</v>
      </c>
      <c r="BH10" s="3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7"/>
      <c r="CF10" s="37"/>
      <c r="CG10" s="37"/>
      <c r="CH10" s="37"/>
      <c r="CI10" s="37"/>
      <c r="CJ10" s="37"/>
      <c r="CK10" s="38"/>
      <c r="CL10" s="38"/>
      <c r="CM10" s="38"/>
      <c r="CN10" s="38"/>
      <c r="CO10" s="38"/>
      <c r="CP10" s="39"/>
      <c r="CQ10" s="39"/>
      <c r="CR10" s="36"/>
      <c r="CS10" s="14"/>
      <c r="CT10" s="14"/>
      <c r="CU10" s="19"/>
      <c r="CV10" s="40"/>
      <c r="CW10" s="41"/>
      <c r="CX10" s="42"/>
      <c r="CY10" s="43"/>
    </row>
    <row r="11" spans="1:101" ht="14.25">
      <c r="A11" s="20" t="s">
        <v>59</v>
      </c>
      <c r="B11" s="21">
        <v>6150.22</v>
      </c>
      <c r="C11" s="22">
        <f t="shared" si="0"/>
        <v>52584.38100000001</v>
      </c>
      <c r="D11" s="23">
        <v>2189.0917400000003</v>
      </c>
      <c r="E11" s="47">
        <v>0</v>
      </c>
      <c r="F11" s="47">
        <v>0</v>
      </c>
      <c r="G11" s="47">
        <v>31200.54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15393.29</v>
      </c>
      <c r="N11" s="47">
        <v>0</v>
      </c>
      <c r="O11" s="130">
        <v>5338.87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1"/>
        <v>51932.700000000004</v>
      </c>
      <c r="V11" s="31">
        <f t="shared" si="1"/>
        <v>0</v>
      </c>
      <c r="W11" s="133">
        <v>1004.55</v>
      </c>
      <c r="X11" s="133">
        <v>0</v>
      </c>
      <c r="Y11" s="133">
        <v>1378.97</v>
      </c>
      <c r="Z11" s="133">
        <v>2295.08</v>
      </c>
      <c r="AA11" s="133">
        <v>14513.93</v>
      </c>
      <c r="AB11" s="133">
        <v>4810.46</v>
      </c>
      <c r="AC11" s="133">
        <v>0</v>
      </c>
      <c r="AD11" s="134">
        <v>0</v>
      </c>
      <c r="AE11" s="134">
        <v>0</v>
      </c>
      <c r="AF11" s="32">
        <f>SUM(W11:AE11)</f>
        <v>24002.989999999998</v>
      </c>
      <c r="AG11" s="33">
        <f>AF11+V11+D11</f>
        <v>26192.081739999998</v>
      </c>
      <c r="AH11" s="34">
        <f t="shared" si="2"/>
        <v>0</v>
      </c>
      <c r="AI11" s="34">
        <f t="shared" si="2"/>
        <v>0</v>
      </c>
      <c r="AJ11" s="131">
        <f>'[3]Т02'!$G$182</f>
        <v>114</v>
      </c>
      <c r="AK11" s="35">
        <f t="shared" si="3"/>
        <v>4120.647400000001</v>
      </c>
      <c r="AL11" s="35">
        <f t="shared" si="4"/>
        <v>1230.044</v>
      </c>
      <c r="AM11" s="35">
        <f t="shared" si="5"/>
        <v>6150.22</v>
      </c>
      <c r="AN11" s="35">
        <f t="shared" si="6"/>
        <v>1291.5462</v>
      </c>
      <c r="AO11" s="35">
        <f t="shared" si="7"/>
        <v>12423.4444</v>
      </c>
      <c r="AP11" s="35">
        <f t="shared" si="8"/>
        <v>6334.726600000001</v>
      </c>
      <c r="AQ11" s="35">
        <f t="shared" si="9"/>
        <v>4612.665</v>
      </c>
      <c r="AR11" s="35">
        <f t="shared" si="10"/>
        <v>4612.665</v>
      </c>
      <c r="AS11" s="35">
        <f>B11*1.15</f>
        <v>7072.753</v>
      </c>
      <c r="AT11" s="35"/>
      <c r="AU11" s="45">
        <v>6894</v>
      </c>
      <c r="AV11" s="132"/>
      <c r="AW11" s="45"/>
      <c r="AX11" s="45">
        <f>757+80+454+192+37+358+56+128+142</f>
        <v>2204</v>
      </c>
      <c r="AY11" s="56"/>
      <c r="AZ11" s="137"/>
      <c r="BA11" s="36"/>
      <c r="BB11" s="36">
        <f>BA11*0.18</f>
        <v>0</v>
      </c>
      <c r="BC11" s="36">
        <f>SUM(AK11:BB11)</f>
        <v>56946.7116</v>
      </c>
      <c r="BD11" s="38">
        <f>'[3]Т02'!$S$181</f>
        <v>28.5</v>
      </c>
      <c r="BE11" s="38">
        <f aca="true" t="shared" si="11" ref="BE11:BE21">BC11+BD11</f>
        <v>56975.2116</v>
      </c>
      <c r="BF11" s="38">
        <f aca="true" t="shared" si="12" ref="BF11:BF21">AG11+AJ11-BE11</f>
        <v>-30669.129860000005</v>
      </c>
      <c r="BG11" s="38">
        <f aca="true" t="shared" si="13" ref="BG11:BG21">AF11-U11</f>
        <v>-27929.710000000006</v>
      </c>
      <c r="BH11" s="3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7"/>
      <c r="CF11" s="37"/>
      <c r="CG11" s="37"/>
      <c r="CH11" s="37"/>
      <c r="CI11" s="37"/>
      <c r="CJ11" s="37"/>
      <c r="CK11" s="38"/>
      <c r="CL11" s="38"/>
      <c r="CM11" s="38"/>
      <c r="CN11" s="38"/>
      <c r="CO11" s="38"/>
      <c r="CP11" s="39"/>
      <c r="CQ11" s="39"/>
      <c r="CR11" s="36"/>
      <c r="CS11" s="14"/>
      <c r="CT11" s="14"/>
      <c r="CU11" s="19"/>
      <c r="CV11" s="41"/>
      <c r="CW11" s="46"/>
    </row>
    <row r="12" spans="1:100" ht="12.75">
      <c r="A12" s="20" t="s">
        <v>60</v>
      </c>
      <c r="B12" s="21">
        <v>6150.22</v>
      </c>
      <c r="C12" s="22">
        <f t="shared" si="0"/>
        <v>52584.38100000001</v>
      </c>
      <c r="D12" s="23">
        <v>1965.3238000000001</v>
      </c>
      <c r="E12" s="47">
        <v>0</v>
      </c>
      <c r="F12" s="47">
        <v>0</v>
      </c>
      <c r="G12" s="47">
        <v>31722.67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15403.6</v>
      </c>
      <c r="N12" s="47">
        <v>0</v>
      </c>
      <c r="O12" s="130">
        <v>5341.4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1"/>
        <v>52467.67</v>
      </c>
      <c r="V12" s="48">
        <f t="shared" si="1"/>
        <v>0</v>
      </c>
      <c r="W12" s="49">
        <v>559.99</v>
      </c>
      <c r="X12" s="25">
        <v>31148.88</v>
      </c>
      <c r="Y12" s="25">
        <v>761.72</v>
      </c>
      <c r="Z12" s="25">
        <v>1267.86</v>
      </c>
      <c r="AA12" s="25">
        <v>15862.22</v>
      </c>
      <c r="AB12" s="25">
        <v>5489.75</v>
      </c>
      <c r="AC12" s="25">
        <v>0</v>
      </c>
      <c r="AD12" s="24">
        <v>0</v>
      </c>
      <c r="AE12" s="25">
        <v>0</v>
      </c>
      <c r="AF12" s="50">
        <f>SUM(W12:AE12)</f>
        <v>55090.420000000006</v>
      </c>
      <c r="AG12" s="33">
        <f>AF12+V12+D12</f>
        <v>57055.743800000004</v>
      </c>
      <c r="AH12" s="34">
        <f t="shared" si="2"/>
        <v>0</v>
      </c>
      <c r="AI12" s="34">
        <f t="shared" si="2"/>
        <v>0</v>
      </c>
      <c r="AJ12" s="131">
        <f>'[3]Т03'!$J$182</f>
        <v>114</v>
      </c>
      <c r="AK12" s="35">
        <f t="shared" si="3"/>
        <v>4120.647400000001</v>
      </c>
      <c r="AL12" s="35">
        <f t="shared" si="4"/>
        <v>1230.044</v>
      </c>
      <c r="AM12" s="35">
        <f t="shared" si="5"/>
        <v>6150.22</v>
      </c>
      <c r="AN12" s="35">
        <f t="shared" si="6"/>
        <v>1291.5462</v>
      </c>
      <c r="AO12" s="35">
        <f t="shared" si="7"/>
        <v>12423.4444</v>
      </c>
      <c r="AP12" s="35">
        <f t="shared" si="8"/>
        <v>6334.726600000001</v>
      </c>
      <c r="AQ12" s="35">
        <f t="shared" si="9"/>
        <v>4612.665</v>
      </c>
      <c r="AR12" s="35">
        <f t="shared" si="10"/>
        <v>4612.665</v>
      </c>
      <c r="AS12" s="35">
        <f>B12*1.15</f>
        <v>7072.753</v>
      </c>
      <c r="AT12" s="35"/>
      <c r="AU12" s="45">
        <v>3668</v>
      </c>
      <c r="AV12" s="132"/>
      <c r="AW12" s="45"/>
      <c r="AX12" s="45">
        <f>'[2]март 2011'!$F$120</f>
        <v>191.77499999999998</v>
      </c>
      <c r="AY12" s="56"/>
      <c r="AZ12" s="137"/>
      <c r="BA12" s="36"/>
      <c r="BB12" s="36">
        <f>BA12*0.18</f>
        <v>0</v>
      </c>
      <c r="BC12" s="36">
        <f>SUM(AK12:BB12)</f>
        <v>51708.486600000004</v>
      </c>
      <c r="BD12" s="38">
        <f>'[3]Т03'!$S$182</f>
        <v>28.5</v>
      </c>
      <c r="BE12" s="38">
        <f t="shared" si="11"/>
        <v>51736.986600000004</v>
      </c>
      <c r="BF12" s="38">
        <f t="shared" si="12"/>
        <v>5432.7572</v>
      </c>
      <c r="BG12" s="38">
        <f t="shared" si="13"/>
        <v>2622.7500000000073</v>
      </c>
      <c r="BH12" s="38"/>
      <c r="BI12" s="37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7"/>
      <c r="CF12" s="37"/>
      <c r="CG12" s="37"/>
      <c r="CH12" s="37"/>
      <c r="CI12" s="37"/>
      <c r="CJ12" s="37"/>
      <c r="CK12" s="38"/>
      <c r="CL12" s="38"/>
      <c r="CM12" s="38"/>
      <c r="CN12" s="38"/>
      <c r="CO12" s="38"/>
      <c r="CP12" s="39"/>
      <c r="CQ12" s="39"/>
      <c r="CR12" s="36"/>
      <c r="CS12" s="14"/>
      <c r="CT12" s="14"/>
      <c r="CU12" s="41"/>
      <c r="CV12" s="46"/>
    </row>
    <row r="13" spans="1:102" ht="12.75">
      <c r="A13" s="20" t="s">
        <v>61</v>
      </c>
      <c r="B13" s="21">
        <v>6150.22</v>
      </c>
      <c r="C13" s="22">
        <f t="shared" si="0"/>
        <v>52584.38100000001</v>
      </c>
      <c r="D13" s="51">
        <v>1965.3238000000001</v>
      </c>
      <c r="E13" s="26">
        <v>0</v>
      </c>
      <c r="F13" s="47">
        <v>0</v>
      </c>
      <c r="G13" s="47">
        <v>31725.35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15404.91</v>
      </c>
      <c r="N13" s="47">
        <v>0</v>
      </c>
      <c r="O13" s="130">
        <v>5341.86</v>
      </c>
      <c r="P13" s="47">
        <v>0</v>
      </c>
      <c r="Q13" s="47">
        <v>0</v>
      </c>
      <c r="R13" s="57">
        <v>0</v>
      </c>
      <c r="S13" s="270">
        <v>0</v>
      </c>
      <c r="T13" s="29">
        <v>0</v>
      </c>
      <c r="U13" s="44">
        <f t="shared" si="1"/>
        <v>52472.119999999995</v>
      </c>
      <c r="V13" s="48">
        <f t="shared" si="1"/>
        <v>0</v>
      </c>
      <c r="W13" s="25">
        <v>497.78</v>
      </c>
      <c r="X13" s="25">
        <v>25007</v>
      </c>
      <c r="Y13" s="25">
        <v>674.94</v>
      </c>
      <c r="Z13" s="25">
        <v>1123.4</v>
      </c>
      <c r="AA13" s="25">
        <v>13616.16</v>
      </c>
      <c r="AB13" s="24">
        <v>4610.69</v>
      </c>
      <c r="AC13" s="25">
        <v>0</v>
      </c>
      <c r="AD13" s="24">
        <v>0</v>
      </c>
      <c r="AE13" s="24">
        <v>0</v>
      </c>
      <c r="AF13" s="32">
        <f>SUM(W13:AD13)</f>
        <v>45529.97</v>
      </c>
      <c r="AG13" s="52">
        <f>AF13+V13+D13</f>
        <v>47495.2938</v>
      </c>
      <c r="AH13" s="53">
        <f t="shared" si="2"/>
        <v>0</v>
      </c>
      <c r="AI13" s="53">
        <f t="shared" si="2"/>
        <v>0</v>
      </c>
      <c r="AJ13" s="139">
        <f>'[4]Т04'!$J$184</f>
        <v>114</v>
      </c>
      <c r="AK13" s="35">
        <f t="shared" si="3"/>
        <v>4120.647400000001</v>
      </c>
      <c r="AL13" s="35">
        <f t="shared" si="4"/>
        <v>1230.044</v>
      </c>
      <c r="AM13" s="35">
        <f t="shared" si="5"/>
        <v>6150.22</v>
      </c>
      <c r="AN13" s="35">
        <f t="shared" si="6"/>
        <v>1291.5462</v>
      </c>
      <c r="AO13" s="35">
        <f t="shared" si="7"/>
        <v>12423.4444</v>
      </c>
      <c r="AP13" s="35">
        <f t="shared" si="8"/>
        <v>6334.726600000001</v>
      </c>
      <c r="AQ13" s="35">
        <f t="shared" si="9"/>
        <v>4612.665</v>
      </c>
      <c r="AR13" s="35">
        <f t="shared" si="10"/>
        <v>4612.665</v>
      </c>
      <c r="AS13" s="35"/>
      <c r="AT13" s="54"/>
      <c r="AU13" s="55"/>
      <c r="AV13" s="55"/>
      <c r="AW13" s="55"/>
      <c r="AX13" s="55">
        <f>165</f>
        <v>165</v>
      </c>
      <c r="AY13" s="56"/>
      <c r="AZ13" s="56"/>
      <c r="BA13" s="54"/>
      <c r="BB13" s="54"/>
      <c r="BC13" s="47">
        <f>SUM(AK13:BB13)</f>
        <v>40940.958600000005</v>
      </c>
      <c r="BD13" s="144">
        <f>'[3]Т04'!$S$184</f>
        <v>28.5</v>
      </c>
      <c r="BE13" s="38">
        <f t="shared" si="11"/>
        <v>40969.458600000005</v>
      </c>
      <c r="BF13" s="38">
        <f t="shared" si="12"/>
        <v>6639.835199999994</v>
      </c>
      <c r="BG13" s="38">
        <f t="shared" si="13"/>
        <v>-6942.149999999994</v>
      </c>
      <c r="BH13" s="38"/>
      <c r="BI13" s="37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7"/>
      <c r="CF13" s="37"/>
      <c r="CG13" s="37"/>
      <c r="CH13" s="37"/>
      <c r="CI13" s="37"/>
      <c r="CJ13" s="37"/>
      <c r="CK13" s="38"/>
      <c r="CL13" s="38"/>
      <c r="CM13" s="38"/>
      <c r="CN13" s="38"/>
      <c r="CO13" s="38"/>
      <c r="CP13" s="39"/>
      <c r="CQ13" s="39"/>
      <c r="CR13" s="36"/>
      <c r="CS13" s="14"/>
      <c r="CT13" s="14"/>
      <c r="CU13" s="14"/>
      <c r="CV13" s="19"/>
      <c r="CW13" s="41"/>
      <c r="CX13" s="46"/>
    </row>
    <row r="14" spans="1:101" ht="12.75">
      <c r="A14" s="20" t="s">
        <v>62</v>
      </c>
      <c r="B14" s="138">
        <v>6150.22</v>
      </c>
      <c r="C14" s="22">
        <f t="shared" si="0"/>
        <v>52584.38100000001</v>
      </c>
      <c r="D14" s="51">
        <v>1965.3238000000001</v>
      </c>
      <c r="E14" s="135">
        <v>0</v>
      </c>
      <c r="F14" s="47">
        <v>0</v>
      </c>
      <c r="G14" s="47">
        <v>31743.25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15774.09</v>
      </c>
      <c r="N14" s="47">
        <v>0</v>
      </c>
      <c r="O14" s="136">
        <v>5434.31</v>
      </c>
      <c r="P14" s="47">
        <v>0</v>
      </c>
      <c r="Q14" s="47">
        <v>0</v>
      </c>
      <c r="R14" s="57">
        <v>0</v>
      </c>
      <c r="S14" s="47">
        <v>0</v>
      </c>
      <c r="T14" s="24">
        <v>0</v>
      </c>
      <c r="U14" s="28">
        <f t="shared" si="1"/>
        <v>52951.649999999994</v>
      </c>
      <c r="V14" s="58">
        <f>F14+H14+J14+L14+N14++R14+T14</f>
        <v>0</v>
      </c>
      <c r="W14" s="25">
        <v>216.87</v>
      </c>
      <c r="X14" s="25">
        <v>30864.44</v>
      </c>
      <c r="Y14" s="25">
        <v>293.31</v>
      </c>
      <c r="Z14" s="25">
        <v>488.48</v>
      </c>
      <c r="AA14" s="25">
        <v>15539.96</v>
      </c>
      <c r="AB14" s="25">
        <v>5357.56</v>
      </c>
      <c r="AC14" s="25">
        <v>0</v>
      </c>
      <c r="AD14" s="24">
        <v>0</v>
      </c>
      <c r="AE14" s="32">
        <v>0</v>
      </c>
      <c r="AF14" s="59">
        <f>SUM(W14:AE14)</f>
        <v>52760.619999999995</v>
      </c>
      <c r="AG14" s="52">
        <f aca="true" t="shared" si="14" ref="AG14:AG21">D14+V14+AF14</f>
        <v>54725.943799999994</v>
      </c>
      <c r="AH14" s="53">
        <f t="shared" si="2"/>
        <v>0</v>
      </c>
      <c r="AI14" s="53">
        <f t="shared" si="2"/>
        <v>0</v>
      </c>
      <c r="AJ14" s="139">
        <f>'[3]Т05'!$J$182</f>
        <v>114</v>
      </c>
      <c r="AK14" s="35">
        <f t="shared" si="3"/>
        <v>4120.647400000001</v>
      </c>
      <c r="AL14" s="35">
        <f t="shared" si="4"/>
        <v>1230.044</v>
      </c>
      <c r="AM14" s="35">
        <f t="shared" si="5"/>
        <v>6150.22</v>
      </c>
      <c r="AN14" s="35">
        <f t="shared" si="6"/>
        <v>1291.5462</v>
      </c>
      <c r="AO14" s="35">
        <f t="shared" si="7"/>
        <v>12423.4444</v>
      </c>
      <c r="AP14" s="35">
        <f t="shared" si="8"/>
        <v>6334.726600000001</v>
      </c>
      <c r="AQ14" s="35">
        <f t="shared" si="9"/>
        <v>4612.665</v>
      </c>
      <c r="AR14" s="35">
        <f t="shared" si="10"/>
        <v>4612.665</v>
      </c>
      <c r="AS14" s="35"/>
      <c r="AT14" s="54"/>
      <c r="AU14" s="55"/>
      <c r="AV14" s="55"/>
      <c r="AW14" s="55">
        <v>19197</v>
      </c>
      <c r="AX14" s="55">
        <f>5070</f>
        <v>5070</v>
      </c>
      <c r="AY14" s="56"/>
      <c r="AZ14" s="56"/>
      <c r="BA14" s="54"/>
      <c r="BB14" s="54"/>
      <c r="BC14" s="47">
        <f>SUM(AK14:BB14)</f>
        <v>65042.958600000005</v>
      </c>
      <c r="BD14" s="144">
        <f>'[3]Т05'!$S$182</f>
        <v>28.5</v>
      </c>
      <c r="BE14" s="38">
        <f t="shared" si="11"/>
        <v>65071.458600000005</v>
      </c>
      <c r="BF14" s="38">
        <f t="shared" si="12"/>
        <v>-10231.514800000012</v>
      </c>
      <c r="BG14" s="38">
        <f t="shared" si="13"/>
        <v>-191.02999999999884</v>
      </c>
      <c r="BH14" s="38"/>
      <c r="BI14" s="37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7"/>
      <c r="CF14" s="37"/>
      <c r="CG14" s="37"/>
      <c r="CH14" s="37"/>
      <c r="CI14" s="37"/>
      <c r="CJ14" s="37"/>
      <c r="CK14" s="38"/>
      <c r="CL14" s="38"/>
      <c r="CM14" s="38"/>
      <c r="CN14" s="38"/>
      <c r="CO14" s="38"/>
      <c r="CP14" s="39"/>
      <c r="CQ14" s="39"/>
      <c r="CR14" s="36"/>
      <c r="CS14" s="14"/>
      <c r="CT14" s="14"/>
      <c r="CU14" s="19"/>
      <c r="CV14" s="41"/>
      <c r="CW14" s="46"/>
    </row>
    <row r="15" spans="1:101" ht="13.5" thickBot="1">
      <c r="A15" s="20" t="s">
        <v>63</v>
      </c>
      <c r="B15" s="269">
        <v>6148.52</v>
      </c>
      <c r="C15" s="22">
        <f t="shared" si="0"/>
        <v>52569.846000000005</v>
      </c>
      <c r="D15" s="51">
        <v>1894.4948000000002</v>
      </c>
      <c r="E15" s="60">
        <v>-44.97</v>
      </c>
      <c r="F15" s="60"/>
      <c r="G15" s="60">
        <v>31689.2</v>
      </c>
      <c r="H15" s="60"/>
      <c r="I15" s="61">
        <v>-61.04</v>
      </c>
      <c r="J15" s="61"/>
      <c r="K15" s="61">
        <v>-101.37</v>
      </c>
      <c r="L15" s="61"/>
      <c r="M15" s="61">
        <v>15241.07</v>
      </c>
      <c r="N15" s="61"/>
      <c r="O15" s="61">
        <v>5299.77</v>
      </c>
      <c r="P15" s="61"/>
      <c r="Q15" s="61">
        <v>0</v>
      </c>
      <c r="R15" s="62"/>
      <c r="S15" s="62">
        <v>0</v>
      </c>
      <c r="T15" s="61"/>
      <c r="U15" s="63">
        <f t="shared" si="1"/>
        <v>52022.66</v>
      </c>
      <c r="V15" s="64">
        <f t="shared" si="1"/>
        <v>0</v>
      </c>
      <c r="W15" s="65">
        <v>128.27</v>
      </c>
      <c r="X15" s="60">
        <v>28123.16</v>
      </c>
      <c r="Y15" s="60">
        <v>173.81</v>
      </c>
      <c r="Z15" s="60">
        <v>289.25</v>
      </c>
      <c r="AA15" s="60">
        <v>16006.49</v>
      </c>
      <c r="AB15" s="60">
        <v>4856.75</v>
      </c>
      <c r="AC15" s="60">
        <v>0</v>
      </c>
      <c r="AD15" s="60">
        <v>0</v>
      </c>
      <c r="AE15" s="66">
        <v>0</v>
      </c>
      <c r="AF15" s="67">
        <f aca="true" t="shared" si="15" ref="AF15:AF21">SUM(W15:AE15)</f>
        <v>49577.73</v>
      </c>
      <c r="AG15" s="52">
        <f t="shared" si="14"/>
        <v>51472.2248</v>
      </c>
      <c r="AH15" s="53">
        <f t="shared" si="2"/>
        <v>0</v>
      </c>
      <c r="AI15" s="53">
        <f t="shared" si="2"/>
        <v>0</v>
      </c>
      <c r="AJ15" s="139">
        <f>'[3]Т06'!$J$182</f>
        <v>114</v>
      </c>
      <c r="AK15" s="35">
        <f t="shared" si="3"/>
        <v>4119.508400000001</v>
      </c>
      <c r="AL15" s="35">
        <f t="shared" si="4"/>
        <v>1229.7040000000002</v>
      </c>
      <c r="AM15" s="35">
        <f t="shared" si="5"/>
        <v>6148.52</v>
      </c>
      <c r="AN15" s="35">
        <f t="shared" si="6"/>
        <v>1291.1892</v>
      </c>
      <c r="AO15" s="35">
        <f t="shared" si="7"/>
        <v>12420.010400000001</v>
      </c>
      <c r="AP15" s="35">
        <f t="shared" si="8"/>
        <v>6332.975600000001</v>
      </c>
      <c r="AQ15" s="35">
        <f t="shared" si="9"/>
        <v>4611.39</v>
      </c>
      <c r="AR15" s="35">
        <f t="shared" si="10"/>
        <v>4611.39</v>
      </c>
      <c r="AS15" s="35"/>
      <c r="AT15" s="54"/>
      <c r="AU15" s="55"/>
      <c r="AV15" s="55"/>
      <c r="AW15" s="55">
        <v>3816</v>
      </c>
      <c r="AX15" s="55">
        <f>34+3450+1620+498+2217.456+1500.96</f>
        <v>9320.416000000001</v>
      </c>
      <c r="AY15" s="35"/>
      <c r="AZ15" s="35"/>
      <c r="BA15" s="54"/>
      <c r="BB15" s="54"/>
      <c r="BC15" s="68">
        <f>SUM(AK15:BB15)</f>
        <v>53901.1036</v>
      </c>
      <c r="BD15" s="144">
        <f>'[3]Т06'!$S$182</f>
        <v>28.5</v>
      </c>
      <c r="BE15" s="38">
        <f t="shared" si="11"/>
        <v>53929.6036</v>
      </c>
      <c r="BF15" s="38">
        <f t="shared" si="12"/>
        <v>-2343.3787999999986</v>
      </c>
      <c r="BG15" s="38">
        <f t="shared" si="13"/>
        <v>-2444.9300000000003</v>
      </c>
      <c r="BH15" s="38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7"/>
      <c r="CF15" s="37"/>
      <c r="CG15" s="37"/>
      <c r="CH15" s="37"/>
      <c r="CI15" s="37"/>
      <c r="CJ15" s="37"/>
      <c r="CK15" s="38"/>
      <c r="CL15" s="38"/>
      <c r="CM15" s="38"/>
      <c r="CN15" s="38"/>
      <c r="CO15" s="38"/>
      <c r="CP15" s="39"/>
      <c r="CQ15" s="39"/>
      <c r="CR15" s="36"/>
      <c r="CS15" s="14"/>
      <c r="CT15" s="14"/>
      <c r="CU15" s="19"/>
      <c r="CV15" s="69"/>
      <c r="CW15" s="46"/>
    </row>
    <row r="16" spans="1:98" ht="12.75">
      <c r="A16" s="20" t="s">
        <v>64</v>
      </c>
      <c r="B16" s="21">
        <v>6148.52</v>
      </c>
      <c r="C16" s="22">
        <f t="shared" si="0"/>
        <v>52569.846000000005</v>
      </c>
      <c r="D16" s="51">
        <v>1894.4948000000002</v>
      </c>
      <c r="E16" s="70"/>
      <c r="F16" s="70"/>
      <c r="G16" s="70">
        <v>31730.32</v>
      </c>
      <c r="H16" s="70"/>
      <c r="I16" s="70"/>
      <c r="J16" s="70"/>
      <c r="K16" s="70"/>
      <c r="L16" s="70"/>
      <c r="M16" s="70">
        <v>15407.41</v>
      </c>
      <c r="N16" s="70"/>
      <c r="O16" s="70">
        <v>5342.78</v>
      </c>
      <c r="P16" s="70"/>
      <c r="Q16" s="70"/>
      <c r="R16" s="70"/>
      <c r="S16" s="71"/>
      <c r="T16" s="65"/>
      <c r="U16" s="72">
        <f t="shared" si="1"/>
        <v>52480.509999999995</v>
      </c>
      <c r="V16" s="73">
        <f t="shared" si="1"/>
        <v>0</v>
      </c>
      <c r="W16" s="74">
        <v>112.05</v>
      </c>
      <c r="X16" s="70">
        <v>24631.78</v>
      </c>
      <c r="Y16" s="70">
        <v>151.68</v>
      </c>
      <c r="Z16" s="70">
        <v>252.59</v>
      </c>
      <c r="AA16" s="70">
        <v>12528.71</v>
      </c>
      <c r="AB16" s="70">
        <v>4287.05</v>
      </c>
      <c r="AC16" s="60"/>
      <c r="AD16" s="70"/>
      <c r="AE16" s="71"/>
      <c r="AF16" s="67">
        <f t="shared" si="15"/>
        <v>41963.86</v>
      </c>
      <c r="AG16" s="75">
        <f t="shared" si="14"/>
        <v>43858.3548</v>
      </c>
      <c r="AH16" s="53">
        <f t="shared" si="2"/>
        <v>0</v>
      </c>
      <c r="AI16" s="53">
        <f t="shared" si="2"/>
        <v>0</v>
      </c>
      <c r="AJ16" s="139">
        <f>'[3]Т07'!$J$186</f>
        <v>114</v>
      </c>
      <c r="AK16" s="35">
        <f t="shared" si="3"/>
        <v>4119.508400000001</v>
      </c>
      <c r="AL16" s="35">
        <f t="shared" si="4"/>
        <v>1229.7040000000002</v>
      </c>
      <c r="AM16" s="35">
        <f t="shared" si="5"/>
        <v>6148.52</v>
      </c>
      <c r="AN16" s="35">
        <f t="shared" si="6"/>
        <v>1291.1892</v>
      </c>
      <c r="AO16" s="35">
        <f t="shared" si="7"/>
        <v>12420.010400000001</v>
      </c>
      <c r="AP16" s="35">
        <f t="shared" si="8"/>
        <v>6332.975600000001</v>
      </c>
      <c r="AQ16" s="35">
        <f t="shared" si="9"/>
        <v>4611.39</v>
      </c>
      <c r="AR16" s="35">
        <f t="shared" si="10"/>
        <v>4611.39</v>
      </c>
      <c r="AS16" s="35"/>
      <c r="AT16" s="54"/>
      <c r="AU16" s="55">
        <v>263</v>
      </c>
      <c r="AV16" s="55"/>
      <c r="AW16" s="55"/>
      <c r="AX16" s="55">
        <f>53.3+96.43+9.43+10000</f>
        <v>10159.16</v>
      </c>
      <c r="AY16" s="56"/>
      <c r="AZ16" s="56"/>
      <c r="BA16" s="54"/>
      <c r="BB16" s="54"/>
      <c r="BC16" s="47">
        <f>SUM(AK16:BB16)</f>
        <v>51186.84760000001</v>
      </c>
      <c r="BD16" s="144">
        <f>'[3]Т07'!$S$186</f>
        <v>28.5</v>
      </c>
      <c r="BE16" s="38">
        <f t="shared" si="11"/>
        <v>51215.34760000001</v>
      </c>
      <c r="BF16" s="38">
        <f t="shared" si="12"/>
        <v>-7242.992800000007</v>
      </c>
      <c r="BG16" s="38">
        <f t="shared" si="13"/>
        <v>-10516.649999999994</v>
      </c>
      <c r="BH16" s="38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7"/>
      <c r="CF16" s="37"/>
      <c r="CG16" s="37"/>
      <c r="CH16" s="37"/>
      <c r="CI16" s="37"/>
      <c r="CJ16" s="37"/>
      <c r="CK16" s="38"/>
      <c r="CL16" s="38"/>
      <c r="CM16" s="38"/>
      <c r="CN16" s="38"/>
      <c r="CO16" s="38"/>
      <c r="CP16" s="39"/>
      <c r="CQ16" s="39"/>
      <c r="CR16" s="36"/>
      <c r="CS16" s="14"/>
      <c r="CT16" s="14"/>
    </row>
    <row r="17" spans="1:98" ht="12.75">
      <c r="A17" s="20" t="s">
        <v>65</v>
      </c>
      <c r="B17" s="269">
        <v>6145.61</v>
      </c>
      <c r="C17" s="22">
        <f t="shared" si="0"/>
        <v>52544.9655</v>
      </c>
      <c r="D17" s="51">
        <v>1852.9279999999999</v>
      </c>
      <c r="E17" s="70"/>
      <c r="F17" s="70"/>
      <c r="G17" s="70">
        <v>31709.91</v>
      </c>
      <c r="H17" s="70"/>
      <c r="I17" s="70"/>
      <c r="J17" s="70"/>
      <c r="K17" s="70"/>
      <c r="L17" s="70"/>
      <c r="M17" s="70">
        <v>15385.69</v>
      </c>
      <c r="N17" s="70"/>
      <c r="O17" s="70">
        <v>5336.4</v>
      </c>
      <c r="P17" s="70"/>
      <c r="Q17" s="70"/>
      <c r="R17" s="70"/>
      <c r="S17" s="71"/>
      <c r="T17" s="66"/>
      <c r="U17" s="76">
        <f t="shared" si="1"/>
        <v>52432</v>
      </c>
      <c r="V17" s="77">
        <f t="shared" si="1"/>
        <v>0</v>
      </c>
      <c r="W17" s="70">
        <v>45.86</v>
      </c>
      <c r="X17" s="70">
        <v>26653.52</v>
      </c>
      <c r="Y17" s="70">
        <v>62.16</v>
      </c>
      <c r="Z17" s="70">
        <v>103.45</v>
      </c>
      <c r="AA17" s="70">
        <v>12825.56</v>
      </c>
      <c r="AB17" s="70">
        <v>4524.28</v>
      </c>
      <c r="AC17" s="70"/>
      <c r="AD17" s="70"/>
      <c r="AE17" s="71"/>
      <c r="AF17" s="67">
        <f t="shared" si="15"/>
        <v>44214.83</v>
      </c>
      <c r="AG17" s="75">
        <f t="shared" si="14"/>
        <v>46067.758</v>
      </c>
      <c r="AH17" s="53">
        <f t="shared" si="2"/>
        <v>0</v>
      </c>
      <c r="AI17" s="53">
        <f t="shared" si="2"/>
        <v>0</v>
      </c>
      <c r="AJ17" s="139">
        <f>'[3]Т08'!$J$190</f>
        <v>114</v>
      </c>
      <c r="AK17" s="35">
        <f t="shared" si="3"/>
        <v>4117.5587</v>
      </c>
      <c r="AL17" s="35">
        <f t="shared" si="4"/>
        <v>1229.122</v>
      </c>
      <c r="AM17" s="35">
        <f t="shared" si="5"/>
        <v>6145.61</v>
      </c>
      <c r="AN17" s="35">
        <f t="shared" si="6"/>
        <v>1290.5781</v>
      </c>
      <c r="AO17" s="35">
        <f t="shared" si="7"/>
        <v>12414.1322</v>
      </c>
      <c r="AP17" s="35">
        <f t="shared" si="8"/>
        <v>6329.9783</v>
      </c>
      <c r="AQ17" s="35">
        <f t="shared" si="9"/>
        <v>4609.2074999999995</v>
      </c>
      <c r="AR17" s="35">
        <f t="shared" si="10"/>
        <v>4609.2074999999995</v>
      </c>
      <c r="AS17" s="35"/>
      <c r="AT17" s="54"/>
      <c r="AU17" s="55"/>
      <c r="AV17" s="55"/>
      <c r="AW17" s="55">
        <v>13500</v>
      </c>
      <c r="AX17" s="55"/>
      <c r="AY17" s="56"/>
      <c r="AZ17" s="56"/>
      <c r="BA17" s="54"/>
      <c r="BB17" s="54"/>
      <c r="BC17" s="47">
        <f>SUM(AK17:BB17)</f>
        <v>54245.39429999999</v>
      </c>
      <c r="BD17" s="144">
        <f>'[3]Т08'!$S$190</f>
        <v>28.5</v>
      </c>
      <c r="BE17" s="38">
        <f t="shared" si="11"/>
        <v>54273.89429999999</v>
      </c>
      <c r="BF17" s="38">
        <f t="shared" si="12"/>
        <v>-8092.136299999991</v>
      </c>
      <c r="BG17" s="38">
        <f t="shared" si="13"/>
        <v>-8217.169999999998</v>
      </c>
      <c r="BH17" s="38"/>
      <c r="BI17" s="37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7"/>
      <c r="CF17" s="37"/>
      <c r="CG17" s="37"/>
      <c r="CH17" s="37"/>
      <c r="CI17" s="37"/>
      <c r="CJ17" s="37"/>
      <c r="CK17" s="38"/>
      <c r="CL17" s="38"/>
      <c r="CM17" s="38"/>
      <c r="CN17" s="38"/>
      <c r="CO17" s="38"/>
      <c r="CP17" s="39"/>
      <c r="CQ17" s="39"/>
      <c r="CR17" s="36"/>
      <c r="CS17" s="14"/>
      <c r="CT17" s="14"/>
    </row>
    <row r="18" spans="1:98" ht="12.75">
      <c r="A18" s="20" t="s">
        <v>66</v>
      </c>
      <c r="B18" s="21">
        <v>6145.61</v>
      </c>
      <c r="C18" s="22">
        <f t="shared" si="0"/>
        <v>52544.9655</v>
      </c>
      <c r="D18" s="51">
        <v>1852.9279999999999</v>
      </c>
      <c r="E18" s="70"/>
      <c r="F18" s="70"/>
      <c r="G18" s="70">
        <v>32220.35</v>
      </c>
      <c r="H18" s="70"/>
      <c r="I18" s="70"/>
      <c r="J18" s="70"/>
      <c r="K18" s="70"/>
      <c r="L18" s="70"/>
      <c r="M18" s="70">
        <v>15645.35</v>
      </c>
      <c r="N18" s="70"/>
      <c r="O18" s="70">
        <v>5425.18</v>
      </c>
      <c r="P18" s="70"/>
      <c r="Q18" s="70"/>
      <c r="R18" s="70"/>
      <c r="S18" s="71"/>
      <c r="T18" s="78"/>
      <c r="U18" s="78">
        <f t="shared" si="1"/>
        <v>53290.88</v>
      </c>
      <c r="V18" s="79">
        <f t="shared" si="1"/>
        <v>0</v>
      </c>
      <c r="W18" s="70">
        <v>452.78</v>
      </c>
      <c r="X18" s="70">
        <v>35871.8</v>
      </c>
      <c r="Y18" s="70">
        <v>613.61</v>
      </c>
      <c r="Z18" s="70">
        <v>1021.08</v>
      </c>
      <c r="AA18" s="70">
        <v>16729.23</v>
      </c>
      <c r="AB18" s="70">
        <v>6312.81</v>
      </c>
      <c r="AC18" s="70"/>
      <c r="AD18" s="70"/>
      <c r="AE18" s="71"/>
      <c r="AF18" s="67">
        <f t="shared" si="15"/>
        <v>61001.31</v>
      </c>
      <c r="AG18" s="75">
        <f t="shared" si="14"/>
        <v>62854.238</v>
      </c>
      <c r="AH18" s="53">
        <f t="shared" si="2"/>
        <v>0</v>
      </c>
      <c r="AI18" s="53">
        <f t="shared" si="2"/>
        <v>0</v>
      </c>
      <c r="AJ18" s="139">
        <f>'[3]Т09'!$J$190</f>
        <v>114</v>
      </c>
      <c r="AK18" s="35">
        <f t="shared" si="3"/>
        <v>4117.5587</v>
      </c>
      <c r="AL18" s="35">
        <f t="shared" si="4"/>
        <v>1229.122</v>
      </c>
      <c r="AM18" s="35">
        <f t="shared" si="5"/>
        <v>6145.61</v>
      </c>
      <c r="AN18" s="35">
        <f t="shared" si="6"/>
        <v>1290.5781</v>
      </c>
      <c r="AO18" s="35">
        <f t="shared" si="7"/>
        <v>12414.1322</v>
      </c>
      <c r="AP18" s="35">
        <f t="shared" si="8"/>
        <v>6329.9783</v>
      </c>
      <c r="AQ18" s="35">
        <f t="shared" si="9"/>
        <v>4609.2074999999995</v>
      </c>
      <c r="AR18" s="35">
        <f t="shared" si="10"/>
        <v>4609.2074999999995</v>
      </c>
      <c r="AS18" s="35"/>
      <c r="AT18" s="54"/>
      <c r="AU18" s="55"/>
      <c r="AV18" s="55"/>
      <c r="AW18" s="55">
        <v>385</v>
      </c>
      <c r="AX18" s="55"/>
      <c r="AY18" s="56"/>
      <c r="AZ18" s="56"/>
      <c r="BA18" s="54"/>
      <c r="BB18" s="54"/>
      <c r="BC18" s="47">
        <f>SUM(AK18:BB18)</f>
        <v>41130.39429999999</v>
      </c>
      <c r="BD18" s="144">
        <f>'[3]Т08'!$S$190</f>
        <v>28.5</v>
      </c>
      <c r="BE18" s="38">
        <f t="shared" si="11"/>
        <v>41158.89429999999</v>
      </c>
      <c r="BF18" s="38">
        <f t="shared" si="12"/>
        <v>21809.343700000005</v>
      </c>
      <c r="BG18" s="38">
        <f t="shared" si="13"/>
        <v>7710.43</v>
      </c>
      <c r="BH18" s="38"/>
      <c r="BI18" s="37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7"/>
      <c r="CF18" s="37"/>
      <c r="CG18" s="37"/>
      <c r="CH18" s="37"/>
      <c r="CI18" s="37"/>
      <c r="CJ18" s="37"/>
      <c r="CK18" s="38"/>
      <c r="CL18" s="38"/>
      <c r="CM18" s="38"/>
      <c r="CN18" s="38"/>
      <c r="CO18" s="38"/>
      <c r="CP18" s="39"/>
      <c r="CQ18" s="39"/>
      <c r="CR18" s="36"/>
      <c r="CS18" s="80"/>
      <c r="CT18" s="81"/>
    </row>
    <row r="19" spans="1:96" ht="12.75">
      <c r="A19" s="20" t="s">
        <v>67</v>
      </c>
      <c r="B19" s="21">
        <v>6145.61</v>
      </c>
      <c r="C19" s="22">
        <f t="shared" si="0"/>
        <v>52544.9655</v>
      </c>
      <c r="D19" s="82">
        <v>1852.9279999999999</v>
      </c>
      <c r="E19" s="60"/>
      <c r="F19" s="60"/>
      <c r="G19" s="60">
        <v>32220.38</v>
      </c>
      <c r="H19" s="60"/>
      <c r="I19" s="60"/>
      <c r="J19" s="60"/>
      <c r="K19" s="60"/>
      <c r="L19" s="60"/>
      <c r="M19" s="60">
        <v>15645.35</v>
      </c>
      <c r="N19" s="60"/>
      <c r="O19" s="60">
        <v>5425.19</v>
      </c>
      <c r="P19" s="60"/>
      <c r="Q19" s="60"/>
      <c r="R19" s="60"/>
      <c r="S19" s="66"/>
      <c r="T19" s="83"/>
      <c r="U19" s="84">
        <f t="shared" si="1"/>
        <v>53290.920000000006</v>
      </c>
      <c r="V19" s="85">
        <f t="shared" si="1"/>
        <v>0</v>
      </c>
      <c r="W19" s="60">
        <v>0</v>
      </c>
      <c r="X19" s="60">
        <v>28667.58</v>
      </c>
      <c r="Y19" s="60">
        <v>0</v>
      </c>
      <c r="Z19" s="60">
        <v>0</v>
      </c>
      <c r="AA19" s="60">
        <v>13920.28</v>
      </c>
      <c r="AB19" s="60">
        <v>4827.55</v>
      </c>
      <c r="AC19" s="60"/>
      <c r="AD19" s="60"/>
      <c r="AE19" s="66"/>
      <c r="AF19" s="67">
        <f t="shared" si="15"/>
        <v>47415.41</v>
      </c>
      <c r="AG19" s="75">
        <f t="shared" si="14"/>
        <v>49268.338</v>
      </c>
      <c r="AH19" s="53">
        <f t="shared" si="2"/>
        <v>0</v>
      </c>
      <c r="AI19" s="53">
        <f t="shared" si="2"/>
        <v>0</v>
      </c>
      <c r="AJ19" s="139">
        <f>'[5]Т10'!$J$190</f>
        <v>114</v>
      </c>
      <c r="AK19" s="35">
        <f t="shared" si="3"/>
        <v>4117.5587</v>
      </c>
      <c r="AL19" s="35">
        <f t="shared" si="4"/>
        <v>1229.122</v>
      </c>
      <c r="AM19" s="35">
        <f t="shared" si="5"/>
        <v>6145.61</v>
      </c>
      <c r="AN19" s="35">
        <f t="shared" si="6"/>
        <v>1290.5781</v>
      </c>
      <c r="AO19" s="35">
        <f t="shared" si="7"/>
        <v>12414.1322</v>
      </c>
      <c r="AP19" s="35">
        <f t="shared" si="8"/>
        <v>6329.9783</v>
      </c>
      <c r="AQ19" s="35">
        <f t="shared" si="9"/>
        <v>4609.2074999999995</v>
      </c>
      <c r="AR19" s="35">
        <f t="shared" si="10"/>
        <v>4609.2074999999995</v>
      </c>
      <c r="AS19" s="140">
        <f>B19*1.15</f>
        <v>7067.451499999999</v>
      </c>
      <c r="AT19" s="54"/>
      <c r="AU19" s="55">
        <v>6024</v>
      </c>
      <c r="AV19" s="55"/>
      <c r="AW19" s="55"/>
      <c r="AX19" s="55">
        <f>73.15+3600</f>
        <v>3673.15</v>
      </c>
      <c r="AY19" s="56"/>
      <c r="AZ19" s="56"/>
      <c r="BA19" s="54"/>
      <c r="BB19" s="54"/>
      <c r="BC19" s="47">
        <f>SUM(AK19:BB19)</f>
        <v>57509.9958</v>
      </c>
      <c r="BD19" s="144">
        <f>'[6]Т10'!$S$190</f>
        <v>28.5</v>
      </c>
      <c r="BE19" s="38">
        <f t="shared" si="11"/>
        <v>57538.4958</v>
      </c>
      <c r="BF19" s="38">
        <f t="shared" si="12"/>
        <v>-8156.157799999994</v>
      </c>
      <c r="BG19" s="38">
        <f t="shared" si="13"/>
        <v>-5875.510000000002</v>
      </c>
      <c r="BH19" s="38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7"/>
      <c r="CG19" s="37"/>
      <c r="CH19" s="37"/>
      <c r="CI19" s="37"/>
      <c r="CJ19" s="37"/>
      <c r="CK19" s="37"/>
      <c r="CL19" s="38"/>
      <c r="CM19" s="38"/>
      <c r="CN19" s="38"/>
      <c r="CO19" s="38"/>
      <c r="CP19" s="38"/>
      <c r="CQ19" s="39"/>
      <c r="CR19" s="86"/>
    </row>
    <row r="20" spans="1:95" ht="12.75">
      <c r="A20" s="20" t="s">
        <v>68</v>
      </c>
      <c r="B20" s="21">
        <v>6145.61</v>
      </c>
      <c r="C20" s="22">
        <f t="shared" si="0"/>
        <v>52544.9655</v>
      </c>
      <c r="D20" s="268">
        <v>1852.9279999999999</v>
      </c>
      <c r="E20" s="60"/>
      <c r="F20" s="60"/>
      <c r="G20" s="60">
        <v>32239.18</v>
      </c>
      <c r="H20" s="60"/>
      <c r="I20" s="60"/>
      <c r="J20" s="60"/>
      <c r="K20" s="60"/>
      <c r="L20" s="60"/>
      <c r="M20" s="60">
        <v>15654.6</v>
      </c>
      <c r="N20" s="60"/>
      <c r="O20" s="60">
        <v>5428.49</v>
      </c>
      <c r="P20" s="60"/>
      <c r="Q20" s="60"/>
      <c r="R20" s="60"/>
      <c r="S20" s="66"/>
      <c r="T20" s="83"/>
      <c r="U20" s="84">
        <f t="shared" si="1"/>
        <v>53322.27</v>
      </c>
      <c r="V20" s="85">
        <f t="shared" si="1"/>
        <v>0</v>
      </c>
      <c r="W20" s="60">
        <v>0</v>
      </c>
      <c r="X20" s="60">
        <v>29720.21</v>
      </c>
      <c r="Y20" s="60">
        <v>0</v>
      </c>
      <c r="Z20" s="60">
        <v>0</v>
      </c>
      <c r="AA20" s="60">
        <v>14430.73</v>
      </c>
      <c r="AB20" s="60">
        <v>5003.46</v>
      </c>
      <c r="AC20" s="60"/>
      <c r="AD20" s="60"/>
      <c r="AE20" s="66"/>
      <c r="AF20" s="67">
        <f t="shared" si="15"/>
        <v>49154.4</v>
      </c>
      <c r="AG20" s="75">
        <f t="shared" si="14"/>
        <v>51007.328</v>
      </c>
      <c r="AH20" s="53">
        <f t="shared" si="2"/>
        <v>0</v>
      </c>
      <c r="AI20" s="53">
        <f t="shared" si="2"/>
        <v>0</v>
      </c>
      <c r="AJ20" s="139">
        <f>'[6]Т11'!$J$190</f>
        <v>114</v>
      </c>
      <c r="AK20" s="35">
        <f t="shared" si="3"/>
        <v>4117.5587</v>
      </c>
      <c r="AL20" s="35">
        <f t="shared" si="4"/>
        <v>1229.122</v>
      </c>
      <c r="AM20" s="35">
        <f t="shared" si="5"/>
        <v>6145.61</v>
      </c>
      <c r="AN20" s="35">
        <f t="shared" si="6"/>
        <v>1290.5781</v>
      </c>
      <c r="AO20" s="35">
        <f t="shared" si="7"/>
        <v>12414.1322</v>
      </c>
      <c r="AP20" s="35">
        <f t="shared" si="8"/>
        <v>6329.9783</v>
      </c>
      <c r="AQ20" s="35">
        <f t="shared" si="9"/>
        <v>4609.2074999999995</v>
      </c>
      <c r="AR20" s="35">
        <f t="shared" si="10"/>
        <v>4609.2074999999995</v>
      </c>
      <c r="AS20" s="140">
        <f>B20*1.15</f>
        <v>7067.451499999999</v>
      </c>
      <c r="AT20" s="54"/>
      <c r="AU20" s="55"/>
      <c r="AV20" s="55"/>
      <c r="AW20" s="55"/>
      <c r="AX20" s="55">
        <f>52.68</f>
        <v>52.68</v>
      </c>
      <c r="AY20" s="56"/>
      <c r="AZ20" s="56"/>
      <c r="BA20" s="54"/>
      <c r="BB20" s="54"/>
      <c r="BC20" s="47">
        <f>SUM(AK20:BB20)</f>
        <v>47865.525799999996</v>
      </c>
      <c r="BD20" s="144">
        <f>'[6]Т11'!$S$190</f>
        <v>28.5</v>
      </c>
      <c r="BE20" s="38">
        <f t="shared" si="11"/>
        <v>47894.025799999996</v>
      </c>
      <c r="BF20" s="38">
        <f t="shared" si="12"/>
        <v>3227.3022000000055</v>
      </c>
      <c r="BG20" s="38">
        <f t="shared" si="13"/>
        <v>-4167.869999999995</v>
      </c>
      <c r="BH20" s="38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7"/>
      <c r="CF20" s="37"/>
      <c r="CG20" s="37"/>
      <c r="CH20" s="37"/>
      <c r="CI20" s="37"/>
      <c r="CJ20" s="37"/>
      <c r="CK20" s="38"/>
      <c r="CL20" s="38"/>
      <c r="CM20" s="38"/>
      <c r="CN20" s="38"/>
      <c r="CO20" s="38"/>
      <c r="CP20" s="87"/>
      <c r="CQ20" s="86"/>
    </row>
    <row r="21" spans="1:95" ht="13.5" thickBot="1">
      <c r="A21" s="20" t="s">
        <v>69</v>
      </c>
      <c r="B21" s="21">
        <v>6145.61</v>
      </c>
      <c r="C21" s="22">
        <f t="shared" si="0"/>
        <v>52544.9655</v>
      </c>
      <c r="D21" s="268">
        <v>1852.9279999999999</v>
      </c>
      <c r="E21" s="88"/>
      <c r="F21" s="88"/>
      <c r="G21" s="88">
        <v>32239.18</v>
      </c>
      <c r="H21" s="88"/>
      <c r="I21" s="88"/>
      <c r="J21" s="88"/>
      <c r="K21" s="88"/>
      <c r="L21" s="88"/>
      <c r="M21" s="88">
        <v>15654.59</v>
      </c>
      <c r="N21" s="88"/>
      <c r="O21" s="88">
        <v>5428.49</v>
      </c>
      <c r="P21" s="88"/>
      <c r="Q21" s="88"/>
      <c r="R21" s="88"/>
      <c r="S21" s="89"/>
      <c r="T21" s="90"/>
      <c r="U21" s="84">
        <f t="shared" si="1"/>
        <v>53322.26</v>
      </c>
      <c r="V21" s="85">
        <f t="shared" si="1"/>
        <v>0</v>
      </c>
      <c r="W21" s="60">
        <v>0</v>
      </c>
      <c r="X21" s="60">
        <v>48517.4</v>
      </c>
      <c r="Y21" s="60">
        <v>0</v>
      </c>
      <c r="Z21" s="60">
        <v>0</v>
      </c>
      <c r="AA21" s="60">
        <v>23557.61</v>
      </c>
      <c r="AB21" s="60">
        <v>8168.08</v>
      </c>
      <c r="AC21" s="60"/>
      <c r="AD21" s="60"/>
      <c r="AE21" s="66"/>
      <c r="AF21" s="67">
        <f t="shared" si="15"/>
        <v>80243.09000000001</v>
      </c>
      <c r="AG21" s="75">
        <f t="shared" si="14"/>
        <v>82096.01800000001</v>
      </c>
      <c r="AH21" s="53">
        <f t="shared" si="2"/>
        <v>0</v>
      </c>
      <c r="AI21" s="53">
        <f t="shared" si="2"/>
        <v>0</v>
      </c>
      <c r="AJ21" s="139">
        <f>'[6]Т12'!$J$214</f>
        <v>114</v>
      </c>
      <c r="AK21" s="35">
        <f t="shared" si="3"/>
        <v>4117.5587</v>
      </c>
      <c r="AL21" s="35">
        <f t="shared" si="4"/>
        <v>1229.122</v>
      </c>
      <c r="AM21" s="35">
        <f t="shared" si="5"/>
        <v>6145.61</v>
      </c>
      <c r="AN21" s="35">
        <f t="shared" si="6"/>
        <v>1290.5781</v>
      </c>
      <c r="AO21" s="35">
        <f t="shared" si="7"/>
        <v>12414.1322</v>
      </c>
      <c r="AP21" s="35">
        <f t="shared" si="8"/>
        <v>6329.9783</v>
      </c>
      <c r="AQ21" s="35">
        <f t="shared" si="9"/>
        <v>4609.2074999999995</v>
      </c>
      <c r="AR21" s="35">
        <f t="shared" si="10"/>
        <v>4609.2074999999995</v>
      </c>
      <c r="AS21" s="140">
        <f>B21*1.15</f>
        <v>7067.451499999999</v>
      </c>
      <c r="AT21" s="54"/>
      <c r="AU21" s="55"/>
      <c r="AV21" s="55">
        <v>349</v>
      </c>
      <c r="AW21" s="55"/>
      <c r="AX21" s="55"/>
      <c r="AY21" s="56"/>
      <c r="AZ21" s="56"/>
      <c r="BA21" s="54"/>
      <c r="BB21" s="54"/>
      <c r="BC21" s="47">
        <f>SUM(AK21:BB21)</f>
        <v>48161.845799999996</v>
      </c>
      <c r="BD21" s="144">
        <f>'[6]Т12'!$S$214</f>
        <v>28.5</v>
      </c>
      <c r="BE21" s="38">
        <f t="shared" si="11"/>
        <v>48190.345799999996</v>
      </c>
      <c r="BF21" s="38">
        <f t="shared" si="12"/>
        <v>34019.672200000015</v>
      </c>
      <c r="BG21" s="38">
        <f t="shared" si="13"/>
        <v>26920.83000000001</v>
      </c>
      <c r="BH21" s="38"/>
      <c r="BI21" s="37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7"/>
      <c r="CF21" s="37"/>
      <c r="CG21" s="37"/>
      <c r="CH21" s="37"/>
      <c r="CI21" s="37"/>
      <c r="CJ21" s="37"/>
      <c r="CK21" s="38"/>
      <c r="CL21" s="38"/>
      <c r="CM21" s="38"/>
      <c r="CN21" s="38"/>
      <c r="CO21" s="38"/>
      <c r="CP21" s="87"/>
      <c r="CQ21" s="86"/>
    </row>
    <row r="22" spans="1:61" s="15" customFormat="1" ht="13.5" thickBot="1">
      <c r="A22" s="91" t="s">
        <v>6</v>
      </c>
      <c r="B22" s="92"/>
      <c r="C22" s="92">
        <f aca="true" t="shared" si="16" ref="C22:BF22">SUM(C10:C21)</f>
        <v>630786.4245000002</v>
      </c>
      <c r="D22" s="92">
        <f t="shared" si="16"/>
        <v>23369.444340000002</v>
      </c>
      <c r="E22" s="92">
        <f t="shared" si="16"/>
        <v>-44.97</v>
      </c>
      <c r="F22" s="92">
        <f t="shared" si="16"/>
        <v>0</v>
      </c>
      <c r="G22" s="92">
        <f t="shared" si="16"/>
        <v>382685.13</v>
      </c>
      <c r="H22" s="92">
        <f t="shared" si="16"/>
        <v>0</v>
      </c>
      <c r="I22" s="92">
        <f t="shared" si="16"/>
        <v>-61.04</v>
      </c>
      <c r="J22" s="92">
        <f t="shared" si="16"/>
        <v>0</v>
      </c>
      <c r="K22" s="92">
        <f t="shared" si="16"/>
        <v>-101.37</v>
      </c>
      <c r="L22" s="92">
        <f t="shared" si="16"/>
        <v>0</v>
      </c>
      <c r="M22" s="92">
        <f t="shared" si="16"/>
        <v>183498.16</v>
      </c>
      <c r="N22" s="92">
        <f t="shared" si="16"/>
        <v>0</v>
      </c>
      <c r="O22" s="92">
        <f t="shared" si="16"/>
        <v>64255.87</v>
      </c>
      <c r="P22" s="92">
        <f t="shared" si="16"/>
        <v>0</v>
      </c>
      <c r="Q22" s="92">
        <f t="shared" si="16"/>
        <v>0</v>
      </c>
      <c r="R22" s="92">
        <f t="shared" si="16"/>
        <v>0</v>
      </c>
      <c r="S22" s="92">
        <f t="shared" si="16"/>
        <v>0</v>
      </c>
      <c r="T22" s="92">
        <f t="shared" si="16"/>
        <v>0</v>
      </c>
      <c r="U22" s="92">
        <f t="shared" si="16"/>
        <v>630231.78</v>
      </c>
      <c r="V22" s="92">
        <f t="shared" si="16"/>
        <v>0</v>
      </c>
      <c r="W22" s="92">
        <f t="shared" si="16"/>
        <v>3018.1499999999996</v>
      </c>
      <c r="X22" s="92">
        <f t="shared" si="16"/>
        <v>309205.77</v>
      </c>
      <c r="Y22" s="92">
        <f t="shared" si="16"/>
        <v>4110.2</v>
      </c>
      <c r="Z22" s="92">
        <f t="shared" si="16"/>
        <v>6841.19</v>
      </c>
      <c r="AA22" s="92">
        <f t="shared" si="16"/>
        <v>169530.88</v>
      </c>
      <c r="AB22" s="92">
        <f t="shared" si="16"/>
        <v>58248.44</v>
      </c>
      <c r="AC22" s="92">
        <f t="shared" si="16"/>
        <v>0</v>
      </c>
      <c r="AD22" s="92">
        <f t="shared" si="16"/>
        <v>0</v>
      </c>
      <c r="AE22" s="92">
        <f t="shared" si="16"/>
        <v>0</v>
      </c>
      <c r="AF22" s="92">
        <f t="shared" si="16"/>
        <v>550954.63</v>
      </c>
      <c r="AG22" s="92">
        <f t="shared" si="16"/>
        <v>574324.07434</v>
      </c>
      <c r="AH22" s="92">
        <f t="shared" si="16"/>
        <v>0</v>
      </c>
      <c r="AI22" s="92">
        <f t="shared" si="16"/>
        <v>0</v>
      </c>
      <c r="AJ22" s="92">
        <f t="shared" si="16"/>
        <v>1368</v>
      </c>
      <c r="AK22" s="92">
        <f t="shared" si="16"/>
        <v>49430.04730000001</v>
      </c>
      <c r="AL22" s="92">
        <f t="shared" si="16"/>
        <v>14755.237999999998</v>
      </c>
      <c r="AM22" s="92">
        <f t="shared" si="16"/>
        <v>73776.19</v>
      </c>
      <c r="AN22" s="92">
        <f t="shared" si="16"/>
        <v>15492.999900000003</v>
      </c>
      <c r="AO22" s="92">
        <f t="shared" si="16"/>
        <v>149027.90379999997</v>
      </c>
      <c r="AP22" s="92">
        <f t="shared" si="16"/>
        <v>75989.47570000001</v>
      </c>
      <c r="AQ22" s="92">
        <f t="shared" si="16"/>
        <v>55332.14249999999</v>
      </c>
      <c r="AR22" s="92">
        <f t="shared" si="16"/>
        <v>55332.14249999999</v>
      </c>
      <c r="AS22" s="92">
        <f t="shared" si="16"/>
        <v>42420.61349999999</v>
      </c>
      <c r="AT22" s="92">
        <f t="shared" si="16"/>
        <v>0</v>
      </c>
      <c r="AU22" s="92">
        <f t="shared" si="16"/>
        <v>16849</v>
      </c>
      <c r="AV22" s="92">
        <f t="shared" si="16"/>
        <v>349</v>
      </c>
      <c r="AW22" s="92">
        <f t="shared" si="16"/>
        <v>36898</v>
      </c>
      <c r="AX22" s="92">
        <f t="shared" si="16"/>
        <v>31064.681</v>
      </c>
      <c r="AY22" s="92">
        <f t="shared" si="16"/>
        <v>0</v>
      </c>
      <c r="AZ22" s="92">
        <f t="shared" si="16"/>
        <v>0</v>
      </c>
      <c r="BA22" s="92">
        <f t="shared" si="16"/>
        <v>0</v>
      </c>
      <c r="BB22" s="92">
        <f t="shared" si="16"/>
        <v>0</v>
      </c>
      <c r="BC22" s="92">
        <f t="shared" si="16"/>
        <v>616717.4342</v>
      </c>
      <c r="BD22" s="92">
        <f t="shared" si="16"/>
        <v>342</v>
      </c>
      <c r="BE22" s="92">
        <f t="shared" si="16"/>
        <v>617059.4342</v>
      </c>
      <c r="BF22" s="92">
        <f t="shared" si="16"/>
        <v>-41367.35985999998</v>
      </c>
      <c r="BG22" s="92">
        <f>SUM(BG10:BG21)</f>
        <v>-79277.14999999997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7" ref="C24:L24">C22+C8</f>
        <v>630786.4245000002</v>
      </c>
      <c r="D24" s="98">
        <f t="shared" si="17"/>
        <v>23369.444340000002</v>
      </c>
      <c r="E24" s="98">
        <f t="shared" si="17"/>
        <v>-44.97</v>
      </c>
      <c r="F24" s="98">
        <f t="shared" si="17"/>
        <v>0</v>
      </c>
      <c r="G24" s="98">
        <f t="shared" si="17"/>
        <v>382685.13</v>
      </c>
      <c r="H24" s="98">
        <f t="shared" si="17"/>
        <v>0</v>
      </c>
      <c r="I24" s="98">
        <f t="shared" si="17"/>
        <v>-61.04</v>
      </c>
      <c r="J24" s="98">
        <f t="shared" si="17"/>
        <v>0</v>
      </c>
      <c r="K24" s="98">
        <f t="shared" si="17"/>
        <v>-101.37</v>
      </c>
      <c r="L24" s="98">
        <f t="shared" si="17"/>
        <v>0</v>
      </c>
      <c r="M24" s="98" t="e">
        <f>#REF!</f>
        <v>#REF!</v>
      </c>
      <c r="N24" s="98">
        <f aca="true" t="shared" si="18" ref="N24:BG24">N22+N8</f>
        <v>0</v>
      </c>
      <c r="O24" s="98">
        <f t="shared" si="18"/>
        <v>64255.87</v>
      </c>
      <c r="P24" s="98">
        <f t="shared" si="18"/>
        <v>0</v>
      </c>
      <c r="Q24" s="98">
        <f t="shared" si="18"/>
        <v>0</v>
      </c>
      <c r="R24" s="98">
        <f t="shared" si="18"/>
        <v>0</v>
      </c>
      <c r="S24" s="98">
        <f t="shared" si="18"/>
        <v>0</v>
      </c>
      <c r="T24" s="98">
        <f t="shared" si="18"/>
        <v>0</v>
      </c>
      <c r="U24" s="98">
        <f t="shared" si="18"/>
        <v>630231.78</v>
      </c>
      <c r="V24" s="98">
        <f t="shared" si="18"/>
        <v>0</v>
      </c>
      <c r="W24" s="98">
        <f t="shared" si="18"/>
        <v>3018.1499999999996</v>
      </c>
      <c r="X24" s="98">
        <f t="shared" si="18"/>
        <v>309205.77</v>
      </c>
      <c r="Y24" s="98">
        <f t="shared" si="18"/>
        <v>4110.2</v>
      </c>
      <c r="Z24" s="98">
        <f t="shared" si="18"/>
        <v>6841.19</v>
      </c>
      <c r="AA24" s="98">
        <f t="shared" si="18"/>
        <v>169530.88</v>
      </c>
      <c r="AB24" s="98">
        <f t="shared" si="18"/>
        <v>58248.44</v>
      </c>
      <c r="AC24" s="98">
        <f t="shared" si="18"/>
        <v>0</v>
      </c>
      <c r="AD24" s="98">
        <f t="shared" si="18"/>
        <v>0</v>
      </c>
      <c r="AE24" s="98">
        <f t="shared" si="18"/>
        <v>0</v>
      </c>
      <c r="AF24" s="98">
        <f t="shared" si="18"/>
        <v>550954.63</v>
      </c>
      <c r="AG24" s="98">
        <f t="shared" si="18"/>
        <v>574324.07434</v>
      </c>
      <c r="AH24" s="98">
        <f t="shared" si="18"/>
        <v>0</v>
      </c>
      <c r="AI24" s="98">
        <f t="shared" si="18"/>
        <v>0</v>
      </c>
      <c r="AJ24" s="98">
        <f t="shared" si="18"/>
        <v>1368</v>
      </c>
      <c r="AK24" s="98">
        <f t="shared" si="18"/>
        <v>49430.04730000001</v>
      </c>
      <c r="AL24" s="98">
        <f t="shared" si="18"/>
        <v>14755.237999999998</v>
      </c>
      <c r="AM24" s="98">
        <f t="shared" si="18"/>
        <v>73776.19</v>
      </c>
      <c r="AN24" s="98">
        <f t="shared" si="18"/>
        <v>15492.999900000003</v>
      </c>
      <c r="AO24" s="98">
        <f t="shared" si="18"/>
        <v>149027.90379999997</v>
      </c>
      <c r="AP24" s="98">
        <f t="shared" si="18"/>
        <v>75989.47570000001</v>
      </c>
      <c r="AQ24" s="98">
        <f t="shared" si="18"/>
        <v>55332.14249999999</v>
      </c>
      <c r="AR24" s="98">
        <f t="shared" si="18"/>
        <v>55332.14249999999</v>
      </c>
      <c r="AS24" s="98">
        <f t="shared" si="18"/>
        <v>42420.61349999999</v>
      </c>
      <c r="AT24" s="98">
        <f t="shared" si="18"/>
        <v>0</v>
      </c>
      <c r="AU24" s="98">
        <f t="shared" si="18"/>
        <v>16849</v>
      </c>
      <c r="AV24" s="98">
        <f t="shared" si="18"/>
        <v>349</v>
      </c>
      <c r="AW24" s="99">
        <f t="shared" si="18"/>
        <v>36898</v>
      </c>
      <c r="AX24" s="99">
        <f t="shared" si="18"/>
        <v>31064.681</v>
      </c>
      <c r="AY24" s="99">
        <f t="shared" si="18"/>
        <v>0</v>
      </c>
      <c r="AZ24" s="99">
        <f t="shared" si="18"/>
        <v>0</v>
      </c>
      <c r="BA24" s="99">
        <f t="shared" si="18"/>
        <v>0</v>
      </c>
      <c r="BB24" s="99">
        <f t="shared" si="18"/>
        <v>0</v>
      </c>
      <c r="BC24" s="99">
        <f t="shared" si="18"/>
        <v>616717.4342</v>
      </c>
      <c r="BD24" s="99">
        <f t="shared" si="18"/>
        <v>342</v>
      </c>
      <c r="BE24" s="99">
        <f t="shared" si="18"/>
        <v>617059.4342</v>
      </c>
      <c r="BF24" s="99">
        <f t="shared" si="18"/>
        <v>-41367.35985999998</v>
      </c>
      <c r="BG24" s="99">
        <f t="shared" si="18"/>
        <v>-79277.14999999997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7">
      <selection activeCell="G8" sqref="G8:H9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10.375" style="2" customWidth="1"/>
    <col min="4" max="4" width="9.125" style="2" customWidth="1"/>
    <col min="5" max="5" width="10.75390625" style="2" customWidth="1"/>
    <col min="6" max="6" width="6.75390625" style="2" customWidth="1"/>
    <col min="7" max="7" width="10.375" style="2" customWidth="1"/>
    <col min="8" max="8" width="10.25390625" style="2" customWidth="1"/>
    <col min="9" max="9" width="8.25390625" style="2" customWidth="1"/>
    <col min="10" max="11" width="9.00390625" style="2" customWidth="1"/>
    <col min="12" max="12" width="10.25390625" style="2" customWidth="1"/>
    <col min="13" max="13" width="9.125" style="2" customWidth="1"/>
    <col min="14" max="14" width="8.00390625" style="2" customWidth="1"/>
    <col min="15" max="15" width="10.25390625" style="2" customWidth="1"/>
    <col min="16" max="16" width="9.625" style="2" customWidth="1"/>
    <col min="17" max="17" width="10.75390625" style="2" customWidth="1"/>
    <col min="18" max="16384" width="9.125" style="2" customWidth="1"/>
  </cols>
  <sheetData>
    <row r="1" spans="2:9" ht="20.25" customHeight="1">
      <c r="B1" s="222" t="s">
        <v>70</v>
      </c>
      <c r="C1" s="222"/>
      <c r="D1" s="222"/>
      <c r="E1" s="222"/>
      <c r="F1" s="222"/>
      <c r="G1" s="222"/>
      <c r="H1" s="222"/>
      <c r="I1" s="142"/>
    </row>
    <row r="2" spans="2:12" ht="21" customHeight="1">
      <c r="B2" s="222" t="s">
        <v>71</v>
      </c>
      <c r="C2" s="222"/>
      <c r="D2" s="222"/>
      <c r="E2" s="222"/>
      <c r="F2" s="222"/>
      <c r="G2" s="222"/>
      <c r="H2" s="222"/>
      <c r="I2" s="142"/>
      <c r="K2" s="1"/>
      <c r="L2" s="1"/>
    </row>
    <row r="5" spans="1:14" ht="12.75">
      <c r="A5" s="223" t="s">
        <v>99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143"/>
    </row>
    <row r="6" spans="1:14" ht="12.75">
      <c r="A6" s="224" t="s">
        <v>72</v>
      </c>
      <c r="B6" s="224"/>
      <c r="C6" s="224"/>
      <c r="D6" s="224"/>
      <c r="E6" s="224"/>
      <c r="F6" s="224"/>
      <c r="G6" s="224"/>
      <c r="H6" s="100"/>
      <c r="I6" s="100"/>
      <c r="J6" s="100"/>
      <c r="K6" s="100"/>
      <c r="L6" s="100"/>
      <c r="M6" s="100"/>
      <c r="N6" s="100"/>
    </row>
    <row r="7" spans="1:15" ht="13.5" thickBot="1">
      <c r="A7" s="225" t="s">
        <v>73</v>
      </c>
      <c r="B7" s="225"/>
      <c r="C7" s="225"/>
      <c r="D7" s="225"/>
      <c r="E7" s="226">
        <v>8.55</v>
      </c>
      <c r="F7" s="225"/>
      <c r="J7" s="101"/>
      <c r="K7" s="101"/>
      <c r="L7" s="101"/>
      <c r="M7" s="101"/>
      <c r="N7" s="101"/>
      <c r="O7" s="101"/>
    </row>
    <row r="8" spans="1:17" ht="12.75" customHeight="1">
      <c r="A8" s="252" t="s">
        <v>74</v>
      </c>
      <c r="B8" s="255" t="s">
        <v>2</v>
      </c>
      <c r="C8" s="258" t="s">
        <v>100</v>
      </c>
      <c r="D8" s="261" t="s">
        <v>4</v>
      </c>
      <c r="E8" s="237" t="s">
        <v>75</v>
      </c>
      <c r="F8" s="155"/>
      <c r="G8" s="264" t="s">
        <v>76</v>
      </c>
      <c r="H8" s="265"/>
      <c r="I8" s="273" t="s">
        <v>97</v>
      </c>
      <c r="J8" s="246" t="s">
        <v>9</v>
      </c>
      <c r="K8" s="247"/>
      <c r="L8" s="247"/>
      <c r="M8" s="247"/>
      <c r="N8" s="247"/>
      <c r="O8" s="248"/>
      <c r="P8" s="227" t="s">
        <v>77</v>
      </c>
      <c r="Q8" s="227" t="s">
        <v>11</v>
      </c>
    </row>
    <row r="9" spans="1:17" ht="12.75">
      <c r="A9" s="253"/>
      <c r="B9" s="256"/>
      <c r="C9" s="259"/>
      <c r="D9" s="262"/>
      <c r="E9" s="238"/>
      <c r="F9" s="239"/>
      <c r="G9" s="266"/>
      <c r="H9" s="267"/>
      <c r="I9" s="274"/>
      <c r="J9" s="249"/>
      <c r="K9" s="250"/>
      <c r="L9" s="250"/>
      <c r="M9" s="250"/>
      <c r="N9" s="250"/>
      <c r="O9" s="251"/>
      <c r="P9" s="228"/>
      <c r="Q9" s="228"/>
    </row>
    <row r="10" spans="1:17" ht="26.25" customHeight="1">
      <c r="A10" s="253"/>
      <c r="B10" s="256"/>
      <c r="C10" s="259"/>
      <c r="D10" s="262"/>
      <c r="E10" s="230" t="s">
        <v>78</v>
      </c>
      <c r="F10" s="157"/>
      <c r="G10" s="102" t="s">
        <v>79</v>
      </c>
      <c r="H10" s="231" t="s">
        <v>80</v>
      </c>
      <c r="I10" s="274"/>
      <c r="J10" s="233" t="s">
        <v>81</v>
      </c>
      <c r="K10" s="235" t="s">
        <v>82</v>
      </c>
      <c r="L10" s="235" t="s">
        <v>83</v>
      </c>
      <c r="M10" s="235" t="s">
        <v>84</v>
      </c>
      <c r="N10" s="236" t="s">
        <v>98</v>
      </c>
      <c r="O10" s="232" t="s">
        <v>52</v>
      </c>
      <c r="P10" s="228"/>
      <c r="Q10" s="228"/>
    </row>
    <row r="11" spans="1:17" ht="66.75" customHeight="1" thickBot="1">
      <c r="A11" s="254"/>
      <c r="B11" s="257"/>
      <c r="C11" s="260"/>
      <c r="D11" s="263"/>
      <c r="E11" s="103" t="s">
        <v>85</v>
      </c>
      <c r="F11" s="104" t="s">
        <v>21</v>
      </c>
      <c r="G11" s="105" t="s">
        <v>86</v>
      </c>
      <c r="H11" s="232"/>
      <c r="I11" s="275"/>
      <c r="J11" s="234"/>
      <c r="K11" s="236"/>
      <c r="L11" s="236"/>
      <c r="M11" s="236"/>
      <c r="N11" s="276"/>
      <c r="O11" s="240"/>
      <c r="P11" s="229"/>
      <c r="Q11" s="229"/>
    </row>
    <row r="12" spans="1:17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  <c r="P12" s="107">
        <v>16</v>
      </c>
      <c r="Q12" s="106">
        <v>17</v>
      </c>
    </row>
    <row r="13" spans="1:19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272"/>
      <c r="J13" s="118"/>
      <c r="K13" s="119"/>
      <c r="L13" s="119"/>
      <c r="M13" s="120"/>
      <c r="N13" s="271"/>
      <c r="O13" s="121"/>
      <c r="P13" s="122"/>
      <c r="Q13" s="122"/>
      <c r="R13" s="1"/>
      <c r="S13" s="1"/>
    </row>
    <row r="14" spans="1:19" ht="12.75">
      <c r="A14" s="20" t="s">
        <v>58</v>
      </c>
      <c r="B14" s="123">
        <f>'2011 полн'!B10</f>
        <v>6150.22</v>
      </c>
      <c r="C14" s="123">
        <f>'2011 полн'!C10</f>
        <v>52584.38100000001</v>
      </c>
      <c r="D14" s="124">
        <f>'2011 полн'!D10</f>
        <v>2230.7516</v>
      </c>
      <c r="E14" s="119">
        <f>'2011 полн'!U10</f>
        <v>50246.13999999999</v>
      </c>
      <c r="F14" s="119">
        <f>'2011 полн'!V10</f>
        <v>0</v>
      </c>
      <c r="G14" s="125">
        <f>'2011 полн'!AF10</f>
        <v>0</v>
      </c>
      <c r="H14" s="125">
        <f>'2011 полн'!AG10</f>
        <v>2230.7516</v>
      </c>
      <c r="I14" s="125">
        <f>'2011 полн'!AJ10</f>
        <v>114</v>
      </c>
      <c r="J14" s="125">
        <f>'2011 полн'!AK10</f>
        <v>4120.647400000001</v>
      </c>
      <c r="K14" s="125">
        <f>'2011 полн'!AL10</f>
        <v>1230.044</v>
      </c>
      <c r="L14" s="119">
        <f>'2011 полн'!AM10+'2011 полн'!AN10+'2011 полн'!AO10+'2011 полн'!AP10+'2011 полн'!AQ10+'2011 полн'!AR10+'2011 полн'!AS10+'2011 полн'!AX10</f>
        <v>42726.5202</v>
      </c>
      <c r="M14" s="120">
        <f>'2011 полн'!AU10+'2011 полн'!AV10+'2011 полн'!AW10</f>
        <v>0</v>
      </c>
      <c r="N14" s="271">
        <f>'2011 полн'!BD10</f>
        <v>28.5</v>
      </c>
      <c r="O14" s="121">
        <f>'2011 полн'!BE10</f>
        <v>48105.7116</v>
      </c>
      <c r="P14" s="121">
        <f>'2011 полн'!BF10</f>
        <v>-45760.96</v>
      </c>
      <c r="Q14" s="121">
        <f>'2011 полн'!BG10</f>
        <v>-50246.13999999999</v>
      </c>
      <c r="R14" s="1"/>
      <c r="S14" s="1"/>
    </row>
    <row r="15" spans="1:19" ht="12.75">
      <c r="A15" s="20" t="s">
        <v>59</v>
      </c>
      <c r="B15" s="123">
        <f>'2011 полн'!B11</f>
        <v>6150.22</v>
      </c>
      <c r="C15" s="123">
        <f>'2011 полн'!C11</f>
        <v>52584.38100000001</v>
      </c>
      <c r="D15" s="124">
        <f>'2011 полн'!D11</f>
        <v>2189.0917400000003</v>
      </c>
      <c r="E15" s="119">
        <f>'2011 полн'!U11</f>
        <v>51932.700000000004</v>
      </c>
      <c r="F15" s="119">
        <f>'2011 полн'!V11</f>
        <v>0</v>
      </c>
      <c r="G15" s="125">
        <f>'2011 полн'!AF11</f>
        <v>24002.989999999998</v>
      </c>
      <c r="H15" s="125">
        <f>'2011 полн'!AG11</f>
        <v>26192.081739999998</v>
      </c>
      <c r="I15" s="125">
        <f>'2011 полн'!AJ11</f>
        <v>114</v>
      </c>
      <c r="J15" s="125">
        <f>'2011 полн'!AK11</f>
        <v>4120.647400000001</v>
      </c>
      <c r="K15" s="125">
        <f>'2011 полн'!AL11</f>
        <v>1230.044</v>
      </c>
      <c r="L15" s="119">
        <f>'2011 полн'!AM11+'2011 полн'!AN11+'2011 полн'!AO11+'2011 полн'!AP11+'2011 полн'!AQ11+'2011 полн'!AR11+'2011 полн'!AS11+'2011 полн'!AX11</f>
        <v>44702.0202</v>
      </c>
      <c r="M15" s="120">
        <f>'2011 полн'!AU11+'2011 полн'!AV11+'2011 полн'!AW11</f>
        <v>6894</v>
      </c>
      <c r="N15" s="271">
        <f>'2011 полн'!BD11</f>
        <v>28.5</v>
      </c>
      <c r="O15" s="121">
        <f>'2011 полн'!BE11</f>
        <v>56975.2116</v>
      </c>
      <c r="P15" s="121">
        <f>'2011 полн'!BF11</f>
        <v>-30669.129860000005</v>
      </c>
      <c r="Q15" s="121">
        <f>'2011 полн'!BG11</f>
        <v>-27929.710000000006</v>
      </c>
      <c r="R15" s="1"/>
      <c r="S15" s="1"/>
    </row>
    <row r="16" spans="1:19" ht="12.75">
      <c r="A16" s="20" t="s">
        <v>60</v>
      </c>
      <c r="B16" s="123">
        <f>'2011 полн'!B12</f>
        <v>6150.22</v>
      </c>
      <c r="C16" s="123">
        <f>'2011 полн'!C12</f>
        <v>52584.38100000001</v>
      </c>
      <c r="D16" s="124">
        <f>'2011 полн'!D12</f>
        <v>1965.3238000000001</v>
      </c>
      <c r="E16" s="119">
        <f>'2011 полн'!U12</f>
        <v>52467.67</v>
      </c>
      <c r="F16" s="119">
        <f>'2011 полн'!V12</f>
        <v>0</v>
      </c>
      <c r="G16" s="125">
        <f>'2011 полн'!AF12</f>
        <v>55090.420000000006</v>
      </c>
      <c r="H16" s="125">
        <f>'2011 полн'!AG12</f>
        <v>57055.743800000004</v>
      </c>
      <c r="I16" s="125">
        <f>'2011 полн'!AJ12</f>
        <v>114</v>
      </c>
      <c r="J16" s="125">
        <f>'2011 полн'!AK12</f>
        <v>4120.647400000001</v>
      </c>
      <c r="K16" s="125">
        <f>'2011 полн'!AL12</f>
        <v>1230.044</v>
      </c>
      <c r="L16" s="119">
        <f>'2011 полн'!AM12+'2011 полн'!AN12+'2011 полн'!AO12+'2011 полн'!AP12+'2011 полн'!AQ12+'2011 полн'!AR12+'2011 полн'!AS12+'2011 полн'!AX12</f>
        <v>42689.7952</v>
      </c>
      <c r="M16" s="120">
        <f>'2011 полн'!AU12+'2011 полн'!AV12+'2011 полн'!AW12</f>
        <v>3668</v>
      </c>
      <c r="N16" s="271">
        <f>'2011 полн'!BD12</f>
        <v>28.5</v>
      </c>
      <c r="O16" s="121">
        <f>'2011 полн'!BE12</f>
        <v>51736.986600000004</v>
      </c>
      <c r="P16" s="121">
        <f>'2011 полн'!BF12</f>
        <v>5432.7572</v>
      </c>
      <c r="Q16" s="121">
        <f>'2011 полн'!BG12</f>
        <v>2622.7500000000073</v>
      </c>
      <c r="R16" s="1"/>
      <c r="S16" s="1"/>
    </row>
    <row r="17" spans="1:19" ht="12.75">
      <c r="A17" s="20" t="s">
        <v>61</v>
      </c>
      <c r="B17" s="123">
        <f>'2011 полн'!B13</f>
        <v>6150.22</v>
      </c>
      <c r="C17" s="123">
        <f>'2011 полн'!C13</f>
        <v>52584.38100000001</v>
      </c>
      <c r="D17" s="124">
        <f>'2011 полн'!D13</f>
        <v>1965.3238000000001</v>
      </c>
      <c r="E17" s="119">
        <f>'2011 полн'!U13</f>
        <v>52472.119999999995</v>
      </c>
      <c r="F17" s="119">
        <f>'2011 полн'!V13</f>
        <v>0</v>
      </c>
      <c r="G17" s="125">
        <f>'2011 полн'!AF13</f>
        <v>45529.97</v>
      </c>
      <c r="H17" s="125">
        <f>'2011 полн'!AG13</f>
        <v>47495.2938</v>
      </c>
      <c r="I17" s="125">
        <f>'2011 полн'!AJ13</f>
        <v>114</v>
      </c>
      <c r="J17" s="125">
        <f>'2011 полн'!AK13</f>
        <v>4120.647400000001</v>
      </c>
      <c r="K17" s="125">
        <f>'2011 полн'!AL13</f>
        <v>1230.044</v>
      </c>
      <c r="L17" s="119">
        <f>'2011 полн'!AM13+'2011 полн'!AN13+'2011 полн'!AO13+'2011 полн'!AP13+'2011 полн'!AQ13+'2011 полн'!AR13+'2011 полн'!AS13+'2011 полн'!AX13</f>
        <v>35590.2672</v>
      </c>
      <c r="M17" s="120">
        <f>'2011 полн'!AU13+'2011 полн'!AV13+'2011 полн'!AW13</f>
        <v>0</v>
      </c>
      <c r="N17" s="271">
        <f>'2011 полн'!BD13</f>
        <v>28.5</v>
      </c>
      <c r="O17" s="121">
        <f>'2011 полн'!BE13</f>
        <v>40969.458600000005</v>
      </c>
      <c r="P17" s="121">
        <f>'2011 полн'!BF13</f>
        <v>6639.835199999994</v>
      </c>
      <c r="Q17" s="121">
        <f>'2011 полн'!BG13</f>
        <v>-6942.149999999994</v>
      </c>
      <c r="R17" s="1"/>
      <c r="S17" s="1"/>
    </row>
    <row r="18" spans="1:19" ht="12.75">
      <c r="A18" s="20" t="s">
        <v>62</v>
      </c>
      <c r="B18" s="123">
        <f>'2011 полн'!B14</f>
        <v>6150.22</v>
      </c>
      <c r="C18" s="123">
        <f>'2011 полн'!C14</f>
        <v>52584.38100000001</v>
      </c>
      <c r="D18" s="124">
        <f>'2011 полн'!D14</f>
        <v>1965.3238000000001</v>
      </c>
      <c r="E18" s="119">
        <f>'2011 полн'!U14</f>
        <v>52951.649999999994</v>
      </c>
      <c r="F18" s="119">
        <f>'2011 полн'!V14</f>
        <v>0</v>
      </c>
      <c r="G18" s="125">
        <f>'2011 полн'!AF14</f>
        <v>52760.619999999995</v>
      </c>
      <c r="H18" s="125">
        <f>'2011 полн'!AG14</f>
        <v>54725.943799999994</v>
      </c>
      <c r="I18" s="125">
        <f>'2011 полн'!AJ14</f>
        <v>114</v>
      </c>
      <c r="J18" s="125">
        <f>'2011 полн'!AK14</f>
        <v>4120.647400000001</v>
      </c>
      <c r="K18" s="125">
        <f>'2011 полн'!AL14</f>
        <v>1230.044</v>
      </c>
      <c r="L18" s="119">
        <f>'2011 полн'!AM14+'2011 полн'!AN14+'2011 полн'!AO14+'2011 полн'!AP14+'2011 полн'!AQ14+'2011 полн'!AR14+'2011 полн'!AS14+'2011 полн'!AX14</f>
        <v>40495.2672</v>
      </c>
      <c r="M18" s="120">
        <f>'2011 полн'!AU14+'2011 полн'!AV14+'2011 полн'!AW14</f>
        <v>19197</v>
      </c>
      <c r="N18" s="271">
        <f>'2011 полн'!BD14</f>
        <v>28.5</v>
      </c>
      <c r="O18" s="121">
        <f>'2011 полн'!BE14</f>
        <v>65071.458600000005</v>
      </c>
      <c r="P18" s="121">
        <f>'2011 полн'!BF14</f>
        <v>-10231.514800000012</v>
      </c>
      <c r="Q18" s="121">
        <f>'2011 полн'!BG14</f>
        <v>-191.02999999999884</v>
      </c>
      <c r="R18" s="1"/>
      <c r="S18" s="1"/>
    </row>
    <row r="19" spans="1:19" ht="12.75">
      <c r="A19" s="20" t="s">
        <v>63</v>
      </c>
      <c r="B19" s="123">
        <f>'2011 полн'!B15</f>
        <v>6148.52</v>
      </c>
      <c r="C19" s="123">
        <f>'2011 полн'!C15</f>
        <v>52569.846000000005</v>
      </c>
      <c r="D19" s="124">
        <f>'2011 полн'!D15</f>
        <v>1894.4948000000002</v>
      </c>
      <c r="E19" s="119">
        <f>'2011 полн'!U15</f>
        <v>52022.66</v>
      </c>
      <c r="F19" s="119">
        <f>'2011 полн'!V15</f>
        <v>0</v>
      </c>
      <c r="G19" s="125">
        <f>'2011 полн'!AF15</f>
        <v>49577.73</v>
      </c>
      <c r="H19" s="125">
        <f>'2011 полн'!AG15</f>
        <v>51472.2248</v>
      </c>
      <c r="I19" s="125">
        <f>'2011 полн'!AJ15</f>
        <v>114</v>
      </c>
      <c r="J19" s="125">
        <f>'2011 полн'!AK15</f>
        <v>4119.508400000001</v>
      </c>
      <c r="K19" s="125">
        <f>'2011 полн'!AL15</f>
        <v>1229.7040000000002</v>
      </c>
      <c r="L19" s="119">
        <f>'2011 полн'!AM15+'2011 полн'!AN15+'2011 полн'!AO15+'2011 полн'!AP15+'2011 полн'!AQ15+'2011 полн'!AR15+'2011 полн'!AS15+'2011 полн'!AX15</f>
        <v>44735.8912</v>
      </c>
      <c r="M19" s="120">
        <f>'2011 полн'!AU15+'2011 полн'!AV15+'2011 полн'!AW15</f>
        <v>3816</v>
      </c>
      <c r="N19" s="271">
        <f>'2011 полн'!BD15</f>
        <v>28.5</v>
      </c>
      <c r="O19" s="121">
        <f>'2011 полн'!BE15</f>
        <v>53929.6036</v>
      </c>
      <c r="P19" s="121">
        <f>'2011 полн'!BF15</f>
        <v>-2343.3787999999986</v>
      </c>
      <c r="Q19" s="121">
        <f>'2011 полн'!BG15</f>
        <v>-2444.9300000000003</v>
      </c>
      <c r="R19" s="1"/>
      <c r="S19" s="1"/>
    </row>
    <row r="20" spans="1:17" ht="12.75">
      <c r="A20" s="20" t="s">
        <v>64</v>
      </c>
      <c r="B20" s="123">
        <f>'2011 полн'!B16</f>
        <v>6148.52</v>
      </c>
      <c r="C20" s="123">
        <f>'2011 полн'!C16</f>
        <v>52569.846000000005</v>
      </c>
      <c r="D20" s="124">
        <f>'2011 полн'!D16</f>
        <v>1894.4948000000002</v>
      </c>
      <c r="E20" s="119">
        <f>'2011 полн'!U16</f>
        <v>52480.509999999995</v>
      </c>
      <c r="F20" s="119">
        <f>'2011 полн'!V16</f>
        <v>0</v>
      </c>
      <c r="G20" s="125">
        <f>'2011 полн'!AF16</f>
        <v>41963.86</v>
      </c>
      <c r="H20" s="125">
        <f>'2011 полн'!AG16</f>
        <v>43858.3548</v>
      </c>
      <c r="I20" s="125">
        <f>'2011 полн'!AJ16</f>
        <v>114</v>
      </c>
      <c r="J20" s="125">
        <f>'2011 полн'!AK16</f>
        <v>4119.508400000001</v>
      </c>
      <c r="K20" s="125">
        <f>'2011 полн'!AL16</f>
        <v>1229.7040000000002</v>
      </c>
      <c r="L20" s="119">
        <f>'2011 полн'!AM16+'2011 полн'!AN16+'2011 полн'!AO16+'2011 полн'!AP16+'2011 полн'!AQ16+'2011 полн'!AR16+'2011 полн'!AS16+'2011 полн'!AX16</f>
        <v>45574.635200000004</v>
      </c>
      <c r="M20" s="120">
        <f>'2011 полн'!AU16+'2011 полн'!AV16+'2011 полн'!AW16</f>
        <v>263</v>
      </c>
      <c r="N20" s="271">
        <f>'2011 полн'!BD16</f>
        <v>28.5</v>
      </c>
      <c r="O20" s="121">
        <f>'2011 полн'!BE16</f>
        <v>51215.34760000001</v>
      </c>
      <c r="P20" s="121">
        <f>'2011 полн'!BF16</f>
        <v>-7242.992800000007</v>
      </c>
      <c r="Q20" s="121">
        <f>'2011 полн'!BG16</f>
        <v>-10516.649999999994</v>
      </c>
    </row>
    <row r="21" spans="1:17" ht="12.75">
      <c r="A21" s="20" t="s">
        <v>65</v>
      </c>
      <c r="B21" s="123">
        <f>'2011 полн'!B17</f>
        <v>6145.61</v>
      </c>
      <c r="C21" s="123">
        <f>'2011 полн'!C17</f>
        <v>52544.9655</v>
      </c>
      <c r="D21" s="124">
        <f>'2011 полн'!D17</f>
        <v>1852.9279999999999</v>
      </c>
      <c r="E21" s="119">
        <f>'2011 полн'!U17</f>
        <v>52432</v>
      </c>
      <c r="F21" s="119">
        <f>'2011 полн'!V17</f>
        <v>0</v>
      </c>
      <c r="G21" s="125">
        <f>'2011 полн'!AF17</f>
        <v>44214.83</v>
      </c>
      <c r="H21" s="125">
        <f>'2011 полн'!AG17</f>
        <v>46067.758</v>
      </c>
      <c r="I21" s="125">
        <f>'2011 полн'!AJ17</f>
        <v>114</v>
      </c>
      <c r="J21" s="125">
        <f>'2011 полн'!AK17</f>
        <v>4117.5587</v>
      </c>
      <c r="K21" s="125">
        <f>'2011 полн'!AL17</f>
        <v>1229.122</v>
      </c>
      <c r="L21" s="119">
        <f>'2011 полн'!AM17+'2011 полн'!AN17+'2011 полн'!AO17+'2011 полн'!AP17+'2011 полн'!AQ17+'2011 полн'!AR17+'2011 полн'!AS17+'2011 полн'!AX17</f>
        <v>35398.713599999995</v>
      </c>
      <c r="M21" s="120">
        <f>'2011 полн'!AU17+'2011 полн'!AV17+'2011 полн'!AW17</f>
        <v>13500</v>
      </c>
      <c r="N21" s="271">
        <f>'2011 полн'!BD17</f>
        <v>28.5</v>
      </c>
      <c r="O21" s="121">
        <f>'2011 полн'!BE17</f>
        <v>54273.89429999999</v>
      </c>
      <c r="P21" s="121">
        <f>'2011 полн'!BF17</f>
        <v>-8092.136299999991</v>
      </c>
      <c r="Q21" s="121">
        <f>'2011 полн'!BG17</f>
        <v>-8217.169999999998</v>
      </c>
    </row>
    <row r="22" spans="1:17" ht="12.75">
      <c r="A22" s="20" t="s">
        <v>66</v>
      </c>
      <c r="B22" s="123">
        <f>'2011 полн'!B18</f>
        <v>6145.61</v>
      </c>
      <c r="C22" s="123">
        <f>'2011 полн'!C18</f>
        <v>52544.9655</v>
      </c>
      <c r="D22" s="124">
        <f>'2011 полн'!D18</f>
        <v>1852.9279999999999</v>
      </c>
      <c r="E22" s="119">
        <f>'2011 полн'!U18</f>
        <v>53290.88</v>
      </c>
      <c r="F22" s="119">
        <f>'2011 полн'!V18</f>
        <v>0</v>
      </c>
      <c r="G22" s="125">
        <f>'2011 полн'!AF18</f>
        <v>61001.31</v>
      </c>
      <c r="H22" s="125">
        <f>'2011 полн'!AG18</f>
        <v>62854.238</v>
      </c>
      <c r="I22" s="125">
        <f>'2011 полн'!AJ18</f>
        <v>114</v>
      </c>
      <c r="J22" s="125">
        <f>'2011 полн'!AK18</f>
        <v>4117.5587</v>
      </c>
      <c r="K22" s="125">
        <f>'2011 полн'!AL18</f>
        <v>1229.122</v>
      </c>
      <c r="L22" s="119">
        <f>'2011 полн'!AM18+'2011 полн'!AN18+'2011 полн'!AO18+'2011 полн'!AP18+'2011 полн'!AQ18+'2011 полн'!AR18+'2011 полн'!AS18+'2011 полн'!AX18</f>
        <v>35398.713599999995</v>
      </c>
      <c r="M22" s="120">
        <f>'2011 полн'!AU18+'2011 полн'!AV18+'2011 полн'!AW18</f>
        <v>385</v>
      </c>
      <c r="N22" s="271">
        <f>'2011 полн'!BD18</f>
        <v>28.5</v>
      </c>
      <c r="O22" s="121">
        <f>'2011 полн'!BE18</f>
        <v>41158.89429999999</v>
      </c>
      <c r="P22" s="121">
        <f>'2011 полн'!BF18</f>
        <v>21809.343700000005</v>
      </c>
      <c r="Q22" s="121">
        <f>'2011 полн'!BG18</f>
        <v>7710.43</v>
      </c>
    </row>
    <row r="23" spans="1:17" ht="12.75">
      <c r="A23" s="20" t="s">
        <v>67</v>
      </c>
      <c r="B23" s="123">
        <f>'2011 полн'!B19</f>
        <v>6145.61</v>
      </c>
      <c r="C23" s="123">
        <f>'2011 полн'!C19</f>
        <v>52544.9655</v>
      </c>
      <c r="D23" s="124">
        <f>'2011 полн'!D19</f>
        <v>1852.9279999999999</v>
      </c>
      <c r="E23" s="119">
        <f>'2011 полн'!U19</f>
        <v>53290.920000000006</v>
      </c>
      <c r="F23" s="119">
        <f>'2011 полн'!V19</f>
        <v>0</v>
      </c>
      <c r="G23" s="125">
        <f>'2011 полн'!AF19</f>
        <v>47415.41</v>
      </c>
      <c r="H23" s="125">
        <f>'2011 полн'!AG19</f>
        <v>49268.338</v>
      </c>
      <c r="I23" s="125">
        <f>'2011 полн'!AJ19</f>
        <v>114</v>
      </c>
      <c r="J23" s="125">
        <f>'2011 полн'!AK19</f>
        <v>4117.5587</v>
      </c>
      <c r="K23" s="125">
        <f>'2011 полн'!AL19</f>
        <v>1229.122</v>
      </c>
      <c r="L23" s="119">
        <f>'2011 полн'!AM19+'2011 полн'!AN19+'2011 полн'!AO19+'2011 полн'!AP19+'2011 полн'!AQ19+'2011 полн'!AR19+'2011 полн'!AS19+'2011 полн'!AX19</f>
        <v>46139.3151</v>
      </c>
      <c r="M23" s="120">
        <f>'2011 полн'!AU19+'2011 полн'!AV19+'2011 полн'!AW19</f>
        <v>6024</v>
      </c>
      <c r="N23" s="271">
        <f>'2011 полн'!BD19</f>
        <v>28.5</v>
      </c>
      <c r="O23" s="121">
        <f>'2011 полн'!BE19</f>
        <v>57538.4958</v>
      </c>
      <c r="P23" s="121">
        <f>'2011 полн'!BF19</f>
        <v>-8156.157799999994</v>
      </c>
      <c r="Q23" s="121">
        <f>'2011 полн'!BG19</f>
        <v>-5875.510000000002</v>
      </c>
    </row>
    <row r="24" spans="1:17" ht="12.75">
      <c r="A24" s="20" t="s">
        <v>68</v>
      </c>
      <c r="B24" s="123">
        <f>'2011 полн'!B20</f>
        <v>6145.61</v>
      </c>
      <c r="C24" s="123">
        <f>'2011 полн'!C20</f>
        <v>52544.9655</v>
      </c>
      <c r="D24" s="124">
        <f>'2011 полн'!D20</f>
        <v>1852.9279999999999</v>
      </c>
      <c r="E24" s="119">
        <f>'2011 полн'!U20</f>
        <v>53322.27</v>
      </c>
      <c r="F24" s="119">
        <f>'2011 полн'!V20</f>
        <v>0</v>
      </c>
      <c r="G24" s="125">
        <f>'2011 полн'!AF20</f>
        <v>49154.4</v>
      </c>
      <c r="H24" s="125">
        <f>'2011 полн'!AG20</f>
        <v>51007.328</v>
      </c>
      <c r="I24" s="125">
        <f>'2011 полн'!AJ20</f>
        <v>114</v>
      </c>
      <c r="J24" s="125">
        <f>'2011 полн'!AK20</f>
        <v>4117.5587</v>
      </c>
      <c r="K24" s="125">
        <f>'2011 полн'!AL20</f>
        <v>1229.122</v>
      </c>
      <c r="L24" s="119">
        <f>'2011 полн'!AM20+'2011 полн'!AN20+'2011 полн'!AO20+'2011 полн'!AP20+'2011 полн'!AQ20+'2011 полн'!AR20+'2011 полн'!AS20+'2011 полн'!AX20</f>
        <v>42518.8451</v>
      </c>
      <c r="M24" s="120">
        <f>'2011 полн'!AU20+'2011 полн'!AV20+'2011 полн'!AW20</f>
        <v>0</v>
      </c>
      <c r="N24" s="271">
        <f>'2011 полн'!BD20</f>
        <v>28.5</v>
      </c>
      <c r="O24" s="121">
        <f>'2011 полн'!BE20</f>
        <v>47894.025799999996</v>
      </c>
      <c r="P24" s="121">
        <f>'2011 полн'!BF20</f>
        <v>3227.3022000000055</v>
      </c>
      <c r="Q24" s="121">
        <f>'2011 полн'!BG20</f>
        <v>-4167.869999999995</v>
      </c>
    </row>
    <row r="25" spans="1:17" ht="13.5" thickBot="1">
      <c r="A25" s="126" t="s">
        <v>69</v>
      </c>
      <c r="B25" s="123">
        <f>'2011 полн'!B21</f>
        <v>6145.61</v>
      </c>
      <c r="C25" s="123">
        <f>'2011 полн'!C21</f>
        <v>52544.9655</v>
      </c>
      <c r="D25" s="124">
        <f>'2011 полн'!D21</f>
        <v>1852.9279999999999</v>
      </c>
      <c r="E25" s="119">
        <f>'2011 полн'!U21</f>
        <v>53322.26</v>
      </c>
      <c r="F25" s="119">
        <f>'2011 полн'!V21</f>
        <v>0</v>
      </c>
      <c r="G25" s="125">
        <f>'2011 полн'!AF21</f>
        <v>80243.09000000001</v>
      </c>
      <c r="H25" s="125">
        <f>'2011 полн'!AG21</f>
        <v>82096.01800000001</v>
      </c>
      <c r="I25" s="125">
        <f>'2011 полн'!AJ21</f>
        <v>114</v>
      </c>
      <c r="J25" s="125">
        <f>'2011 полн'!AK21</f>
        <v>4117.5587</v>
      </c>
      <c r="K25" s="125">
        <f>'2011 полн'!AL21</f>
        <v>1229.122</v>
      </c>
      <c r="L25" s="119">
        <f>'2011 полн'!AM21+'2011 полн'!AN21+'2011 полн'!AO21+'2011 полн'!AP21+'2011 полн'!AQ21+'2011 полн'!AR21+'2011 полн'!AS21+'2011 полн'!AX21</f>
        <v>42466.1651</v>
      </c>
      <c r="M25" s="120">
        <f>'2011 полн'!AU21+'2011 полн'!AV21+'2011 полн'!AW21</f>
        <v>349</v>
      </c>
      <c r="N25" s="271">
        <f>'2011 полн'!BD21</f>
        <v>28.5</v>
      </c>
      <c r="O25" s="121">
        <f>'2011 полн'!BE21</f>
        <v>48190.345799999996</v>
      </c>
      <c r="P25" s="121">
        <f>'2011 полн'!BF21</f>
        <v>34019.672200000015</v>
      </c>
      <c r="Q25" s="121">
        <f>'2011 полн'!BG21</f>
        <v>26920.83000000001</v>
      </c>
    </row>
    <row r="26" spans="1:17" ht="13.5" thickBot="1">
      <c r="A26" s="241" t="s">
        <v>87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143"/>
      <c r="O26" s="141"/>
      <c r="P26" s="108"/>
      <c r="Q26" s="108"/>
    </row>
    <row r="27" spans="1:19" s="15" customFormat="1" ht="13.5" thickBot="1">
      <c r="A27" s="109" t="s">
        <v>56</v>
      </c>
      <c r="B27" s="110"/>
      <c r="C27" s="111">
        <f aca="true" t="shared" si="0" ref="C27:Q27">SUM(C14:C26)</f>
        <v>630786.4245000002</v>
      </c>
      <c r="D27" s="111">
        <f t="shared" si="0"/>
        <v>23369.444340000002</v>
      </c>
      <c r="E27" s="111">
        <f t="shared" si="0"/>
        <v>630231.78</v>
      </c>
      <c r="F27" s="111">
        <f t="shared" si="0"/>
        <v>0</v>
      </c>
      <c r="G27" s="111">
        <f t="shared" si="0"/>
        <v>550954.63</v>
      </c>
      <c r="H27" s="111">
        <f t="shared" si="0"/>
        <v>574324.07434</v>
      </c>
      <c r="I27" s="111">
        <f t="shared" si="0"/>
        <v>1368</v>
      </c>
      <c r="J27" s="111">
        <f t="shared" si="0"/>
        <v>49430.04730000001</v>
      </c>
      <c r="K27" s="111">
        <f t="shared" si="0"/>
        <v>14755.237999999998</v>
      </c>
      <c r="L27" s="111">
        <f t="shared" si="0"/>
        <v>498436.14890000003</v>
      </c>
      <c r="M27" s="111">
        <f t="shared" si="0"/>
        <v>54096</v>
      </c>
      <c r="N27" s="111">
        <f t="shared" si="0"/>
        <v>342</v>
      </c>
      <c r="O27" s="111">
        <f t="shared" si="0"/>
        <v>617059.4342</v>
      </c>
      <c r="P27" s="111">
        <f t="shared" si="0"/>
        <v>-41367.35985999998</v>
      </c>
      <c r="Q27" s="111">
        <f t="shared" si="0"/>
        <v>-79277.14999999997</v>
      </c>
      <c r="R27" s="81"/>
      <c r="S27" s="93"/>
    </row>
    <row r="29" spans="1:18" ht="12.75">
      <c r="A29" s="15" t="s">
        <v>96</v>
      </c>
      <c r="D29" s="127" t="s">
        <v>88</v>
      </c>
      <c r="Q29" s="1"/>
      <c r="R29" s="1"/>
    </row>
    <row r="30" spans="1:18" ht="12.75">
      <c r="A30" s="17" t="s">
        <v>89</v>
      </c>
      <c r="B30" s="17" t="s">
        <v>90</v>
      </c>
      <c r="C30" s="243" t="s">
        <v>91</v>
      </c>
      <c r="D30" s="243"/>
      <c r="Q30" s="1"/>
      <c r="R30" s="1"/>
    </row>
    <row r="31" spans="1:18" ht="12.75">
      <c r="A31" s="128">
        <v>235977</v>
      </c>
      <c r="B31" s="128">
        <v>0</v>
      </c>
      <c r="C31" s="244">
        <f>A31-B31</f>
        <v>235977</v>
      </c>
      <c r="D31" s="245"/>
      <c r="Q31" s="1"/>
      <c r="R31" s="1"/>
    </row>
    <row r="32" spans="1:18" ht="12.75">
      <c r="A32" s="129"/>
      <c r="Q32" s="1"/>
      <c r="R32" s="1"/>
    </row>
    <row r="33" spans="1:18" ht="12.75">
      <c r="A33" s="2" t="s">
        <v>92</v>
      </c>
      <c r="G33" s="2" t="s">
        <v>93</v>
      </c>
      <c r="Q33" s="1"/>
      <c r="R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7">
    <mergeCell ref="N10:N11"/>
    <mergeCell ref="A26:M26"/>
    <mergeCell ref="C30:D30"/>
    <mergeCell ref="C31:D31"/>
    <mergeCell ref="J8:O9"/>
    <mergeCell ref="A8:A11"/>
    <mergeCell ref="B8:B11"/>
    <mergeCell ref="C8:C11"/>
    <mergeCell ref="D8:D11"/>
    <mergeCell ref="G8:H9"/>
    <mergeCell ref="I8:I11"/>
    <mergeCell ref="P8:P11"/>
    <mergeCell ref="Q8:Q11"/>
    <mergeCell ref="E10:F10"/>
    <mergeCell ref="H10:H11"/>
    <mergeCell ref="J10:J11"/>
    <mergeCell ref="K10:K11"/>
    <mergeCell ref="L10:L11"/>
    <mergeCell ref="M10:M11"/>
    <mergeCell ref="E8:F9"/>
    <mergeCell ref="O10:O11"/>
    <mergeCell ref="B1:H1"/>
    <mergeCell ref="B2:H2"/>
    <mergeCell ref="A5:M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2012-05-23T03:00:19Z</cp:lastPrinted>
  <dcterms:created xsi:type="dcterms:W3CDTF">2012-05-21T05:02:28Z</dcterms:created>
  <dcterms:modified xsi:type="dcterms:W3CDTF">2012-05-23T03:03:35Z</dcterms:modified>
  <cp:category/>
  <cp:version/>
  <cp:contentType/>
  <cp:contentStatus/>
</cp:coreProperties>
</file>