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<sst xmlns="http://schemas.openxmlformats.org/spreadsheetml/2006/main" count="316" uniqueCount="127">
  <si>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</si>
  <si>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</si>
  <si>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</si>
  <si>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</si>
  <si>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</si>
  <si>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</si>
  <si>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</si>
  <si>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</si>
  <si>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</si>
  <si>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</si>
  <si>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</si>
  <si>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</si>
  <si>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</si>
  <si>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</si>
  <si>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</si>
  <si>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</si>
  <si>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</si>
  <si>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</si>
  <si>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</si>
  <si>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</si>
  <si>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</si>
  <si>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</si>
  <si>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</si>
  <si>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</si>
  <si>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</si>
  <si>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</si>
  <si>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</si>
  <si>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</si>
  <si>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</si>
  <si>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</si>
  <si>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</si>
  <si>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</si>
  <si>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</si>
  <si>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</si>
  <si>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</si>
  <si>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</si>
  <si>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</si>
  <si>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</si>
  <si>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</si>
  <si>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</si>
  <si>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</si>
  <si>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</si>
  <si>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</si>
  <si>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</si>
  <si>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</si>
  <si>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</si>
  <si>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</si>
  <si>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</si>
  <si>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</si>
  <si>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</si>
  <si>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</si>
  <si>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</si>
  <si>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</si>
  <si>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</si>
  <si>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</si>
  <si>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</si>
  <si>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</si>
  <si>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</si>
  <si>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</si>
  <si>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</si>
  <si>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</si>
  <si>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</si>
  <si>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</si>
  <si>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</si>
  <si>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</si>
  <si>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</si>
  <si>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</si>
  <si>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</si>
  <si>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</si>
  <si>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</si>
  <si>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</si>
  <si>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</si>
  <si>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</si>
  <si>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</si>
  <si>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</si>
  <si>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</si>
  <si>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</si>
  <si>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</si>
  <si>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</si>
  <si>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</si>
  <si>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</si>
  <si>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</si>
  <si>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</si>
  <si>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</si>
  <si>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</si>
  <si>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</si>
  <si>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Выписка по лицевому счету по адресу г. Таштагол, ул. Ноградская, д. 13</t>
  </si>
  <si>
    <t>Лицевой счет по адресу г. Таштагол, ул. Ноградская, д. 13</t>
  </si>
  <si>
    <t>2010 год</t>
  </si>
  <si>
    <t>*по состоянию на 01.01.2011 г.</t>
  </si>
  <si>
    <t>на 01.01.2011 г.</t>
  </si>
  <si>
    <t>Расходы по нежил. помещениям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</si>
  <si>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</si>
  <si>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</si>
  <si>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</si>
  <si>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</si>
  <si>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</si>
  <si>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</si>
  <si>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</si>
  <si>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</si>
  <si>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</si>
  <si>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</si>
  <si>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</si>
  <si>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</si>
  <si>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</si>
  <si>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</si>
  <si>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</si>
  <si>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</si>
  <si>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</si>
  <si>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</si>
  <si>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</si>
  <si>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</si>
  <si>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</si>
  <si>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</si>
  <si>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</si>
  <si>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</si>
  <si>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</si>
  <si>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на 01.01.2012 г.</t>
  </si>
  <si>
    <t>Собрано квартплаты от населения</t>
  </si>
  <si>
    <t>Доходы от нежилых помещений</t>
  </si>
  <si>
    <t>Услуга начисления</t>
  </si>
  <si>
    <t>Расходы по нежилым помещениям</t>
  </si>
  <si>
    <t>Собрано по содержанию и тек.рем.</t>
  </si>
  <si>
    <t>2011 год</t>
  </si>
  <si>
    <t>*по состоянию на 01.04.2012 г.</t>
  </si>
  <si>
    <t>Исп. В.В. Колмогорова</t>
  </si>
  <si>
    <t>Выписка по лицевому счету по адресу г. Таштагол ул. Ноградская, д.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</si>
</sst>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5" xfId="34" applyNumberFormat="1" applyFont="1" applyFill="1" applyBorder="1" applyAlignment="1">
      <alignment horizontal="right" vertical="center" wrapText="1"/>
      <protection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7" borderId="29" xfId="0" applyNumberFormat="1" applyFont="1" applyFill="1" applyBorder="1" applyAlignment="1">
      <alignment/>
    </xf>
    <xf numFmtId="4" fontId="0" fillId="37" borderId="29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37" borderId="44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43" fontId="0" fillId="0" borderId="29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1" fillId="0" borderId="63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27" fillId="0" borderId="4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28" fillId="0" borderId="4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0" fontId="1" fillId="35" borderId="39" xfId="0" applyFont="1" applyFill="1" applyBorder="1" applyAlignment="1">
      <alignment horizontal="center" textRotation="90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27" fillId="0" borderId="3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28" fillId="0" borderId="3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30" xfId="0" applyNumberFormat="1" applyFont="1" applyFill="1" applyBorder="1" applyAlignment="1">
      <alignment horizontal="center"/>
    </xf>
    <xf numFmtId="4" fontId="0" fillId="0" borderId="7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35" borderId="30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48" fillId="33" borderId="11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35" borderId="30" xfId="0" applyFont="1" applyFill="1" applyBorder="1" applyAlignment="1">
      <alignment/>
    </xf>
    <xf numFmtId="0" fontId="29" fillId="0" borderId="20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" fillId="0" borderId="72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0" fillId="34" borderId="71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7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7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 wrapText="1"/>
    </xf>
    <xf numFmtId="4" fontId="0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" fontId="30" fillId="0" borderId="70" xfId="34" applyNumberFormat="1" applyFont="1" applyFill="1" applyBorder="1" applyAlignment="1">
      <alignment horizontal="center" vertical="center" wrapText="1"/>
      <protection/>
    </xf>
    <xf numFmtId="2" fontId="0" fillId="0" borderId="20" xfId="0" applyNumberFormat="1" applyFont="1" applyFill="1" applyBorder="1" applyAlignment="1">
      <alignment horizontal="center"/>
    </xf>
    <xf numFmtId="4" fontId="2" fillId="34" borderId="71" xfId="0" applyNumberFormat="1" applyFont="1" applyFill="1" applyBorder="1" applyAlignment="1">
      <alignment horizontal="right" wrapText="1"/>
    </xf>
    <xf numFmtId="2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4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71">
          <cell r="I171">
            <v>114</v>
          </cell>
          <cell r="R171">
            <v>28.5</v>
          </cell>
        </row>
      </sheetData>
      <sheetData sheetId="1">
        <row r="172">
          <cell r="S172">
            <v>28.5</v>
          </cell>
        </row>
        <row r="173">
          <cell r="J173">
            <v>114</v>
          </cell>
        </row>
      </sheetData>
      <sheetData sheetId="2">
        <row r="173">
          <cell r="J173">
            <v>114</v>
          </cell>
          <cell r="S173">
            <v>28.5</v>
          </cell>
        </row>
      </sheetData>
      <sheetData sheetId="3">
        <row r="175">
          <cell r="S175">
            <v>28.5</v>
          </cell>
        </row>
      </sheetData>
      <sheetData sheetId="4">
        <row r="173">
          <cell r="J173">
            <v>114</v>
          </cell>
          <cell r="S173">
            <v>28.5</v>
          </cell>
        </row>
      </sheetData>
      <sheetData sheetId="5">
        <row r="173">
          <cell r="J173">
            <v>114</v>
          </cell>
          <cell r="S173">
            <v>28.5</v>
          </cell>
        </row>
      </sheetData>
      <sheetData sheetId="6">
        <row r="177">
          <cell r="J177">
            <v>114</v>
          </cell>
          <cell r="S177">
            <v>28.5</v>
          </cell>
        </row>
      </sheetData>
      <sheetData sheetId="7">
        <row r="181">
          <cell r="J181">
            <v>114</v>
          </cell>
          <cell r="S181">
            <v>28.5</v>
          </cell>
        </row>
      </sheetData>
      <sheetData sheetId="8">
        <row r="181">
          <cell r="J181">
            <v>114</v>
          </cell>
        </row>
      </sheetData>
      <sheetData sheetId="9">
        <row r="181">
          <cell r="S181">
            <v>28.5</v>
          </cell>
        </row>
      </sheetData>
      <sheetData sheetId="10">
        <row r="181">
          <cell r="J181">
            <v>114</v>
          </cell>
          <cell r="S181">
            <v>28.5</v>
          </cell>
        </row>
      </sheetData>
      <sheetData sheetId="11">
        <row r="205">
          <cell r="J205">
            <v>114</v>
          </cell>
          <cell r="S205">
            <v>28.5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75">
          <cell r="J175">
            <v>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81">
          <cell r="J181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T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42" sqref="AE42:AG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2.125" style="2" customWidth="1"/>
    <col min="4" max="4" width="10.375" style="2" customWidth="1"/>
    <col min="5" max="5" width="8.875" style="2" customWidth="1"/>
    <col min="6" max="6" width="9.00390625" style="2" customWidth="1"/>
    <col min="7" max="7" width="10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00390625" style="2" customWidth="1"/>
    <col min="16" max="16" width="6.375" style="2" customWidth="1"/>
    <col min="17" max="17" width="8.875" style="2" customWidth="1"/>
    <col min="18" max="18" width="8.25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875" style="2" customWidth="1"/>
    <col min="52" max="52" width="6.625" style="2" customWidth="1"/>
    <col min="53" max="53" width="6.875" style="2" customWidth="1"/>
    <col min="54" max="55" width="11.8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207" t="s">
        <v>87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08" t="s">
        <v>0</v>
      </c>
      <c r="B3" s="211" t="s">
        <v>1</v>
      </c>
      <c r="C3" s="211" t="s">
        <v>2</v>
      </c>
      <c r="D3" s="211" t="s">
        <v>3</v>
      </c>
      <c r="E3" s="214" t="s">
        <v>4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04" t="s">
        <v>5</v>
      </c>
      <c r="T3" s="204"/>
      <c r="U3" s="205" t="s">
        <v>6</v>
      </c>
      <c r="V3" s="205"/>
      <c r="W3" s="205"/>
      <c r="X3" s="205"/>
      <c r="Y3" s="205"/>
      <c r="Z3" s="205"/>
      <c r="AA3" s="205"/>
      <c r="AB3" s="205"/>
      <c r="AC3" s="189" t="s">
        <v>7</v>
      </c>
      <c r="AD3" s="189" t="s">
        <v>8</v>
      </c>
      <c r="AE3" s="189" t="s">
        <v>9</v>
      </c>
      <c r="AF3" s="112"/>
      <c r="AG3" s="190" t="s">
        <v>10</v>
      </c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73"/>
      <c r="BD3" s="198" t="s">
        <v>11</v>
      </c>
      <c r="BE3" s="201" t="s">
        <v>12</v>
      </c>
    </row>
    <row r="4" spans="1:57" ht="36" customHeight="1" thickBot="1">
      <c r="A4" s="209"/>
      <c r="B4" s="212"/>
      <c r="C4" s="212"/>
      <c r="D4" s="212"/>
      <c r="E4" s="197" t="s">
        <v>13</v>
      </c>
      <c r="F4" s="197"/>
      <c r="G4" s="197" t="s">
        <v>14</v>
      </c>
      <c r="H4" s="197"/>
      <c r="I4" s="197" t="s">
        <v>15</v>
      </c>
      <c r="J4" s="197"/>
      <c r="K4" s="197" t="s">
        <v>16</v>
      </c>
      <c r="L4" s="197"/>
      <c r="M4" s="197" t="s">
        <v>17</v>
      </c>
      <c r="N4" s="197"/>
      <c r="O4" s="197" t="s">
        <v>18</v>
      </c>
      <c r="P4" s="197"/>
      <c r="Q4" s="197" t="s">
        <v>19</v>
      </c>
      <c r="R4" s="197"/>
      <c r="S4" s="197"/>
      <c r="T4" s="197"/>
      <c r="U4" s="206"/>
      <c r="V4" s="206"/>
      <c r="W4" s="206"/>
      <c r="X4" s="206"/>
      <c r="Y4" s="206"/>
      <c r="Z4" s="206"/>
      <c r="AA4" s="206"/>
      <c r="AB4" s="206"/>
      <c r="AC4" s="187"/>
      <c r="AD4" s="187"/>
      <c r="AE4" s="187"/>
      <c r="AF4" s="110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4"/>
      <c r="BD4" s="199"/>
      <c r="BE4" s="202"/>
    </row>
    <row r="5" spans="1:57" ht="29.25" customHeight="1" thickBot="1">
      <c r="A5" s="209"/>
      <c r="B5" s="212"/>
      <c r="C5" s="212"/>
      <c r="D5" s="212"/>
      <c r="E5" s="191" t="s">
        <v>20</v>
      </c>
      <c r="F5" s="191" t="s">
        <v>21</v>
      </c>
      <c r="G5" s="191" t="s">
        <v>20</v>
      </c>
      <c r="H5" s="191" t="s">
        <v>21</v>
      </c>
      <c r="I5" s="191" t="s">
        <v>20</v>
      </c>
      <c r="J5" s="191" t="s">
        <v>21</v>
      </c>
      <c r="K5" s="191" t="s">
        <v>20</v>
      </c>
      <c r="L5" s="191" t="s">
        <v>21</v>
      </c>
      <c r="M5" s="191" t="s">
        <v>20</v>
      </c>
      <c r="N5" s="191" t="s">
        <v>21</v>
      </c>
      <c r="O5" s="191" t="s">
        <v>20</v>
      </c>
      <c r="P5" s="191" t="s">
        <v>21</v>
      </c>
      <c r="Q5" s="191" t="s">
        <v>20</v>
      </c>
      <c r="R5" s="191" t="s">
        <v>21</v>
      </c>
      <c r="S5" s="191" t="s">
        <v>20</v>
      </c>
      <c r="T5" s="191" t="s">
        <v>21</v>
      </c>
      <c r="U5" s="187" t="s">
        <v>22</v>
      </c>
      <c r="V5" s="187" t="s">
        <v>23</v>
      </c>
      <c r="W5" s="187" t="s">
        <v>24</v>
      </c>
      <c r="X5" s="187" t="s">
        <v>25</v>
      </c>
      <c r="Y5" s="187" t="s">
        <v>26</v>
      </c>
      <c r="Z5" s="187" t="s">
        <v>27</v>
      </c>
      <c r="AA5" s="187" t="s">
        <v>28</v>
      </c>
      <c r="AB5" s="187" t="s">
        <v>29</v>
      </c>
      <c r="AC5" s="187"/>
      <c r="AD5" s="187"/>
      <c r="AE5" s="187"/>
      <c r="AF5" s="110"/>
      <c r="AG5" s="176" t="s">
        <v>30</v>
      </c>
      <c r="AH5" s="176" t="s">
        <v>31</v>
      </c>
      <c r="AI5" s="176" t="s">
        <v>32</v>
      </c>
      <c r="AJ5" s="176" t="s">
        <v>33</v>
      </c>
      <c r="AK5" s="176" t="s">
        <v>34</v>
      </c>
      <c r="AL5" s="176" t="s">
        <v>33</v>
      </c>
      <c r="AM5" s="176" t="s">
        <v>35</v>
      </c>
      <c r="AN5" s="176" t="s">
        <v>33</v>
      </c>
      <c r="AO5" s="176" t="s">
        <v>36</v>
      </c>
      <c r="AP5" s="176" t="s">
        <v>33</v>
      </c>
      <c r="AQ5" s="195" t="s">
        <v>78</v>
      </c>
      <c r="AR5" s="185" t="s">
        <v>33</v>
      </c>
      <c r="AS5" s="193" t="s">
        <v>84</v>
      </c>
      <c r="AT5" s="181" t="s">
        <v>83</v>
      </c>
      <c r="AU5" s="181" t="s">
        <v>33</v>
      </c>
      <c r="AV5" s="178" t="s">
        <v>79</v>
      </c>
      <c r="AW5" s="179"/>
      <c r="AX5" s="180"/>
      <c r="AY5" s="176" t="s">
        <v>19</v>
      </c>
      <c r="AZ5" s="176" t="s">
        <v>38</v>
      </c>
      <c r="BA5" s="176" t="s">
        <v>33</v>
      </c>
      <c r="BB5" s="176" t="s">
        <v>39</v>
      </c>
      <c r="BC5" s="183" t="s">
        <v>91</v>
      </c>
      <c r="BD5" s="199"/>
      <c r="BE5" s="202"/>
    </row>
    <row r="6" spans="1:57" ht="54" customHeight="1" thickBot="1">
      <c r="A6" s="210"/>
      <c r="B6" s="213"/>
      <c r="C6" s="213"/>
      <c r="D6" s="213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11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96"/>
      <c r="AR6" s="186"/>
      <c r="AS6" s="194"/>
      <c r="AT6" s="182"/>
      <c r="AU6" s="182"/>
      <c r="AV6" s="123" t="s">
        <v>80</v>
      </c>
      <c r="AW6" s="123" t="s">
        <v>81</v>
      </c>
      <c r="AX6" s="123" t="s">
        <v>82</v>
      </c>
      <c r="AY6" s="177"/>
      <c r="AZ6" s="177"/>
      <c r="BA6" s="177"/>
      <c r="BB6" s="177"/>
      <c r="BC6" s="184"/>
      <c r="BD6" s="200"/>
      <c r="BE6" s="203"/>
    </row>
    <row r="7" spans="1:57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175">
        <v>56</v>
      </c>
      <c r="BD7" s="8">
        <v>55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170"/>
      <c r="BD8" s="7"/>
      <c r="BE8" s="12"/>
    </row>
    <row r="9" spans="1:57" ht="12.75">
      <c r="A9" s="13" t="s">
        <v>41</v>
      </c>
      <c r="B9" s="97">
        <v>2145.6</v>
      </c>
      <c r="C9" s="113">
        <f>B9*8.65</f>
        <v>18559.44</v>
      </c>
      <c r="D9" s="114">
        <f>C9*0.24088</f>
        <v>4470.5979072</v>
      </c>
      <c r="E9" s="134">
        <v>1466.98</v>
      </c>
      <c r="F9" s="134">
        <v>384.92</v>
      </c>
      <c r="G9" s="134">
        <v>1980.49</v>
      </c>
      <c r="H9" s="134">
        <v>519.64</v>
      </c>
      <c r="I9" s="134">
        <v>4767.75</v>
      </c>
      <c r="J9" s="134">
        <v>1251</v>
      </c>
      <c r="K9" s="134">
        <v>3300.77</v>
      </c>
      <c r="L9" s="134">
        <v>866.08</v>
      </c>
      <c r="M9" s="134">
        <v>1173.58</v>
      </c>
      <c r="N9" s="134">
        <v>307.94</v>
      </c>
      <c r="O9" s="134">
        <v>0</v>
      </c>
      <c r="P9" s="134">
        <v>0</v>
      </c>
      <c r="Q9" s="134">
        <v>0</v>
      </c>
      <c r="R9" s="134">
        <v>0</v>
      </c>
      <c r="S9" s="98">
        <f>E9+G9+I9+K9+M9+O9+Q9</f>
        <v>12689.570000000002</v>
      </c>
      <c r="T9" s="115">
        <f>P9+N9+L9+J9+H9+F9+R9</f>
        <v>3329.58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103">
        <v>0</v>
      </c>
      <c r="AA9" s="103">
        <v>0</v>
      </c>
      <c r="AB9" s="103">
        <f>SUM(U9:AA9)</f>
        <v>0</v>
      </c>
      <c r="AC9" s="132">
        <f>D9+T9+AB9</f>
        <v>7800.1779072</v>
      </c>
      <c r="AD9" s="133">
        <f>P9+Z9</f>
        <v>0</v>
      </c>
      <c r="AE9" s="119">
        <f>R9+AA9</f>
        <v>0</v>
      </c>
      <c r="AF9" s="119"/>
      <c r="AG9" s="31">
        <f>0.6*B9</f>
        <v>1287.36</v>
      </c>
      <c r="AH9" s="31">
        <f>B9*0.2*1.05826</f>
        <v>454.1205312</v>
      </c>
      <c r="AI9" s="31">
        <f>0.8518*B9</f>
        <v>1827.6220799999999</v>
      </c>
      <c r="AJ9" s="31">
        <f>AI9*0.18</f>
        <v>328.97197439999997</v>
      </c>
      <c r="AK9" s="31">
        <f>1.04*B9*0.9531</f>
        <v>2126.7702144</v>
      </c>
      <c r="AL9" s="31">
        <f>AK9*0.18</f>
        <v>382.81863859199996</v>
      </c>
      <c r="AM9" s="31">
        <f>(1.91)*B9*0.9531</f>
        <v>3905.895297599999</v>
      </c>
      <c r="AN9" s="31">
        <f>AM9*0.18</f>
        <v>703.0611535679998</v>
      </c>
      <c r="AO9" s="31"/>
      <c r="AP9" s="31">
        <f>AO9*0.18</f>
        <v>0</v>
      </c>
      <c r="AQ9" s="31"/>
      <c r="AR9" s="31"/>
      <c r="AS9" s="101"/>
      <c r="AT9" s="101"/>
      <c r="AU9" s="30">
        <f>AS9*0.18</f>
        <v>0</v>
      </c>
      <c r="AV9" s="19"/>
      <c r="AW9" s="19"/>
      <c r="AX9" s="20">
        <v>0</v>
      </c>
      <c r="AY9" s="20">
        <v>0</v>
      </c>
      <c r="AZ9" s="20">
        <v>0</v>
      </c>
      <c r="BA9" s="19">
        <f>AZ9*0.18</f>
        <v>0</v>
      </c>
      <c r="BB9" s="19">
        <f>SUM(AG9:BA9)</f>
        <v>11016.619889759999</v>
      </c>
      <c r="BC9" s="170"/>
      <c r="BD9" s="19">
        <f>AC9-BB9</f>
        <v>-3216.441982559999</v>
      </c>
      <c r="BE9" s="21">
        <f>AB9-S9</f>
        <v>-12689.570000000002</v>
      </c>
    </row>
    <row r="10" spans="1:57" ht="12.75">
      <c r="A10" s="13" t="s">
        <v>42</v>
      </c>
      <c r="B10" s="97">
        <v>2145.6</v>
      </c>
      <c r="C10" s="113">
        <f>B10*8.65</f>
        <v>18559.44</v>
      </c>
      <c r="D10" s="114">
        <f>C10*0.24088</f>
        <v>4470.5979072</v>
      </c>
      <c r="E10" s="134">
        <v>1413.79</v>
      </c>
      <c r="F10" s="134">
        <v>366.42</v>
      </c>
      <c r="G10" s="134">
        <v>1908.59</v>
      </c>
      <c r="H10" s="134">
        <v>494.7</v>
      </c>
      <c r="I10" s="134">
        <v>4594.74</v>
      </c>
      <c r="J10" s="134">
        <v>1190.9</v>
      </c>
      <c r="K10" s="134">
        <v>3180.98</v>
      </c>
      <c r="L10" s="134">
        <v>824.44</v>
      </c>
      <c r="M10" s="134">
        <v>1131.02</v>
      </c>
      <c r="N10" s="134">
        <v>293.14</v>
      </c>
      <c r="O10" s="134">
        <v>0</v>
      </c>
      <c r="P10" s="134">
        <v>0</v>
      </c>
      <c r="Q10" s="98">
        <v>0</v>
      </c>
      <c r="R10" s="98">
        <v>0</v>
      </c>
      <c r="S10" s="98">
        <f>E10+G10+I10+K10+M10+O10+Q10</f>
        <v>12229.12</v>
      </c>
      <c r="T10" s="115">
        <f>P10+N10+L10+J10+H10+F10+R10</f>
        <v>3169.6</v>
      </c>
      <c r="U10" s="98">
        <v>908.98</v>
      </c>
      <c r="V10" s="98">
        <v>1227.25</v>
      </c>
      <c r="W10" s="98">
        <v>2954.36</v>
      </c>
      <c r="X10" s="98">
        <v>2045.41</v>
      </c>
      <c r="Y10" s="98">
        <v>727.38</v>
      </c>
      <c r="Z10" s="103">
        <v>0</v>
      </c>
      <c r="AA10" s="103">
        <v>0</v>
      </c>
      <c r="AB10" s="120">
        <f>SUM(U10:AA10)</f>
        <v>7863.38</v>
      </c>
      <c r="AC10" s="118">
        <f>D10+T10+AB10</f>
        <v>15503.5779072</v>
      </c>
      <c r="AD10" s="119">
        <f>P10+Z10</f>
        <v>0</v>
      </c>
      <c r="AE10" s="119">
        <f>R10+AA10</f>
        <v>0</v>
      </c>
      <c r="AF10" s="119"/>
      <c r="AG10" s="31">
        <f>0.6*B10</f>
        <v>1287.36</v>
      </c>
      <c r="AH10" s="31">
        <f>B10*0.201</f>
        <v>431.2656</v>
      </c>
      <c r="AI10" s="31">
        <f>0.8518*B10</f>
        <v>1827.6220799999999</v>
      </c>
      <c r="AJ10" s="31">
        <f>AI10*0.18</f>
        <v>328.97197439999997</v>
      </c>
      <c r="AK10" s="31">
        <f>1.04*B10*0.9532</f>
        <v>2126.9933568</v>
      </c>
      <c r="AL10" s="31">
        <f>AK10*0.18</f>
        <v>382.858804224</v>
      </c>
      <c r="AM10" s="31">
        <f>(1.91)*B10*0.9531</f>
        <v>3905.895297599999</v>
      </c>
      <c r="AN10" s="31">
        <f>AM10*0.18</f>
        <v>703.0611535679998</v>
      </c>
      <c r="AO10" s="31"/>
      <c r="AP10" s="31">
        <f>AO10*0.18</f>
        <v>0</v>
      </c>
      <c r="AQ10" s="31"/>
      <c r="AR10" s="31"/>
      <c r="AS10" s="101">
        <v>4255</v>
      </c>
      <c r="AT10" s="101"/>
      <c r="AU10" s="30">
        <f>AS10*0.18</f>
        <v>765.9</v>
      </c>
      <c r="AV10" s="19"/>
      <c r="AW10" s="19"/>
      <c r="AX10" s="20">
        <v>0</v>
      </c>
      <c r="AY10" s="20">
        <v>0</v>
      </c>
      <c r="AZ10" s="20">
        <v>0</v>
      </c>
      <c r="BA10" s="19">
        <f>AZ10*0.18</f>
        <v>0</v>
      </c>
      <c r="BB10" s="19">
        <f>SUM(AG10:BA10)</f>
        <v>16014.928266591998</v>
      </c>
      <c r="BC10" s="170"/>
      <c r="BD10" s="19">
        <f aca="true" t="shared" si="0" ref="BD10:BD24">AC10-BB10</f>
        <v>-511.3503593919977</v>
      </c>
      <c r="BE10" s="21">
        <f>AB10-S10</f>
        <v>-4365.740000000001</v>
      </c>
    </row>
    <row r="11" spans="1:57" ht="12.75">
      <c r="A11" s="13" t="s">
        <v>43</v>
      </c>
      <c r="B11" s="97">
        <v>2145.6</v>
      </c>
      <c r="C11" s="113">
        <f>B11*8.65</f>
        <v>18559.44</v>
      </c>
      <c r="D11" s="114">
        <f>C11*0.24035</f>
        <v>4460.761404</v>
      </c>
      <c r="E11" s="134">
        <v>1450.35</v>
      </c>
      <c r="F11" s="134">
        <v>347.57</v>
      </c>
      <c r="G11" s="134">
        <v>1957.98</v>
      </c>
      <c r="H11" s="134">
        <v>469.23</v>
      </c>
      <c r="I11" s="134">
        <v>4713.6</v>
      </c>
      <c r="J11" s="134">
        <v>1129.6</v>
      </c>
      <c r="K11" s="134">
        <v>3263.27</v>
      </c>
      <c r="L11" s="134">
        <v>782.03</v>
      </c>
      <c r="M11" s="134">
        <v>1160.26</v>
      </c>
      <c r="N11" s="134">
        <v>278.06</v>
      </c>
      <c r="O11" s="134">
        <v>0</v>
      </c>
      <c r="P11" s="135">
        <v>0</v>
      </c>
      <c r="Q11" s="134">
        <v>0</v>
      </c>
      <c r="R11" s="135">
        <v>0</v>
      </c>
      <c r="S11" s="98">
        <f>E11+G11+I11+K11+M11+O11+Q11</f>
        <v>12545.460000000001</v>
      </c>
      <c r="T11" s="115">
        <f>P11+N11+L11+J11+H11+F11+R11</f>
        <v>3006.49</v>
      </c>
      <c r="U11" s="98">
        <v>1286.99</v>
      </c>
      <c r="V11" s="98">
        <v>1737.35</v>
      </c>
      <c r="W11" s="98">
        <v>4182.48</v>
      </c>
      <c r="X11" s="98">
        <v>2895.51</v>
      </c>
      <c r="Y11" s="98">
        <v>1029.39</v>
      </c>
      <c r="Z11" s="103">
        <v>0</v>
      </c>
      <c r="AA11" s="103">
        <v>0</v>
      </c>
      <c r="AB11" s="120">
        <f>SUM(U11:AA11)</f>
        <v>11131.72</v>
      </c>
      <c r="AC11" s="118">
        <f>D11+T11+AB11</f>
        <v>18598.971404</v>
      </c>
      <c r="AD11" s="119">
        <f>P11+Z11</f>
        <v>0</v>
      </c>
      <c r="AE11" s="119">
        <f>R11+AA11</f>
        <v>0</v>
      </c>
      <c r="AF11" s="119"/>
      <c r="AG11" s="31">
        <f>0.6*B11</f>
        <v>1287.36</v>
      </c>
      <c r="AH11" s="31">
        <f>B11*0.2*1.02524</f>
        <v>439.95098879999995</v>
      </c>
      <c r="AI11" s="31">
        <f>0.84932*B11</f>
        <v>1822.300992</v>
      </c>
      <c r="AJ11" s="31">
        <f>AI11*0.18</f>
        <v>328.01417856</v>
      </c>
      <c r="AK11" s="31">
        <f>1.04*B11*0.95033</f>
        <v>2120.58916992</v>
      </c>
      <c r="AL11" s="31">
        <f>AK11*0.18</f>
        <v>381.7060505856</v>
      </c>
      <c r="AM11" s="31">
        <f>(1.91)*B11*0.95033</f>
        <v>3894.54357168</v>
      </c>
      <c r="AN11" s="31">
        <f>AM11*0.18</f>
        <v>701.0178429023999</v>
      </c>
      <c r="AO11" s="31"/>
      <c r="AP11" s="31">
        <f>AO11*0.18</f>
        <v>0</v>
      </c>
      <c r="AQ11" s="31"/>
      <c r="AR11" s="31"/>
      <c r="AS11" s="101">
        <v>4070</v>
      </c>
      <c r="AT11" s="101"/>
      <c r="AU11" s="30">
        <f>AS11*0.18</f>
        <v>732.6</v>
      </c>
      <c r="AV11" s="19"/>
      <c r="AW11" s="19"/>
      <c r="AX11" s="20">
        <v>0</v>
      </c>
      <c r="AY11" s="20">
        <v>0</v>
      </c>
      <c r="AZ11" s="20">
        <v>0</v>
      </c>
      <c r="BA11" s="19">
        <f>AZ11*0.18</f>
        <v>0</v>
      </c>
      <c r="BB11" s="19">
        <f>SUM(AG11:BA11)</f>
        <v>15778.082794447999</v>
      </c>
      <c r="BC11" s="170"/>
      <c r="BD11" s="19">
        <f t="shared" si="0"/>
        <v>2820.888609552001</v>
      </c>
      <c r="BE11" s="21">
        <f>AB11-S11</f>
        <v>-1413.7400000000016</v>
      </c>
    </row>
    <row r="12" spans="1:57" s="28" customFormat="1" ht="15" customHeight="1">
      <c r="A12" s="22" t="s">
        <v>5</v>
      </c>
      <c r="B12" s="23"/>
      <c r="C12" s="23">
        <f aca="true" t="shared" si="1" ref="C12:BE12">SUM(C9:C11)</f>
        <v>55678.31999999999</v>
      </c>
      <c r="D12" s="23">
        <f t="shared" si="1"/>
        <v>13401.957218399999</v>
      </c>
      <c r="E12" s="23">
        <f aca="true" t="shared" si="2" ref="E12:R12">SUM(E9:E11)</f>
        <v>4331.12</v>
      </c>
      <c r="F12" s="23">
        <f t="shared" si="2"/>
        <v>1098.91</v>
      </c>
      <c r="G12" s="23">
        <f t="shared" si="2"/>
        <v>5847.0599999999995</v>
      </c>
      <c r="H12" s="23">
        <f t="shared" si="2"/>
        <v>1483.57</v>
      </c>
      <c r="I12" s="23">
        <f t="shared" si="2"/>
        <v>14076.09</v>
      </c>
      <c r="J12" s="23">
        <f t="shared" si="2"/>
        <v>3571.5</v>
      </c>
      <c r="K12" s="23">
        <f t="shared" si="2"/>
        <v>9745.02</v>
      </c>
      <c r="L12" s="23">
        <f t="shared" si="2"/>
        <v>2472.55</v>
      </c>
      <c r="M12" s="23">
        <f t="shared" si="2"/>
        <v>3464.8599999999997</v>
      </c>
      <c r="N12" s="23">
        <f t="shared" si="2"/>
        <v>879.1399999999999</v>
      </c>
      <c r="O12" s="23">
        <f t="shared" si="2"/>
        <v>0</v>
      </c>
      <c r="P12" s="23">
        <f t="shared" si="2"/>
        <v>0</v>
      </c>
      <c r="Q12" s="23">
        <f t="shared" si="2"/>
        <v>0</v>
      </c>
      <c r="R12" s="23">
        <f t="shared" si="2"/>
        <v>0</v>
      </c>
      <c r="S12" s="24">
        <f t="shared" si="1"/>
        <v>37464.15</v>
      </c>
      <c r="T12" s="24">
        <f t="shared" si="1"/>
        <v>9505.67</v>
      </c>
      <c r="U12" s="25">
        <f t="shared" si="1"/>
        <v>2195.9700000000003</v>
      </c>
      <c r="V12" s="25">
        <f t="shared" si="1"/>
        <v>2964.6</v>
      </c>
      <c r="W12" s="25">
        <f t="shared" si="1"/>
        <v>7136.84</v>
      </c>
      <c r="X12" s="25">
        <f t="shared" si="1"/>
        <v>4940.92</v>
      </c>
      <c r="Y12" s="25">
        <f t="shared" si="1"/>
        <v>1756.77</v>
      </c>
      <c r="Z12" s="25">
        <f t="shared" si="1"/>
        <v>0</v>
      </c>
      <c r="AA12" s="25">
        <f t="shared" si="1"/>
        <v>0</v>
      </c>
      <c r="AB12" s="25">
        <f t="shared" si="1"/>
        <v>18995.1</v>
      </c>
      <c r="AC12" s="25">
        <f t="shared" si="1"/>
        <v>41902.7272184</v>
      </c>
      <c r="AD12" s="108">
        <f t="shared" si="1"/>
        <v>0</v>
      </c>
      <c r="AE12" s="108">
        <f t="shared" si="1"/>
        <v>0</v>
      </c>
      <c r="AF12" s="108"/>
      <c r="AG12" s="26">
        <f t="shared" si="1"/>
        <v>3862.08</v>
      </c>
      <c r="AH12" s="26">
        <f t="shared" si="1"/>
        <v>1325.33712</v>
      </c>
      <c r="AI12" s="26">
        <f t="shared" si="1"/>
        <v>5477.545152</v>
      </c>
      <c r="AJ12" s="26">
        <f t="shared" si="1"/>
        <v>985.9581273599999</v>
      </c>
      <c r="AK12" s="26">
        <f t="shared" si="1"/>
        <v>6374.35274112</v>
      </c>
      <c r="AL12" s="26">
        <f t="shared" si="1"/>
        <v>1147.3834934016</v>
      </c>
      <c r="AM12" s="26">
        <f>SUM(AM9:AM11)</f>
        <v>11706.334166879999</v>
      </c>
      <c r="AN12" s="26">
        <f>SUM(AN9:AN11)</f>
        <v>2107.1401500383995</v>
      </c>
      <c r="AO12" s="26">
        <f t="shared" si="1"/>
        <v>0</v>
      </c>
      <c r="AP12" s="26">
        <f t="shared" si="1"/>
        <v>0</v>
      </c>
      <c r="AQ12" s="26"/>
      <c r="AR12" s="26"/>
      <c r="AS12" s="93">
        <f t="shared" si="1"/>
        <v>8325</v>
      </c>
      <c r="AT12" s="93">
        <f t="shared" si="1"/>
        <v>0</v>
      </c>
      <c r="AU12" s="93">
        <f t="shared" si="1"/>
        <v>1498.5</v>
      </c>
      <c r="AV12" s="26"/>
      <c r="AW12" s="26"/>
      <c r="AX12" s="26">
        <f t="shared" si="1"/>
        <v>0</v>
      </c>
      <c r="AY12" s="26">
        <f t="shared" si="1"/>
        <v>0</v>
      </c>
      <c r="AZ12" s="26">
        <f t="shared" si="1"/>
        <v>0</v>
      </c>
      <c r="BA12" s="26">
        <f t="shared" si="1"/>
        <v>0</v>
      </c>
      <c r="BB12" s="26">
        <f t="shared" si="1"/>
        <v>42809.6309508</v>
      </c>
      <c r="BC12" s="170"/>
      <c r="BD12" s="26">
        <f t="shared" si="1"/>
        <v>-906.9037323999955</v>
      </c>
      <c r="BE12" s="27">
        <f t="shared" si="1"/>
        <v>-18469.050000000003</v>
      </c>
    </row>
    <row r="13" spans="1:57" ht="15" customHeight="1">
      <c r="A13" s="5" t="s">
        <v>44</v>
      </c>
      <c r="B13" s="91"/>
      <c r="C13" s="15"/>
      <c r="D13" s="1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2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06"/>
      <c r="AD13" s="107"/>
      <c r="AE13" s="107"/>
      <c r="AF13" s="107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0"/>
      <c r="AT13" s="100"/>
      <c r="AU13" s="30"/>
      <c r="AV13" s="19"/>
      <c r="AW13" s="19"/>
      <c r="AX13" s="20"/>
      <c r="AY13" s="20"/>
      <c r="AZ13" s="20"/>
      <c r="BA13" s="19"/>
      <c r="BB13" s="19"/>
      <c r="BC13" s="170"/>
      <c r="BD13" s="19"/>
      <c r="BE13" s="21"/>
    </row>
    <row r="14" spans="1:57" ht="12.75">
      <c r="A14" s="13" t="s">
        <v>45</v>
      </c>
      <c r="B14" s="116">
        <v>2145.6</v>
      </c>
      <c r="C14" s="113">
        <f aca="true" t="shared" si="3" ref="C14:C25">B14*8.65</f>
        <v>18559.44</v>
      </c>
      <c r="D14" s="114">
        <f>C14*0.125</f>
        <v>2319.93</v>
      </c>
      <c r="E14" s="134">
        <v>1450.28</v>
      </c>
      <c r="F14" s="134">
        <v>338.43</v>
      </c>
      <c r="G14" s="134">
        <v>1957.9</v>
      </c>
      <c r="H14" s="134">
        <v>456.9</v>
      </c>
      <c r="I14" s="134">
        <v>4713.4</v>
      </c>
      <c r="J14" s="134">
        <v>1099.91</v>
      </c>
      <c r="K14" s="134">
        <v>3263.12</v>
      </c>
      <c r="L14" s="134">
        <v>761.47</v>
      </c>
      <c r="M14" s="134">
        <v>1160.21</v>
      </c>
      <c r="N14" s="134">
        <v>270.75</v>
      </c>
      <c r="O14" s="134">
        <v>0</v>
      </c>
      <c r="P14" s="135">
        <v>0</v>
      </c>
      <c r="Q14" s="134">
        <v>0</v>
      </c>
      <c r="R14" s="135">
        <v>0</v>
      </c>
      <c r="S14" s="98">
        <f aca="true" t="shared" si="4" ref="S14:S25">E14+G14+I14+K14+M14+O14+Q14</f>
        <v>12544.91</v>
      </c>
      <c r="T14" s="115">
        <f aca="true" t="shared" si="5" ref="T14:T25">P14+N14+L14+J14+H14+F14+R14</f>
        <v>2927.46</v>
      </c>
      <c r="U14" s="98">
        <v>829.39</v>
      </c>
      <c r="V14" s="98">
        <v>1119.71</v>
      </c>
      <c r="W14" s="98">
        <v>2695.55</v>
      </c>
      <c r="X14" s="98">
        <v>1866.16</v>
      </c>
      <c r="Y14" s="98">
        <v>663.52</v>
      </c>
      <c r="Z14" s="103">
        <v>0</v>
      </c>
      <c r="AA14" s="103">
        <v>0</v>
      </c>
      <c r="AB14" s="117">
        <f aca="true" t="shared" si="6" ref="AB14:AB22">SUM(U14:AA14)</f>
        <v>7174.33</v>
      </c>
      <c r="AC14" s="118">
        <f aca="true" t="shared" si="7" ref="AC14:AC22">D14+T14+AB14</f>
        <v>12421.72</v>
      </c>
      <c r="AD14" s="119">
        <f aca="true" t="shared" si="8" ref="AD14:AD25">P14+Z14</f>
        <v>0</v>
      </c>
      <c r="AE14" s="119">
        <f aca="true" t="shared" si="9" ref="AE14:AE25">R14+AA14</f>
        <v>0</v>
      </c>
      <c r="AF14" s="119"/>
      <c r="AG14" s="31">
        <f>0.6*B14*0.9</f>
        <v>1158.624</v>
      </c>
      <c r="AH14" s="31">
        <f>B14*0.2*0.891</f>
        <v>382.34592000000004</v>
      </c>
      <c r="AI14" s="31">
        <f>0.85*B14*0.867-0.02</f>
        <v>1581.1799199999998</v>
      </c>
      <c r="AJ14" s="31">
        <f aca="true" t="shared" si="10" ref="AJ14:AJ25">AI14*0.18</f>
        <v>284.6123856</v>
      </c>
      <c r="AK14" s="31">
        <f>0.83*B14*0.8685</f>
        <v>1546.6664879999998</v>
      </c>
      <c r="AL14" s="31">
        <f aca="true" t="shared" si="11" ref="AL14:AL25">AK14*0.18</f>
        <v>278.39996784</v>
      </c>
      <c r="AM14" s="31">
        <f>1.91*B14*0.8686</f>
        <v>3559.6061855999997</v>
      </c>
      <c r="AN14" s="31">
        <f aca="true" t="shared" si="12" ref="AN14:AN25">AM14*0.18</f>
        <v>640.7291134079999</v>
      </c>
      <c r="AO14" s="31"/>
      <c r="AP14" s="31">
        <f aca="true" t="shared" si="13" ref="AP14:AR25">AO14*0.18</f>
        <v>0</v>
      </c>
      <c r="AQ14" s="124"/>
      <c r="AR14" s="124">
        <f>AQ14*0.18</f>
        <v>0</v>
      </c>
      <c r="AS14" s="101">
        <v>386</v>
      </c>
      <c r="AT14" s="101"/>
      <c r="AU14" s="101">
        <f>(AS14+AT14)*0.18+0.01</f>
        <v>69.49000000000001</v>
      </c>
      <c r="AV14" s="125"/>
      <c r="AW14" s="136">
        <v>839</v>
      </c>
      <c r="AX14" s="31">
        <f>AW14*1.12*1.18</f>
        <v>1108.8224</v>
      </c>
      <c r="AY14" s="126"/>
      <c r="AZ14" s="127"/>
      <c r="BA14" s="128"/>
      <c r="BB14" s="128">
        <f>SUM(AG14:AU14)+AY14</f>
        <v>9887.653980448</v>
      </c>
      <c r="BC14" s="170"/>
      <c r="BD14" s="19">
        <f>AC14-BB14</f>
        <v>2534.0660195519995</v>
      </c>
      <c r="BE14" s="21">
        <f aca="true" t="shared" si="14" ref="BE14:BE24">AB14-S14</f>
        <v>-5370.58</v>
      </c>
    </row>
    <row r="15" spans="1:57" ht="12.75">
      <c r="A15" s="13" t="s">
        <v>46</v>
      </c>
      <c r="B15" s="116">
        <v>2145.6</v>
      </c>
      <c r="C15" s="113">
        <f t="shared" si="3"/>
        <v>18559.44</v>
      </c>
      <c r="D15" s="114">
        <f>C15*0.125</f>
        <v>2319.93</v>
      </c>
      <c r="E15" s="134">
        <v>1466.01</v>
      </c>
      <c r="F15" s="134">
        <v>338.43</v>
      </c>
      <c r="G15" s="134">
        <v>1979.13</v>
      </c>
      <c r="H15" s="134">
        <v>456.9</v>
      </c>
      <c r="I15" s="134">
        <v>4764.51</v>
      </c>
      <c r="J15" s="134">
        <v>1099.91</v>
      </c>
      <c r="K15" s="134">
        <v>3298.51</v>
      </c>
      <c r="L15" s="134">
        <v>761.47</v>
      </c>
      <c r="M15" s="134">
        <v>1172.78</v>
      </c>
      <c r="N15" s="134">
        <v>270.75</v>
      </c>
      <c r="O15" s="134">
        <v>0</v>
      </c>
      <c r="P15" s="135">
        <v>0</v>
      </c>
      <c r="Q15" s="134">
        <v>0</v>
      </c>
      <c r="R15" s="135">
        <v>0</v>
      </c>
      <c r="S15" s="98">
        <f t="shared" si="4"/>
        <v>12680.940000000002</v>
      </c>
      <c r="T15" s="115">
        <f t="shared" si="5"/>
        <v>2927.46</v>
      </c>
      <c r="U15" s="98">
        <v>1214.61</v>
      </c>
      <c r="V15" s="98">
        <v>1639.73</v>
      </c>
      <c r="W15" s="98">
        <v>3947.54</v>
      </c>
      <c r="X15" s="98">
        <v>2732.93</v>
      </c>
      <c r="Y15" s="98">
        <v>971.71</v>
      </c>
      <c r="Z15" s="103">
        <v>0</v>
      </c>
      <c r="AA15" s="103">
        <v>0</v>
      </c>
      <c r="AB15" s="120">
        <f t="shared" si="6"/>
        <v>10506.52</v>
      </c>
      <c r="AC15" s="118">
        <f t="shared" si="7"/>
        <v>15753.91</v>
      </c>
      <c r="AD15" s="119">
        <f t="shared" si="8"/>
        <v>0</v>
      </c>
      <c r="AE15" s="119">
        <f t="shared" si="9"/>
        <v>0</v>
      </c>
      <c r="AF15" s="119"/>
      <c r="AG15" s="31">
        <f>0.6*B15*0.9</f>
        <v>1158.624</v>
      </c>
      <c r="AH15" s="31">
        <f>B15*0.2*0.9153</f>
        <v>392.773536</v>
      </c>
      <c r="AI15" s="31">
        <f>0.85*B15*0.867</f>
        <v>1581.1999199999998</v>
      </c>
      <c r="AJ15" s="31">
        <f t="shared" si="10"/>
        <v>284.61598559999993</v>
      </c>
      <c r="AK15" s="31">
        <f>0.83*B15*0.8684</f>
        <v>1546.4884031999998</v>
      </c>
      <c r="AL15" s="31">
        <f t="shared" si="11"/>
        <v>278.3679125759999</v>
      </c>
      <c r="AM15" s="31">
        <f>(1.91)*B15*0.8684</f>
        <v>3558.7865663999996</v>
      </c>
      <c r="AN15" s="31">
        <f t="shared" si="12"/>
        <v>640.581581952</v>
      </c>
      <c r="AO15" s="31"/>
      <c r="AP15" s="31">
        <f t="shared" si="13"/>
        <v>0</v>
      </c>
      <c r="AQ15" s="124"/>
      <c r="AR15" s="124">
        <f>AQ15*0.18</f>
        <v>0</v>
      </c>
      <c r="AS15" s="101"/>
      <c r="AT15" s="101"/>
      <c r="AU15" s="101">
        <f aca="true" t="shared" si="15" ref="AU15:AU25">(AS15+AT15)*0.18</f>
        <v>0</v>
      </c>
      <c r="AV15" s="125"/>
      <c r="AW15" s="136">
        <v>768</v>
      </c>
      <c r="AX15" s="31">
        <f>AW15*1.12*1.18</f>
        <v>1014.9888000000001</v>
      </c>
      <c r="AY15" s="126"/>
      <c r="AZ15" s="128"/>
      <c r="BA15" s="128"/>
      <c r="BB15" s="128">
        <f>SUM(AG15:AU15)+AY15</f>
        <v>9441.437905727998</v>
      </c>
      <c r="BC15" s="170"/>
      <c r="BD15" s="19">
        <f t="shared" si="0"/>
        <v>6312.472094272001</v>
      </c>
      <c r="BE15" s="21">
        <f t="shared" si="14"/>
        <v>-2174.420000000002</v>
      </c>
    </row>
    <row r="16" spans="1:57" ht="12.75">
      <c r="A16" s="13" t="s">
        <v>47</v>
      </c>
      <c r="B16" s="143">
        <v>2145.6</v>
      </c>
      <c r="C16" s="113">
        <f t="shared" si="3"/>
        <v>18559.44</v>
      </c>
      <c r="D16" s="114">
        <f>C16*0.125</f>
        <v>2319.93</v>
      </c>
      <c r="E16" s="134">
        <v>1447.61</v>
      </c>
      <c r="F16" s="134">
        <v>341.37</v>
      </c>
      <c r="G16" s="134">
        <v>1954.29</v>
      </c>
      <c r="H16" s="134">
        <v>460.88</v>
      </c>
      <c r="I16" s="134">
        <v>4704.73</v>
      </c>
      <c r="J16" s="134">
        <v>1109.49</v>
      </c>
      <c r="K16" s="134">
        <v>3257.12</v>
      </c>
      <c r="L16" s="134">
        <v>768.1</v>
      </c>
      <c r="M16" s="134">
        <v>1158.08</v>
      </c>
      <c r="N16" s="134">
        <v>273.1</v>
      </c>
      <c r="O16" s="134">
        <v>0</v>
      </c>
      <c r="P16" s="135">
        <v>0</v>
      </c>
      <c r="Q16" s="134">
        <v>0</v>
      </c>
      <c r="R16" s="135">
        <v>0</v>
      </c>
      <c r="S16" s="98">
        <f t="shared" si="4"/>
        <v>12521.83</v>
      </c>
      <c r="T16" s="115">
        <f t="shared" si="5"/>
        <v>2952.94</v>
      </c>
      <c r="U16" s="99">
        <v>1746.28</v>
      </c>
      <c r="V16" s="99">
        <v>2357.6</v>
      </c>
      <c r="W16" s="99">
        <v>5675.6</v>
      </c>
      <c r="X16" s="99">
        <v>3929.22</v>
      </c>
      <c r="Y16" s="99">
        <v>1397.06</v>
      </c>
      <c r="Z16" s="121">
        <v>0</v>
      </c>
      <c r="AA16" s="121">
        <v>0</v>
      </c>
      <c r="AB16" s="117">
        <f t="shared" si="6"/>
        <v>15105.759999999998</v>
      </c>
      <c r="AC16" s="118">
        <f t="shared" si="7"/>
        <v>20378.629999999997</v>
      </c>
      <c r="AD16" s="119">
        <f t="shared" si="8"/>
        <v>0</v>
      </c>
      <c r="AE16" s="119">
        <f t="shared" si="9"/>
        <v>0</v>
      </c>
      <c r="AF16" s="119"/>
      <c r="AG16" s="31">
        <f>0.6*B16*0.9</f>
        <v>1158.624</v>
      </c>
      <c r="AH16" s="122">
        <f>B16*0.2*0.9082</f>
        <v>389.726784</v>
      </c>
      <c r="AI16" s="31">
        <f>0.85*B16*0.8675</f>
        <v>1582.1118</v>
      </c>
      <c r="AJ16" s="31">
        <f t="shared" si="10"/>
        <v>284.78012399999994</v>
      </c>
      <c r="AK16" s="122">
        <f>0.83*B16*0.838</f>
        <v>1492.3506239999997</v>
      </c>
      <c r="AL16" s="31">
        <f t="shared" si="11"/>
        <v>268.62311231999996</v>
      </c>
      <c r="AM16" s="31">
        <f>1.91*B16*0.8381</f>
        <v>3434.6142575999993</v>
      </c>
      <c r="AN16" s="31">
        <f t="shared" si="12"/>
        <v>618.2305663679998</v>
      </c>
      <c r="AO16" s="31"/>
      <c r="AP16" s="31">
        <f t="shared" si="13"/>
        <v>0</v>
      </c>
      <c r="AQ16" s="124"/>
      <c r="AR16" s="124">
        <f>AQ16*0.18</f>
        <v>0</v>
      </c>
      <c r="AS16" s="101">
        <v>2104</v>
      </c>
      <c r="AT16" s="101"/>
      <c r="AU16" s="101">
        <f t="shared" si="15"/>
        <v>378.71999999999997</v>
      </c>
      <c r="AV16" s="125"/>
      <c r="AW16" s="137">
        <v>685</v>
      </c>
      <c r="AX16" s="31">
        <f>AW16*1.12*1.18</f>
        <v>905.296</v>
      </c>
      <c r="AY16" s="126"/>
      <c r="AZ16" s="128"/>
      <c r="BA16" s="128"/>
      <c r="BB16" s="128">
        <f>SUM(AG16:AU16)+AY16</f>
        <v>11711.781268287998</v>
      </c>
      <c r="BC16" s="170"/>
      <c r="BD16" s="19">
        <f t="shared" si="0"/>
        <v>8666.848731712</v>
      </c>
      <c r="BE16" s="21">
        <f t="shared" si="14"/>
        <v>2583.9299999999985</v>
      </c>
    </row>
    <row r="17" spans="1:57" ht="12.75">
      <c r="A17" s="13" t="s">
        <v>48</v>
      </c>
      <c r="B17" s="142">
        <v>2145.6</v>
      </c>
      <c r="C17" s="113">
        <f t="shared" si="3"/>
        <v>18559.44</v>
      </c>
      <c r="D17" s="114">
        <f>C17*0.125</f>
        <v>2319.93</v>
      </c>
      <c r="E17" s="138">
        <v>1463.63</v>
      </c>
      <c r="F17" s="138">
        <v>341.81</v>
      </c>
      <c r="G17" s="138">
        <v>1975.91</v>
      </c>
      <c r="H17" s="138">
        <v>461.47</v>
      </c>
      <c r="I17" s="138">
        <v>4756.78</v>
      </c>
      <c r="J17" s="138">
        <v>1110.9</v>
      </c>
      <c r="K17" s="138">
        <v>3293.16</v>
      </c>
      <c r="L17" s="138">
        <v>769.08</v>
      </c>
      <c r="M17" s="138">
        <v>1170.87</v>
      </c>
      <c r="N17" s="138">
        <v>273.46</v>
      </c>
      <c r="O17" s="138">
        <v>0</v>
      </c>
      <c r="P17" s="139">
        <v>0</v>
      </c>
      <c r="Q17" s="138">
        <v>0</v>
      </c>
      <c r="R17" s="139">
        <v>0</v>
      </c>
      <c r="S17" s="98">
        <f t="shared" si="4"/>
        <v>12660.349999999999</v>
      </c>
      <c r="T17" s="115">
        <f t="shared" si="5"/>
        <v>2956.72</v>
      </c>
      <c r="U17" s="98">
        <v>1183.36</v>
      </c>
      <c r="V17" s="98">
        <v>1598.33</v>
      </c>
      <c r="W17" s="98">
        <v>3847.83</v>
      </c>
      <c r="X17" s="98">
        <v>2663.9</v>
      </c>
      <c r="Y17" s="98">
        <v>947.15</v>
      </c>
      <c r="Z17" s="98">
        <v>0</v>
      </c>
      <c r="AA17" s="98">
        <v>0</v>
      </c>
      <c r="AB17" s="117">
        <f t="shared" si="6"/>
        <v>10240.57</v>
      </c>
      <c r="AC17" s="118">
        <f t="shared" si="7"/>
        <v>15517.22</v>
      </c>
      <c r="AD17" s="119">
        <f t="shared" si="8"/>
        <v>0</v>
      </c>
      <c r="AE17" s="119">
        <f t="shared" si="9"/>
        <v>0</v>
      </c>
      <c r="AF17" s="119"/>
      <c r="AG17" s="31">
        <f>0.6*B17*0.9</f>
        <v>1158.624</v>
      </c>
      <c r="AH17" s="122">
        <f>B17*0.2*0.9234</f>
        <v>396.249408</v>
      </c>
      <c r="AI17" s="31">
        <f>0.85*B17*0.8934</f>
        <v>1629.3471839999997</v>
      </c>
      <c r="AJ17" s="31">
        <f t="shared" si="10"/>
        <v>293.28249311999997</v>
      </c>
      <c r="AK17" s="31">
        <f>0.83*B17*0.8498</f>
        <v>1513.3646303999997</v>
      </c>
      <c r="AL17" s="31">
        <f t="shared" si="11"/>
        <v>272.4056334719999</v>
      </c>
      <c r="AM17" s="31">
        <f>(1.91)*B17*0.8498</f>
        <v>3482.5619807999997</v>
      </c>
      <c r="AN17" s="31">
        <f t="shared" si="12"/>
        <v>626.8611565439999</v>
      </c>
      <c r="AO17" s="31"/>
      <c r="AP17" s="31">
        <f t="shared" si="13"/>
        <v>0</v>
      </c>
      <c r="AQ17" s="124"/>
      <c r="AR17" s="124">
        <f t="shared" si="13"/>
        <v>0</v>
      </c>
      <c r="AS17" s="101">
        <v>9591.38</v>
      </c>
      <c r="AT17" s="101"/>
      <c r="AU17" s="101">
        <f t="shared" si="15"/>
        <v>1726.4483999999998</v>
      </c>
      <c r="AV17" s="125"/>
      <c r="AW17" s="140">
        <v>714</v>
      </c>
      <c r="AX17" s="31">
        <f>AW17*1.12*1.18</f>
        <v>943.6224</v>
      </c>
      <c r="AY17" s="126"/>
      <c r="AZ17" s="126"/>
      <c r="BA17" s="128"/>
      <c r="BB17" s="19">
        <f>SUM(AG17:BA17)-AV17-AW17+AX14+AX15+AX16</f>
        <v>24663.254486335998</v>
      </c>
      <c r="BC17" s="170"/>
      <c r="BD17" s="19">
        <f t="shared" si="0"/>
        <v>-9146.034486335999</v>
      </c>
      <c r="BE17" s="21">
        <f t="shared" si="14"/>
        <v>-2419.779999999999</v>
      </c>
    </row>
    <row r="18" spans="1:57" ht="12.75">
      <c r="A18" s="13" t="s">
        <v>49</v>
      </c>
      <c r="B18" s="143">
        <v>2145.6</v>
      </c>
      <c r="C18" s="113">
        <f t="shared" si="3"/>
        <v>18559.44</v>
      </c>
      <c r="D18" s="129">
        <f aca="true" t="shared" si="16" ref="D18:D25">C18-E18-F18-G18-H18-I18-J18-K18-L18-M18-N18</f>
        <v>1660.8899999999944</v>
      </c>
      <c r="E18" s="138">
        <v>1566.4</v>
      </c>
      <c r="F18" s="138">
        <v>384.56</v>
      </c>
      <c r="G18" s="138">
        <v>2120.11</v>
      </c>
      <c r="H18" s="138">
        <v>521.27</v>
      </c>
      <c r="I18" s="138">
        <v>5096.29</v>
      </c>
      <c r="J18" s="138">
        <v>1251.91</v>
      </c>
      <c r="K18" s="138">
        <v>3529.87</v>
      </c>
      <c r="L18" s="138">
        <v>867.37</v>
      </c>
      <c r="M18" s="138">
        <v>1253.14</v>
      </c>
      <c r="N18" s="138">
        <v>307.63</v>
      </c>
      <c r="O18" s="138">
        <v>0</v>
      </c>
      <c r="P18" s="139">
        <v>0</v>
      </c>
      <c r="Q18" s="138">
        <v>0</v>
      </c>
      <c r="R18" s="139">
        <v>0</v>
      </c>
      <c r="S18" s="98">
        <f t="shared" si="4"/>
        <v>13565.809999999998</v>
      </c>
      <c r="T18" s="115">
        <f t="shared" si="5"/>
        <v>3332.74</v>
      </c>
      <c r="U18" s="99">
        <v>870</v>
      </c>
      <c r="V18" s="99">
        <v>1174.51</v>
      </c>
      <c r="W18" s="99">
        <v>2827.49</v>
      </c>
      <c r="X18" s="99">
        <v>1957.54</v>
      </c>
      <c r="Y18" s="99">
        <v>696</v>
      </c>
      <c r="Z18" s="121">
        <v>0</v>
      </c>
      <c r="AA18" s="121">
        <v>0</v>
      </c>
      <c r="AB18" s="117">
        <f t="shared" si="6"/>
        <v>7525.54</v>
      </c>
      <c r="AC18" s="118">
        <f t="shared" si="7"/>
        <v>12519.169999999995</v>
      </c>
      <c r="AD18" s="119">
        <f t="shared" si="8"/>
        <v>0</v>
      </c>
      <c r="AE18" s="119">
        <f t="shared" si="9"/>
        <v>0</v>
      </c>
      <c r="AF18" s="119"/>
      <c r="AG18" s="31">
        <f aca="true" t="shared" si="17" ref="AG18:AG25">0.6*B18</f>
        <v>1287.36</v>
      </c>
      <c r="AH18" s="31">
        <f>B18*0.2*1.01</f>
        <v>433.4112</v>
      </c>
      <c r="AI18" s="31">
        <f>0.85*B18</f>
        <v>1823.7599999999998</v>
      </c>
      <c r="AJ18" s="31">
        <f t="shared" si="10"/>
        <v>328.2767999999999</v>
      </c>
      <c r="AK18" s="31">
        <f>0.83*B18</f>
        <v>1780.8479999999997</v>
      </c>
      <c r="AL18" s="31">
        <f t="shared" si="11"/>
        <v>320.55263999999994</v>
      </c>
      <c r="AM18" s="31">
        <f>(1.91)*B18</f>
        <v>4098.096</v>
      </c>
      <c r="AN18" s="31">
        <f t="shared" si="12"/>
        <v>737.6572799999999</v>
      </c>
      <c r="AO18" s="31"/>
      <c r="AP18" s="31">
        <f t="shared" si="13"/>
        <v>0</v>
      </c>
      <c r="AQ18" s="124"/>
      <c r="AR18" s="124">
        <f t="shared" si="13"/>
        <v>0</v>
      </c>
      <c r="AS18" s="101">
        <v>301.92</v>
      </c>
      <c r="AT18" s="101"/>
      <c r="AU18" s="101">
        <f t="shared" si="15"/>
        <v>54.3456</v>
      </c>
      <c r="AV18" s="125"/>
      <c r="AW18" s="141">
        <v>920</v>
      </c>
      <c r="AX18" s="31">
        <f aca="true" t="shared" si="18" ref="AX18:AX25">AW18*1.12*1.18</f>
        <v>1215.872</v>
      </c>
      <c r="AY18" s="126"/>
      <c r="AZ18" s="127"/>
      <c r="BA18" s="128"/>
      <c r="BB18" s="19">
        <f>SUM(AG18:BA18)-AV18-AW18</f>
        <v>12382.099519999998</v>
      </c>
      <c r="BC18" s="170"/>
      <c r="BD18" s="19">
        <f t="shared" si="0"/>
        <v>137.07047999999668</v>
      </c>
      <c r="BE18" s="21">
        <f t="shared" si="14"/>
        <v>-6040.269999999998</v>
      </c>
    </row>
    <row r="19" spans="1:57" ht="12.75">
      <c r="A19" s="13" t="s">
        <v>50</v>
      </c>
      <c r="B19" s="143">
        <v>2145.6</v>
      </c>
      <c r="C19" s="113">
        <f t="shared" si="3"/>
        <v>18559.44</v>
      </c>
      <c r="D19" s="129">
        <f t="shared" si="16"/>
        <v>1637.0299999999966</v>
      </c>
      <c r="E19" s="138">
        <v>1569.16</v>
      </c>
      <c r="F19" s="138">
        <v>384.56</v>
      </c>
      <c r="G19" s="138">
        <v>2123.86</v>
      </c>
      <c r="H19" s="138">
        <v>521.26</v>
      </c>
      <c r="I19" s="138">
        <v>5105.26</v>
      </c>
      <c r="J19" s="138">
        <v>1251.91</v>
      </c>
      <c r="K19" s="138">
        <v>3536.05</v>
      </c>
      <c r="L19" s="138">
        <v>867.38</v>
      </c>
      <c r="M19" s="138">
        <v>1255.34</v>
      </c>
      <c r="N19" s="138">
        <v>307.63</v>
      </c>
      <c r="O19" s="138">
        <v>0</v>
      </c>
      <c r="P19" s="139">
        <v>0</v>
      </c>
      <c r="Q19" s="138">
        <v>0</v>
      </c>
      <c r="R19" s="139">
        <v>0</v>
      </c>
      <c r="S19" s="98">
        <f t="shared" si="4"/>
        <v>13589.670000000002</v>
      </c>
      <c r="T19" s="115">
        <f t="shared" si="5"/>
        <v>3332.7400000000002</v>
      </c>
      <c r="U19" s="99">
        <v>1602.5</v>
      </c>
      <c r="V19" s="99">
        <v>2167.48</v>
      </c>
      <c r="W19" s="99">
        <v>5212.3</v>
      </c>
      <c r="X19" s="99">
        <v>3609.6</v>
      </c>
      <c r="Y19" s="99">
        <v>1282.06</v>
      </c>
      <c r="Z19" s="121">
        <v>0</v>
      </c>
      <c r="AA19" s="121">
        <v>0</v>
      </c>
      <c r="AB19" s="117">
        <f t="shared" si="6"/>
        <v>13873.94</v>
      </c>
      <c r="AC19" s="118">
        <f t="shared" si="7"/>
        <v>18843.71</v>
      </c>
      <c r="AD19" s="119">
        <f t="shared" si="8"/>
        <v>0</v>
      </c>
      <c r="AE19" s="119">
        <f t="shared" si="9"/>
        <v>0</v>
      </c>
      <c r="AF19" s="119"/>
      <c r="AG19" s="31">
        <f t="shared" si="17"/>
        <v>1287.36</v>
      </c>
      <c r="AH19" s="31">
        <f>B19*0.2*1.01045</f>
        <v>433.604304</v>
      </c>
      <c r="AI19" s="31">
        <f>0.85*B19</f>
        <v>1823.7599999999998</v>
      </c>
      <c r="AJ19" s="31">
        <f t="shared" si="10"/>
        <v>328.2767999999999</v>
      </c>
      <c r="AK19" s="31">
        <f>0.83*B19</f>
        <v>1780.8479999999997</v>
      </c>
      <c r="AL19" s="31">
        <f t="shared" si="11"/>
        <v>320.55263999999994</v>
      </c>
      <c r="AM19" s="31">
        <f>(1.91)*B19</f>
        <v>4098.096</v>
      </c>
      <c r="AN19" s="31">
        <f t="shared" si="12"/>
        <v>737.6572799999999</v>
      </c>
      <c r="AO19" s="31"/>
      <c r="AP19" s="31">
        <f t="shared" si="13"/>
        <v>0</v>
      </c>
      <c r="AQ19" s="124">
        <f>593.12+5495</f>
        <v>6088.12</v>
      </c>
      <c r="AR19" s="124">
        <f t="shared" si="13"/>
        <v>1095.8616</v>
      </c>
      <c r="AS19" s="101">
        <v>253.5</v>
      </c>
      <c r="AT19" s="101"/>
      <c r="AU19" s="101">
        <f t="shared" si="15"/>
        <v>45.629999999999995</v>
      </c>
      <c r="AV19" s="125"/>
      <c r="AW19" s="141">
        <v>992</v>
      </c>
      <c r="AX19" s="31">
        <f t="shared" si="18"/>
        <v>1311.0272000000002</v>
      </c>
      <c r="AY19" s="126"/>
      <c r="AZ19" s="127"/>
      <c r="BA19" s="128"/>
      <c r="BB19" s="19">
        <f aca="true" t="shared" si="19" ref="BB19:BB24">SUM(AG19:BA19)-AV19-AW19</f>
        <v>19604.293824</v>
      </c>
      <c r="BC19" s="170"/>
      <c r="BD19" s="19">
        <f t="shared" si="0"/>
        <v>-760.5838240000012</v>
      </c>
      <c r="BE19" s="21">
        <f t="shared" si="14"/>
        <v>284.2699999999986</v>
      </c>
    </row>
    <row r="20" spans="1:57" ht="12.75">
      <c r="A20" s="13" t="s">
        <v>51</v>
      </c>
      <c r="B20" s="116">
        <v>2145.6</v>
      </c>
      <c r="C20" s="113">
        <f t="shared" si="3"/>
        <v>18559.44</v>
      </c>
      <c r="D20" s="129">
        <f t="shared" si="16"/>
        <v>1650.430000000001</v>
      </c>
      <c r="E20" s="138">
        <v>1560.98</v>
      </c>
      <c r="F20" s="138">
        <v>391.19</v>
      </c>
      <c r="G20" s="138">
        <v>2112.77</v>
      </c>
      <c r="H20" s="138">
        <v>530.25</v>
      </c>
      <c r="I20" s="138">
        <v>5078.64</v>
      </c>
      <c r="J20" s="138">
        <v>1273.48</v>
      </c>
      <c r="K20" s="138">
        <v>3517.65</v>
      </c>
      <c r="L20" s="138">
        <v>882.31</v>
      </c>
      <c r="M20" s="138">
        <v>1248.81</v>
      </c>
      <c r="N20" s="138">
        <v>312.93</v>
      </c>
      <c r="O20" s="138">
        <v>0</v>
      </c>
      <c r="P20" s="139">
        <v>0</v>
      </c>
      <c r="Q20" s="138">
        <v>0</v>
      </c>
      <c r="R20" s="139">
        <v>0</v>
      </c>
      <c r="S20" s="98">
        <f t="shared" si="4"/>
        <v>13518.849999999999</v>
      </c>
      <c r="T20" s="115">
        <f t="shared" si="5"/>
        <v>3390.1600000000003</v>
      </c>
      <c r="U20" s="99">
        <v>1406.71</v>
      </c>
      <c r="V20" s="99">
        <v>1902.93</v>
      </c>
      <c r="W20" s="99">
        <v>4575.68</v>
      </c>
      <c r="X20" s="99">
        <v>3174.18</v>
      </c>
      <c r="Y20" s="99">
        <v>1125.39</v>
      </c>
      <c r="Z20" s="121">
        <v>0</v>
      </c>
      <c r="AA20" s="121">
        <v>0</v>
      </c>
      <c r="AB20" s="117">
        <f t="shared" si="6"/>
        <v>12184.89</v>
      </c>
      <c r="AC20" s="118">
        <f t="shared" si="7"/>
        <v>17225.48</v>
      </c>
      <c r="AD20" s="119">
        <f t="shared" si="8"/>
        <v>0</v>
      </c>
      <c r="AE20" s="119">
        <f t="shared" si="9"/>
        <v>0</v>
      </c>
      <c r="AF20" s="119"/>
      <c r="AG20" s="31">
        <f t="shared" si="17"/>
        <v>1287.36</v>
      </c>
      <c r="AH20" s="31">
        <f>B20*0.2*0.99425</f>
        <v>426.65256</v>
      </c>
      <c r="AI20" s="31">
        <f>0.85*B20*0.9857</f>
        <v>1797.6802319999997</v>
      </c>
      <c r="AJ20" s="31">
        <f t="shared" si="10"/>
        <v>323.58244175999994</v>
      </c>
      <c r="AK20" s="31">
        <f>0.83*B20*0.9905</f>
        <v>1763.9299439999998</v>
      </c>
      <c r="AL20" s="31">
        <f t="shared" si="11"/>
        <v>317.5073899199999</v>
      </c>
      <c r="AM20" s="31">
        <f>(1.91)*B20*0.9904</f>
        <v>4058.7542783999993</v>
      </c>
      <c r="AN20" s="31">
        <f t="shared" si="12"/>
        <v>730.5757701119999</v>
      </c>
      <c r="AO20" s="31"/>
      <c r="AP20" s="31">
        <f t="shared" si="13"/>
        <v>0</v>
      </c>
      <c r="AQ20" s="124"/>
      <c r="AR20" s="124">
        <f t="shared" si="13"/>
        <v>0</v>
      </c>
      <c r="AS20" s="101"/>
      <c r="AT20" s="101">
        <f>641.53*2</f>
        <v>1283.06</v>
      </c>
      <c r="AU20" s="101">
        <f t="shared" si="15"/>
        <v>230.9508</v>
      </c>
      <c r="AV20" s="125"/>
      <c r="AW20" s="141">
        <v>724</v>
      </c>
      <c r="AX20" s="31">
        <f t="shared" si="18"/>
        <v>956.8384000000001</v>
      </c>
      <c r="AY20" s="126"/>
      <c r="AZ20" s="127"/>
      <c r="BA20" s="128"/>
      <c r="BB20" s="19">
        <f t="shared" si="19"/>
        <v>13176.891816192</v>
      </c>
      <c r="BC20" s="170"/>
      <c r="BD20" s="19">
        <f>AC20-BB20</f>
        <v>4048.5881838080004</v>
      </c>
      <c r="BE20" s="21">
        <f t="shared" si="14"/>
        <v>-1333.9599999999991</v>
      </c>
    </row>
    <row r="21" spans="1:57" ht="12.75">
      <c r="A21" s="13" t="s">
        <v>52</v>
      </c>
      <c r="B21" s="116">
        <v>2142.4</v>
      </c>
      <c r="C21" s="113">
        <f t="shared" si="3"/>
        <v>18531.760000000002</v>
      </c>
      <c r="D21" s="129">
        <f t="shared" si="16"/>
        <v>1616.9700000000005</v>
      </c>
      <c r="E21" s="138">
        <v>1553.43</v>
      </c>
      <c r="F21" s="138">
        <v>399.4</v>
      </c>
      <c r="G21" s="138">
        <v>2102.54</v>
      </c>
      <c r="H21" s="138">
        <v>541.4</v>
      </c>
      <c r="I21" s="138">
        <v>5054.04</v>
      </c>
      <c r="J21" s="138">
        <v>1300.25</v>
      </c>
      <c r="K21" s="138">
        <v>3500.59</v>
      </c>
      <c r="L21" s="138">
        <v>900.88</v>
      </c>
      <c r="M21" s="138">
        <v>1242.76</v>
      </c>
      <c r="N21" s="138">
        <v>319.5</v>
      </c>
      <c r="O21" s="138">
        <v>0</v>
      </c>
      <c r="P21" s="139">
        <v>0</v>
      </c>
      <c r="Q21" s="99">
        <v>0</v>
      </c>
      <c r="R21" s="99">
        <v>0</v>
      </c>
      <c r="S21" s="98">
        <f t="shared" si="4"/>
        <v>13453.36</v>
      </c>
      <c r="T21" s="115">
        <f t="shared" si="5"/>
        <v>3461.4300000000003</v>
      </c>
      <c r="U21" s="99">
        <v>1802.49</v>
      </c>
      <c r="V21" s="99">
        <v>2438.72</v>
      </c>
      <c r="W21" s="99">
        <v>5863.43</v>
      </c>
      <c r="X21" s="99">
        <v>4055.62</v>
      </c>
      <c r="Y21" s="99">
        <v>1442</v>
      </c>
      <c r="Z21" s="121">
        <v>0</v>
      </c>
      <c r="AA21" s="121">
        <v>0</v>
      </c>
      <c r="AB21" s="117">
        <f t="shared" si="6"/>
        <v>15602.259999999998</v>
      </c>
      <c r="AC21" s="118">
        <f t="shared" si="7"/>
        <v>20680.66</v>
      </c>
      <c r="AD21" s="119">
        <f t="shared" si="8"/>
        <v>0</v>
      </c>
      <c r="AE21" s="119">
        <f t="shared" si="9"/>
        <v>0</v>
      </c>
      <c r="AF21" s="119"/>
      <c r="AG21" s="31">
        <f t="shared" si="17"/>
        <v>1285.44</v>
      </c>
      <c r="AH21" s="31">
        <f>B21*0.2*0.99875</f>
        <v>427.94440000000003</v>
      </c>
      <c r="AI21" s="31">
        <f>0.85*B21*0.98526</f>
        <v>1794.1978704</v>
      </c>
      <c r="AJ21" s="31">
        <f t="shared" si="10"/>
        <v>322.955616672</v>
      </c>
      <c r="AK21" s="31">
        <f>0.83*B21*0.99</f>
        <v>1760.4100799999999</v>
      </c>
      <c r="AL21" s="31">
        <f t="shared" si="11"/>
        <v>316.87381439999996</v>
      </c>
      <c r="AM21" s="31">
        <f>(1.91)*B21*0.99</f>
        <v>4051.06416</v>
      </c>
      <c r="AN21" s="31">
        <f t="shared" si="12"/>
        <v>729.1915488</v>
      </c>
      <c r="AO21" s="31"/>
      <c r="AP21" s="31">
        <f t="shared" si="13"/>
        <v>0</v>
      </c>
      <c r="AQ21" s="124"/>
      <c r="AR21" s="124">
        <f t="shared" si="13"/>
        <v>0</v>
      </c>
      <c r="AS21" s="101">
        <v>9912</v>
      </c>
      <c r="AT21" s="101"/>
      <c r="AU21" s="101">
        <f t="shared" si="15"/>
        <v>1784.1599999999999</v>
      </c>
      <c r="AV21" s="125"/>
      <c r="AW21" s="141">
        <v>697</v>
      </c>
      <c r="AX21" s="31">
        <f t="shared" si="18"/>
        <v>921.1552</v>
      </c>
      <c r="AY21" s="126"/>
      <c r="AZ21" s="127"/>
      <c r="BA21" s="128"/>
      <c r="BB21" s="19">
        <f t="shared" si="19"/>
        <v>23305.392690272</v>
      </c>
      <c r="BC21" s="170"/>
      <c r="BD21" s="19">
        <f t="shared" si="0"/>
        <v>-2624.7326902720015</v>
      </c>
      <c r="BE21" s="21">
        <f t="shared" si="14"/>
        <v>2148.899999999998</v>
      </c>
    </row>
    <row r="22" spans="1:57" ht="12.75">
      <c r="A22" s="13" t="s">
        <v>53</v>
      </c>
      <c r="B22" s="97">
        <v>2142.4</v>
      </c>
      <c r="C22" s="113">
        <f t="shared" si="3"/>
        <v>18531.760000000002</v>
      </c>
      <c r="D22" s="129">
        <f t="shared" si="16"/>
        <v>1777.800000000001</v>
      </c>
      <c r="E22" s="134">
        <v>1520.63</v>
      </c>
      <c r="F22" s="134">
        <v>413.27</v>
      </c>
      <c r="G22" s="134">
        <v>2059.16</v>
      </c>
      <c r="H22" s="134">
        <v>560.19</v>
      </c>
      <c r="I22" s="134">
        <v>4948.36</v>
      </c>
      <c r="J22" s="134">
        <v>1345.38</v>
      </c>
      <c r="K22" s="134">
        <v>3427.72</v>
      </c>
      <c r="L22" s="134">
        <v>932.13</v>
      </c>
      <c r="M22" s="134">
        <v>1216.52</v>
      </c>
      <c r="N22" s="134">
        <v>330.6</v>
      </c>
      <c r="O22" s="134">
        <v>0</v>
      </c>
      <c r="P22" s="135">
        <v>0</v>
      </c>
      <c r="Q22" s="134">
        <v>0</v>
      </c>
      <c r="R22" s="135">
        <v>0</v>
      </c>
      <c r="S22" s="98">
        <f t="shared" si="4"/>
        <v>13172.39</v>
      </c>
      <c r="T22" s="115">
        <f t="shared" si="5"/>
        <v>3581.57</v>
      </c>
      <c r="U22" s="98">
        <v>2216.15</v>
      </c>
      <c r="V22" s="98">
        <v>2997.61</v>
      </c>
      <c r="W22" s="98">
        <v>7208.31</v>
      </c>
      <c r="X22" s="98">
        <v>4992.25</v>
      </c>
      <c r="Y22" s="98">
        <v>1772.91</v>
      </c>
      <c r="Z22" s="103">
        <v>0</v>
      </c>
      <c r="AA22" s="103">
        <v>0</v>
      </c>
      <c r="AB22" s="117">
        <f t="shared" si="6"/>
        <v>19187.23</v>
      </c>
      <c r="AC22" s="118">
        <f t="shared" si="7"/>
        <v>24546.6</v>
      </c>
      <c r="AD22" s="119">
        <f t="shared" si="8"/>
        <v>0</v>
      </c>
      <c r="AE22" s="119">
        <f t="shared" si="9"/>
        <v>0</v>
      </c>
      <c r="AF22" s="119"/>
      <c r="AG22" s="31">
        <f t="shared" si="17"/>
        <v>1285.44</v>
      </c>
      <c r="AH22" s="31">
        <f>B22*0.2*0.9997</f>
        <v>428.35145600000004</v>
      </c>
      <c r="AI22" s="31">
        <f>0.85*B22*0.98509</f>
        <v>1793.8882936</v>
      </c>
      <c r="AJ22" s="31">
        <f t="shared" si="10"/>
        <v>322.899892848</v>
      </c>
      <c r="AK22" s="31">
        <f>0.83*B22*0.98981</f>
        <v>1760.0722235199999</v>
      </c>
      <c r="AL22" s="31">
        <f t="shared" si="11"/>
        <v>316.81300023359995</v>
      </c>
      <c r="AM22" s="31">
        <f>(1.91)*B22*0.98981</f>
        <v>4050.28668304</v>
      </c>
      <c r="AN22" s="31">
        <f t="shared" si="12"/>
        <v>729.0516029472</v>
      </c>
      <c r="AO22" s="31"/>
      <c r="AP22" s="31">
        <f t="shared" si="13"/>
        <v>0</v>
      </c>
      <c r="AQ22" s="124"/>
      <c r="AR22" s="124">
        <f t="shared" si="13"/>
        <v>0</v>
      </c>
      <c r="AS22" s="101"/>
      <c r="AT22" s="101"/>
      <c r="AU22" s="101">
        <f t="shared" si="15"/>
        <v>0</v>
      </c>
      <c r="AV22" s="125"/>
      <c r="AW22" s="141">
        <v>698</v>
      </c>
      <c r="AX22" s="31">
        <f t="shared" si="18"/>
        <v>922.4768</v>
      </c>
      <c r="AY22" s="126"/>
      <c r="AZ22" s="127"/>
      <c r="BA22" s="128"/>
      <c r="BB22" s="19">
        <f t="shared" si="19"/>
        <v>11609.2799521888</v>
      </c>
      <c r="BC22" s="19"/>
      <c r="BD22" s="19">
        <f t="shared" si="0"/>
        <v>12937.3200478112</v>
      </c>
      <c r="BE22" s="21">
        <f t="shared" si="14"/>
        <v>6014.84</v>
      </c>
    </row>
    <row r="23" spans="1:57" ht="12.75">
      <c r="A23" s="32" t="s">
        <v>41</v>
      </c>
      <c r="B23" s="97">
        <v>2142.4</v>
      </c>
      <c r="C23" s="130">
        <f t="shared" si="3"/>
        <v>18531.760000000002</v>
      </c>
      <c r="D23" s="129">
        <f t="shared" si="16"/>
        <v>1795.3600000000006</v>
      </c>
      <c r="E23" s="102">
        <f>1519.77-6.08</f>
        <v>1513.69</v>
      </c>
      <c r="F23" s="98">
        <v>418.31</v>
      </c>
      <c r="G23" s="98">
        <f>2057.6-8.22</f>
        <v>2049.38</v>
      </c>
      <c r="H23" s="98">
        <v>567.02</v>
      </c>
      <c r="I23" s="98">
        <f>4945.18-19.76</f>
        <v>4925.42</v>
      </c>
      <c r="J23" s="98">
        <v>1361.79</v>
      </c>
      <c r="K23" s="98">
        <f>3425.39-13.68</f>
        <v>3411.71</v>
      </c>
      <c r="L23" s="98">
        <v>943.5</v>
      </c>
      <c r="M23" s="98">
        <f>1215.83-4.88</f>
        <v>1210.9499999999998</v>
      </c>
      <c r="N23" s="98">
        <v>334.63</v>
      </c>
      <c r="O23" s="98">
        <v>0</v>
      </c>
      <c r="P23" s="103">
        <v>0</v>
      </c>
      <c r="Q23" s="98">
        <v>0</v>
      </c>
      <c r="R23" s="98">
        <v>0</v>
      </c>
      <c r="S23" s="98">
        <f t="shared" si="4"/>
        <v>13111.150000000001</v>
      </c>
      <c r="T23" s="115">
        <f t="shared" si="5"/>
        <v>3625.25</v>
      </c>
      <c r="U23" s="104">
        <f>1430.55+146.23</f>
        <v>1576.78</v>
      </c>
      <c r="V23" s="98">
        <f>1935.18+198.02</f>
        <v>2133.2000000000003</v>
      </c>
      <c r="W23" s="98">
        <f>4651.81+475.84</f>
        <v>5127.650000000001</v>
      </c>
      <c r="X23" s="98">
        <f>3221.93+329.61</f>
        <v>3551.54</v>
      </c>
      <c r="Y23" s="98">
        <f>1143.87+116.98</f>
        <v>1260.85</v>
      </c>
      <c r="Z23" s="103">
        <v>0</v>
      </c>
      <c r="AA23" s="103">
        <v>0</v>
      </c>
      <c r="AB23" s="103">
        <f>SUM(U23:AA23)</f>
        <v>13650.020000000002</v>
      </c>
      <c r="AC23" s="118">
        <f>AB23+T23+D23</f>
        <v>19070.630000000005</v>
      </c>
      <c r="AD23" s="119">
        <f t="shared" si="8"/>
        <v>0</v>
      </c>
      <c r="AE23" s="119">
        <f t="shared" si="9"/>
        <v>0</v>
      </c>
      <c r="AF23" s="119"/>
      <c r="AG23" s="31">
        <f t="shared" si="17"/>
        <v>1285.44</v>
      </c>
      <c r="AH23" s="31">
        <f>B23*0.2</f>
        <v>428.48</v>
      </c>
      <c r="AI23" s="31">
        <f>0.847*B23</f>
        <v>1814.6128</v>
      </c>
      <c r="AJ23" s="31">
        <f t="shared" si="10"/>
        <v>326.630304</v>
      </c>
      <c r="AK23" s="31">
        <f>0.83*B23</f>
        <v>1778.192</v>
      </c>
      <c r="AL23" s="31">
        <f t="shared" si="11"/>
        <v>320.07455999999996</v>
      </c>
      <c r="AM23" s="31">
        <f>(2.25/1.18)*B23</f>
        <v>4085.084745762712</v>
      </c>
      <c r="AN23" s="31">
        <f t="shared" si="12"/>
        <v>735.3152542372882</v>
      </c>
      <c r="AO23" s="31"/>
      <c r="AP23" s="31">
        <f t="shared" si="13"/>
        <v>0</v>
      </c>
      <c r="AQ23" s="124"/>
      <c r="AR23" s="124">
        <f t="shared" si="13"/>
        <v>0</v>
      </c>
      <c r="AS23" s="101">
        <v>587.48</v>
      </c>
      <c r="AT23" s="101"/>
      <c r="AU23" s="101">
        <f t="shared" si="15"/>
        <v>105.7464</v>
      </c>
      <c r="AV23" s="125"/>
      <c r="AW23" s="136">
        <v>584</v>
      </c>
      <c r="AX23" s="31">
        <f t="shared" si="18"/>
        <v>771.8144</v>
      </c>
      <c r="AY23" s="126"/>
      <c r="AZ23" s="128"/>
      <c r="BA23" s="128"/>
      <c r="BB23" s="19">
        <f t="shared" si="19"/>
        <v>12238.870464</v>
      </c>
      <c r="BC23" s="19"/>
      <c r="BD23" s="19">
        <f>AC23-BB23</f>
        <v>6831.759536000005</v>
      </c>
      <c r="BE23" s="21">
        <f t="shared" si="14"/>
        <v>538.8700000000008</v>
      </c>
    </row>
    <row r="24" spans="1:57" ht="12.75">
      <c r="A24" s="13" t="s">
        <v>42</v>
      </c>
      <c r="B24" s="116">
        <v>2142.4</v>
      </c>
      <c r="C24" s="130">
        <f t="shared" si="3"/>
        <v>18531.760000000002</v>
      </c>
      <c r="D24" s="129">
        <f t="shared" si="16"/>
        <v>1713.0600000000018</v>
      </c>
      <c r="E24" s="134">
        <v>1538.97</v>
      </c>
      <c r="F24" s="134">
        <v>402.6</v>
      </c>
      <c r="G24" s="134">
        <v>2083.44</v>
      </c>
      <c r="H24" s="134">
        <v>545.72</v>
      </c>
      <c r="I24" s="134">
        <v>5007.51</v>
      </c>
      <c r="J24" s="134">
        <v>1310.64</v>
      </c>
      <c r="K24" s="134">
        <v>3468.51</v>
      </c>
      <c r="L24" s="134">
        <v>908.06</v>
      </c>
      <c r="M24" s="134">
        <v>1231.19</v>
      </c>
      <c r="N24" s="134">
        <v>322.06</v>
      </c>
      <c r="O24" s="134">
        <v>0</v>
      </c>
      <c r="P24" s="135">
        <v>0</v>
      </c>
      <c r="Q24" s="103">
        <v>0</v>
      </c>
      <c r="R24" s="103">
        <v>0</v>
      </c>
      <c r="S24" s="98">
        <f t="shared" si="4"/>
        <v>13329.62</v>
      </c>
      <c r="T24" s="115">
        <f t="shared" si="5"/>
        <v>3489.0800000000004</v>
      </c>
      <c r="U24" s="98">
        <v>1268.73</v>
      </c>
      <c r="V24" s="98">
        <v>1717.27</v>
      </c>
      <c r="W24" s="98">
        <v>4127.86</v>
      </c>
      <c r="X24" s="98">
        <v>2859.14</v>
      </c>
      <c r="Y24" s="98">
        <v>1014.99</v>
      </c>
      <c r="Z24" s="103">
        <v>0</v>
      </c>
      <c r="AA24" s="103">
        <v>0</v>
      </c>
      <c r="AB24" s="103">
        <f>SUM(U24:AA24)</f>
        <v>10987.99</v>
      </c>
      <c r="AC24" s="118">
        <f>D24+T24+AB24</f>
        <v>16190.130000000001</v>
      </c>
      <c r="AD24" s="119">
        <f t="shared" si="8"/>
        <v>0</v>
      </c>
      <c r="AE24" s="119">
        <f t="shared" si="9"/>
        <v>0</v>
      </c>
      <c r="AF24" s="119"/>
      <c r="AG24" s="31">
        <f t="shared" si="17"/>
        <v>1285.44</v>
      </c>
      <c r="AH24" s="31">
        <f>B24*0.2</f>
        <v>428.48</v>
      </c>
      <c r="AI24" s="31">
        <f>0.85*B24</f>
        <v>1821.04</v>
      </c>
      <c r="AJ24" s="31">
        <f t="shared" si="10"/>
        <v>327.7872</v>
      </c>
      <c r="AK24" s="31">
        <f>0.83*B24</f>
        <v>1778.192</v>
      </c>
      <c r="AL24" s="31">
        <f t="shared" si="11"/>
        <v>320.07455999999996</v>
      </c>
      <c r="AM24" s="31">
        <f>(1.91)*B24</f>
        <v>4091.984</v>
      </c>
      <c r="AN24" s="31">
        <f t="shared" si="12"/>
        <v>736.5571199999999</v>
      </c>
      <c r="AO24" s="31"/>
      <c r="AP24" s="31">
        <f t="shared" si="13"/>
        <v>0</v>
      </c>
      <c r="AQ24" s="124"/>
      <c r="AR24" s="124">
        <f t="shared" si="13"/>
        <v>0</v>
      </c>
      <c r="AS24" s="101">
        <v>0</v>
      </c>
      <c r="AT24" s="101"/>
      <c r="AU24" s="101">
        <f t="shared" si="15"/>
        <v>0</v>
      </c>
      <c r="AV24" s="125"/>
      <c r="AW24" s="136">
        <v>614</v>
      </c>
      <c r="AX24" s="31">
        <f t="shared" si="18"/>
        <v>811.4624</v>
      </c>
      <c r="AY24" s="126"/>
      <c r="AZ24" s="127"/>
      <c r="BA24" s="128"/>
      <c r="BB24" s="19">
        <f t="shared" si="19"/>
        <v>11601.01728</v>
      </c>
      <c r="BC24" s="19"/>
      <c r="BD24" s="19">
        <f t="shared" si="0"/>
        <v>4589.112720000001</v>
      </c>
      <c r="BE24" s="21">
        <f t="shared" si="14"/>
        <v>-2341.630000000001</v>
      </c>
    </row>
    <row r="25" spans="1:57" ht="12.75">
      <c r="A25" s="13" t="s">
        <v>43</v>
      </c>
      <c r="B25" s="97">
        <v>2142</v>
      </c>
      <c r="C25" s="130">
        <f t="shared" si="3"/>
        <v>18528.3</v>
      </c>
      <c r="D25" s="129">
        <f t="shared" si="16"/>
        <v>1862.3700000000015</v>
      </c>
      <c r="E25" s="134">
        <v>1525.18</v>
      </c>
      <c r="F25" s="134">
        <v>398.76</v>
      </c>
      <c r="G25" s="134">
        <v>2064.77</v>
      </c>
      <c r="H25" s="134">
        <v>540.5</v>
      </c>
      <c r="I25" s="134">
        <v>4962.64</v>
      </c>
      <c r="J25" s="134">
        <v>1298.12</v>
      </c>
      <c r="K25" s="134">
        <v>3437.43</v>
      </c>
      <c r="L25" s="134">
        <v>899.38</v>
      </c>
      <c r="M25" s="134">
        <v>1220.16</v>
      </c>
      <c r="N25" s="134">
        <v>318.99</v>
      </c>
      <c r="O25" s="134">
        <v>0</v>
      </c>
      <c r="P25" s="135">
        <v>0</v>
      </c>
      <c r="Q25" s="135"/>
      <c r="R25" s="135"/>
      <c r="S25" s="98">
        <f t="shared" si="4"/>
        <v>13210.18</v>
      </c>
      <c r="T25" s="115">
        <f t="shared" si="5"/>
        <v>3455.75</v>
      </c>
      <c r="U25" s="98">
        <v>2016.17</v>
      </c>
      <c r="V25" s="98">
        <v>2729.68</v>
      </c>
      <c r="W25" s="98">
        <v>6560.45</v>
      </c>
      <c r="X25" s="98">
        <v>4544.29</v>
      </c>
      <c r="Y25" s="98">
        <v>1612.94</v>
      </c>
      <c r="Z25" s="103">
        <v>0</v>
      </c>
      <c r="AA25" s="103">
        <v>0</v>
      </c>
      <c r="AB25" s="103">
        <f>SUM(U25:AA25)</f>
        <v>17463.53</v>
      </c>
      <c r="AC25" s="118">
        <f>D25+T25+AB25</f>
        <v>22781.65</v>
      </c>
      <c r="AD25" s="119">
        <f t="shared" si="8"/>
        <v>0</v>
      </c>
      <c r="AE25" s="119">
        <f t="shared" si="9"/>
        <v>0</v>
      </c>
      <c r="AF25" s="119"/>
      <c r="AG25" s="31">
        <f t="shared" si="17"/>
        <v>1285.2</v>
      </c>
      <c r="AH25" s="31">
        <f>B25*0.2</f>
        <v>428.40000000000003</v>
      </c>
      <c r="AI25" s="31">
        <f>0.85*B25</f>
        <v>1820.7</v>
      </c>
      <c r="AJ25" s="31">
        <f t="shared" si="10"/>
        <v>327.726</v>
      </c>
      <c r="AK25" s="31">
        <f>0.83*B25</f>
        <v>1777.86</v>
      </c>
      <c r="AL25" s="31">
        <f t="shared" si="11"/>
        <v>320.0148</v>
      </c>
      <c r="AM25" s="31">
        <f>(1.91)*B25</f>
        <v>4091.22</v>
      </c>
      <c r="AN25" s="31">
        <f t="shared" si="12"/>
        <v>736.4196</v>
      </c>
      <c r="AO25" s="31"/>
      <c r="AP25" s="31">
        <f t="shared" si="13"/>
        <v>0</v>
      </c>
      <c r="AQ25" s="124"/>
      <c r="AR25" s="124">
        <f t="shared" si="13"/>
        <v>0</v>
      </c>
      <c r="AS25" s="101">
        <v>0</v>
      </c>
      <c r="AT25" s="101"/>
      <c r="AU25" s="101">
        <f t="shared" si="15"/>
        <v>0</v>
      </c>
      <c r="AV25" s="125"/>
      <c r="AW25" s="136">
        <v>796</v>
      </c>
      <c r="AX25" s="31">
        <f t="shared" si="18"/>
        <v>1051.9936</v>
      </c>
      <c r="AY25" s="126"/>
      <c r="AZ25" s="127"/>
      <c r="BA25" s="128"/>
      <c r="BB25" s="19">
        <f>SUM(AG25:BA25)-AV25-AW25</f>
        <v>11839.534</v>
      </c>
      <c r="BC25" s="19"/>
      <c r="BD25" s="19">
        <f>AC25-BB25</f>
        <v>10942.116000000002</v>
      </c>
      <c r="BE25" s="21">
        <f>AB25-S25</f>
        <v>4253.3499999999985</v>
      </c>
    </row>
    <row r="26" spans="1:57" s="28" customFormat="1" ht="12.75">
      <c r="A26" s="22" t="s">
        <v>5</v>
      </c>
      <c r="B26" s="23"/>
      <c r="C26" s="23">
        <f aca="true" t="shared" si="20" ref="C26:BC26">SUM(C14:C25)</f>
        <v>222571.42</v>
      </c>
      <c r="D26" s="23">
        <f t="shared" si="20"/>
        <v>22993.629999999997</v>
      </c>
      <c r="E26" s="24">
        <f t="shared" si="20"/>
        <v>18175.97</v>
      </c>
      <c r="F26" s="24">
        <f t="shared" si="20"/>
        <v>4552.6900000000005</v>
      </c>
      <c r="G26" s="24">
        <f t="shared" si="20"/>
        <v>24583.260000000002</v>
      </c>
      <c r="H26" s="24">
        <f t="shared" si="20"/>
        <v>6163.760000000001</v>
      </c>
      <c r="I26" s="24">
        <f t="shared" si="20"/>
        <v>59117.58</v>
      </c>
      <c r="J26" s="24">
        <f t="shared" si="20"/>
        <v>14813.689999999999</v>
      </c>
      <c r="K26" s="24">
        <f t="shared" si="20"/>
        <v>40941.44</v>
      </c>
      <c r="L26" s="24">
        <f t="shared" si="20"/>
        <v>10261.13</v>
      </c>
      <c r="M26" s="24">
        <f t="shared" si="20"/>
        <v>14540.81</v>
      </c>
      <c r="N26" s="24">
        <f t="shared" si="20"/>
        <v>3642.0299999999997</v>
      </c>
      <c r="O26" s="24">
        <f t="shared" si="20"/>
        <v>0</v>
      </c>
      <c r="P26" s="24">
        <f t="shared" si="20"/>
        <v>0</v>
      </c>
      <c r="Q26" s="24">
        <f t="shared" si="20"/>
        <v>0</v>
      </c>
      <c r="R26" s="24">
        <f t="shared" si="20"/>
        <v>0</v>
      </c>
      <c r="S26" s="24">
        <f t="shared" si="20"/>
        <v>157359.05999999997</v>
      </c>
      <c r="T26" s="24">
        <f t="shared" si="20"/>
        <v>39433.3</v>
      </c>
      <c r="U26" s="25">
        <f t="shared" si="20"/>
        <v>17733.17</v>
      </c>
      <c r="V26" s="25">
        <f t="shared" si="20"/>
        <v>23976.77</v>
      </c>
      <c r="W26" s="25">
        <f t="shared" si="20"/>
        <v>57669.689999999995</v>
      </c>
      <c r="X26" s="25">
        <f t="shared" si="20"/>
        <v>39936.37</v>
      </c>
      <c r="Y26" s="25">
        <f t="shared" si="20"/>
        <v>14186.58</v>
      </c>
      <c r="Z26" s="25">
        <f t="shared" si="20"/>
        <v>0</v>
      </c>
      <c r="AA26" s="25">
        <f t="shared" si="20"/>
        <v>0</v>
      </c>
      <c r="AB26" s="25">
        <f t="shared" si="20"/>
        <v>153502.58</v>
      </c>
      <c r="AC26" s="25">
        <f t="shared" si="20"/>
        <v>215929.50999999998</v>
      </c>
      <c r="AD26" s="108">
        <f t="shared" si="20"/>
        <v>0</v>
      </c>
      <c r="AE26" s="108">
        <f t="shared" si="20"/>
        <v>0</v>
      </c>
      <c r="AF26" s="108"/>
      <c r="AG26" s="26">
        <f t="shared" si="20"/>
        <v>14923.536000000002</v>
      </c>
      <c r="AH26" s="26">
        <f t="shared" si="20"/>
        <v>4996.419567999999</v>
      </c>
      <c r="AI26" s="26">
        <f t="shared" si="20"/>
        <v>20863.47802</v>
      </c>
      <c r="AJ26" s="26">
        <f t="shared" si="20"/>
        <v>3755.426043599999</v>
      </c>
      <c r="AK26" s="26">
        <f t="shared" si="20"/>
        <v>20279.222393119995</v>
      </c>
      <c r="AL26" s="26">
        <f t="shared" si="20"/>
        <v>3650.2600307615994</v>
      </c>
      <c r="AM26" s="26">
        <f t="shared" si="20"/>
        <v>46660.154857602705</v>
      </c>
      <c r="AN26" s="26">
        <f t="shared" si="20"/>
        <v>8398.827874368486</v>
      </c>
      <c r="AO26" s="26">
        <f t="shared" si="20"/>
        <v>0</v>
      </c>
      <c r="AP26" s="26">
        <f t="shared" si="20"/>
        <v>0</v>
      </c>
      <c r="AQ26" s="26">
        <f>SUM(AQ14:AQ25)</f>
        <v>6088.12</v>
      </c>
      <c r="AR26" s="26">
        <f>SUM(AR14:AR25)</f>
        <v>1095.8616</v>
      </c>
      <c r="AS26" s="93">
        <f t="shared" si="20"/>
        <v>23136.28</v>
      </c>
      <c r="AT26" s="93">
        <f t="shared" si="20"/>
        <v>1283.06</v>
      </c>
      <c r="AU26" s="93">
        <f t="shared" si="20"/>
        <v>4395.4912</v>
      </c>
      <c r="AV26" s="26"/>
      <c r="AW26" s="26"/>
      <c r="AX26" s="26">
        <f t="shared" si="20"/>
        <v>11935.3696</v>
      </c>
      <c r="AY26" s="26">
        <f t="shared" si="20"/>
        <v>0</v>
      </c>
      <c r="AZ26" s="26">
        <f t="shared" si="20"/>
        <v>0</v>
      </c>
      <c r="BA26" s="26">
        <f t="shared" si="20"/>
        <v>0</v>
      </c>
      <c r="BB26" s="26">
        <f t="shared" si="20"/>
        <v>171461.5071874528</v>
      </c>
      <c r="BC26" s="26">
        <f t="shared" si="20"/>
        <v>0</v>
      </c>
      <c r="BD26" s="26">
        <f>SUM(BD14:BD25)</f>
        <v>44468.0028125472</v>
      </c>
      <c r="BE26" s="27">
        <f>SUM(BE14:BE25)</f>
        <v>-3856.480000000003</v>
      </c>
    </row>
    <row r="27" spans="1:57" s="28" customFormat="1" ht="12.75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108"/>
      <c r="AE27" s="108"/>
      <c r="AF27" s="108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93"/>
      <c r="AT27" s="93"/>
      <c r="AU27" s="93"/>
      <c r="AV27" s="26"/>
      <c r="AW27" s="26"/>
      <c r="AX27" s="26"/>
      <c r="AY27" s="26"/>
      <c r="AZ27" s="26"/>
      <c r="BA27" s="26"/>
      <c r="BB27" s="26"/>
      <c r="BC27" s="26"/>
      <c r="BD27" s="26"/>
      <c r="BE27" s="105"/>
    </row>
    <row r="28" spans="1:57" s="28" customFormat="1" ht="13.5" thickBot="1">
      <c r="A28" s="33" t="s">
        <v>54</v>
      </c>
      <c r="B28" s="34"/>
      <c r="C28" s="34">
        <f>C12+C26</f>
        <v>278249.74</v>
      </c>
      <c r="D28" s="34">
        <f aca="true" t="shared" si="21" ref="D28:BE28">D12+D26</f>
        <v>36395.587218399996</v>
      </c>
      <c r="E28" s="34">
        <f t="shared" si="21"/>
        <v>22507.09</v>
      </c>
      <c r="F28" s="34">
        <f t="shared" si="21"/>
        <v>5651.6</v>
      </c>
      <c r="G28" s="34">
        <f t="shared" si="21"/>
        <v>30430.32</v>
      </c>
      <c r="H28" s="34">
        <f t="shared" si="21"/>
        <v>7647.330000000001</v>
      </c>
      <c r="I28" s="34">
        <f t="shared" si="21"/>
        <v>73193.67</v>
      </c>
      <c r="J28" s="34">
        <f t="shared" si="21"/>
        <v>18385.19</v>
      </c>
      <c r="K28" s="34">
        <f t="shared" si="21"/>
        <v>50686.46000000001</v>
      </c>
      <c r="L28" s="34">
        <f t="shared" si="21"/>
        <v>12733.68</v>
      </c>
      <c r="M28" s="34">
        <f t="shared" si="21"/>
        <v>18005.67</v>
      </c>
      <c r="N28" s="34">
        <f t="shared" si="21"/>
        <v>4521.17</v>
      </c>
      <c r="O28" s="34">
        <f t="shared" si="21"/>
        <v>0</v>
      </c>
      <c r="P28" s="34">
        <f t="shared" si="21"/>
        <v>0</v>
      </c>
      <c r="Q28" s="34">
        <f t="shared" si="21"/>
        <v>0</v>
      </c>
      <c r="R28" s="34">
        <f t="shared" si="21"/>
        <v>0</v>
      </c>
      <c r="S28" s="34">
        <f t="shared" si="21"/>
        <v>194823.20999999996</v>
      </c>
      <c r="T28" s="34">
        <f t="shared" si="21"/>
        <v>48938.97</v>
      </c>
      <c r="U28" s="34">
        <f t="shared" si="21"/>
        <v>19929.14</v>
      </c>
      <c r="V28" s="34">
        <f t="shared" si="21"/>
        <v>26941.37</v>
      </c>
      <c r="W28" s="34">
        <f t="shared" si="21"/>
        <v>64806.53</v>
      </c>
      <c r="X28" s="34">
        <f t="shared" si="21"/>
        <v>44877.29</v>
      </c>
      <c r="Y28" s="34">
        <f t="shared" si="21"/>
        <v>15943.35</v>
      </c>
      <c r="Z28" s="34">
        <f t="shared" si="21"/>
        <v>0</v>
      </c>
      <c r="AA28" s="34">
        <f t="shared" si="21"/>
        <v>0</v>
      </c>
      <c r="AB28" s="34">
        <f t="shared" si="21"/>
        <v>172497.68</v>
      </c>
      <c r="AC28" s="34">
        <f t="shared" si="21"/>
        <v>257832.2372184</v>
      </c>
      <c r="AD28" s="34">
        <f t="shared" si="21"/>
        <v>0</v>
      </c>
      <c r="AE28" s="34">
        <f t="shared" si="21"/>
        <v>0</v>
      </c>
      <c r="AF28" s="34">
        <f t="shared" si="21"/>
        <v>0</v>
      </c>
      <c r="AG28" s="34">
        <f t="shared" si="21"/>
        <v>18785.616</v>
      </c>
      <c r="AH28" s="34">
        <f t="shared" si="21"/>
        <v>6321.7566879999995</v>
      </c>
      <c r="AI28" s="34">
        <f t="shared" si="21"/>
        <v>26341.023171999997</v>
      </c>
      <c r="AJ28" s="34">
        <f t="shared" si="21"/>
        <v>4741.384170959999</v>
      </c>
      <c r="AK28" s="34">
        <f t="shared" si="21"/>
        <v>26653.575134239996</v>
      </c>
      <c r="AL28" s="34">
        <f t="shared" si="21"/>
        <v>4797.643524163199</v>
      </c>
      <c r="AM28" s="34">
        <f t="shared" si="21"/>
        <v>58366.489024482704</v>
      </c>
      <c r="AN28" s="34">
        <f t="shared" si="21"/>
        <v>10505.968024406886</v>
      </c>
      <c r="AO28" s="34">
        <f t="shared" si="21"/>
        <v>0</v>
      </c>
      <c r="AP28" s="34">
        <f t="shared" si="21"/>
        <v>0</v>
      </c>
      <c r="AQ28" s="34">
        <f t="shared" si="21"/>
        <v>6088.12</v>
      </c>
      <c r="AR28" s="34">
        <f t="shared" si="21"/>
        <v>1095.8616</v>
      </c>
      <c r="AS28" s="34">
        <f t="shared" si="21"/>
        <v>31461.28</v>
      </c>
      <c r="AT28" s="34">
        <f t="shared" si="21"/>
        <v>1283.06</v>
      </c>
      <c r="AU28" s="34">
        <f t="shared" si="21"/>
        <v>5893.9912</v>
      </c>
      <c r="AV28" s="34">
        <f t="shared" si="21"/>
        <v>0</v>
      </c>
      <c r="AW28" s="34">
        <f t="shared" si="21"/>
        <v>0</v>
      </c>
      <c r="AX28" s="34">
        <f t="shared" si="21"/>
        <v>11935.3696</v>
      </c>
      <c r="AY28" s="34">
        <f t="shared" si="21"/>
        <v>0</v>
      </c>
      <c r="AZ28" s="34">
        <f t="shared" si="21"/>
        <v>0</v>
      </c>
      <c r="BA28" s="34">
        <f t="shared" si="21"/>
        <v>0</v>
      </c>
      <c r="BB28" s="34">
        <f t="shared" si="21"/>
        <v>214271.1381382528</v>
      </c>
      <c r="BC28" s="34">
        <f t="shared" si="21"/>
        <v>0</v>
      </c>
      <c r="BD28" s="34">
        <f t="shared" si="21"/>
        <v>43561.09908014721</v>
      </c>
      <c r="BE28" s="34">
        <f t="shared" si="21"/>
        <v>-22325.530000000006</v>
      </c>
    </row>
    <row r="29" spans="1:57" ht="15" customHeight="1">
      <c r="A29" s="5" t="s">
        <v>88</v>
      </c>
      <c r="B29" s="91"/>
      <c r="C29" s="15"/>
      <c r="D29" s="15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2"/>
      <c r="P29" s="17"/>
      <c r="Q29" s="16"/>
      <c r="R29" s="16"/>
      <c r="S29" s="16"/>
      <c r="T29" s="16"/>
      <c r="U29" s="29"/>
      <c r="V29" s="29"/>
      <c r="W29" s="29"/>
      <c r="X29" s="29"/>
      <c r="Y29" s="29"/>
      <c r="Z29" s="29"/>
      <c r="AA29" s="18"/>
      <c r="AB29" s="18"/>
      <c r="AC29" s="106"/>
      <c r="AD29" s="107"/>
      <c r="AE29" s="107"/>
      <c r="AF29" s="107"/>
      <c r="AG29" s="19"/>
      <c r="AH29" s="19"/>
      <c r="AI29" s="19"/>
      <c r="AJ29" s="19"/>
      <c r="AK29" s="19"/>
      <c r="AL29" s="19"/>
      <c r="AM29" s="19"/>
      <c r="AN29" s="19"/>
      <c r="AO29" s="20"/>
      <c r="AP29" s="20"/>
      <c r="AQ29" s="20"/>
      <c r="AR29" s="20"/>
      <c r="AS29" s="100"/>
      <c r="AT29" s="100"/>
      <c r="AU29" s="30"/>
      <c r="AV29" s="19"/>
      <c r="AW29" s="19"/>
      <c r="AX29" s="20"/>
      <c r="AY29" s="20"/>
      <c r="AZ29" s="20"/>
      <c r="BA29" s="19"/>
      <c r="BB29" s="19"/>
      <c r="BC29" s="19"/>
      <c r="BD29" s="19"/>
      <c r="BE29" s="21"/>
    </row>
    <row r="30" spans="1:57" ht="12.75">
      <c r="A30" s="13" t="s">
        <v>45</v>
      </c>
      <c r="B30" s="97">
        <v>2142</v>
      </c>
      <c r="C30" s="130">
        <f aca="true" t="shared" si="22" ref="C30:C41">B30*8.65</f>
        <v>18528.3</v>
      </c>
      <c r="D30" s="129">
        <f aca="true" t="shared" si="23" ref="D30:D41">C30-E30-F30-G30-H30-I30-J30-K30-L30-M30-N30</f>
        <v>1705.619999999999</v>
      </c>
      <c r="E30" s="134">
        <v>1543.29</v>
      </c>
      <c r="F30" s="134">
        <v>398.76</v>
      </c>
      <c r="G30" s="134">
        <v>2089.26</v>
      </c>
      <c r="H30" s="134">
        <v>540.5</v>
      </c>
      <c r="I30" s="134">
        <v>5021.53</v>
      </c>
      <c r="J30" s="134">
        <v>1298.12</v>
      </c>
      <c r="K30" s="134">
        <v>3478.21</v>
      </c>
      <c r="L30" s="134">
        <v>899.38</v>
      </c>
      <c r="M30" s="134">
        <v>1234.64</v>
      </c>
      <c r="N30" s="134">
        <v>318.99</v>
      </c>
      <c r="O30" s="134">
        <v>0</v>
      </c>
      <c r="P30" s="135">
        <v>0</v>
      </c>
      <c r="Q30" s="135"/>
      <c r="R30" s="135"/>
      <c r="S30" s="98">
        <f aca="true" t="shared" si="24" ref="S30:S41">E30+G30+I30+K30+M30+O30+Q30</f>
        <v>13366.93</v>
      </c>
      <c r="T30" s="115">
        <f aca="true" t="shared" si="25" ref="T30:T41">P30+N30+L30+J30+H30+F30+R30</f>
        <v>3455.75</v>
      </c>
      <c r="U30" s="98">
        <v>1009.9</v>
      </c>
      <c r="V30" s="98">
        <v>1367.72</v>
      </c>
      <c r="W30" s="98">
        <v>3287.94</v>
      </c>
      <c r="X30" s="98">
        <v>2276.99</v>
      </c>
      <c r="Y30" s="98">
        <v>807.73</v>
      </c>
      <c r="Z30" s="103">
        <v>0</v>
      </c>
      <c r="AA30" s="103">
        <v>0</v>
      </c>
      <c r="AB30" s="103">
        <f>SUM(U30:AA30)</f>
        <v>8750.279999999999</v>
      </c>
      <c r="AC30" s="118">
        <f aca="true" t="shared" si="26" ref="AC30:AC41">D30+T30+AB30</f>
        <v>13911.649999999998</v>
      </c>
      <c r="AD30" s="119">
        <f aca="true" t="shared" si="27" ref="AD30:AD41">P30+Z30</f>
        <v>0</v>
      </c>
      <c r="AE30" s="119">
        <f aca="true" t="shared" si="28" ref="AE30:AE41">R30+AA30</f>
        <v>0</v>
      </c>
      <c r="AF30" s="119"/>
      <c r="AG30" s="31">
        <f aca="true" t="shared" si="29" ref="AG30:AG41">0.6*B30</f>
        <v>1285.2</v>
      </c>
      <c r="AH30" s="31">
        <f aca="true" t="shared" si="30" ref="AH30:AH41">B30*0.2</f>
        <v>428.40000000000003</v>
      </c>
      <c r="AI30" s="31">
        <f aca="true" t="shared" si="31" ref="AI30:AI41">1*B30</f>
        <v>2142</v>
      </c>
      <c r="AJ30" s="31">
        <v>0</v>
      </c>
      <c r="AK30" s="31">
        <f aca="true" t="shared" si="32" ref="AK30:AK41">0.98*B30</f>
        <v>2099.16</v>
      </c>
      <c r="AL30" s="31">
        <v>0</v>
      </c>
      <c r="AM30" s="31">
        <f aca="true" t="shared" si="33" ref="AM30:AM41">2.25*B30</f>
        <v>4819.5</v>
      </c>
      <c r="AN30" s="31">
        <v>0</v>
      </c>
      <c r="AO30" s="31"/>
      <c r="AP30" s="31">
        <v>0</v>
      </c>
      <c r="AQ30" s="124"/>
      <c r="AR30" s="124"/>
      <c r="AS30" s="101">
        <v>2696</v>
      </c>
      <c r="AT30" s="101"/>
      <c r="AU30" s="101">
        <f aca="true" t="shared" si="34" ref="AU30:AU40">AT30*0.18</f>
        <v>0</v>
      </c>
      <c r="AV30" s="125"/>
      <c r="AW30" s="136">
        <v>726</v>
      </c>
      <c r="AX30" s="31">
        <f aca="true" t="shared" si="35" ref="AX30:AX41">AW30*1.4</f>
        <v>1016.4</v>
      </c>
      <c r="AY30" s="126"/>
      <c r="AZ30" s="128"/>
      <c r="BA30" s="128">
        <f aca="true" t="shared" si="36" ref="BA30:BA41">AZ30*0.18</f>
        <v>0</v>
      </c>
      <c r="BB30" s="128">
        <f>SUM(AG30:BA30)-AV30-AW30</f>
        <v>14486.66</v>
      </c>
      <c r="BC30" s="128"/>
      <c r="BD30" s="152">
        <f aca="true" t="shared" si="37" ref="BD30:BD38">AC30-BB30+AF30</f>
        <v>-575.010000000002</v>
      </c>
      <c r="BE30" s="31">
        <f>AB30-S30</f>
        <v>-4616.6500000000015</v>
      </c>
    </row>
    <row r="31" spans="1:57" ht="12.75">
      <c r="A31" s="13" t="s">
        <v>46</v>
      </c>
      <c r="B31" s="116">
        <v>2142</v>
      </c>
      <c r="C31" s="130">
        <f t="shared" si="22"/>
        <v>18528.3</v>
      </c>
      <c r="D31" s="129">
        <f t="shared" si="23"/>
        <v>1705.619999999999</v>
      </c>
      <c r="E31" s="144">
        <v>1543.29</v>
      </c>
      <c r="F31" s="145">
        <v>398.76</v>
      </c>
      <c r="G31" s="145">
        <v>2089.26</v>
      </c>
      <c r="H31" s="145">
        <v>540.5</v>
      </c>
      <c r="I31" s="145">
        <v>5021.53</v>
      </c>
      <c r="J31" s="145">
        <v>1298.12</v>
      </c>
      <c r="K31" s="145">
        <v>3478.21</v>
      </c>
      <c r="L31" s="145">
        <v>899.38</v>
      </c>
      <c r="M31" s="145">
        <v>1234.64</v>
      </c>
      <c r="N31" s="145">
        <v>318.99</v>
      </c>
      <c r="O31" s="145">
        <v>0</v>
      </c>
      <c r="P31" s="146">
        <v>0</v>
      </c>
      <c r="Q31" s="146">
        <v>0</v>
      </c>
      <c r="R31" s="146">
        <v>0</v>
      </c>
      <c r="S31" s="98">
        <f t="shared" si="24"/>
        <v>13366.93</v>
      </c>
      <c r="T31" s="115">
        <f t="shared" si="25"/>
        <v>3455.75</v>
      </c>
      <c r="U31" s="98">
        <v>1278.48</v>
      </c>
      <c r="V31" s="98">
        <v>1730.28</v>
      </c>
      <c r="W31" s="98">
        <v>4158.06</v>
      </c>
      <c r="X31" s="98">
        <v>2880.54</v>
      </c>
      <c r="Y31" s="98">
        <v>1022.99</v>
      </c>
      <c r="Z31" s="103">
        <v>0</v>
      </c>
      <c r="AA31" s="103">
        <v>0</v>
      </c>
      <c r="AB31" s="103">
        <f>SUM(U31:AA31)</f>
        <v>11070.35</v>
      </c>
      <c r="AC31" s="118">
        <f t="shared" si="26"/>
        <v>16231.72</v>
      </c>
      <c r="AD31" s="119">
        <f t="shared" si="27"/>
        <v>0</v>
      </c>
      <c r="AE31" s="119">
        <f t="shared" si="28"/>
        <v>0</v>
      </c>
      <c r="AF31" s="119"/>
      <c r="AG31" s="31">
        <f t="shared" si="29"/>
        <v>1285.2</v>
      </c>
      <c r="AH31" s="31">
        <f t="shared" si="30"/>
        <v>428.40000000000003</v>
      </c>
      <c r="AI31" s="31">
        <f t="shared" si="31"/>
        <v>2142</v>
      </c>
      <c r="AJ31" s="31">
        <v>0</v>
      </c>
      <c r="AK31" s="31">
        <f t="shared" si="32"/>
        <v>2099.16</v>
      </c>
      <c r="AL31" s="31">
        <v>0</v>
      </c>
      <c r="AM31" s="31">
        <f t="shared" si="33"/>
        <v>4819.5</v>
      </c>
      <c r="AN31" s="31">
        <v>0</v>
      </c>
      <c r="AO31" s="31"/>
      <c r="AP31" s="31"/>
      <c r="AQ31" s="124"/>
      <c r="AR31" s="124"/>
      <c r="AS31" s="101">
        <v>350</v>
      </c>
      <c r="AT31" s="101"/>
      <c r="AU31" s="101">
        <f t="shared" si="34"/>
        <v>0</v>
      </c>
      <c r="AV31" s="125"/>
      <c r="AW31" s="136">
        <v>652</v>
      </c>
      <c r="AX31" s="31">
        <f t="shared" si="35"/>
        <v>912.8</v>
      </c>
      <c r="AY31" s="126"/>
      <c r="AZ31" s="128"/>
      <c r="BA31" s="128">
        <f t="shared" si="36"/>
        <v>0</v>
      </c>
      <c r="BB31" s="128">
        <f aca="true" t="shared" si="38" ref="BB31:BB39">SUM(AG31:BA31)-AV31-AW31</f>
        <v>12037.06</v>
      </c>
      <c r="BC31" s="128"/>
      <c r="BD31" s="152">
        <f t="shared" si="37"/>
        <v>4194.66</v>
      </c>
      <c r="BE31" s="31">
        <f aca="true" t="shared" si="39" ref="BE31:BE41">AB31-S31</f>
        <v>-2296.58</v>
      </c>
    </row>
    <row r="32" spans="1:57" ht="12.75">
      <c r="A32" s="13" t="s">
        <v>47</v>
      </c>
      <c r="B32" s="97">
        <v>2142</v>
      </c>
      <c r="C32" s="130">
        <f t="shared" si="22"/>
        <v>18528.3</v>
      </c>
      <c r="D32" s="129">
        <f t="shared" si="23"/>
        <v>1718.4800000000007</v>
      </c>
      <c r="E32" s="134">
        <v>1541.78</v>
      </c>
      <c r="F32" s="134">
        <v>398.76</v>
      </c>
      <c r="G32" s="134">
        <v>2087.29</v>
      </c>
      <c r="H32" s="134">
        <v>540.51</v>
      </c>
      <c r="I32" s="134">
        <v>5016.66</v>
      </c>
      <c r="J32" s="134">
        <v>1298.13</v>
      </c>
      <c r="K32" s="134">
        <v>3474.88</v>
      </c>
      <c r="L32" s="134">
        <v>899.38</v>
      </c>
      <c r="M32" s="134">
        <v>1233.44</v>
      </c>
      <c r="N32" s="134">
        <v>318.99</v>
      </c>
      <c r="O32" s="134">
        <v>0</v>
      </c>
      <c r="P32" s="135">
        <v>0</v>
      </c>
      <c r="Q32" s="135">
        <v>0</v>
      </c>
      <c r="R32" s="135">
        <v>0</v>
      </c>
      <c r="S32" s="98">
        <f t="shared" si="24"/>
        <v>13354.050000000001</v>
      </c>
      <c r="T32" s="115">
        <f t="shared" si="25"/>
        <v>3455.7700000000004</v>
      </c>
      <c r="U32" s="98">
        <v>1632.1</v>
      </c>
      <c r="V32" s="98">
        <v>2208.79</v>
      </c>
      <c r="W32" s="98">
        <v>5309.91</v>
      </c>
      <c r="X32" s="98">
        <v>3677.71</v>
      </c>
      <c r="Y32" s="98">
        <v>1305.72</v>
      </c>
      <c r="Z32" s="103">
        <v>0</v>
      </c>
      <c r="AA32" s="103">
        <v>0</v>
      </c>
      <c r="AB32" s="103">
        <f>SUM(U32:AA32)</f>
        <v>14134.229999999998</v>
      </c>
      <c r="AC32" s="118">
        <f t="shared" si="26"/>
        <v>19308.48</v>
      </c>
      <c r="AD32" s="119">
        <f t="shared" si="27"/>
        <v>0</v>
      </c>
      <c r="AE32" s="119">
        <f t="shared" si="28"/>
        <v>0</v>
      </c>
      <c r="AF32" s="119"/>
      <c r="AG32" s="31">
        <f t="shared" si="29"/>
        <v>1285.2</v>
      </c>
      <c r="AH32" s="31">
        <f t="shared" si="30"/>
        <v>428.40000000000003</v>
      </c>
      <c r="AI32" s="31">
        <f t="shared" si="31"/>
        <v>2142</v>
      </c>
      <c r="AJ32" s="31">
        <v>0</v>
      </c>
      <c r="AK32" s="31">
        <f t="shared" si="32"/>
        <v>2099.16</v>
      </c>
      <c r="AL32" s="31">
        <v>0</v>
      </c>
      <c r="AM32" s="31">
        <f t="shared" si="33"/>
        <v>4819.5</v>
      </c>
      <c r="AN32" s="31">
        <v>0</v>
      </c>
      <c r="AO32" s="31"/>
      <c r="AP32" s="31"/>
      <c r="AQ32" s="124"/>
      <c r="AR32" s="124"/>
      <c r="AS32" s="101">
        <v>108</v>
      </c>
      <c r="AT32" s="101"/>
      <c r="AU32" s="101">
        <f t="shared" si="34"/>
        <v>0</v>
      </c>
      <c r="AV32" s="125"/>
      <c r="AW32" s="136">
        <v>601</v>
      </c>
      <c r="AX32" s="31">
        <f t="shared" si="35"/>
        <v>841.4</v>
      </c>
      <c r="AY32" s="126"/>
      <c r="AZ32" s="128"/>
      <c r="BA32" s="128">
        <f t="shared" si="36"/>
        <v>0</v>
      </c>
      <c r="BB32" s="128">
        <f t="shared" si="38"/>
        <v>11723.66</v>
      </c>
      <c r="BC32" s="128"/>
      <c r="BD32" s="152">
        <f t="shared" si="37"/>
        <v>7584.82</v>
      </c>
      <c r="BE32" s="31">
        <f t="shared" si="39"/>
        <v>780.1799999999967</v>
      </c>
    </row>
    <row r="33" spans="1:57" ht="12.75">
      <c r="A33" s="13" t="s">
        <v>48</v>
      </c>
      <c r="B33" s="97">
        <v>2142</v>
      </c>
      <c r="C33" s="130">
        <f t="shared" si="22"/>
        <v>18528.3</v>
      </c>
      <c r="D33" s="129">
        <f t="shared" si="23"/>
        <v>1735.3000000000022</v>
      </c>
      <c r="E33" s="134">
        <v>1539.8</v>
      </c>
      <c r="F33" s="134">
        <v>398.76</v>
      </c>
      <c r="G33" s="134">
        <v>2084.72</v>
      </c>
      <c r="H33" s="134">
        <v>540.5</v>
      </c>
      <c r="I33" s="134">
        <v>5010.35</v>
      </c>
      <c r="J33" s="134">
        <v>1298.12</v>
      </c>
      <c r="K33" s="134">
        <v>3470.53</v>
      </c>
      <c r="L33" s="134">
        <v>899.38</v>
      </c>
      <c r="M33" s="134">
        <v>1231.85</v>
      </c>
      <c r="N33" s="134">
        <v>318.99</v>
      </c>
      <c r="O33" s="134">
        <v>0</v>
      </c>
      <c r="P33" s="135">
        <v>0</v>
      </c>
      <c r="Q33" s="135"/>
      <c r="R33" s="135"/>
      <c r="S33" s="98">
        <f t="shared" si="24"/>
        <v>13337.25</v>
      </c>
      <c r="T33" s="115">
        <f t="shared" si="25"/>
        <v>3455.75</v>
      </c>
      <c r="U33" s="98">
        <v>1183.36</v>
      </c>
      <c r="V33" s="98">
        <v>1598.33</v>
      </c>
      <c r="W33" s="98">
        <v>3847.83</v>
      </c>
      <c r="X33" s="98">
        <v>2663.9</v>
      </c>
      <c r="Y33" s="98">
        <v>947.15</v>
      </c>
      <c r="Z33" s="103">
        <v>0</v>
      </c>
      <c r="AA33" s="103">
        <v>0</v>
      </c>
      <c r="AB33" s="103">
        <f>SUM(U33:AA33)</f>
        <v>10240.57</v>
      </c>
      <c r="AC33" s="118">
        <f t="shared" si="26"/>
        <v>15431.620000000003</v>
      </c>
      <c r="AD33" s="119">
        <f t="shared" si="27"/>
        <v>0</v>
      </c>
      <c r="AE33" s="119">
        <f t="shared" si="28"/>
        <v>0</v>
      </c>
      <c r="AF33" s="119"/>
      <c r="AG33" s="31">
        <f t="shared" si="29"/>
        <v>1285.2</v>
      </c>
      <c r="AH33" s="31">
        <f t="shared" si="30"/>
        <v>428.40000000000003</v>
      </c>
      <c r="AI33" s="31">
        <f t="shared" si="31"/>
        <v>2142</v>
      </c>
      <c r="AJ33" s="31">
        <v>0</v>
      </c>
      <c r="AK33" s="31">
        <f t="shared" si="32"/>
        <v>2099.16</v>
      </c>
      <c r="AL33" s="31">
        <v>0</v>
      </c>
      <c r="AM33" s="31">
        <f t="shared" si="33"/>
        <v>4819.5</v>
      </c>
      <c r="AN33" s="31">
        <v>0</v>
      </c>
      <c r="AO33" s="31"/>
      <c r="AP33" s="31"/>
      <c r="AQ33" s="124"/>
      <c r="AR33" s="124"/>
      <c r="AS33" s="101">
        <v>1766</v>
      </c>
      <c r="AT33" s="101"/>
      <c r="AU33" s="101">
        <f t="shared" si="34"/>
        <v>0</v>
      </c>
      <c r="AV33" s="125"/>
      <c r="AW33" s="136">
        <v>570</v>
      </c>
      <c r="AX33" s="31">
        <f t="shared" si="35"/>
        <v>798</v>
      </c>
      <c r="AY33" s="126"/>
      <c r="AZ33" s="128"/>
      <c r="BA33" s="128">
        <f t="shared" si="36"/>
        <v>0</v>
      </c>
      <c r="BB33" s="128">
        <f t="shared" si="38"/>
        <v>13338.26</v>
      </c>
      <c r="BC33" s="128"/>
      <c r="BD33" s="152">
        <f t="shared" si="37"/>
        <v>2093.3600000000024</v>
      </c>
      <c r="BE33" s="31">
        <f t="shared" si="39"/>
        <v>-3096.6800000000003</v>
      </c>
    </row>
    <row r="34" spans="1:57" ht="12.75">
      <c r="A34" s="13" t="s">
        <v>49</v>
      </c>
      <c r="B34" s="97">
        <v>2140.5</v>
      </c>
      <c r="C34" s="130">
        <f t="shared" si="22"/>
        <v>18515.325</v>
      </c>
      <c r="D34" s="129">
        <f t="shared" si="23"/>
        <v>1735.425000000002</v>
      </c>
      <c r="E34" s="134">
        <v>1538.29</v>
      </c>
      <c r="F34" s="134">
        <v>398.76</v>
      </c>
      <c r="G34" s="134">
        <v>2082.62</v>
      </c>
      <c r="H34" s="134">
        <v>540.51</v>
      </c>
      <c r="I34" s="134">
        <v>5005.44</v>
      </c>
      <c r="J34" s="134">
        <v>1298.12</v>
      </c>
      <c r="K34" s="134">
        <v>3467.12</v>
      </c>
      <c r="L34" s="134">
        <v>899.39</v>
      </c>
      <c r="M34" s="134">
        <v>1230.67</v>
      </c>
      <c r="N34" s="134">
        <v>318.98</v>
      </c>
      <c r="O34" s="134">
        <v>0</v>
      </c>
      <c r="P34" s="135">
        <v>0</v>
      </c>
      <c r="Q34" s="135"/>
      <c r="R34" s="135"/>
      <c r="S34" s="98">
        <f t="shared" si="24"/>
        <v>13324.139999999998</v>
      </c>
      <c r="T34" s="115">
        <f t="shared" si="25"/>
        <v>3455.76</v>
      </c>
      <c r="U34" s="147">
        <v>884.49</v>
      </c>
      <c r="V34" s="147">
        <v>1197.6</v>
      </c>
      <c r="W34" s="147">
        <v>2878.22</v>
      </c>
      <c r="X34" s="147">
        <v>1993.66</v>
      </c>
      <c r="Y34" s="147">
        <v>707.65</v>
      </c>
      <c r="Z34" s="148">
        <v>0</v>
      </c>
      <c r="AA34" s="148">
        <v>0</v>
      </c>
      <c r="AB34" s="103">
        <f aca="true" t="shared" si="40" ref="AB34:AB41">SUM(U34:AA34)</f>
        <v>7661.619999999999</v>
      </c>
      <c r="AC34" s="118">
        <f t="shared" si="26"/>
        <v>12852.805</v>
      </c>
      <c r="AD34" s="119">
        <f t="shared" si="27"/>
        <v>0</v>
      </c>
      <c r="AE34" s="119">
        <f t="shared" si="28"/>
        <v>0</v>
      </c>
      <c r="AF34" s="119"/>
      <c r="AG34" s="31">
        <f t="shared" si="29"/>
        <v>1284.3</v>
      </c>
      <c r="AH34" s="31">
        <f t="shared" si="30"/>
        <v>428.1</v>
      </c>
      <c r="AI34" s="31">
        <f t="shared" si="31"/>
        <v>2140.5</v>
      </c>
      <c r="AJ34" s="31">
        <v>0</v>
      </c>
      <c r="AK34" s="31">
        <f t="shared" si="32"/>
        <v>2097.69</v>
      </c>
      <c r="AL34" s="31">
        <v>0</v>
      </c>
      <c r="AM34" s="31">
        <f t="shared" si="33"/>
        <v>4816.125</v>
      </c>
      <c r="AN34" s="31">
        <v>0</v>
      </c>
      <c r="AO34" s="31"/>
      <c r="AP34" s="31"/>
      <c r="AQ34" s="124"/>
      <c r="AR34" s="124"/>
      <c r="AS34" s="101"/>
      <c r="AT34" s="101"/>
      <c r="AU34" s="101">
        <f t="shared" si="34"/>
        <v>0</v>
      </c>
      <c r="AV34" s="125"/>
      <c r="AW34" s="136">
        <v>648</v>
      </c>
      <c r="AX34" s="31">
        <f t="shared" si="35"/>
        <v>907.1999999999999</v>
      </c>
      <c r="AY34" s="126"/>
      <c r="AZ34" s="128"/>
      <c r="BA34" s="128">
        <f t="shared" si="36"/>
        <v>0</v>
      </c>
      <c r="BB34" s="128">
        <f t="shared" si="38"/>
        <v>11673.915</v>
      </c>
      <c r="BC34" s="128"/>
      <c r="BD34" s="152">
        <f t="shared" si="37"/>
        <v>1178.8899999999994</v>
      </c>
      <c r="BE34" s="31">
        <f t="shared" si="39"/>
        <v>-5662.519999999999</v>
      </c>
    </row>
    <row r="35" spans="1:57" ht="12.75">
      <c r="A35" s="13" t="s">
        <v>50</v>
      </c>
      <c r="B35" s="97">
        <v>2140.5</v>
      </c>
      <c r="C35" s="130">
        <f t="shared" si="22"/>
        <v>18515.325</v>
      </c>
      <c r="D35" s="129">
        <f t="shared" si="23"/>
        <v>1742.9550000000027</v>
      </c>
      <c r="E35" s="134">
        <v>1533.57</v>
      </c>
      <c r="F35" s="134">
        <v>402.6</v>
      </c>
      <c r="G35" s="134">
        <v>2076.27</v>
      </c>
      <c r="H35" s="134">
        <v>545.71</v>
      </c>
      <c r="I35" s="134">
        <v>4990.08</v>
      </c>
      <c r="J35" s="134">
        <v>1310.64</v>
      </c>
      <c r="K35" s="134">
        <v>3456.51</v>
      </c>
      <c r="L35" s="134">
        <v>908.06</v>
      </c>
      <c r="M35" s="134">
        <v>1226.87</v>
      </c>
      <c r="N35" s="134">
        <v>322.06</v>
      </c>
      <c r="O35" s="134">
        <v>0</v>
      </c>
      <c r="P35" s="135">
        <v>0</v>
      </c>
      <c r="Q35" s="134">
        <v>0</v>
      </c>
      <c r="R35" s="135">
        <v>0</v>
      </c>
      <c r="S35" s="98">
        <f t="shared" si="24"/>
        <v>13283.3</v>
      </c>
      <c r="T35" s="115">
        <f t="shared" si="25"/>
        <v>3489.07</v>
      </c>
      <c r="U35" s="98">
        <v>1921.2</v>
      </c>
      <c r="V35" s="98">
        <v>2600.24</v>
      </c>
      <c r="W35" s="98">
        <v>6250.55</v>
      </c>
      <c r="X35" s="98">
        <v>4329.41</v>
      </c>
      <c r="Y35" s="98">
        <v>1536.97</v>
      </c>
      <c r="Z35" s="103">
        <v>0</v>
      </c>
      <c r="AA35" s="103">
        <v>0</v>
      </c>
      <c r="AB35" s="103">
        <f t="shared" si="40"/>
        <v>16638.37</v>
      </c>
      <c r="AC35" s="118">
        <f t="shared" si="26"/>
        <v>21870.395000000004</v>
      </c>
      <c r="AD35" s="119">
        <f t="shared" si="27"/>
        <v>0</v>
      </c>
      <c r="AE35" s="119">
        <f t="shared" si="28"/>
        <v>0</v>
      </c>
      <c r="AF35" s="119"/>
      <c r="AG35" s="31">
        <f t="shared" si="29"/>
        <v>1284.3</v>
      </c>
      <c r="AH35" s="31">
        <f t="shared" si="30"/>
        <v>428.1</v>
      </c>
      <c r="AI35" s="31">
        <f t="shared" si="31"/>
        <v>2140.5</v>
      </c>
      <c r="AJ35" s="31">
        <v>0</v>
      </c>
      <c r="AK35" s="31">
        <f t="shared" si="32"/>
        <v>2097.69</v>
      </c>
      <c r="AL35" s="31">
        <v>0</v>
      </c>
      <c r="AM35" s="31">
        <f t="shared" si="33"/>
        <v>4816.125</v>
      </c>
      <c r="AN35" s="31">
        <v>0</v>
      </c>
      <c r="AO35" s="31"/>
      <c r="AP35" s="31"/>
      <c r="AQ35" s="124"/>
      <c r="AR35" s="124"/>
      <c r="AS35" s="101">
        <v>1253</v>
      </c>
      <c r="AT35" s="101"/>
      <c r="AU35" s="101">
        <f t="shared" si="34"/>
        <v>0</v>
      </c>
      <c r="AV35" s="125"/>
      <c r="AW35" s="136">
        <v>736</v>
      </c>
      <c r="AX35" s="31">
        <f t="shared" si="35"/>
        <v>1030.3999999999999</v>
      </c>
      <c r="AY35" s="126"/>
      <c r="AZ35" s="128"/>
      <c r="BA35" s="128">
        <f t="shared" si="36"/>
        <v>0</v>
      </c>
      <c r="BB35" s="128">
        <f t="shared" si="38"/>
        <v>13050.115</v>
      </c>
      <c r="BC35" s="128"/>
      <c r="BD35" s="152">
        <f t="shared" si="37"/>
        <v>8820.280000000004</v>
      </c>
      <c r="BE35" s="31">
        <f t="shared" si="39"/>
        <v>3355.0699999999997</v>
      </c>
    </row>
    <row r="36" spans="1:57" ht="12.75">
      <c r="A36" s="13" t="s">
        <v>51</v>
      </c>
      <c r="B36" s="97">
        <v>2140.5</v>
      </c>
      <c r="C36" s="130">
        <f t="shared" si="22"/>
        <v>18515.325</v>
      </c>
      <c r="D36" s="129">
        <f t="shared" si="23"/>
        <v>1800.045000000002</v>
      </c>
      <c r="E36" s="149">
        <v>1936.34</v>
      </c>
      <c r="F36" s="134">
        <v>0</v>
      </c>
      <c r="G36" s="134">
        <v>2622.22</v>
      </c>
      <c r="H36" s="134">
        <v>0</v>
      </c>
      <c r="I36" s="134">
        <v>6242.69</v>
      </c>
      <c r="J36" s="134">
        <v>0</v>
      </c>
      <c r="K36" s="134">
        <v>4364.95</v>
      </c>
      <c r="L36" s="134">
        <v>0</v>
      </c>
      <c r="M36" s="134">
        <v>1549.08</v>
      </c>
      <c r="N36" s="134">
        <v>0</v>
      </c>
      <c r="O36" s="134">
        <v>0</v>
      </c>
      <c r="P36" s="135">
        <v>0</v>
      </c>
      <c r="Q36" s="135"/>
      <c r="R36" s="135"/>
      <c r="S36" s="98">
        <f t="shared" si="24"/>
        <v>16715.28</v>
      </c>
      <c r="T36" s="115">
        <f t="shared" si="25"/>
        <v>0</v>
      </c>
      <c r="U36" s="102">
        <v>1598.6</v>
      </c>
      <c r="V36" s="98">
        <v>2164.41</v>
      </c>
      <c r="W36" s="98">
        <v>5201.73</v>
      </c>
      <c r="X36" s="98">
        <v>3603.06</v>
      </c>
      <c r="Y36" s="98">
        <v>1278.92</v>
      </c>
      <c r="Z36" s="103">
        <v>0</v>
      </c>
      <c r="AA36" s="103">
        <v>0</v>
      </c>
      <c r="AB36" s="103">
        <f t="shared" si="40"/>
        <v>13846.72</v>
      </c>
      <c r="AC36" s="118">
        <f t="shared" si="26"/>
        <v>15646.765000000001</v>
      </c>
      <c r="AD36" s="119">
        <f t="shared" si="27"/>
        <v>0</v>
      </c>
      <c r="AE36" s="119">
        <f t="shared" si="28"/>
        <v>0</v>
      </c>
      <c r="AF36" s="119"/>
      <c r="AG36" s="31">
        <f t="shared" si="29"/>
        <v>1284.3</v>
      </c>
      <c r="AH36" s="31">
        <f t="shared" si="30"/>
        <v>428.1</v>
      </c>
      <c r="AI36" s="31">
        <f t="shared" si="31"/>
        <v>2140.5</v>
      </c>
      <c r="AJ36" s="31">
        <v>0</v>
      </c>
      <c r="AK36" s="31">
        <f t="shared" si="32"/>
        <v>2097.69</v>
      </c>
      <c r="AL36" s="31">
        <v>0</v>
      </c>
      <c r="AM36" s="31">
        <f t="shared" si="33"/>
        <v>4816.125</v>
      </c>
      <c r="AN36" s="31">
        <v>0</v>
      </c>
      <c r="AO36" s="31"/>
      <c r="AP36" s="31"/>
      <c r="AQ36" s="124"/>
      <c r="AR36" s="124"/>
      <c r="AS36" s="101"/>
      <c r="AT36" s="101"/>
      <c r="AU36" s="101">
        <f t="shared" si="34"/>
        <v>0</v>
      </c>
      <c r="AV36" s="125"/>
      <c r="AW36" s="136">
        <v>941</v>
      </c>
      <c r="AX36" s="31">
        <f t="shared" si="35"/>
        <v>1317.3999999999999</v>
      </c>
      <c r="AY36" s="126"/>
      <c r="AZ36" s="128"/>
      <c r="BA36" s="128">
        <f t="shared" si="36"/>
        <v>0</v>
      </c>
      <c r="BB36" s="128">
        <f t="shared" si="38"/>
        <v>12084.115</v>
      </c>
      <c r="BC36" s="128"/>
      <c r="BD36" s="152">
        <f t="shared" si="37"/>
        <v>3562.6500000000015</v>
      </c>
      <c r="BE36" s="31">
        <f t="shared" si="39"/>
        <v>-2868.5599999999995</v>
      </c>
    </row>
    <row r="37" spans="1:57" ht="12.75">
      <c r="A37" s="13" t="s">
        <v>52</v>
      </c>
      <c r="B37" s="97">
        <v>2137.9</v>
      </c>
      <c r="C37" s="130">
        <f t="shared" si="22"/>
        <v>18492.835000000003</v>
      </c>
      <c r="D37" s="129">
        <f t="shared" si="23"/>
        <v>1797.845000000002</v>
      </c>
      <c r="E37" s="149">
        <v>1934</v>
      </c>
      <c r="F37" s="134">
        <v>0</v>
      </c>
      <c r="G37" s="134">
        <v>2619.04</v>
      </c>
      <c r="H37" s="134">
        <v>0</v>
      </c>
      <c r="I37" s="134">
        <v>6235.07</v>
      </c>
      <c r="J37" s="134">
        <v>0</v>
      </c>
      <c r="K37" s="134">
        <v>4359.67</v>
      </c>
      <c r="L37" s="134">
        <v>0</v>
      </c>
      <c r="M37" s="134">
        <v>1547.21</v>
      </c>
      <c r="N37" s="134">
        <v>0</v>
      </c>
      <c r="O37" s="134">
        <v>0</v>
      </c>
      <c r="P37" s="135">
        <v>0</v>
      </c>
      <c r="Q37" s="135"/>
      <c r="R37" s="135"/>
      <c r="S37" s="98">
        <f t="shared" si="24"/>
        <v>16694.99</v>
      </c>
      <c r="T37" s="115">
        <f t="shared" si="25"/>
        <v>0</v>
      </c>
      <c r="U37" s="147">
        <v>1917.09</v>
      </c>
      <c r="V37" s="147">
        <v>2596.08</v>
      </c>
      <c r="W37" s="147">
        <v>6238.61</v>
      </c>
      <c r="X37" s="147">
        <v>4321.53</v>
      </c>
      <c r="Y37" s="147">
        <v>1533.65</v>
      </c>
      <c r="Z37" s="148">
        <v>0</v>
      </c>
      <c r="AA37" s="148">
        <v>0</v>
      </c>
      <c r="AB37" s="103">
        <f t="shared" si="40"/>
        <v>16606.96</v>
      </c>
      <c r="AC37" s="118">
        <f t="shared" si="26"/>
        <v>18404.805</v>
      </c>
      <c r="AD37" s="119">
        <f t="shared" si="27"/>
        <v>0</v>
      </c>
      <c r="AE37" s="119">
        <f t="shared" si="28"/>
        <v>0</v>
      </c>
      <c r="AF37" s="119"/>
      <c r="AG37" s="31">
        <f t="shared" si="29"/>
        <v>1282.74</v>
      </c>
      <c r="AH37" s="31">
        <f t="shared" si="30"/>
        <v>427.58000000000004</v>
      </c>
      <c r="AI37" s="31">
        <f t="shared" si="31"/>
        <v>2137.9</v>
      </c>
      <c r="AJ37" s="31">
        <v>0</v>
      </c>
      <c r="AK37" s="31">
        <f t="shared" si="32"/>
        <v>2095.142</v>
      </c>
      <c r="AL37" s="31">
        <v>0</v>
      </c>
      <c r="AM37" s="31">
        <f t="shared" si="33"/>
        <v>4810.275000000001</v>
      </c>
      <c r="AN37" s="31">
        <v>0</v>
      </c>
      <c r="AO37" s="31"/>
      <c r="AP37" s="31"/>
      <c r="AQ37" s="124"/>
      <c r="AR37" s="124"/>
      <c r="AS37" s="101"/>
      <c r="AT37" s="101">
        <f>47.8+168</f>
        <v>215.8</v>
      </c>
      <c r="AU37" s="101"/>
      <c r="AV37" s="125"/>
      <c r="AW37" s="136">
        <v>687</v>
      </c>
      <c r="AX37" s="31">
        <f t="shared" si="35"/>
        <v>961.8</v>
      </c>
      <c r="AY37" s="126"/>
      <c r="AZ37" s="128"/>
      <c r="BA37" s="128">
        <f t="shared" si="36"/>
        <v>0</v>
      </c>
      <c r="BB37" s="128">
        <f t="shared" si="38"/>
        <v>11931.237</v>
      </c>
      <c r="BC37" s="128"/>
      <c r="BD37" s="152">
        <f t="shared" si="37"/>
        <v>6473.568000000001</v>
      </c>
      <c r="BE37" s="31">
        <f t="shared" si="39"/>
        <v>-88.03000000000247</v>
      </c>
    </row>
    <row r="38" spans="1:57" ht="12.75">
      <c r="A38" s="13" t="s">
        <v>53</v>
      </c>
      <c r="B38" s="150">
        <v>2137.9</v>
      </c>
      <c r="C38" s="130">
        <f t="shared" si="22"/>
        <v>18492.835000000003</v>
      </c>
      <c r="D38" s="129">
        <f t="shared" si="23"/>
        <v>1808.1350000000025</v>
      </c>
      <c r="E38" s="134">
        <v>1932.79</v>
      </c>
      <c r="F38" s="134">
        <v>0</v>
      </c>
      <c r="G38" s="134">
        <v>2617.47</v>
      </c>
      <c r="H38" s="134">
        <v>0</v>
      </c>
      <c r="I38" s="134">
        <v>6231.2</v>
      </c>
      <c r="J38" s="134">
        <v>0</v>
      </c>
      <c r="K38" s="134">
        <v>4357.01</v>
      </c>
      <c r="L38" s="134">
        <v>0</v>
      </c>
      <c r="M38" s="134">
        <v>1546.23</v>
      </c>
      <c r="N38" s="134">
        <v>0</v>
      </c>
      <c r="O38" s="134">
        <v>0</v>
      </c>
      <c r="P38" s="135">
        <v>0</v>
      </c>
      <c r="Q38" s="135"/>
      <c r="R38" s="135"/>
      <c r="S38" s="98">
        <f t="shared" si="24"/>
        <v>16684.7</v>
      </c>
      <c r="T38" s="115">
        <f t="shared" si="25"/>
        <v>0</v>
      </c>
      <c r="U38" s="98">
        <v>1548.84</v>
      </c>
      <c r="V38" s="98">
        <v>2097.93</v>
      </c>
      <c r="W38" s="98">
        <v>5040.75</v>
      </c>
      <c r="X38" s="98">
        <v>3491.84</v>
      </c>
      <c r="Y38" s="98">
        <v>1239.1</v>
      </c>
      <c r="Z38" s="103">
        <v>0</v>
      </c>
      <c r="AA38" s="103">
        <v>0</v>
      </c>
      <c r="AB38" s="103">
        <f t="shared" si="40"/>
        <v>13418.460000000001</v>
      </c>
      <c r="AC38" s="118">
        <f t="shared" si="26"/>
        <v>15226.595000000003</v>
      </c>
      <c r="AD38" s="119">
        <f t="shared" si="27"/>
        <v>0</v>
      </c>
      <c r="AE38" s="119">
        <f t="shared" si="28"/>
        <v>0</v>
      </c>
      <c r="AF38" s="119"/>
      <c r="AG38" s="31">
        <f t="shared" si="29"/>
        <v>1282.74</v>
      </c>
      <c r="AH38" s="31">
        <f t="shared" si="30"/>
        <v>427.58000000000004</v>
      </c>
      <c r="AI38" s="31">
        <f t="shared" si="31"/>
        <v>2137.9</v>
      </c>
      <c r="AJ38" s="31">
        <v>0</v>
      </c>
      <c r="AK38" s="31">
        <f t="shared" si="32"/>
        <v>2095.142</v>
      </c>
      <c r="AL38" s="31">
        <v>0</v>
      </c>
      <c r="AM38" s="31">
        <f t="shared" si="33"/>
        <v>4810.275000000001</v>
      </c>
      <c r="AN38" s="31">
        <v>0</v>
      </c>
      <c r="AO38" s="31"/>
      <c r="AP38" s="31"/>
      <c r="AQ38" s="124"/>
      <c r="AR38" s="124"/>
      <c r="AS38" s="101">
        <v>288</v>
      </c>
      <c r="AT38" s="101"/>
      <c r="AU38" s="151">
        <f t="shared" si="34"/>
        <v>0</v>
      </c>
      <c r="AV38" s="125"/>
      <c r="AW38" s="136">
        <v>985</v>
      </c>
      <c r="AX38" s="31">
        <f t="shared" si="35"/>
        <v>1379</v>
      </c>
      <c r="AY38" s="126"/>
      <c r="AZ38" s="128"/>
      <c r="BA38" s="128">
        <f t="shared" si="36"/>
        <v>0</v>
      </c>
      <c r="BB38" s="128">
        <f t="shared" si="38"/>
        <v>12420.637</v>
      </c>
      <c r="BC38" s="128"/>
      <c r="BD38" s="152">
        <f t="shared" si="37"/>
        <v>2805.9580000000024</v>
      </c>
      <c r="BE38" s="31">
        <f t="shared" si="39"/>
        <v>-3266.24</v>
      </c>
    </row>
    <row r="39" spans="1:57" ht="12.75">
      <c r="A39" s="32" t="s">
        <v>41</v>
      </c>
      <c r="B39" s="156">
        <v>2137.9</v>
      </c>
      <c r="C39" s="130">
        <f t="shared" si="22"/>
        <v>18492.835000000003</v>
      </c>
      <c r="D39" s="129">
        <f t="shared" si="23"/>
        <v>1812.5450000000035</v>
      </c>
      <c r="E39" s="138">
        <v>1932.27</v>
      </c>
      <c r="F39" s="138">
        <v>0</v>
      </c>
      <c r="G39" s="138">
        <v>2616.8</v>
      </c>
      <c r="H39" s="138">
        <v>0</v>
      </c>
      <c r="I39" s="138">
        <v>6229.54</v>
      </c>
      <c r="J39" s="138">
        <v>0</v>
      </c>
      <c r="K39" s="138">
        <v>4355.86</v>
      </c>
      <c r="L39" s="138">
        <v>0</v>
      </c>
      <c r="M39" s="138">
        <v>1545.82</v>
      </c>
      <c r="N39" s="138">
        <v>0</v>
      </c>
      <c r="O39" s="138">
        <v>0</v>
      </c>
      <c r="P39" s="139">
        <v>0</v>
      </c>
      <c r="Q39" s="139"/>
      <c r="R39" s="139"/>
      <c r="S39" s="159">
        <f t="shared" si="24"/>
        <v>16680.29</v>
      </c>
      <c r="T39" s="160">
        <f t="shared" si="25"/>
        <v>0</v>
      </c>
      <c r="U39" s="159">
        <v>1910.92</v>
      </c>
      <c r="V39" s="159">
        <v>2587.66</v>
      </c>
      <c r="W39" s="159">
        <v>6136.41</v>
      </c>
      <c r="X39" s="159">
        <v>4307.56</v>
      </c>
      <c r="Y39" s="159">
        <v>1528.72</v>
      </c>
      <c r="Z39" s="161">
        <v>0</v>
      </c>
      <c r="AA39" s="161">
        <v>0</v>
      </c>
      <c r="AB39" s="161">
        <f t="shared" si="40"/>
        <v>16471.27</v>
      </c>
      <c r="AC39" s="162">
        <f t="shared" si="26"/>
        <v>18283.815000000002</v>
      </c>
      <c r="AD39" s="163">
        <f t="shared" si="27"/>
        <v>0</v>
      </c>
      <c r="AE39" s="163">
        <f t="shared" si="28"/>
        <v>0</v>
      </c>
      <c r="AF39" s="163">
        <f>150</f>
        <v>150</v>
      </c>
      <c r="AG39" s="164">
        <f t="shared" si="29"/>
        <v>1282.74</v>
      </c>
      <c r="AH39" s="164">
        <f t="shared" si="30"/>
        <v>427.58000000000004</v>
      </c>
      <c r="AI39" s="164">
        <f t="shared" si="31"/>
        <v>2137.9</v>
      </c>
      <c r="AJ39" s="164">
        <v>0</v>
      </c>
      <c r="AK39" s="164">
        <f t="shared" si="32"/>
        <v>2095.142</v>
      </c>
      <c r="AL39" s="164">
        <v>0</v>
      </c>
      <c r="AM39" s="164">
        <f t="shared" si="33"/>
        <v>4810.275000000001</v>
      </c>
      <c r="AN39" s="164">
        <v>0</v>
      </c>
      <c r="AO39" s="164">
        <v>2120.58</v>
      </c>
      <c r="AP39" s="164"/>
      <c r="AQ39" s="165"/>
      <c r="AR39" s="165"/>
      <c r="AS39" s="166">
        <v>3419</v>
      </c>
      <c r="AT39" s="166"/>
      <c r="AU39" s="166">
        <f t="shared" si="34"/>
        <v>0</v>
      </c>
      <c r="AV39" s="167"/>
      <c r="AW39" s="168">
        <v>736</v>
      </c>
      <c r="AX39" s="164">
        <f t="shared" si="35"/>
        <v>1030.3999999999999</v>
      </c>
      <c r="AY39" s="126"/>
      <c r="AZ39" s="169"/>
      <c r="BA39" s="169">
        <f t="shared" si="36"/>
        <v>0</v>
      </c>
      <c r="BB39" s="169">
        <f t="shared" si="38"/>
        <v>17323.617000000002</v>
      </c>
      <c r="BC39" s="171">
        <v>37.5</v>
      </c>
      <c r="BD39" s="152">
        <f>AC39-BB39+AF39-BC39</f>
        <v>1072.6980000000003</v>
      </c>
      <c r="BE39" s="31">
        <f t="shared" si="39"/>
        <v>-209.02000000000044</v>
      </c>
    </row>
    <row r="40" spans="1:57" ht="12.75">
      <c r="A40" s="13" t="s">
        <v>42</v>
      </c>
      <c r="B40" s="156">
        <v>2137.9</v>
      </c>
      <c r="C40" s="130">
        <f t="shared" si="22"/>
        <v>18492.835000000003</v>
      </c>
      <c r="D40" s="129">
        <f t="shared" si="23"/>
        <v>1812.5250000000049</v>
      </c>
      <c r="E40" s="157">
        <v>1932.28</v>
      </c>
      <c r="F40" s="157">
        <v>0</v>
      </c>
      <c r="G40" s="157">
        <v>2616.81</v>
      </c>
      <c r="H40" s="157">
        <v>0</v>
      </c>
      <c r="I40" s="157">
        <v>6229.54</v>
      </c>
      <c r="J40" s="157">
        <v>0</v>
      </c>
      <c r="K40" s="157">
        <v>4355.86</v>
      </c>
      <c r="L40" s="157">
        <v>0</v>
      </c>
      <c r="M40" s="157">
        <v>1545.82</v>
      </c>
      <c r="N40" s="157">
        <v>0</v>
      </c>
      <c r="O40" s="157">
        <v>0</v>
      </c>
      <c r="P40" s="158">
        <v>0</v>
      </c>
      <c r="Q40" s="158"/>
      <c r="R40" s="158"/>
      <c r="S40" s="159">
        <f t="shared" si="24"/>
        <v>16680.31</v>
      </c>
      <c r="T40" s="160">
        <f t="shared" si="25"/>
        <v>0</v>
      </c>
      <c r="U40" s="172">
        <v>1334.83</v>
      </c>
      <c r="V40" s="159">
        <v>1808.09</v>
      </c>
      <c r="W40" s="159">
        <v>4344.27</v>
      </c>
      <c r="X40" s="159">
        <v>3009.48</v>
      </c>
      <c r="Y40" s="159">
        <v>1067.86</v>
      </c>
      <c r="Z40" s="161">
        <v>0</v>
      </c>
      <c r="AA40" s="161">
        <v>0</v>
      </c>
      <c r="AB40" s="161">
        <f t="shared" si="40"/>
        <v>11564.53</v>
      </c>
      <c r="AC40" s="162">
        <f t="shared" si="26"/>
        <v>13377.055000000006</v>
      </c>
      <c r="AD40" s="163">
        <f t="shared" si="27"/>
        <v>0</v>
      </c>
      <c r="AE40" s="163">
        <f t="shared" si="28"/>
        <v>0</v>
      </c>
      <c r="AF40" s="163">
        <v>150</v>
      </c>
      <c r="AG40" s="164">
        <f t="shared" si="29"/>
        <v>1282.74</v>
      </c>
      <c r="AH40" s="164">
        <f t="shared" si="30"/>
        <v>427.58000000000004</v>
      </c>
      <c r="AI40" s="164">
        <f t="shared" si="31"/>
        <v>2137.9</v>
      </c>
      <c r="AJ40" s="164">
        <v>0</v>
      </c>
      <c r="AK40" s="164">
        <f t="shared" si="32"/>
        <v>2095.142</v>
      </c>
      <c r="AL40" s="164">
        <v>0</v>
      </c>
      <c r="AM40" s="164">
        <f t="shared" si="33"/>
        <v>4810.275000000001</v>
      </c>
      <c r="AN40" s="164">
        <v>0</v>
      </c>
      <c r="AO40" s="164"/>
      <c r="AP40" s="164"/>
      <c r="AQ40" s="165"/>
      <c r="AR40" s="165"/>
      <c r="AS40" s="166"/>
      <c r="AT40" s="166"/>
      <c r="AU40" s="166">
        <f t="shared" si="34"/>
        <v>0</v>
      </c>
      <c r="AV40" s="167"/>
      <c r="AW40" s="168">
        <v>922</v>
      </c>
      <c r="AX40" s="164">
        <f t="shared" si="35"/>
        <v>1290.8</v>
      </c>
      <c r="AY40" s="126"/>
      <c r="AZ40" s="169"/>
      <c r="BA40" s="169">
        <f t="shared" si="36"/>
        <v>0</v>
      </c>
      <c r="BB40" s="169">
        <f>SUM(AG40:BA40)-AV40-AW40</f>
        <v>12044.437</v>
      </c>
      <c r="BC40" s="170">
        <f>37.5</f>
        <v>37.5</v>
      </c>
      <c r="BD40" s="152">
        <f>AC40-BB40+AF40-BC40</f>
        <v>1445.1180000000058</v>
      </c>
      <c r="BE40" s="31">
        <f t="shared" si="39"/>
        <v>-5115.780000000001</v>
      </c>
    </row>
    <row r="41" spans="1:57" ht="12.75">
      <c r="A41" s="13" t="s">
        <v>43</v>
      </c>
      <c r="B41" s="156">
        <v>2137.9</v>
      </c>
      <c r="C41" s="130">
        <f t="shared" si="22"/>
        <v>18492.835000000003</v>
      </c>
      <c r="D41" s="129">
        <f t="shared" si="23"/>
        <v>1812.5450000000035</v>
      </c>
      <c r="E41" s="157">
        <v>1932.27</v>
      </c>
      <c r="F41" s="157">
        <v>0</v>
      </c>
      <c r="G41" s="157">
        <v>2616.8</v>
      </c>
      <c r="H41" s="157">
        <v>0</v>
      </c>
      <c r="I41" s="157">
        <v>6229.54</v>
      </c>
      <c r="J41" s="157">
        <v>0</v>
      </c>
      <c r="K41" s="157">
        <v>4355.86</v>
      </c>
      <c r="L41" s="157">
        <v>0</v>
      </c>
      <c r="M41" s="157">
        <v>1545.82</v>
      </c>
      <c r="N41" s="157">
        <v>0</v>
      </c>
      <c r="O41" s="157">
        <v>0</v>
      </c>
      <c r="P41" s="158">
        <v>0</v>
      </c>
      <c r="Q41" s="158"/>
      <c r="R41" s="158"/>
      <c r="S41" s="159">
        <f t="shared" si="24"/>
        <v>16680.29</v>
      </c>
      <c r="T41" s="160">
        <f t="shared" si="25"/>
        <v>0</v>
      </c>
      <c r="U41" s="159">
        <v>2220.03</v>
      </c>
      <c r="V41" s="159">
        <v>3005.25</v>
      </c>
      <c r="W41" s="159">
        <v>7223.39</v>
      </c>
      <c r="X41" s="159">
        <v>5003.29</v>
      </c>
      <c r="Y41" s="159">
        <v>1776.07</v>
      </c>
      <c r="Z41" s="161">
        <v>0</v>
      </c>
      <c r="AA41" s="161">
        <v>0</v>
      </c>
      <c r="AB41" s="161">
        <f t="shared" si="40"/>
        <v>19228.030000000002</v>
      </c>
      <c r="AC41" s="162">
        <f t="shared" si="26"/>
        <v>21040.575000000004</v>
      </c>
      <c r="AD41" s="163">
        <f t="shared" si="27"/>
        <v>0</v>
      </c>
      <c r="AE41" s="163">
        <f t="shared" si="28"/>
        <v>0</v>
      </c>
      <c r="AF41" s="163">
        <v>150</v>
      </c>
      <c r="AG41" s="164">
        <f t="shared" si="29"/>
        <v>1282.74</v>
      </c>
      <c r="AH41" s="164">
        <f t="shared" si="30"/>
        <v>427.58000000000004</v>
      </c>
      <c r="AI41" s="164">
        <f t="shared" si="31"/>
        <v>2137.9</v>
      </c>
      <c r="AJ41" s="164">
        <v>0</v>
      </c>
      <c r="AK41" s="164">
        <f t="shared" si="32"/>
        <v>2095.142</v>
      </c>
      <c r="AL41" s="164">
        <v>0</v>
      </c>
      <c r="AM41" s="164">
        <f t="shared" si="33"/>
        <v>4810.275000000001</v>
      </c>
      <c r="AN41" s="164">
        <v>0</v>
      </c>
      <c r="AO41" s="164"/>
      <c r="AP41" s="164"/>
      <c r="AQ41" s="165"/>
      <c r="AR41" s="165"/>
      <c r="AS41" s="166"/>
      <c r="AT41" s="166">
        <f>52106.1+11500+2835.9</f>
        <v>66442</v>
      </c>
      <c r="AU41" s="166">
        <f>(52106.1+2835.9)*0.18</f>
        <v>9889.56</v>
      </c>
      <c r="AV41" s="167"/>
      <c r="AW41" s="168">
        <v>1161</v>
      </c>
      <c r="AX41" s="164">
        <f t="shared" si="35"/>
        <v>1625.3999999999999</v>
      </c>
      <c r="AY41" s="126"/>
      <c r="AZ41" s="169"/>
      <c r="BA41" s="169">
        <f t="shared" si="36"/>
        <v>0</v>
      </c>
      <c r="BB41" s="169">
        <f>SUM(AG41:BA41)-AV41-AW41</f>
        <v>88710.597</v>
      </c>
      <c r="BC41" s="170">
        <f>37.5</f>
        <v>37.5</v>
      </c>
      <c r="BD41" s="152">
        <f>AC41-BB41+AF41-BC41</f>
        <v>-67557.522</v>
      </c>
      <c r="BE41" s="31">
        <f t="shared" si="39"/>
        <v>2547.7400000000016</v>
      </c>
    </row>
    <row r="42" spans="1:57" s="28" customFormat="1" ht="12.75">
      <c r="A42" s="22" t="s">
        <v>5</v>
      </c>
      <c r="B42" s="23"/>
      <c r="C42" s="23">
        <f aca="true" t="shared" si="41" ref="C42:AE42">SUM(C30:C41)</f>
        <v>222123.34999999995</v>
      </c>
      <c r="D42" s="23">
        <f t="shared" si="41"/>
        <v>21187.04000000002</v>
      </c>
      <c r="E42" s="24">
        <f t="shared" si="41"/>
        <v>20839.97</v>
      </c>
      <c r="F42" s="24">
        <f t="shared" si="41"/>
        <v>2396.4</v>
      </c>
      <c r="G42" s="24">
        <f t="shared" si="41"/>
        <v>28218.56</v>
      </c>
      <c r="H42" s="24">
        <f t="shared" si="41"/>
        <v>3248.2300000000005</v>
      </c>
      <c r="I42" s="24">
        <f t="shared" si="41"/>
        <v>67463.17</v>
      </c>
      <c r="J42" s="24">
        <f t="shared" si="41"/>
        <v>7801.25</v>
      </c>
      <c r="K42" s="24">
        <f t="shared" si="41"/>
        <v>46974.670000000006</v>
      </c>
      <c r="L42" s="24">
        <f t="shared" si="41"/>
        <v>5404.969999999999</v>
      </c>
      <c r="M42" s="24">
        <f t="shared" si="41"/>
        <v>16672.089999999997</v>
      </c>
      <c r="N42" s="24">
        <f t="shared" si="41"/>
        <v>1917</v>
      </c>
      <c r="O42" s="24">
        <f t="shared" si="41"/>
        <v>0</v>
      </c>
      <c r="P42" s="24">
        <f t="shared" si="41"/>
        <v>0</v>
      </c>
      <c r="Q42" s="24">
        <f t="shared" si="41"/>
        <v>0</v>
      </c>
      <c r="R42" s="24">
        <f t="shared" si="41"/>
        <v>0</v>
      </c>
      <c r="S42" s="24">
        <f t="shared" si="41"/>
        <v>180168.46000000002</v>
      </c>
      <c r="T42" s="24">
        <f t="shared" si="41"/>
        <v>20767.85</v>
      </c>
      <c r="U42" s="25">
        <f t="shared" si="41"/>
        <v>18439.84</v>
      </c>
      <c r="V42" s="25">
        <f t="shared" si="41"/>
        <v>24962.379999999997</v>
      </c>
      <c r="W42" s="25">
        <f t="shared" si="41"/>
        <v>59917.67</v>
      </c>
      <c r="X42" s="25">
        <f t="shared" si="41"/>
        <v>41558.97</v>
      </c>
      <c r="Y42" s="25">
        <f t="shared" si="41"/>
        <v>14752.53</v>
      </c>
      <c r="Z42" s="25">
        <f t="shared" si="41"/>
        <v>0</v>
      </c>
      <c r="AA42" s="25">
        <f t="shared" si="41"/>
        <v>0</v>
      </c>
      <c r="AB42" s="25">
        <f t="shared" si="41"/>
        <v>159631.38999999998</v>
      </c>
      <c r="AC42" s="25">
        <f t="shared" si="41"/>
        <v>201586.28</v>
      </c>
      <c r="AD42" s="108">
        <f t="shared" si="41"/>
        <v>0</v>
      </c>
      <c r="AE42" s="26">
        <f aca="true" t="shared" si="42" ref="AE42:AU42">SUM(AE30:AE41)</f>
        <v>0</v>
      </c>
      <c r="AF42" s="26">
        <f t="shared" si="42"/>
        <v>450</v>
      </c>
      <c r="AG42" s="26">
        <f t="shared" si="42"/>
        <v>15407.4</v>
      </c>
      <c r="AH42" s="26">
        <f t="shared" si="42"/>
        <v>5135.8</v>
      </c>
      <c r="AI42" s="26">
        <f t="shared" si="42"/>
        <v>25679.000000000007</v>
      </c>
      <c r="AJ42" s="26">
        <f t="shared" si="42"/>
        <v>0</v>
      </c>
      <c r="AK42" s="26">
        <f t="shared" si="42"/>
        <v>25165.42</v>
      </c>
      <c r="AL42" s="26">
        <f t="shared" si="42"/>
        <v>0</v>
      </c>
      <c r="AM42" s="26">
        <f t="shared" si="42"/>
        <v>57777.75000000001</v>
      </c>
      <c r="AN42" s="26">
        <f t="shared" si="42"/>
        <v>0</v>
      </c>
      <c r="AO42" s="26">
        <f t="shared" si="42"/>
        <v>2120.58</v>
      </c>
      <c r="AP42" s="26">
        <f t="shared" si="42"/>
        <v>0</v>
      </c>
      <c r="AQ42" s="26">
        <f t="shared" si="42"/>
        <v>0</v>
      </c>
      <c r="AR42" s="26">
        <f t="shared" si="42"/>
        <v>0</v>
      </c>
      <c r="AS42" s="93">
        <f t="shared" si="42"/>
        <v>9880</v>
      </c>
      <c r="AT42" s="93">
        <f t="shared" si="42"/>
        <v>66657.8</v>
      </c>
      <c r="AU42" s="93">
        <f t="shared" si="42"/>
        <v>9889.56</v>
      </c>
      <c r="AV42" s="26"/>
      <c r="AW42" s="26"/>
      <c r="AX42" s="26">
        <f aca="true" t="shared" si="43" ref="AX42:BE42">SUM(AX30:AX41)</f>
        <v>13110.999999999998</v>
      </c>
      <c r="AY42" s="26">
        <f t="shared" si="43"/>
        <v>0</v>
      </c>
      <c r="AZ42" s="26">
        <f t="shared" si="43"/>
        <v>0</v>
      </c>
      <c r="BA42" s="26">
        <f t="shared" si="43"/>
        <v>0</v>
      </c>
      <c r="BB42" s="26">
        <f t="shared" si="43"/>
        <v>230824.31</v>
      </c>
      <c r="BC42" s="26">
        <f t="shared" si="43"/>
        <v>112.5</v>
      </c>
      <c r="BD42" s="26">
        <f t="shared" si="43"/>
        <v>-28900.529999999984</v>
      </c>
      <c r="BE42" s="27">
        <f t="shared" si="43"/>
        <v>-20537.070000000003</v>
      </c>
    </row>
    <row r="43" spans="1:57" s="28" customFormat="1" ht="12.75">
      <c r="A43" s="22"/>
      <c r="B43" s="23"/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25"/>
      <c r="W43" s="25"/>
      <c r="X43" s="25"/>
      <c r="Y43" s="25"/>
      <c r="Z43" s="25"/>
      <c r="AA43" s="25"/>
      <c r="AB43" s="25"/>
      <c r="AC43" s="25"/>
      <c r="AD43" s="108"/>
      <c r="AE43" s="108"/>
      <c r="AF43" s="108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93"/>
      <c r="AT43" s="93"/>
      <c r="AU43" s="93"/>
      <c r="AV43" s="26"/>
      <c r="AW43" s="26"/>
      <c r="AX43" s="26"/>
      <c r="AY43" s="26"/>
      <c r="AZ43" s="26"/>
      <c r="BA43" s="26"/>
      <c r="BB43" s="26"/>
      <c r="BC43" s="26"/>
      <c r="BD43" s="26"/>
      <c r="BE43" s="105"/>
    </row>
    <row r="44" spans="1:57" s="28" customFormat="1" ht="13.5" thickBot="1">
      <c r="A44" s="33" t="s">
        <v>54</v>
      </c>
      <c r="B44" s="34"/>
      <c r="C44" s="34">
        <f>C28+C42</f>
        <v>500373.08999999997</v>
      </c>
      <c r="D44" s="34">
        <f aca="true" t="shared" si="44" ref="D44:BE44">D28+D42</f>
        <v>57582.62721840001</v>
      </c>
      <c r="E44" s="34">
        <f t="shared" si="44"/>
        <v>43347.06</v>
      </c>
      <c r="F44" s="34">
        <f t="shared" si="44"/>
        <v>8048</v>
      </c>
      <c r="G44" s="34">
        <f t="shared" si="44"/>
        <v>58648.880000000005</v>
      </c>
      <c r="H44" s="34">
        <f t="shared" si="44"/>
        <v>10895.560000000001</v>
      </c>
      <c r="I44" s="34">
        <f t="shared" si="44"/>
        <v>140656.84</v>
      </c>
      <c r="J44" s="34">
        <f t="shared" si="44"/>
        <v>26186.44</v>
      </c>
      <c r="K44" s="34">
        <f t="shared" si="44"/>
        <v>97661.13</v>
      </c>
      <c r="L44" s="34">
        <f t="shared" si="44"/>
        <v>18138.65</v>
      </c>
      <c r="M44" s="34">
        <f t="shared" si="44"/>
        <v>34677.759999999995</v>
      </c>
      <c r="N44" s="34">
        <f t="shared" si="44"/>
        <v>6438.17</v>
      </c>
      <c r="O44" s="34">
        <f t="shared" si="44"/>
        <v>0</v>
      </c>
      <c r="P44" s="34">
        <f t="shared" si="44"/>
        <v>0</v>
      </c>
      <c r="Q44" s="34">
        <f t="shared" si="44"/>
        <v>0</v>
      </c>
      <c r="R44" s="34">
        <f t="shared" si="44"/>
        <v>0</v>
      </c>
      <c r="S44" s="34">
        <f t="shared" si="44"/>
        <v>374991.67</v>
      </c>
      <c r="T44" s="34">
        <f t="shared" si="44"/>
        <v>69706.82</v>
      </c>
      <c r="U44" s="34">
        <f t="shared" si="44"/>
        <v>38368.979999999996</v>
      </c>
      <c r="V44" s="34">
        <f t="shared" si="44"/>
        <v>51903.75</v>
      </c>
      <c r="W44" s="34">
        <f t="shared" si="44"/>
        <v>124724.2</v>
      </c>
      <c r="X44" s="34">
        <f t="shared" si="44"/>
        <v>86436.26000000001</v>
      </c>
      <c r="Y44" s="34">
        <f t="shared" si="44"/>
        <v>30695.88</v>
      </c>
      <c r="Z44" s="34">
        <f t="shared" si="44"/>
        <v>0</v>
      </c>
      <c r="AA44" s="34">
        <f t="shared" si="44"/>
        <v>0</v>
      </c>
      <c r="AB44" s="34">
        <f t="shared" si="44"/>
        <v>332129.06999999995</v>
      </c>
      <c r="AC44" s="34">
        <f t="shared" si="44"/>
        <v>459418.5172184</v>
      </c>
      <c r="AD44" s="34">
        <f t="shared" si="44"/>
        <v>0</v>
      </c>
      <c r="AE44" s="34">
        <f t="shared" si="44"/>
        <v>0</v>
      </c>
      <c r="AF44" s="34">
        <f t="shared" si="44"/>
        <v>450</v>
      </c>
      <c r="AG44" s="34">
        <f t="shared" si="44"/>
        <v>34193.016</v>
      </c>
      <c r="AH44" s="34">
        <f t="shared" si="44"/>
        <v>11457.556688</v>
      </c>
      <c r="AI44" s="34">
        <f t="shared" si="44"/>
        <v>52020.023172</v>
      </c>
      <c r="AJ44" s="34">
        <f t="shared" si="44"/>
        <v>4741.384170959999</v>
      </c>
      <c r="AK44" s="34">
        <f t="shared" si="44"/>
        <v>51818.995134239995</v>
      </c>
      <c r="AL44" s="34">
        <f t="shared" si="44"/>
        <v>4797.643524163199</v>
      </c>
      <c r="AM44" s="34">
        <f t="shared" si="44"/>
        <v>116144.23902448271</v>
      </c>
      <c r="AN44" s="34">
        <f t="shared" si="44"/>
        <v>10505.968024406886</v>
      </c>
      <c r="AO44" s="34">
        <f t="shared" si="44"/>
        <v>2120.58</v>
      </c>
      <c r="AP44" s="34">
        <f t="shared" si="44"/>
        <v>0</v>
      </c>
      <c r="AQ44" s="34">
        <f t="shared" si="44"/>
        <v>6088.12</v>
      </c>
      <c r="AR44" s="34">
        <f t="shared" si="44"/>
        <v>1095.8616</v>
      </c>
      <c r="AS44" s="34">
        <f t="shared" si="44"/>
        <v>41341.28</v>
      </c>
      <c r="AT44" s="34">
        <f t="shared" si="44"/>
        <v>67940.86</v>
      </c>
      <c r="AU44" s="34">
        <f t="shared" si="44"/>
        <v>15783.5512</v>
      </c>
      <c r="AV44" s="34">
        <f t="shared" si="44"/>
        <v>0</v>
      </c>
      <c r="AW44" s="34">
        <f t="shared" si="44"/>
        <v>0</v>
      </c>
      <c r="AX44" s="34">
        <f t="shared" si="44"/>
        <v>25046.369599999998</v>
      </c>
      <c r="AY44" s="34">
        <f t="shared" si="44"/>
        <v>0</v>
      </c>
      <c r="AZ44" s="34">
        <f t="shared" si="44"/>
        <v>0</v>
      </c>
      <c r="BA44" s="34">
        <f t="shared" si="44"/>
        <v>0</v>
      </c>
      <c r="BB44" s="34">
        <f t="shared" si="44"/>
        <v>445095.44813825283</v>
      </c>
      <c r="BC44" s="34">
        <f t="shared" si="44"/>
        <v>112.5</v>
      </c>
      <c r="BD44" s="34">
        <f t="shared" si="44"/>
        <v>14660.569080147223</v>
      </c>
      <c r="BE44" s="34">
        <f t="shared" si="44"/>
        <v>-42862.600000000006</v>
      </c>
    </row>
  </sheetData>
  <sheetProtection/>
  <mergeCells count="66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Y5:Y6"/>
    <mergeCell ref="BD3:BD6"/>
    <mergeCell ref="BE3:BE6"/>
    <mergeCell ref="AH5:AH6"/>
    <mergeCell ref="AI5:AI6"/>
    <mergeCell ref="AJ5:AJ6"/>
    <mergeCell ref="AK5:AK6"/>
    <mergeCell ref="AL5:AL6"/>
    <mergeCell ref="AM5:AM6"/>
    <mergeCell ref="BA5:BA6"/>
    <mergeCell ref="BB5:BB6"/>
    <mergeCell ref="M4:N4"/>
    <mergeCell ref="O4:P4"/>
    <mergeCell ref="Q4:R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S5:AS6"/>
    <mergeCell ref="P5:P6"/>
    <mergeCell ref="Q5:Q6"/>
    <mergeCell ref="R5:R6"/>
    <mergeCell ref="S5:S6"/>
    <mergeCell ref="AQ5:AQ6"/>
    <mergeCell ref="Z5:Z6"/>
    <mergeCell ref="AA5:AA6"/>
    <mergeCell ref="AB5:AB6"/>
    <mergeCell ref="AG5:AG6"/>
    <mergeCell ref="AE3:AE6"/>
    <mergeCell ref="AG3:BB4"/>
    <mergeCell ref="AN5:AN6"/>
    <mergeCell ref="AO5:AO6"/>
    <mergeCell ref="AP5:AP6"/>
    <mergeCell ref="AV5:AX5"/>
    <mergeCell ref="AT5:AT6"/>
    <mergeCell ref="AU5:AU6"/>
    <mergeCell ref="AY5:AY6"/>
    <mergeCell ref="BC5:BC6"/>
    <mergeCell ref="AR5:AR6"/>
    <mergeCell ref="AZ5:A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0">
      <selection activeCell="I49" sqref="I49:M49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375" style="2" customWidth="1"/>
    <col min="4" max="4" width="9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2.25390625" style="2" customWidth="1"/>
    <col min="9" max="9" width="9.25390625" style="2" customWidth="1"/>
    <col min="10" max="10" width="10.875" style="2" customWidth="1"/>
    <col min="11" max="11" width="10.375" style="2" customWidth="1"/>
    <col min="12" max="12" width="10.125" style="2" customWidth="1"/>
    <col min="13" max="13" width="8.875" style="2" customWidth="1"/>
    <col min="14" max="14" width="12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6" spans="1:15" ht="12.75">
      <c r="A6" s="236" t="s">
        <v>86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ht="12.75">
      <c r="A7" s="223" t="s">
        <v>90</v>
      </c>
      <c r="B7" s="223"/>
      <c r="C7" s="223"/>
      <c r="D7" s="223"/>
      <c r="E7" s="223"/>
      <c r="F7" s="223"/>
      <c r="G7" s="223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5" ht="13.5" thickBot="1">
      <c r="A9" s="37" t="s">
        <v>57</v>
      </c>
      <c r="D9" s="4"/>
      <c r="E9" s="37">
        <v>8.65</v>
      </c>
    </row>
    <row r="10" spans="1:16" ht="12.75" customHeight="1">
      <c r="A10" s="208" t="s">
        <v>58</v>
      </c>
      <c r="B10" s="238" t="s">
        <v>1</v>
      </c>
      <c r="C10" s="241" t="s">
        <v>59</v>
      </c>
      <c r="D10" s="244" t="s">
        <v>3</v>
      </c>
      <c r="E10" s="247" t="s">
        <v>60</v>
      </c>
      <c r="F10" s="248"/>
      <c r="G10" s="224" t="s">
        <v>76</v>
      </c>
      <c r="H10" s="224"/>
      <c r="I10" s="251" t="s">
        <v>10</v>
      </c>
      <c r="J10" s="190"/>
      <c r="K10" s="190"/>
      <c r="L10" s="190"/>
      <c r="M10" s="190"/>
      <c r="N10" s="252"/>
      <c r="O10" s="220" t="s">
        <v>61</v>
      </c>
      <c r="P10" s="220" t="s">
        <v>12</v>
      </c>
    </row>
    <row r="11" spans="1:16" ht="12.75">
      <c r="A11" s="209"/>
      <c r="B11" s="239"/>
      <c r="C11" s="242"/>
      <c r="D11" s="245"/>
      <c r="E11" s="249"/>
      <c r="F11" s="250"/>
      <c r="G11" s="225"/>
      <c r="H11" s="225"/>
      <c r="I11" s="253"/>
      <c r="J11" s="176"/>
      <c r="K11" s="176"/>
      <c r="L11" s="176"/>
      <c r="M11" s="176"/>
      <c r="N11" s="254"/>
      <c r="O11" s="221"/>
      <c r="P11" s="221"/>
    </row>
    <row r="12" spans="1:16" ht="26.25" customHeight="1">
      <c r="A12" s="209"/>
      <c r="B12" s="239"/>
      <c r="C12" s="242"/>
      <c r="D12" s="245"/>
      <c r="E12" s="228" t="s">
        <v>62</v>
      </c>
      <c r="F12" s="229"/>
      <c r="G12" s="39" t="s">
        <v>63</v>
      </c>
      <c r="H12" s="230" t="s">
        <v>7</v>
      </c>
      <c r="I12" s="232" t="s">
        <v>64</v>
      </c>
      <c r="J12" s="215" t="s">
        <v>32</v>
      </c>
      <c r="K12" s="215" t="s">
        <v>65</v>
      </c>
      <c r="L12" s="215" t="s">
        <v>37</v>
      </c>
      <c r="M12" s="215" t="s">
        <v>66</v>
      </c>
      <c r="N12" s="234" t="s">
        <v>39</v>
      </c>
      <c r="O12" s="221"/>
      <c r="P12" s="221"/>
    </row>
    <row r="13" spans="1:16" ht="66.75" customHeight="1" thickBot="1">
      <c r="A13" s="237"/>
      <c r="B13" s="240"/>
      <c r="C13" s="243"/>
      <c r="D13" s="246"/>
      <c r="E13" s="40" t="s">
        <v>67</v>
      </c>
      <c r="F13" s="41" t="s">
        <v>21</v>
      </c>
      <c r="G13" s="42" t="s">
        <v>77</v>
      </c>
      <c r="H13" s="231"/>
      <c r="I13" s="233"/>
      <c r="J13" s="216"/>
      <c r="K13" s="216"/>
      <c r="L13" s="216"/>
      <c r="M13" s="216"/>
      <c r="N13" s="235"/>
      <c r="O13" s="222"/>
      <c r="P13" s="222"/>
    </row>
    <row r="14" spans="1:16" ht="13.5" thickBot="1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4">
        <v>8</v>
      </c>
      <c r="I14" s="43">
        <v>9</v>
      </c>
      <c r="J14" s="44">
        <v>10</v>
      </c>
      <c r="K14" s="43">
        <v>11</v>
      </c>
      <c r="L14" s="44">
        <v>12</v>
      </c>
      <c r="M14" s="43">
        <v>13</v>
      </c>
      <c r="N14" s="44">
        <v>14</v>
      </c>
      <c r="O14" s="43">
        <v>15</v>
      </c>
      <c r="P14" s="45">
        <v>16</v>
      </c>
    </row>
    <row r="15" spans="1:16" ht="12.75" hidden="1">
      <c r="A15" s="8" t="s">
        <v>40</v>
      </c>
      <c r="B15" s="9"/>
      <c r="C15" s="38"/>
      <c r="D15" s="8"/>
      <c r="E15" s="9"/>
      <c r="F15" s="10"/>
      <c r="G15" s="46"/>
      <c r="H15" s="38"/>
      <c r="I15" s="8"/>
      <c r="J15" s="9"/>
      <c r="K15" s="9"/>
      <c r="L15" s="9"/>
      <c r="M15" s="9"/>
      <c r="N15" s="10"/>
      <c r="O15" s="47"/>
      <c r="P15" s="48"/>
    </row>
    <row r="16" spans="1:16" ht="12.75" hidden="1">
      <c r="A16" s="13" t="s">
        <v>41</v>
      </c>
      <c r="B16" s="14">
        <f>Лист1!B9</f>
        <v>2145.6</v>
      </c>
      <c r="C16" s="49">
        <f>Лист1!C9</f>
        <v>18559.44</v>
      </c>
      <c r="D16" s="50">
        <f>Лист1!D9</f>
        <v>4470.5979072</v>
      </c>
      <c r="E16" s="19">
        <f>Лист1!S9</f>
        <v>12689.570000000002</v>
      </c>
      <c r="F16" s="21">
        <f>Лист1!T9</f>
        <v>3329.58</v>
      </c>
      <c r="G16" s="51">
        <f>Лист1!AB9</f>
        <v>0</v>
      </c>
      <c r="H16" s="51">
        <f>Лист1!AC9</f>
        <v>7800.1779072</v>
      </c>
      <c r="I16" s="52">
        <f>Лист1!AG9</f>
        <v>1287.36</v>
      </c>
      <c r="J16" s="19">
        <f>Лист1!AI9+Лист1!AJ9</f>
        <v>2156.5940544</v>
      </c>
      <c r="K16" s="19">
        <f>Лист1!AH9+Лист1!AK9+Лист1!AL9+Лист1!AM9+Лист1!AN9+Лист1!AO9+Лист1!AP9</f>
        <v>7572.66583536</v>
      </c>
      <c r="L16" s="20">
        <f>Лист1!AS9+Лист1!AU9</f>
        <v>0</v>
      </c>
      <c r="M16" s="20">
        <f>Лист1!AX9</f>
        <v>0</v>
      </c>
      <c r="N16" s="21">
        <f>Лист1!BB9</f>
        <v>11016.619889759999</v>
      </c>
      <c r="O16" s="53">
        <f>Лист1!BD9</f>
        <v>-3216.441982559999</v>
      </c>
      <c r="P16" s="53">
        <f>Лист1!BE9</f>
        <v>-12689.570000000002</v>
      </c>
    </row>
    <row r="17" spans="1:16" ht="12.75" hidden="1">
      <c r="A17" s="13" t="s">
        <v>42</v>
      </c>
      <c r="B17" s="14">
        <f>Лист1!B10</f>
        <v>2145.6</v>
      </c>
      <c r="C17" s="49">
        <f>Лист1!C10</f>
        <v>18559.44</v>
      </c>
      <c r="D17" s="50">
        <f>Лист1!D10</f>
        <v>4470.5979072</v>
      </c>
      <c r="E17" s="19">
        <f>Лист1!S10</f>
        <v>12229.12</v>
      </c>
      <c r="F17" s="21">
        <f>Лист1!T10</f>
        <v>3169.6</v>
      </c>
      <c r="G17" s="51">
        <f>Лист1!AB10</f>
        <v>7863.38</v>
      </c>
      <c r="H17" s="51">
        <f>Лист1!AC10</f>
        <v>15503.5779072</v>
      </c>
      <c r="I17" s="52">
        <f>Лист1!AG10</f>
        <v>1287.36</v>
      </c>
      <c r="J17" s="19">
        <f>Лист1!AI10+Лист1!AJ10</f>
        <v>2156.5940544</v>
      </c>
      <c r="K17" s="19">
        <f>Лист1!AH10+Лист1!AK10+Лист1!AL10+Лист1!AM10+Лист1!AN10+Лист1!AO10+Лист1!AP10</f>
        <v>7550.074212191999</v>
      </c>
      <c r="L17" s="20">
        <f>Лист1!AS10+Лист1!AU10</f>
        <v>5020.9</v>
      </c>
      <c r="M17" s="20">
        <f>Лист1!AX10</f>
        <v>0</v>
      </c>
      <c r="N17" s="21">
        <f>Лист1!BB10</f>
        <v>16014.928266591998</v>
      </c>
      <c r="O17" s="53">
        <f>Лист1!BD10</f>
        <v>-511.3503593919977</v>
      </c>
      <c r="P17" s="53">
        <f>Лист1!BE10</f>
        <v>-4365.740000000001</v>
      </c>
    </row>
    <row r="18" spans="1:18" ht="13.5" hidden="1" thickBot="1">
      <c r="A18" s="54" t="s">
        <v>43</v>
      </c>
      <c r="B18" s="77">
        <f>Лист1!B11</f>
        <v>2145.6</v>
      </c>
      <c r="C18" s="55">
        <f>Лист1!C11</f>
        <v>18559.44</v>
      </c>
      <c r="D18" s="78">
        <f>Лист1!D11</f>
        <v>4460.761404</v>
      </c>
      <c r="E18" s="79">
        <f>Лист1!S11</f>
        <v>12545.460000000001</v>
      </c>
      <c r="F18" s="83">
        <f>Лист1!T11</f>
        <v>3006.49</v>
      </c>
      <c r="G18" s="80">
        <f>Лист1!AB11</f>
        <v>11131.72</v>
      </c>
      <c r="H18" s="80">
        <f>Лист1!AC11</f>
        <v>18598.971404</v>
      </c>
      <c r="I18" s="81">
        <f>Лист1!AG11</f>
        <v>1287.36</v>
      </c>
      <c r="J18" s="79">
        <f>Лист1!AI11+Лист1!AJ11</f>
        <v>2150.31517056</v>
      </c>
      <c r="K18" s="79">
        <f>Лист1!AH11+Лист1!AK11+Лист1!AL11+Лист1!AM11+Лист1!AN11+Лист1!AO11+Лист1!AP11</f>
        <v>7537.807623888</v>
      </c>
      <c r="L18" s="82">
        <f>Лист1!AS11+Лист1!AU11</f>
        <v>4802.6</v>
      </c>
      <c r="M18" s="82">
        <f>Лист1!AX11</f>
        <v>0</v>
      </c>
      <c r="N18" s="83">
        <f>Лист1!BB11</f>
        <v>15778.082794447999</v>
      </c>
      <c r="O18" s="84">
        <f>Лист1!BD11</f>
        <v>2820.888609552001</v>
      </c>
      <c r="P18" s="84">
        <f>Лист1!BE11</f>
        <v>-1413.7400000000016</v>
      </c>
      <c r="Q18" s="1"/>
      <c r="R18" s="1"/>
    </row>
    <row r="19" spans="1:18" s="28" customFormat="1" ht="13.5" hidden="1" thickBot="1">
      <c r="A19" s="56" t="s">
        <v>5</v>
      </c>
      <c r="B19" s="88"/>
      <c r="C19" s="89">
        <f>SUM(C16:C18)</f>
        <v>55678.31999999999</v>
      </c>
      <c r="D19" s="96">
        <f aca="true" t="shared" si="0" ref="D19:P19">SUM(D16:D18)</f>
        <v>13401.957218399999</v>
      </c>
      <c r="E19" s="89">
        <f t="shared" si="0"/>
        <v>37464.15</v>
      </c>
      <c r="F19" s="90">
        <f t="shared" si="0"/>
        <v>9505.67</v>
      </c>
      <c r="G19" s="95">
        <f t="shared" si="0"/>
        <v>18995.1</v>
      </c>
      <c r="H19" s="89">
        <f t="shared" si="0"/>
        <v>41902.7272184</v>
      </c>
      <c r="I19" s="89">
        <f t="shared" si="0"/>
        <v>3862.08</v>
      </c>
      <c r="J19" s="89">
        <f t="shared" si="0"/>
        <v>6463.50327936</v>
      </c>
      <c r="K19" s="89">
        <f t="shared" si="0"/>
        <v>22660.54767144</v>
      </c>
      <c r="L19" s="89">
        <f t="shared" si="0"/>
        <v>9823.5</v>
      </c>
      <c r="M19" s="89">
        <f t="shared" si="0"/>
        <v>0</v>
      </c>
      <c r="N19" s="89">
        <f t="shared" si="0"/>
        <v>42809.6309508</v>
      </c>
      <c r="O19" s="89">
        <f t="shared" si="0"/>
        <v>-906.9037323999955</v>
      </c>
      <c r="P19" s="90">
        <f t="shared" si="0"/>
        <v>-18469.050000000003</v>
      </c>
      <c r="Q19" s="63"/>
      <c r="R19" s="64"/>
    </row>
    <row r="20" spans="1:18" ht="12.75" hidden="1">
      <c r="A20" s="8" t="s">
        <v>44</v>
      </c>
      <c r="B20" s="85"/>
      <c r="C20" s="65"/>
      <c r="D20" s="66"/>
      <c r="E20" s="67"/>
      <c r="F20" s="68"/>
      <c r="G20" s="69"/>
      <c r="H20" s="69"/>
      <c r="I20" s="70"/>
      <c r="J20" s="67"/>
      <c r="K20" s="67"/>
      <c r="L20" s="86"/>
      <c r="M20" s="86"/>
      <c r="N20" s="68"/>
      <c r="O20" s="87"/>
      <c r="P20" s="87"/>
      <c r="Q20" s="1"/>
      <c r="R20" s="1"/>
    </row>
    <row r="21" spans="1:18" ht="12.75" hidden="1">
      <c r="A21" s="13" t="s">
        <v>45</v>
      </c>
      <c r="B21" s="14">
        <f>Лист1!B14</f>
        <v>2145.6</v>
      </c>
      <c r="C21" s="49">
        <f>Лист1!C14</f>
        <v>18559.44</v>
      </c>
      <c r="D21" s="50">
        <f>Лист1!D14</f>
        <v>2319.93</v>
      </c>
      <c r="E21" s="19">
        <f>Лист1!S14</f>
        <v>12544.91</v>
      </c>
      <c r="F21" s="21">
        <f>Лист1!T14</f>
        <v>2927.46</v>
      </c>
      <c r="G21" s="51">
        <f>Лист1!AB14</f>
        <v>7174.33</v>
      </c>
      <c r="H21" s="51">
        <f>Лист1!AC14</f>
        <v>12421.72</v>
      </c>
      <c r="I21" s="52">
        <f>Лист1!AG14</f>
        <v>1158.624</v>
      </c>
      <c r="J21" s="19">
        <f>Лист1!AI14+Лист1!AJ14</f>
        <v>1865.7923055999997</v>
      </c>
      <c r="K21" s="19">
        <f>Лист1!AH14+Лист1!AK14+Лист1!AL14+Лист1!AM14+Лист1!AN14+Лист1!AO14+Лист1!AP14+Лист1!AQ14+Лист1!AR14+Лист1!AY14+Лист1!AZ14+Лист1!BA14</f>
        <v>6407.747674847999</v>
      </c>
      <c r="L21" s="20">
        <f>Лист1!AS14+Лист1!AT14+Лист1!AU14</f>
        <v>455.49</v>
      </c>
      <c r="M21" s="20">
        <f>Лист1!AX14</f>
        <v>1108.8224</v>
      </c>
      <c r="N21" s="21">
        <f>Лист1!BB14</f>
        <v>9887.653980448</v>
      </c>
      <c r="O21" s="53">
        <f>Лист1!BD14</f>
        <v>2534.0660195519995</v>
      </c>
      <c r="P21" s="53">
        <f>Лист1!BE14</f>
        <v>-5370.58</v>
      </c>
      <c r="Q21" s="1"/>
      <c r="R21" s="1"/>
    </row>
    <row r="22" spans="1:18" ht="12.75" hidden="1">
      <c r="A22" s="13" t="s">
        <v>46</v>
      </c>
      <c r="B22" s="14">
        <f>Лист1!B15</f>
        <v>2145.6</v>
      </c>
      <c r="C22" s="49">
        <f>Лист1!C15</f>
        <v>18559.44</v>
      </c>
      <c r="D22" s="50">
        <f>Лист1!D15</f>
        <v>2319.93</v>
      </c>
      <c r="E22" s="19">
        <f>Лист1!S15</f>
        <v>12680.940000000002</v>
      </c>
      <c r="F22" s="21">
        <f>Лист1!T15</f>
        <v>2927.46</v>
      </c>
      <c r="G22" s="51">
        <f>Лист1!AB15</f>
        <v>10506.52</v>
      </c>
      <c r="H22" s="51">
        <f>Лист1!AC15</f>
        <v>15753.91</v>
      </c>
      <c r="I22" s="52">
        <f>Лист1!AG15</f>
        <v>1158.624</v>
      </c>
      <c r="J22" s="19">
        <f>Лист1!AI15+Лист1!AJ15</f>
        <v>1865.8159055999997</v>
      </c>
      <c r="K22" s="19">
        <f>Лист1!AH15+Лист1!AK15+Лист1!AL15+Лист1!AM15+Лист1!AN15+Лист1!AO15+Лист1!AP15+Лист1!AQ15+Лист1!AR15+Лист1!AY15+Лист1!AZ15+Лист1!BA15</f>
        <v>6416.998000127999</v>
      </c>
      <c r="L22" s="20">
        <f>Лист1!AS15+Лист1!AT15+Лист1!AU15</f>
        <v>0</v>
      </c>
      <c r="M22" s="20">
        <f>Лист1!AX15</f>
        <v>1014.9888000000001</v>
      </c>
      <c r="N22" s="21">
        <f>Лист1!BB15</f>
        <v>9441.437905727998</v>
      </c>
      <c r="O22" s="53">
        <f>Лист1!BD15</f>
        <v>6312.472094272001</v>
      </c>
      <c r="P22" s="53">
        <f>Лист1!BE15</f>
        <v>-2174.420000000002</v>
      </c>
      <c r="Q22" s="1"/>
      <c r="R22" s="1"/>
    </row>
    <row r="23" spans="1:18" ht="12.75" hidden="1">
      <c r="A23" s="13" t="s">
        <v>47</v>
      </c>
      <c r="B23" s="14">
        <f>Лист1!B16</f>
        <v>2145.6</v>
      </c>
      <c r="C23" s="49">
        <f>Лист1!C16</f>
        <v>18559.44</v>
      </c>
      <c r="D23" s="50">
        <f>Лист1!D16</f>
        <v>2319.93</v>
      </c>
      <c r="E23" s="19">
        <f>Лист1!S16</f>
        <v>12521.83</v>
      </c>
      <c r="F23" s="21">
        <f>Лист1!T16</f>
        <v>2952.94</v>
      </c>
      <c r="G23" s="51">
        <f>Лист1!AB16</f>
        <v>15105.759999999998</v>
      </c>
      <c r="H23" s="51">
        <f>Лист1!AC16</f>
        <v>20378.629999999997</v>
      </c>
      <c r="I23" s="52">
        <f>Лист1!AG16</f>
        <v>1158.624</v>
      </c>
      <c r="J23" s="19">
        <f>Лист1!AI16+Лист1!AJ16</f>
        <v>1866.8919239999998</v>
      </c>
      <c r="K23" s="19">
        <f>Лист1!AH16+Лист1!AK16+Лист1!AL16+Лист1!AM16+Лист1!AN16+Лист1!AO16+Лист1!AP16+Лист1!AQ16+Лист1!AR16+Лист1!AY16+Лист1!AZ16+Лист1!BA16</f>
        <v>6203.545344287999</v>
      </c>
      <c r="L23" s="20">
        <f>Лист1!AS16+Лист1!AT16+Лист1!AU16</f>
        <v>2482.72</v>
      </c>
      <c r="M23" s="20">
        <f>Лист1!AX16</f>
        <v>905.296</v>
      </c>
      <c r="N23" s="21">
        <f>Лист1!BB16</f>
        <v>11711.781268287998</v>
      </c>
      <c r="O23" s="53">
        <f>Лист1!BD16</f>
        <v>8666.848731712</v>
      </c>
      <c r="P23" s="53">
        <f>Лист1!BE16</f>
        <v>2583.9299999999985</v>
      </c>
      <c r="Q23" s="1"/>
      <c r="R23" s="1"/>
    </row>
    <row r="24" spans="1:18" ht="12.75" hidden="1">
      <c r="A24" s="13" t="s">
        <v>48</v>
      </c>
      <c r="B24" s="14">
        <f>Лист1!B17</f>
        <v>2145.6</v>
      </c>
      <c r="C24" s="49">
        <f>Лист1!C17</f>
        <v>18559.44</v>
      </c>
      <c r="D24" s="50">
        <f>Лист1!D17</f>
        <v>2319.93</v>
      </c>
      <c r="E24" s="19">
        <f>Лист1!S17</f>
        <v>12660.349999999999</v>
      </c>
      <c r="F24" s="21">
        <f>Лист1!T17</f>
        <v>2956.72</v>
      </c>
      <c r="G24" s="51">
        <f>Лист1!AB17</f>
        <v>10240.57</v>
      </c>
      <c r="H24" s="51">
        <f>Лист1!AC17</f>
        <v>15517.22</v>
      </c>
      <c r="I24" s="52">
        <f>Лист1!AG17</f>
        <v>1158.624</v>
      </c>
      <c r="J24" s="19">
        <f>Лист1!AI17+Лист1!AJ17</f>
        <v>1922.6296771199998</v>
      </c>
      <c r="K24" s="19">
        <f>Лист1!AH17+Лист1!AK17+Лист1!AL17+Лист1!AM17+Лист1!AN17+Лист1!AO17+Лист1!AP17+Лист1!AQ17+Лист1!AR17+Лист1!AY17+Лист1!AZ17+Лист1!BA17</f>
        <v>6291.442809215999</v>
      </c>
      <c r="L24" s="20">
        <f>Лист1!AS17+Лист1!AT17+Лист1!AU17</f>
        <v>11317.828399999999</v>
      </c>
      <c r="M24" s="20">
        <f>Лист1!AX17</f>
        <v>943.6224</v>
      </c>
      <c r="N24" s="21">
        <f>Лист1!BB17</f>
        <v>24663.254486335998</v>
      </c>
      <c r="O24" s="53">
        <f>Лист1!BD17</f>
        <v>-9146.034486335999</v>
      </c>
      <c r="P24" s="53">
        <f>Лист1!BE17</f>
        <v>-2419.779999999999</v>
      </c>
      <c r="Q24" s="1"/>
      <c r="R24" s="1"/>
    </row>
    <row r="25" spans="1:18" ht="12.75" hidden="1">
      <c r="A25" s="13" t="s">
        <v>49</v>
      </c>
      <c r="B25" s="14">
        <f>Лист1!B18</f>
        <v>2145.6</v>
      </c>
      <c r="C25" s="49">
        <f>Лист1!C18</f>
        <v>18559.44</v>
      </c>
      <c r="D25" s="50">
        <f>Лист1!D18</f>
        <v>1660.8899999999944</v>
      </c>
      <c r="E25" s="19">
        <f>Лист1!S18</f>
        <v>13565.809999999998</v>
      </c>
      <c r="F25" s="21">
        <f>Лист1!T18</f>
        <v>3332.74</v>
      </c>
      <c r="G25" s="51">
        <f>Лист1!AB18</f>
        <v>7525.54</v>
      </c>
      <c r="H25" s="51">
        <f>Лист1!AC18</f>
        <v>12519.169999999995</v>
      </c>
      <c r="I25" s="52">
        <f>Лист1!AG18</f>
        <v>1287.36</v>
      </c>
      <c r="J25" s="19">
        <f>Лист1!AI18+Лист1!AJ18</f>
        <v>2152.0368</v>
      </c>
      <c r="K25" s="19">
        <f>Лист1!AH18+Лист1!AK18+Лист1!AL18+Лист1!AM18+Лист1!AN18+Лист1!AO18+Лист1!AP18+Лист1!AQ18+Лист1!AR18+Лист1!AY18+Лист1!AZ18+Лист1!BA18</f>
        <v>7370.565119999999</v>
      </c>
      <c r="L25" s="20">
        <f>Лист1!AS18+Лист1!AT18+Лист1!AU18</f>
        <v>356.2656</v>
      </c>
      <c r="M25" s="20">
        <f>Лист1!AX18</f>
        <v>1215.872</v>
      </c>
      <c r="N25" s="21">
        <f>Лист1!BB18</f>
        <v>12382.099519999998</v>
      </c>
      <c r="O25" s="53">
        <f>Лист1!BD18</f>
        <v>137.07047999999668</v>
      </c>
      <c r="P25" s="53">
        <f>Лист1!BE18</f>
        <v>-6040.269999999998</v>
      </c>
      <c r="Q25" s="1"/>
      <c r="R25" s="1"/>
    </row>
    <row r="26" spans="1:18" ht="12.75" hidden="1">
      <c r="A26" s="13" t="s">
        <v>50</v>
      </c>
      <c r="B26" s="14">
        <f>Лист1!B19</f>
        <v>2145.6</v>
      </c>
      <c r="C26" s="49">
        <f>Лист1!C19</f>
        <v>18559.44</v>
      </c>
      <c r="D26" s="50">
        <f>Лист1!D19</f>
        <v>1637.0299999999966</v>
      </c>
      <c r="E26" s="19">
        <f>Лист1!S19</f>
        <v>13589.670000000002</v>
      </c>
      <c r="F26" s="21">
        <f>Лист1!T19</f>
        <v>3332.7400000000002</v>
      </c>
      <c r="G26" s="51">
        <f>Лист1!AB19</f>
        <v>13873.94</v>
      </c>
      <c r="H26" s="51">
        <f>Лист1!AC19</f>
        <v>18843.71</v>
      </c>
      <c r="I26" s="52">
        <f>Лист1!AG19</f>
        <v>1287.36</v>
      </c>
      <c r="J26" s="19">
        <f>Лист1!AI19+Лист1!AJ19</f>
        <v>2152.0368</v>
      </c>
      <c r="K26" s="19">
        <f>Лист1!AH19+Лист1!AK19+Лист1!AL19+Лист1!AM19+Лист1!AN19+Лист1!AO19+Лист1!AP19+Лист1!AQ19+Лист1!AR19+Лист1!AY19+Лист1!AZ19+Лист1!BA19</f>
        <v>14554.739824</v>
      </c>
      <c r="L26" s="20">
        <f>Лист1!AS19+Лист1!AT19+Лист1!AU19</f>
        <v>299.13</v>
      </c>
      <c r="M26" s="20">
        <f>Лист1!AX19</f>
        <v>1311.0272000000002</v>
      </c>
      <c r="N26" s="21">
        <f>Лист1!BB19</f>
        <v>19604.293824</v>
      </c>
      <c r="O26" s="53">
        <f>Лист1!BD19</f>
        <v>-760.5838240000012</v>
      </c>
      <c r="P26" s="53">
        <f>Лист1!BE19</f>
        <v>284.2699999999986</v>
      </c>
      <c r="Q26" s="1"/>
      <c r="R26" s="1"/>
    </row>
    <row r="27" spans="1:18" ht="12.75" hidden="1">
      <c r="A27" s="13" t="s">
        <v>51</v>
      </c>
      <c r="B27" s="14">
        <f>Лист1!B20</f>
        <v>2145.6</v>
      </c>
      <c r="C27" s="49">
        <f>Лист1!C20</f>
        <v>18559.44</v>
      </c>
      <c r="D27" s="50">
        <f>Лист1!D20</f>
        <v>1650.430000000001</v>
      </c>
      <c r="E27" s="19">
        <f>Лист1!S20</f>
        <v>13518.849999999999</v>
      </c>
      <c r="F27" s="21">
        <f>Лист1!T20</f>
        <v>3390.1600000000003</v>
      </c>
      <c r="G27" s="51">
        <f>Лист1!AB20</f>
        <v>12184.89</v>
      </c>
      <c r="H27" s="51">
        <f>Лист1!AC20</f>
        <v>17225.48</v>
      </c>
      <c r="I27" s="52">
        <f>Лист1!AG20</f>
        <v>1287.36</v>
      </c>
      <c r="J27" s="19">
        <f>Лист1!AI20+Лист1!AJ20</f>
        <v>2121.2626737599994</v>
      </c>
      <c r="K27" s="19">
        <f>Лист1!AH20+Лист1!AK20+Лист1!AL20+Лист1!AM20+Лист1!AN20+Лист1!AO20+Лист1!AP20+Лист1!AQ20+Лист1!AR20+Лист1!AY20+Лист1!AZ20+Лист1!BA20</f>
        <v>7297.4199424319995</v>
      </c>
      <c r="L27" s="20">
        <f>Лист1!AS20+Лист1!AT20+Лист1!AU20</f>
        <v>1514.0108</v>
      </c>
      <c r="M27" s="20">
        <f>Лист1!AX20</f>
        <v>956.8384000000001</v>
      </c>
      <c r="N27" s="21">
        <f>Лист1!BB20</f>
        <v>13176.891816192</v>
      </c>
      <c r="O27" s="53">
        <f>Лист1!BD20</f>
        <v>4048.5881838080004</v>
      </c>
      <c r="P27" s="53">
        <f>Лист1!BE20</f>
        <v>-1333.9599999999991</v>
      </c>
      <c r="Q27" s="1"/>
      <c r="R27" s="1"/>
    </row>
    <row r="28" spans="1:18" ht="12.75" hidden="1">
      <c r="A28" s="13" t="s">
        <v>52</v>
      </c>
      <c r="B28" s="14">
        <f>Лист1!B21</f>
        <v>2142.4</v>
      </c>
      <c r="C28" s="49">
        <f>Лист1!C21</f>
        <v>18531.760000000002</v>
      </c>
      <c r="D28" s="50">
        <f>Лист1!D21</f>
        <v>1616.9700000000005</v>
      </c>
      <c r="E28" s="19">
        <f>Лист1!S21</f>
        <v>13453.36</v>
      </c>
      <c r="F28" s="21">
        <f>Лист1!T21</f>
        <v>3461.4300000000003</v>
      </c>
      <c r="G28" s="51">
        <f>Лист1!AB21</f>
        <v>15602.259999999998</v>
      </c>
      <c r="H28" s="51">
        <f>Лист1!AC21</f>
        <v>20680.66</v>
      </c>
      <c r="I28" s="52">
        <f>Лист1!AG21</f>
        <v>1285.44</v>
      </c>
      <c r="J28" s="19">
        <f>Лист1!AI21+Лист1!AJ21</f>
        <v>2117.153487072</v>
      </c>
      <c r="K28" s="19">
        <f>Лист1!AH21+Лист1!AK21+Лист1!AL21+Лист1!AM21+Лист1!AN21+Лист1!AO21+Лист1!AP21+Лист1!AQ21+Лист1!AR21+Лист1!AY21+Лист1!AZ21+Лист1!BA21</f>
        <v>7285.484003199999</v>
      </c>
      <c r="L28" s="20">
        <f>Лист1!AS21+Лист1!AT21+Лист1!AU21</f>
        <v>11696.16</v>
      </c>
      <c r="M28" s="20">
        <f>Лист1!AX21</f>
        <v>921.1552</v>
      </c>
      <c r="N28" s="21">
        <f>Лист1!BB21</f>
        <v>23305.392690272</v>
      </c>
      <c r="O28" s="53">
        <f>Лист1!BD21</f>
        <v>-2624.7326902720015</v>
      </c>
      <c r="P28" s="53">
        <f>Лист1!BE21</f>
        <v>2148.899999999998</v>
      </c>
      <c r="Q28" s="1"/>
      <c r="R28" s="1"/>
    </row>
    <row r="29" spans="1:18" ht="12.75" hidden="1">
      <c r="A29" s="13" t="s">
        <v>53</v>
      </c>
      <c r="B29" s="14">
        <f>Лист1!B22</f>
        <v>2142.4</v>
      </c>
      <c r="C29" s="49">
        <f>Лист1!C22</f>
        <v>18531.760000000002</v>
      </c>
      <c r="D29" s="50">
        <f>Лист1!D22</f>
        <v>1777.800000000001</v>
      </c>
      <c r="E29" s="19">
        <f>Лист1!S22</f>
        <v>13172.39</v>
      </c>
      <c r="F29" s="21">
        <f>Лист1!T22</f>
        <v>3581.57</v>
      </c>
      <c r="G29" s="51">
        <f>Лист1!AB22</f>
        <v>19187.23</v>
      </c>
      <c r="H29" s="51">
        <f>Лист1!AC22</f>
        <v>24546.6</v>
      </c>
      <c r="I29" s="52">
        <f>Лист1!AG22</f>
        <v>1285.44</v>
      </c>
      <c r="J29" s="19">
        <f>Лист1!AI22+Лист1!AJ22</f>
        <v>2116.788186448</v>
      </c>
      <c r="K29" s="19">
        <f>Лист1!AH22+Лист1!AK22+Лист1!AL22+Лист1!AM22+Лист1!AN22+Лист1!AO22+Лист1!AP22+Лист1!AQ22+Лист1!AR22+Лист1!AY22+Лист1!AZ22+Лист1!BA22</f>
        <v>7284.5749657408</v>
      </c>
      <c r="L29" s="20">
        <f>Лист1!AS22+Лист1!AT22+Лист1!AU22</f>
        <v>0</v>
      </c>
      <c r="M29" s="20">
        <f>Лист1!AX22</f>
        <v>922.4768</v>
      </c>
      <c r="N29" s="21">
        <f>Лист1!BB22</f>
        <v>11609.2799521888</v>
      </c>
      <c r="O29" s="53">
        <f>Лист1!BD22</f>
        <v>12937.3200478112</v>
      </c>
      <c r="P29" s="53">
        <f>Лист1!BE22</f>
        <v>6014.84</v>
      </c>
      <c r="Q29" s="1"/>
      <c r="R29" s="1"/>
    </row>
    <row r="30" spans="1:18" ht="12.75" hidden="1">
      <c r="A30" s="13" t="s">
        <v>41</v>
      </c>
      <c r="B30" s="14">
        <f>Лист1!B23</f>
        <v>2142.4</v>
      </c>
      <c r="C30" s="49">
        <f>Лист1!C23</f>
        <v>18531.760000000002</v>
      </c>
      <c r="D30" s="50">
        <f>Лист1!D23</f>
        <v>1795.3600000000006</v>
      </c>
      <c r="E30" s="19">
        <f>Лист1!S23</f>
        <v>13111.150000000001</v>
      </c>
      <c r="F30" s="21">
        <f>Лист1!T23</f>
        <v>3625.25</v>
      </c>
      <c r="G30" s="51">
        <f>Лист1!AB23</f>
        <v>13650.020000000002</v>
      </c>
      <c r="H30" s="51">
        <f>Лист1!AC23</f>
        <v>19070.630000000005</v>
      </c>
      <c r="I30" s="52">
        <f>Лист1!AG23</f>
        <v>1285.44</v>
      </c>
      <c r="J30" s="19">
        <f>Лист1!AI23+Лист1!AJ23</f>
        <v>2141.243104</v>
      </c>
      <c r="K30" s="19">
        <f>Лист1!AH23+Лист1!AK23+Лист1!AL23+Лист1!AM23+Лист1!AN23+Лист1!AO23+Лист1!AP23+Лист1!AQ23+Лист1!AR23+Лист1!AY23+Лист1!AZ23+Лист1!BA23</f>
        <v>7347.14656</v>
      </c>
      <c r="L30" s="20">
        <f>Лист1!AS23+Лист1!AT23+Лист1!AU23</f>
        <v>693.2264</v>
      </c>
      <c r="M30" s="20">
        <f>Лист1!AX23</f>
        <v>771.8144</v>
      </c>
      <c r="N30" s="21">
        <f>Лист1!BB23</f>
        <v>12238.870464</v>
      </c>
      <c r="O30" s="53">
        <f>Лист1!BD23</f>
        <v>6831.759536000005</v>
      </c>
      <c r="P30" s="53">
        <f>Лист1!BE23</f>
        <v>538.8700000000008</v>
      </c>
      <c r="Q30" s="1"/>
      <c r="R30" s="1"/>
    </row>
    <row r="31" spans="1:18" ht="12.75" hidden="1">
      <c r="A31" s="13" t="s">
        <v>42</v>
      </c>
      <c r="B31" s="14">
        <f>Лист1!B24</f>
        <v>2142.4</v>
      </c>
      <c r="C31" s="49">
        <f>Лист1!C24</f>
        <v>18531.760000000002</v>
      </c>
      <c r="D31" s="50">
        <f>Лист1!D24</f>
        <v>1713.0600000000018</v>
      </c>
      <c r="E31" s="19">
        <f>Лист1!S24</f>
        <v>13329.62</v>
      </c>
      <c r="F31" s="21">
        <f>Лист1!T24</f>
        <v>3489.0800000000004</v>
      </c>
      <c r="G31" s="51">
        <f>Лист1!AB24</f>
        <v>10987.99</v>
      </c>
      <c r="H31" s="51">
        <f>Лист1!AC24</f>
        <v>16190.130000000001</v>
      </c>
      <c r="I31" s="52">
        <f>Лист1!AG24</f>
        <v>1285.44</v>
      </c>
      <c r="J31" s="19">
        <f>Лист1!AI24+Лист1!AJ24</f>
        <v>2148.8271999999997</v>
      </c>
      <c r="K31" s="19">
        <f>Лист1!AH24+Лист1!AK24+Лист1!AL24+Лист1!AM24+Лист1!AN24+Лист1!AO24+Лист1!AP24+Лист1!AQ24+Лист1!AR24+Лист1!AY24+Лист1!AZ24+Лист1!BA24</f>
        <v>7355.287679999999</v>
      </c>
      <c r="L31" s="20">
        <f>Лист1!AS24+Лист1!AT24+Лист1!AU24</f>
        <v>0</v>
      </c>
      <c r="M31" s="20">
        <f>Лист1!AX24</f>
        <v>811.4624</v>
      </c>
      <c r="N31" s="21">
        <f>Лист1!BB24</f>
        <v>11601.01728</v>
      </c>
      <c r="O31" s="53">
        <f>Лист1!BD24</f>
        <v>4589.112720000001</v>
      </c>
      <c r="P31" s="53">
        <f>Лист1!BE24</f>
        <v>-2341.630000000001</v>
      </c>
      <c r="Q31" s="1"/>
      <c r="R31" s="1"/>
    </row>
    <row r="32" spans="1:18" ht="13.5" hidden="1" thickBot="1">
      <c r="A32" s="54" t="s">
        <v>43</v>
      </c>
      <c r="B32" s="14">
        <f>Лист1!B25</f>
        <v>2142</v>
      </c>
      <c r="C32" s="49">
        <f>Лист1!C25</f>
        <v>18528.3</v>
      </c>
      <c r="D32" s="50">
        <f>Лист1!D25</f>
        <v>1862.3700000000015</v>
      </c>
      <c r="E32" s="19">
        <f>Лист1!S25</f>
        <v>13210.18</v>
      </c>
      <c r="F32" s="21">
        <f>Лист1!T25</f>
        <v>3455.75</v>
      </c>
      <c r="G32" s="51">
        <f>Лист1!AB25</f>
        <v>17463.53</v>
      </c>
      <c r="H32" s="51">
        <f>Лист1!AC25</f>
        <v>22781.65</v>
      </c>
      <c r="I32" s="52">
        <f>Лист1!AG25</f>
        <v>1285.2</v>
      </c>
      <c r="J32" s="19">
        <f>Лист1!AI25+Лист1!AJ25</f>
        <v>2148.426</v>
      </c>
      <c r="K32" s="19">
        <f>Лист1!AH25+Лист1!AK25+Лист1!AL25+Лист1!AM25+Лист1!AN25+Лист1!AO25+Лист1!AP25+Лист1!AQ25+Лист1!AR25+Лист1!AY25+Лист1!AZ25+Лист1!BA25</f>
        <v>7353.9144</v>
      </c>
      <c r="L32" s="20">
        <f>Лист1!AS25+Лист1!AT25+Лист1!AU25</f>
        <v>0</v>
      </c>
      <c r="M32" s="20">
        <f>Лист1!AX25</f>
        <v>1051.9936</v>
      </c>
      <c r="N32" s="21">
        <f>Лист1!BB25</f>
        <v>11839.534</v>
      </c>
      <c r="O32" s="53">
        <f>Лист1!BD25</f>
        <v>10942.116000000002</v>
      </c>
      <c r="P32" s="53">
        <f>Лист1!BE25</f>
        <v>4253.3499999999985</v>
      </c>
      <c r="Q32" s="1"/>
      <c r="R32" s="1"/>
    </row>
    <row r="33" spans="1:18" s="28" customFormat="1" ht="13.5" hidden="1" thickBot="1">
      <c r="A33" s="56" t="s">
        <v>5</v>
      </c>
      <c r="B33" s="57"/>
      <c r="C33" s="58">
        <f aca="true" t="shared" si="1" ref="C33:P33">SUM(C21:C32)</f>
        <v>222571.42</v>
      </c>
      <c r="D33" s="59">
        <f t="shared" si="1"/>
        <v>22993.629999999997</v>
      </c>
      <c r="E33" s="58">
        <f t="shared" si="1"/>
        <v>157359.05999999997</v>
      </c>
      <c r="F33" s="60">
        <f t="shared" si="1"/>
        <v>39433.3</v>
      </c>
      <c r="G33" s="61">
        <f t="shared" si="1"/>
        <v>153502.58</v>
      </c>
      <c r="H33" s="58">
        <f t="shared" si="1"/>
        <v>215929.50999999998</v>
      </c>
      <c r="I33" s="59">
        <f>SUM(I21:I32)</f>
        <v>14923.536000000002</v>
      </c>
      <c r="J33" s="58">
        <f t="shared" si="1"/>
        <v>24618.904063599995</v>
      </c>
      <c r="K33" s="58">
        <f t="shared" si="1"/>
        <v>91168.86632385277</v>
      </c>
      <c r="L33" s="58">
        <f t="shared" si="1"/>
        <v>28814.831199999997</v>
      </c>
      <c r="M33" s="58">
        <f t="shared" si="1"/>
        <v>11935.3696</v>
      </c>
      <c r="N33" s="60">
        <f>SUM(N21:N32)</f>
        <v>171461.5071874528</v>
      </c>
      <c r="O33" s="62">
        <f t="shared" si="1"/>
        <v>44468.0028125472</v>
      </c>
      <c r="P33" s="62">
        <f t="shared" si="1"/>
        <v>-3856.480000000003</v>
      </c>
      <c r="Q33" s="64"/>
      <c r="R33" s="64"/>
    </row>
    <row r="34" spans="1:18" ht="13.5" thickBot="1">
      <c r="A34" s="218" t="s">
        <v>92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71"/>
      <c r="Q34" s="1"/>
      <c r="R34" s="1"/>
    </row>
    <row r="35" spans="1:18" s="28" customFormat="1" ht="13.5" thickBot="1">
      <c r="A35" s="72" t="s">
        <v>54</v>
      </c>
      <c r="B35" s="73"/>
      <c r="C35" s="74">
        <f>C19+C33</f>
        <v>278249.74</v>
      </c>
      <c r="D35" s="74">
        <f aca="true" t="shared" si="2" ref="D35:P35">D19+D33</f>
        <v>36395.587218399996</v>
      </c>
      <c r="E35" s="74">
        <f t="shared" si="2"/>
        <v>194823.20999999996</v>
      </c>
      <c r="F35" s="74">
        <f t="shared" si="2"/>
        <v>48938.97</v>
      </c>
      <c r="G35" s="74">
        <f t="shared" si="2"/>
        <v>172497.68</v>
      </c>
      <c r="H35" s="74">
        <f t="shared" si="2"/>
        <v>257832.2372184</v>
      </c>
      <c r="I35" s="74">
        <f t="shared" si="2"/>
        <v>18785.616</v>
      </c>
      <c r="J35" s="74">
        <f t="shared" si="2"/>
        <v>31082.407342959996</v>
      </c>
      <c r="K35" s="74">
        <f t="shared" si="2"/>
        <v>113829.41399529277</v>
      </c>
      <c r="L35" s="74">
        <f t="shared" si="2"/>
        <v>38638.3312</v>
      </c>
      <c r="M35" s="74">
        <f t="shared" si="2"/>
        <v>11935.3696</v>
      </c>
      <c r="N35" s="74">
        <f>N19+N33</f>
        <v>214271.1381382528</v>
      </c>
      <c r="O35" s="74">
        <f t="shared" si="2"/>
        <v>43561.09908014721</v>
      </c>
      <c r="P35" s="74">
        <f t="shared" si="2"/>
        <v>-22325.530000000006</v>
      </c>
      <c r="Q35" s="75"/>
      <c r="R35" s="64"/>
    </row>
    <row r="36" spans="1:18" ht="12.75">
      <c r="A36" s="8" t="s">
        <v>88</v>
      </c>
      <c r="B36" s="85"/>
      <c r="C36" s="65"/>
      <c r="D36" s="66"/>
      <c r="E36" s="67"/>
      <c r="F36" s="68"/>
      <c r="G36" s="69"/>
      <c r="H36" s="69"/>
      <c r="I36" s="70"/>
      <c r="J36" s="67"/>
      <c r="K36" s="67"/>
      <c r="L36" s="86"/>
      <c r="M36" s="86"/>
      <c r="N36" s="68"/>
      <c r="O36" s="87"/>
      <c r="P36" s="87"/>
      <c r="Q36" s="1"/>
      <c r="R36" s="1"/>
    </row>
    <row r="37" spans="1:18" ht="12.75">
      <c r="A37" s="13" t="s">
        <v>45</v>
      </c>
      <c r="B37" s="14">
        <f>Лист1!B30</f>
        <v>2142</v>
      </c>
      <c r="C37" s="49">
        <f>Лист1!C30</f>
        <v>18528.3</v>
      </c>
      <c r="D37" s="50">
        <f>Лист1!D30</f>
        <v>1705.619999999999</v>
      </c>
      <c r="E37" s="19">
        <f>Лист1!S30</f>
        <v>13366.93</v>
      </c>
      <c r="F37" s="21">
        <f>Лист1!T30</f>
        <v>3455.75</v>
      </c>
      <c r="G37" s="51">
        <f>Лист1!AB30</f>
        <v>8750.279999999999</v>
      </c>
      <c r="H37" s="51">
        <f>Лист1!AC30</f>
        <v>13911.649999999998</v>
      </c>
      <c r="I37" s="52">
        <f>Лист1!AG30</f>
        <v>1285.2</v>
      </c>
      <c r="J37" s="19">
        <f>Лист1!AI30+Лист1!AJ30</f>
        <v>2142</v>
      </c>
      <c r="K37" s="19">
        <f>Лист1!AH30+Лист1!AK30+Лист1!AL30+Лист1!AM30+Лист1!AN30+Лист1!AO30+Лист1!AP30+Лист1!AQ30+Лист1!AR30+Лист1!AY30+Лист1!AZ30+Лист1!BA30</f>
        <v>7347.0599999999995</v>
      </c>
      <c r="L37" s="20">
        <f>Лист1!AS30+Лист1!AT30+Лист1!AU30</f>
        <v>2696</v>
      </c>
      <c r="M37" s="20">
        <f>Лист1!AX30</f>
        <v>1016.4</v>
      </c>
      <c r="N37" s="21">
        <f>Лист1!BB30</f>
        <v>14486.66</v>
      </c>
      <c r="O37" s="53">
        <f>Лист1!BD30</f>
        <v>-575.010000000002</v>
      </c>
      <c r="P37" s="53">
        <f>Лист1!BE30</f>
        <v>-4616.6500000000015</v>
      </c>
      <c r="Q37" s="1"/>
      <c r="R37" s="1"/>
    </row>
    <row r="38" spans="1:18" ht="12.75">
      <c r="A38" s="13" t="s">
        <v>46</v>
      </c>
      <c r="B38" s="14">
        <f>Лист1!B31</f>
        <v>2142</v>
      </c>
      <c r="C38" s="49">
        <f>Лист1!C31</f>
        <v>18528.3</v>
      </c>
      <c r="D38" s="50">
        <f>Лист1!D31</f>
        <v>1705.619999999999</v>
      </c>
      <c r="E38" s="19">
        <f>Лист1!S31</f>
        <v>13366.93</v>
      </c>
      <c r="F38" s="21">
        <f>Лист1!T31</f>
        <v>3455.75</v>
      </c>
      <c r="G38" s="51">
        <f>Лист1!AB31</f>
        <v>11070.35</v>
      </c>
      <c r="H38" s="51">
        <f>Лист1!AC31</f>
        <v>16231.72</v>
      </c>
      <c r="I38" s="52">
        <f>Лист1!AG31</f>
        <v>1285.2</v>
      </c>
      <c r="J38" s="19">
        <f>Лист1!AI31+Лист1!AJ31</f>
        <v>2142</v>
      </c>
      <c r="K38" s="19">
        <f>Лист1!AH31+Лист1!AK31+Лист1!AL31+Лист1!AM31+Лист1!AN31+Лист1!AO31+Лист1!AP31+Лист1!AQ31+Лист1!AR31+Лист1!AY31+Лист1!AZ31+Лист1!BA31</f>
        <v>7347.0599999999995</v>
      </c>
      <c r="L38" s="20">
        <f>Лист1!AS31+Лист1!AT31+Лист1!AU31</f>
        <v>350</v>
      </c>
      <c r="M38" s="20">
        <f>Лист1!AX31</f>
        <v>912.8</v>
      </c>
      <c r="N38" s="21">
        <f>Лист1!BB31</f>
        <v>12037.06</v>
      </c>
      <c r="O38" s="53">
        <f>Лист1!BD31</f>
        <v>4194.66</v>
      </c>
      <c r="P38" s="53">
        <f>Лист1!BE31</f>
        <v>-2296.58</v>
      </c>
      <c r="Q38" s="1"/>
      <c r="R38" s="1"/>
    </row>
    <row r="39" spans="1:18" ht="12.75">
      <c r="A39" s="13" t="s">
        <v>47</v>
      </c>
      <c r="B39" s="14">
        <f>Лист1!B32</f>
        <v>2142</v>
      </c>
      <c r="C39" s="49">
        <f>Лист1!C32</f>
        <v>18528.3</v>
      </c>
      <c r="D39" s="50">
        <f>Лист1!D32</f>
        <v>1718.4800000000007</v>
      </c>
      <c r="E39" s="19">
        <f>Лист1!S32</f>
        <v>13354.050000000001</v>
      </c>
      <c r="F39" s="21">
        <f>Лист1!T32</f>
        <v>3455.7700000000004</v>
      </c>
      <c r="G39" s="51">
        <f>Лист1!AB32</f>
        <v>14134.229999999998</v>
      </c>
      <c r="H39" s="51">
        <f>Лист1!AC32</f>
        <v>19308.48</v>
      </c>
      <c r="I39" s="52">
        <f>Лист1!AG32</f>
        <v>1285.2</v>
      </c>
      <c r="J39" s="19">
        <f>Лист1!AI32+Лист1!AJ32</f>
        <v>2142</v>
      </c>
      <c r="K39" s="19">
        <f>Лист1!AH32+Лист1!AK32+Лист1!AL32+Лист1!AM32+Лист1!AN32+Лист1!AO32+Лист1!AP32+Лист1!AQ32+Лист1!AR32+Лист1!AY32+Лист1!AZ32+Лист1!BA32</f>
        <v>7347.0599999999995</v>
      </c>
      <c r="L39" s="20">
        <f>Лист1!AS32+Лист1!AT32+Лист1!AU32</f>
        <v>108</v>
      </c>
      <c r="M39" s="20">
        <f>Лист1!AX32</f>
        <v>841.4</v>
      </c>
      <c r="N39" s="21">
        <f>Лист1!BB32</f>
        <v>11723.66</v>
      </c>
      <c r="O39" s="53">
        <f>Лист1!BD32</f>
        <v>7584.82</v>
      </c>
      <c r="P39" s="53">
        <f>Лист1!BE32</f>
        <v>780.1799999999967</v>
      </c>
      <c r="Q39" s="1"/>
      <c r="R39" s="1"/>
    </row>
    <row r="40" spans="1:18" ht="12.75">
      <c r="A40" s="13" t="s">
        <v>48</v>
      </c>
      <c r="B40" s="14">
        <f>Лист1!B33</f>
        <v>2142</v>
      </c>
      <c r="C40" s="49">
        <f>Лист1!C33</f>
        <v>18528.3</v>
      </c>
      <c r="D40" s="50">
        <f>Лист1!D33</f>
        <v>1735.3000000000022</v>
      </c>
      <c r="E40" s="19">
        <f>Лист1!S33</f>
        <v>13337.25</v>
      </c>
      <c r="F40" s="21">
        <f>Лист1!T33</f>
        <v>3455.75</v>
      </c>
      <c r="G40" s="51">
        <f>Лист1!AB33</f>
        <v>10240.57</v>
      </c>
      <c r="H40" s="51">
        <f>Лист1!AC33</f>
        <v>15431.620000000003</v>
      </c>
      <c r="I40" s="52">
        <f>Лист1!AG33</f>
        <v>1285.2</v>
      </c>
      <c r="J40" s="19">
        <f>Лист1!AI33+Лист1!AJ33</f>
        <v>2142</v>
      </c>
      <c r="K40" s="19">
        <f>Лист1!AH33+Лист1!AK33+Лист1!AL33+Лист1!AM33+Лист1!AN33+Лист1!AO33+Лист1!AP33+Лист1!AQ33+Лист1!AR33+Лист1!AY33+Лист1!AZ33+Лист1!BA33</f>
        <v>7347.0599999999995</v>
      </c>
      <c r="L40" s="20">
        <f>Лист1!AS33+Лист1!AT33+Лист1!AU33</f>
        <v>1766</v>
      </c>
      <c r="M40" s="20">
        <f>Лист1!AX33</f>
        <v>798</v>
      </c>
      <c r="N40" s="21">
        <f>Лист1!BB33</f>
        <v>13338.26</v>
      </c>
      <c r="O40" s="53">
        <f>Лист1!BD33</f>
        <v>2093.3600000000024</v>
      </c>
      <c r="P40" s="53">
        <f>Лист1!BE33</f>
        <v>-3096.6800000000003</v>
      </c>
      <c r="Q40" s="1"/>
      <c r="R40" s="1"/>
    </row>
    <row r="41" spans="1:18" ht="12.75">
      <c r="A41" s="13" t="s">
        <v>49</v>
      </c>
      <c r="B41" s="14">
        <f>Лист1!B34</f>
        <v>2140.5</v>
      </c>
      <c r="C41" s="49">
        <f>Лист1!C34</f>
        <v>18515.325</v>
      </c>
      <c r="D41" s="50">
        <f>Лист1!D34</f>
        <v>1735.425000000002</v>
      </c>
      <c r="E41" s="19">
        <f>Лист1!S34</f>
        <v>13324.139999999998</v>
      </c>
      <c r="F41" s="21">
        <f>Лист1!T34</f>
        <v>3455.76</v>
      </c>
      <c r="G41" s="51">
        <f>Лист1!AB34</f>
        <v>7661.619999999999</v>
      </c>
      <c r="H41" s="51">
        <f>Лист1!AC34</f>
        <v>12852.805</v>
      </c>
      <c r="I41" s="52">
        <f>Лист1!AG34</f>
        <v>1284.3</v>
      </c>
      <c r="J41" s="19">
        <f>Лист1!AI34+Лист1!AJ34</f>
        <v>2140.5</v>
      </c>
      <c r="K41" s="19">
        <f>Лист1!AH34+Лист1!AK34+Лист1!AL34+Лист1!AM34+Лист1!AN34+Лист1!AO34+Лист1!AP34+Лист1!AQ34+Лист1!AR34+Лист1!AY34+Лист1!AZ34+Лист1!BA34</f>
        <v>7341.915</v>
      </c>
      <c r="L41" s="20">
        <f>Лист1!AS34+Лист1!AT34+Лист1!AU34</f>
        <v>0</v>
      </c>
      <c r="M41" s="20">
        <f>Лист1!AX34</f>
        <v>907.1999999999999</v>
      </c>
      <c r="N41" s="21">
        <f>Лист1!BB34</f>
        <v>11673.915</v>
      </c>
      <c r="O41" s="53">
        <f>Лист1!BD34</f>
        <v>1178.8899999999994</v>
      </c>
      <c r="P41" s="53">
        <f>Лист1!BE34</f>
        <v>-5662.519999999999</v>
      </c>
      <c r="Q41" s="1"/>
      <c r="R41" s="1"/>
    </row>
    <row r="42" spans="1:18" ht="12.75">
      <c r="A42" s="13" t="s">
        <v>50</v>
      </c>
      <c r="B42" s="14">
        <f>Лист1!B35</f>
        <v>2140.5</v>
      </c>
      <c r="C42" s="49">
        <f>Лист1!C35</f>
        <v>18515.325</v>
      </c>
      <c r="D42" s="50">
        <f>Лист1!D35</f>
        <v>1742.9550000000027</v>
      </c>
      <c r="E42" s="19">
        <f>Лист1!S35</f>
        <v>13283.3</v>
      </c>
      <c r="F42" s="21">
        <f>Лист1!T35</f>
        <v>3489.07</v>
      </c>
      <c r="G42" s="51">
        <f>Лист1!AB35</f>
        <v>16638.37</v>
      </c>
      <c r="H42" s="51">
        <f>Лист1!AC35</f>
        <v>21870.395000000004</v>
      </c>
      <c r="I42" s="52">
        <f>Лист1!AG35</f>
        <v>1284.3</v>
      </c>
      <c r="J42" s="19">
        <f>Лист1!AI35+Лист1!AJ35</f>
        <v>2140.5</v>
      </c>
      <c r="K42" s="19">
        <f>Лист1!AH35+Лист1!AK35+Лист1!AL35+Лист1!AM35+Лист1!AN35+Лист1!AO35+Лист1!AP35+Лист1!AQ35+Лист1!AR35+Лист1!AY35+Лист1!AZ35+Лист1!BA35</f>
        <v>7341.915</v>
      </c>
      <c r="L42" s="20">
        <f>Лист1!AS35+Лист1!AT35+Лист1!AU35</f>
        <v>1253</v>
      </c>
      <c r="M42" s="20">
        <f>Лист1!AX35</f>
        <v>1030.3999999999999</v>
      </c>
      <c r="N42" s="21">
        <f>Лист1!BB35</f>
        <v>13050.115</v>
      </c>
      <c r="O42" s="53">
        <f>Лист1!BD35</f>
        <v>8820.280000000004</v>
      </c>
      <c r="P42" s="53">
        <f>Лист1!BE35</f>
        <v>3355.0699999999997</v>
      </c>
      <c r="Q42" s="1"/>
      <c r="R42" s="1"/>
    </row>
    <row r="43" spans="1:18" ht="12.75">
      <c r="A43" s="13" t="s">
        <v>51</v>
      </c>
      <c r="B43" s="14">
        <f>Лист1!B36</f>
        <v>2140.5</v>
      </c>
      <c r="C43" s="49">
        <f>Лист1!C36</f>
        <v>18515.325</v>
      </c>
      <c r="D43" s="50">
        <f>Лист1!D36</f>
        <v>1800.045000000002</v>
      </c>
      <c r="E43" s="19">
        <f>Лист1!S36</f>
        <v>16715.28</v>
      </c>
      <c r="F43" s="21">
        <f>Лист1!T36</f>
        <v>0</v>
      </c>
      <c r="G43" s="51">
        <f>Лист1!AB36</f>
        <v>13846.72</v>
      </c>
      <c r="H43" s="51">
        <f>Лист1!AC36</f>
        <v>15646.765000000001</v>
      </c>
      <c r="I43" s="52">
        <f>Лист1!AG36</f>
        <v>1284.3</v>
      </c>
      <c r="J43" s="19">
        <f>Лист1!AI36+Лист1!AJ36</f>
        <v>2140.5</v>
      </c>
      <c r="K43" s="19">
        <f>Лист1!AH36+Лист1!AK36+Лист1!AL36+Лист1!AM36+Лист1!AN36+Лист1!AO36+Лист1!AP36+Лист1!AQ36+Лист1!AR36+Лист1!AY36+Лист1!AZ36+Лист1!BA36</f>
        <v>7341.915</v>
      </c>
      <c r="L43" s="20">
        <f>Лист1!AS36+Лист1!AT36+Лист1!AU36</f>
        <v>0</v>
      </c>
      <c r="M43" s="20">
        <f>Лист1!AX36</f>
        <v>1317.3999999999999</v>
      </c>
      <c r="N43" s="21">
        <f>Лист1!BB36</f>
        <v>12084.115</v>
      </c>
      <c r="O43" s="53">
        <f>Лист1!BD36</f>
        <v>3562.6500000000015</v>
      </c>
      <c r="P43" s="53">
        <f>Лист1!BE36</f>
        <v>-2868.5599999999995</v>
      </c>
      <c r="Q43" s="1"/>
      <c r="R43" s="1"/>
    </row>
    <row r="44" spans="1:18" ht="12.75">
      <c r="A44" s="13" t="s">
        <v>52</v>
      </c>
      <c r="B44" s="14">
        <f>Лист1!B37</f>
        <v>2137.9</v>
      </c>
      <c r="C44" s="49">
        <f>Лист1!C37</f>
        <v>18492.835000000003</v>
      </c>
      <c r="D44" s="50">
        <f>Лист1!D37</f>
        <v>1797.845000000002</v>
      </c>
      <c r="E44" s="19">
        <f>Лист1!S37</f>
        <v>16694.99</v>
      </c>
      <c r="F44" s="21">
        <f>Лист1!T37</f>
        <v>0</v>
      </c>
      <c r="G44" s="51">
        <f>Лист1!AB37</f>
        <v>16606.96</v>
      </c>
      <c r="H44" s="51">
        <f>Лист1!AC37</f>
        <v>18404.805</v>
      </c>
      <c r="I44" s="52">
        <f>Лист1!AG37</f>
        <v>1282.74</v>
      </c>
      <c r="J44" s="19">
        <f>Лист1!AI37+Лист1!AJ37</f>
        <v>2137.9</v>
      </c>
      <c r="K44" s="19">
        <f>Лист1!AH37+Лист1!AK37+Лист1!AL37+Лист1!AM37+Лист1!AN37+Лист1!AO37+Лист1!AP37+Лист1!AQ37+Лист1!AR37+Лист1!AY37+Лист1!AZ37+Лист1!BA37</f>
        <v>7332.997</v>
      </c>
      <c r="L44" s="20">
        <f>Лист1!AS37+Лист1!AT37+Лист1!AU37</f>
        <v>215.8</v>
      </c>
      <c r="M44" s="20">
        <f>Лист1!AX37</f>
        <v>961.8</v>
      </c>
      <c r="N44" s="21">
        <f>Лист1!BB37</f>
        <v>11931.237</v>
      </c>
      <c r="O44" s="53">
        <f>Лист1!BD37</f>
        <v>6473.568000000001</v>
      </c>
      <c r="P44" s="53">
        <f>Лист1!BE37</f>
        <v>-88.03000000000247</v>
      </c>
      <c r="Q44" s="1"/>
      <c r="R44" s="1"/>
    </row>
    <row r="45" spans="1:18" ht="12.75">
      <c r="A45" s="13" t="s">
        <v>53</v>
      </c>
      <c r="B45" s="14">
        <f>Лист1!B38</f>
        <v>2137.9</v>
      </c>
      <c r="C45" s="49">
        <f>Лист1!C38</f>
        <v>18492.835000000003</v>
      </c>
      <c r="D45" s="50">
        <f>Лист1!D38</f>
        <v>1808.1350000000025</v>
      </c>
      <c r="E45" s="19">
        <f>Лист1!S38</f>
        <v>16684.7</v>
      </c>
      <c r="F45" s="21">
        <f>Лист1!T38</f>
        <v>0</v>
      </c>
      <c r="G45" s="51">
        <f>Лист1!AB38</f>
        <v>13418.460000000001</v>
      </c>
      <c r="H45" s="51">
        <f>Лист1!AC38</f>
        <v>15226.595000000003</v>
      </c>
      <c r="I45" s="52">
        <f>Лист1!AG38</f>
        <v>1282.74</v>
      </c>
      <c r="J45" s="19">
        <f>Лист1!AI38+Лист1!AJ38</f>
        <v>2137.9</v>
      </c>
      <c r="K45" s="19">
        <f>Лист1!AH38+Лист1!AK38+Лист1!AL38+Лист1!AM38+Лист1!AN38+Лист1!AO38+Лист1!AP38+Лист1!AQ38+Лист1!AR38+Лист1!AY38+Лист1!AZ38+Лист1!BA38</f>
        <v>7332.997</v>
      </c>
      <c r="L45" s="20">
        <f>Лист1!AS38+Лист1!AT38+Лист1!AU38</f>
        <v>288</v>
      </c>
      <c r="M45" s="20">
        <f>Лист1!AX38</f>
        <v>1379</v>
      </c>
      <c r="N45" s="21">
        <f>Лист1!BB38</f>
        <v>12420.637</v>
      </c>
      <c r="O45" s="53">
        <f>Лист1!BD38</f>
        <v>2805.9580000000024</v>
      </c>
      <c r="P45" s="53">
        <f>Лист1!BE38</f>
        <v>-3266.24</v>
      </c>
      <c r="Q45" s="1"/>
      <c r="R45" s="1"/>
    </row>
    <row r="46" spans="1:18" ht="12.75">
      <c r="A46" s="13" t="s">
        <v>41</v>
      </c>
      <c r="B46" s="14">
        <f>Лист1!B39</f>
        <v>2137.9</v>
      </c>
      <c r="C46" s="49">
        <f>Лист1!C39</f>
        <v>18492.835000000003</v>
      </c>
      <c r="D46" s="50">
        <f>Лист1!D39</f>
        <v>1812.5450000000035</v>
      </c>
      <c r="E46" s="19">
        <f>Лист1!S39</f>
        <v>16680.29</v>
      </c>
      <c r="F46" s="21">
        <f>Лист1!T39</f>
        <v>0</v>
      </c>
      <c r="G46" s="51">
        <f>Лист1!AB39</f>
        <v>16471.27</v>
      </c>
      <c r="H46" s="51">
        <f>Лист1!AC39</f>
        <v>18283.815000000002</v>
      </c>
      <c r="I46" s="52">
        <f>Лист1!AG39</f>
        <v>1282.74</v>
      </c>
      <c r="J46" s="19">
        <f>Лист1!AI39+Лист1!AJ39</f>
        <v>2137.9</v>
      </c>
      <c r="K46" s="19">
        <f>Лист1!AH39+Лист1!AK39+Лист1!AL39+Лист1!AM39+Лист1!AN39+Лист1!AO39+Лист1!AP39+Лист1!AQ39+Лист1!AR39+Лист1!AY39+Лист1!AZ39+Лист1!BA39</f>
        <v>9453.577000000001</v>
      </c>
      <c r="L46" s="20">
        <f>Лист1!AS39+Лист1!AT39+Лист1!AU39</f>
        <v>3419</v>
      </c>
      <c r="M46" s="20">
        <f>Лист1!AX39</f>
        <v>1030.3999999999999</v>
      </c>
      <c r="N46" s="21">
        <f>Лист1!BB39</f>
        <v>17323.617000000002</v>
      </c>
      <c r="O46" s="53">
        <f>Лист1!BD39</f>
        <v>1072.6980000000003</v>
      </c>
      <c r="P46" s="53">
        <f>Лист1!BE39</f>
        <v>-209.02000000000044</v>
      </c>
      <c r="Q46" s="1"/>
      <c r="R46" s="1"/>
    </row>
    <row r="47" spans="1:18" ht="12.75">
      <c r="A47" s="13" t="s">
        <v>42</v>
      </c>
      <c r="B47" s="14">
        <f>Лист1!B40</f>
        <v>2137.9</v>
      </c>
      <c r="C47" s="49">
        <f>Лист1!C40</f>
        <v>18492.835000000003</v>
      </c>
      <c r="D47" s="50">
        <f>Лист1!D40</f>
        <v>1812.5250000000049</v>
      </c>
      <c r="E47" s="19">
        <f>Лист1!S40</f>
        <v>16680.31</v>
      </c>
      <c r="F47" s="21">
        <f>Лист1!T40</f>
        <v>0</v>
      </c>
      <c r="G47" s="51">
        <f>Лист1!AB40</f>
        <v>11564.53</v>
      </c>
      <c r="H47" s="51">
        <f>Лист1!AC40</f>
        <v>13377.055000000006</v>
      </c>
      <c r="I47" s="52">
        <f>Лист1!AG40</f>
        <v>1282.74</v>
      </c>
      <c r="J47" s="19">
        <f>Лист1!AI40+Лист1!AJ40</f>
        <v>2137.9</v>
      </c>
      <c r="K47" s="19">
        <f>Лист1!AH40+Лист1!AK40+Лист1!AL40+Лист1!AM40+Лист1!AN40+Лист1!AO40+Лист1!AP40+Лист1!AQ40+Лист1!AR40+Лист1!AY40+Лист1!AZ40+Лист1!BA40</f>
        <v>7332.997</v>
      </c>
      <c r="L47" s="20">
        <f>Лист1!AS40+Лист1!AT40+Лист1!AU40</f>
        <v>0</v>
      </c>
      <c r="M47" s="20">
        <f>Лист1!AX40</f>
        <v>1290.8</v>
      </c>
      <c r="N47" s="21">
        <f>Лист1!BB40</f>
        <v>12044.437</v>
      </c>
      <c r="O47" s="53">
        <f>Лист1!BD40</f>
        <v>1445.1180000000058</v>
      </c>
      <c r="P47" s="53">
        <f>Лист1!BE40</f>
        <v>-5115.780000000001</v>
      </c>
      <c r="Q47" s="1"/>
      <c r="R47" s="1"/>
    </row>
    <row r="48" spans="1:18" ht="13.5" thickBot="1">
      <c r="A48" s="54" t="s">
        <v>43</v>
      </c>
      <c r="B48" s="14">
        <f>Лист1!B41</f>
        <v>2137.9</v>
      </c>
      <c r="C48" s="49">
        <f>Лист1!C41</f>
        <v>18492.835000000003</v>
      </c>
      <c r="D48" s="50">
        <f>Лист1!D41</f>
        <v>1812.5450000000035</v>
      </c>
      <c r="E48" s="19">
        <f>Лист1!S41</f>
        <v>16680.29</v>
      </c>
      <c r="F48" s="21">
        <f>Лист1!T41</f>
        <v>0</v>
      </c>
      <c r="G48" s="51">
        <f>Лист1!AB41</f>
        <v>19228.030000000002</v>
      </c>
      <c r="H48" s="51">
        <f>Лист1!AC41</f>
        <v>21040.575000000004</v>
      </c>
      <c r="I48" s="52">
        <f>Лист1!AG41</f>
        <v>1282.74</v>
      </c>
      <c r="J48" s="19">
        <f>Лист1!AI41+Лист1!AJ41</f>
        <v>2137.9</v>
      </c>
      <c r="K48" s="19">
        <f>Лист1!AH41+Лист1!AK41+Лист1!AL41+Лист1!AM41+Лист1!AN41+Лист1!AO41+Лист1!AP41+Лист1!AQ41+Лист1!AR41+Лист1!AY41+Лист1!AZ41+Лист1!BA41</f>
        <v>7332.997</v>
      </c>
      <c r="L48" s="20">
        <f>Лист1!AS41+Лист1!AT41+Лист1!AU41</f>
        <v>76331.56</v>
      </c>
      <c r="M48" s="20">
        <f>Лист1!AX41</f>
        <v>1625.3999999999999</v>
      </c>
      <c r="N48" s="21">
        <f>Лист1!BB41</f>
        <v>88710.597</v>
      </c>
      <c r="O48" s="53">
        <f>Лист1!BD41</f>
        <v>-67557.522</v>
      </c>
      <c r="P48" s="53">
        <f>Лист1!BE41</f>
        <v>2547.7400000000016</v>
      </c>
      <c r="Q48" s="1"/>
      <c r="R48" s="1"/>
    </row>
    <row r="49" spans="1:18" s="28" customFormat="1" ht="13.5" thickBot="1">
      <c r="A49" s="56" t="s">
        <v>5</v>
      </c>
      <c r="B49" s="57"/>
      <c r="C49" s="58">
        <f aca="true" t="shared" si="3" ref="C49:P49">SUM(C37:C48)</f>
        <v>222123.34999999995</v>
      </c>
      <c r="D49" s="59">
        <f t="shared" si="3"/>
        <v>21187.04000000002</v>
      </c>
      <c r="E49" s="58">
        <f t="shared" si="3"/>
        <v>180168.46000000002</v>
      </c>
      <c r="F49" s="60">
        <f t="shared" si="3"/>
        <v>20767.85</v>
      </c>
      <c r="G49" s="61">
        <f t="shared" si="3"/>
        <v>159631.38999999998</v>
      </c>
      <c r="H49" s="58">
        <f t="shared" si="3"/>
        <v>201586.28</v>
      </c>
      <c r="I49" s="59">
        <f t="shared" si="3"/>
        <v>15407.4</v>
      </c>
      <c r="J49" s="58">
        <f t="shared" si="3"/>
        <v>25679.000000000007</v>
      </c>
      <c r="K49" s="58">
        <f t="shared" si="3"/>
        <v>90199.55000000002</v>
      </c>
      <c r="L49" s="58">
        <f t="shared" si="3"/>
        <v>86427.36</v>
      </c>
      <c r="M49" s="58">
        <f t="shared" si="3"/>
        <v>13110.999999999998</v>
      </c>
      <c r="N49" s="60">
        <f t="shared" si="3"/>
        <v>230824.31</v>
      </c>
      <c r="O49" s="62">
        <f t="shared" si="3"/>
        <v>-28900.529999999984</v>
      </c>
      <c r="P49" s="62">
        <f t="shared" si="3"/>
        <v>-20537.070000000003</v>
      </c>
      <c r="Q49" s="64"/>
      <c r="R49" s="64"/>
    </row>
    <row r="50" spans="1:18" ht="13.5" thickBot="1">
      <c r="A50" s="218" t="s">
        <v>68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71"/>
      <c r="Q50" s="1"/>
      <c r="R50" s="1"/>
    </row>
    <row r="51" spans="1:18" s="28" customFormat="1" ht="13.5" thickBot="1">
      <c r="A51" s="72" t="s">
        <v>54</v>
      </c>
      <c r="B51" s="73"/>
      <c r="C51" s="74">
        <f>C35+C49</f>
        <v>500373.08999999997</v>
      </c>
      <c r="D51" s="74">
        <f aca="true" t="shared" si="4" ref="D51:M51">D35+D49</f>
        <v>57582.62721840001</v>
      </c>
      <c r="E51" s="74">
        <f t="shared" si="4"/>
        <v>374991.67</v>
      </c>
      <c r="F51" s="74">
        <f t="shared" si="4"/>
        <v>69706.82</v>
      </c>
      <c r="G51" s="74">
        <f t="shared" si="4"/>
        <v>332129.06999999995</v>
      </c>
      <c r="H51" s="74">
        <f t="shared" si="4"/>
        <v>459418.5172184</v>
      </c>
      <c r="I51" s="74">
        <f t="shared" si="4"/>
        <v>34193.016</v>
      </c>
      <c r="J51" s="74">
        <f t="shared" si="4"/>
        <v>56761.40734296</v>
      </c>
      <c r="K51" s="74">
        <f t="shared" si="4"/>
        <v>204028.96399529278</v>
      </c>
      <c r="L51" s="74">
        <f t="shared" si="4"/>
        <v>125065.6912</v>
      </c>
      <c r="M51" s="74">
        <f t="shared" si="4"/>
        <v>25046.369599999998</v>
      </c>
      <c r="N51" s="74">
        <f>N35+N49</f>
        <v>445095.44813825283</v>
      </c>
      <c r="O51" s="74">
        <f>O35+O49</f>
        <v>14660.569080147223</v>
      </c>
      <c r="P51" s="74">
        <f>P35+P49</f>
        <v>-42862.600000000006</v>
      </c>
      <c r="Q51" s="75"/>
      <c r="R51" s="64"/>
    </row>
    <row r="53" spans="1:18" ht="12.75">
      <c r="A53" s="76"/>
      <c r="Q53" s="1"/>
      <c r="R53" s="1"/>
    </row>
    <row r="54" spans="1:18" ht="12.75">
      <c r="A54" s="28" t="s">
        <v>69</v>
      </c>
      <c r="D54" s="2" t="s">
        <v>89</v>
      </c>
      <c r="Q54" s="1"/>
      <c r="R54" s="1"/>
    </row>
    <row r="55" spans="1:18" ht="12.75">
      <c r="A55" s="32" t="s">
        <v>70</v>
      </c>
      <c r="B55" s="32" t="s">
        <v>71</v>
      </c>
      <c r="C55" s="217" t="s">
        <v>72</v>
      </c>
      <c r="D55" s="217"/>
      <c r="Q55" s="1"/>
      <c r="R55" s="1"/>
    </row>
    <row r="56" spans="1:18" ht="12.75">
      <c r="A56" s="131">
        <v>111157.91</v>
      </c>
      <c r="B56" s="131">
        <v>0</v>
      </c>
      <c r="C56" s="226">
        <f>A56-B56</f>
        <v>111157.91</v>
      </c>
      <c r="D56" s="227"/>
      <c r="Q56" s="1"/>
      <c r="R56" s="1"/>
    </row>
    <row r="57" spans="1:18" ht="12.75">
      <c r="A57" s="76"/>
      <c r="Q57" s="1"/>
      <c r="R57" s="1"/>
    </row>
    <row r="58" spans="1:18" ht="12.75">
      <c r="A58" s="76"/>
      <c r="Q58" s="1"/>
      <c r="R58" s="1"/>
    </row>
    <row r="59" spans="1:18" ht="12.75">
      <c r="A59" s="2" t="s">
        <v>73</v>
      </c>
      <c r="G59" s="2" t="s">
        <v>74</v>
      </c>
      <c r="Q59" s="1"/>
      <c r="R59" s="1"/>
    </row>
    <row r="60" ht="12.75">
      <c r="A60" s="1"/>
    </row>
    <row r="61" ht="12.75">
      <c r="A61" s="1" t="s">
        <v>85</v>
      </c>
    </row>
    <row r="62" ht="12.75">
      <c r="A62" s="2" t="s">
        <v>75</v>
      </c>
    </row>
  </sheetData>
  <sheetProtection/>
  <mergeCells count="23">
    <mergeCell ref="A6:O6"/>
    <mergeCell ref="A10:A13"/>
    <mergeCell ref="B10:B13"/>
    <mergeCell ref="C10:C13"/>
    <mergeCell ref="D10:D13"/>
    <mergeCell ref="E10:F11"/>
    <mergeCell ref="I10:N11"/>
    <mergeCell ref="C56:D56"/>
    <mergeCell ref="P10:P13"/>
    <mergeCell ref="E12:F12"/>
    <mergeCell ref="H12:H13"/>
    <mergeCell ref="I12:I13"/>
    <mergeCell ref="J12:J13"/>
    <mergeCell ref="K12:K13"/>
    <mergeCell ref="A50:O50"/>
    <mergeCell ref="M12:M13"/>
    <mergeCell ref="N12:N13"/>
    <mergeCell ref="L12:L13"/>
    <mergeCell ref="C55:D55"/>
    <mergeCell ref="A34:O34"/>
    <mergeCell ref="O10:O13"/>
    <mergeCell ref="A7:G7"/>
    <mergeCell ref="G10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4"/>
  <sheetViews>
    <sheetView zoomScalePageLayoutView="0" workbookViewId="0" topLeftCell="A1">
      <pane xSplit="2" ySplit="7" topLeftCell="AN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V21" sqref="AV21"/>
    </sheetView>
  </sheetViews>
  <sheetFormatPr defaultColWidth="9.00390625" defaultRowHeight="12.75"/>
  <cols>
    <col min="1" max="1" width="9.75390625" style="256" customWidth="1"/>
    <col min="2" max="2" width="9.125" style="256" customWidth="1"/>
    <col min="3" max="3" width="14.75390625" style="256" customWidth="1"/>
    <col min="4" max="4" width="10.375" style="256" customWidth="1"/>
    <col min="5" max="6" width="9.125" style="256" customWidth="1"/>
    <col min="7" max="7" width="10.25390625" style="256" customWidth="1"/>
    <col min="8" max="8" width="9.125" style="256" customWidth="1"/>
    <col min="9" max="9" width="9.875" style="256" customWidth="1"/>
    <col min="10" max="10" width="9.125" style="256" customWidth="1"/>
    <col min="11" max="11" width="10.375" style="256" customWidth="1"/>
    <col min="12" max="12" width="9.125" style="256" customWidth="1"/>
    <col min="13" max="13" width="10.125" style="256" bestFit="1" customWidth="1"/>
    <col min="14" max="14" width="9.125" style="256" customWidth="1"/>
    <col min="15" max="15" width="10.125" style="256" bestFit="1" customWidth="1"/>
    <col min="16" max="18" width="9.125" style="256" customWidth="1"/>
    <col min="19" max="19" width="10.125" style="256" bestFit="1" customWidth="1"/>
    <col min="20" max="20" width="10.125" style="256" customWidth="1"/>
    <col min="21" max="21" width="10.125" style="256" bestFit="1" customWidth="1"/>
    <col min="22" max="22" width="10.375" style="256" customWidth="1"/>
    <col min="23" max="23" width="10.625" style="256" customWidth="1"/>
    <col min="24" max="24" width="10.125" style="256" customWidth="1"/>
    <col min="25" max="28" width="10.125" style="256" bestFit="1" customWidth="1"/>
    <col min="29" max="30" width="11.375" style="256" customWidth="1"/>
    <col min="31" max="31" width="9.25390625" style="256" bestFit="1" customWidth="1"/>
    <col min="32" max="32" width="10.125" style="256" bestFit="1" customWidth="1"/>
    <col min="33" max="33" width="10.25390625" style="256" customWidth="1"/>
    <col min="34" max="35" width="9.25390625" style="256" bestFit="1" customWidth="1"/>
    <col min="36" max="36" width="11.75390625" style="256" customWidth="1"/>
    <col min="37" max="38" width="9.25390625" style="256" bestFit="1" customWidth="1"/>
    <col min="39" max="39" width="10.125" style="256" bestFit="1" customWidth="1"/>
    <col min="40" max="40" width="9.25390625" style="256" bestFit="1" customWidth="1"/>
    <col min="41" max="42" width="10.125" style="256" bestFit="1" customWidth="1"/>
    <col min="43" max="45" width="9.25390625" style="256" customWidth="1"/>
    <col min="46" max="46" width="10.125" style="256" bestFit="1" customWidth="1"/>
    <col min="47" max="47" width="11.625" style="256" customWidth="1"/>
    <col min="48" max="48" width="10.875" style="256" customWidth="1"/>
    <col min="49" max="49" width="10.625" style="256" customWidth="1"/>
    <col min="50" max="50" width="9.25390625" style="256" customWidth="1"/>
    <col min="51" max="51" width="10.625" style="256" customWidth="1"/>
    <col min="52" max="52" width="9.25390625" style="256" bestFit="1" customWidth="1"/>
    <col min="53" max="54" width="10.125" style="256" bestFit="1" customWidth="1"/>
    <col min="55" max="56" width="11.625" style="256" customWidth="1"/>
    <col min="57" max="57" width="12.625" style="256" customWidth="1"/>
    <col min="58" max="58" width="14.00390625" style="256" customWidth="1"/>
    <col min="59" max="59" width="10.375" style="256" customWidth="1"/>
    <col min="60" max="16384" width="9.125" style="256" customWidth="1"/>
  </cols>
  <sheetData>
    <row r="1" spans="1:18" ht="21" customHeight="1">
      <c r="A1" s="207" t="s">
        <v>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55"/>
      <c r="P1" s="255"/>
      <c r="Q1" s="255"/>
      <c r="R1" s="255"/>
    </row>
    <row r="2" spans="1:18" ht="13.5" thickBot="1">
      <c r="A2" s="255"/>
      <c r="B2" s="257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60" ht="29.25" customHeight="1" thickBot="1">
      <c r="A3" s="259" t="s">
        <v>0</v>
      </c>
      <c r="B3" s="260" t="s">
        <v>1</v>
      </c>
      <c r="C3" s="261" t="s">
        <v>2</v>
      </c>
      <c r="D3" s="262" t="s">
        <v>3</v>
      </c>
      <c r="E3" s="259" t="s">
        <v>94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48"/>
      <c r="S3" s="259"/>
      <c r="T3" s="263"/>
      <c r="U3" s="259" t="s">
        <v>5</v>
      </c>
      <c r="V3" s="263"/>
      <c r="W3" s="264" t="s">
        <v>6</v>
      </c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6"/>
      <c r="AJ3" s="267" t="s">
        <v>95</v>
      </c>
      <c r="AK3" s="268" t="s">
        <v>10</v>
      </c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70"/>
      <c r="BF3" s="271" t="s">
        <v>11</v>
      </c>
      <c r="BG3" s="272" t="s">
        <v>12</v>
      </c>
      <c r="BH3" s="273"/>
    </row>
    <row r="4" spans="1:59" ht="51.75" customHeight="1" hidden="1" thickBot="1">
      <c r="A4" s="274"/>
      <c r="B4" s="275"/>
      <c r="C4" s="276"/>
      <c r="D4" s="277"/>
      <c r="E4" s="274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29"/>
      <c r="S4" s="279"/>
      <c r="T4" s="280"/>
      <c r="U4" s="279"/>
      <c r="V4" s="280"/>
      <c r="W4" s="281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3"/>
      <c r="AJ4" s="284"/>
      <c r="AK4" s="285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7"/>
      <c r="BF4" s="288"/>
      <c r="BG4" s="289"/>
    </row>
    <row r="5" spans="1:61" ht="19.5" customHeight="1">
      <c r="A5" s="274"/>
      <c r="B5" s="275"/>
      <c r="C5" s="276"/>
      <c r="D5" s="277"/>
      <c r="E5" s="290" t="s">
        <v>13</v>
      </c>
      <c r="F5" s="291"/>
      <c r="G5" s="290" t="s">
        <v>96</v>
      </c>
      <c r="H5" s="291"/>
      <c r="I5" s="290" t="s">
        <v>14</v>
      </c>
      <c r="J5" s="291"/>
      <c r="K5" s="290" t="s">
        <v>16</v>
      </c>
      <c r="L5" s="291"/>
      <c r="M5" s="290" t="s">
        <v>15</v>
      </c>
      <c r="N5" s="291"/>
      <c r="O5" s="292" t="s">
        <v>17</v>
      </c>
      <c r="P5" s="292"/>
      <c r="Q5" s="290" t="s">
        <v>97</v>
      </c>
      <c r="R5" s="291"/>
      <c r="S5" s="292" t="s">
        <v>98</v>
      </c>
      <c r="T5" s="291"/>
      <c r="U5" s="293" t="s">
        <v>20</v>
      </c>
      <c r="V5" s="294" t="s">
        <v>21</v>
      </c>
      <c r="W5" s="295" t="s">
        <v>22</v>
      </c>
      <c r="X5" s="295" t="s">
        <v>99</v>
      </c>
      <c r="Y5" s="295" t="s">
        <v>23</v>
      </c>
      <c r="Z5" s="295" t="s">
        <v>25</v>
      </c>
      <c r="AA5" s="295" t="s">
        <v>24</v>
      </c>
      <c r="AB5" s="295" t="s">
        <v>26</v>
      </c>
      <c r="AC5" s="295" t="s">
        <v>27</v>
      </c>
      <c r="AD5" s="296" t="s">
        <v>28</v>
      </c>
      <c r="AE5" s="296" t="s">
        <v>100</v>
      </c>
      <c r="AF5" s="297" t="s">
        <v>29</v>
      </c>
      <c r="AG5" s="298" t="s">
        <v>101</v>
      </c>
      <c r="AH5" s="299" t="s">
        <v>8</v>
      </c>
      <c r="AI5" s="300" t="s">
        <v>9</v>
      </c>
      <c r="AJ5" s="284"/>
      <c r="AK5" s="301" t="s">
        <v>102</v>
      </c>
      <c r="AL5" s="302" t="s">
        <v>103</v>
      </c>
      <c r="AM5" s="302" t="s">
        <v>104</v>
      </c>
      <c r="AN5" s="303" t="s">
        <v>105</v>
      </c>
      <c r="AO5" s="302" t="s">
        <v>106</v>
      </c>
      <c r="AP5" s="303" t="s">
        <v>107</v>
      </c>
      <c r="AQ5" s="303" t="s">
        <v>108</v>
      </c>
      <c r="AR5" s="303" t="s">
        <v>109</v>
      </c>
      <c r="AS5" s="303" t="s">
        <v>110</v>
      </c>
      <c r="AT5" s="303" t="s">
        <v>36</v>
      </c>
      <c r="AU5" s="193" t="s">
        <v>111</v>
      </c>
      <c r="AV5" s="185" t="s">
        <v>112</v>
      </c>
      <c r="AW5" s="193" t="s">
        <v>113</v>
      </c>
      <c r="AX5" s="181" t="s">
        <v>114</v>
      </c>
      <c r="AY5" s="153"/>
      <c r="AZ5" s="304" t="s">
        <v>19</v>
      </c>
      <c r="BA5" s="303" t="s">
        <v>38</v>
      </c>
      <c r="BB5" s="303" t="s">
        <v>33</v>
      </c>
      <c r="BC5" s="305" t="s">
        <v>39</v>
      </c>
      <c r="BD5" s="183" t="s">
        <v>91</v>
      </c>
      <c r="BE5" s="303" t="s">
        <v>115</v>
      </c>
      <c r="BF5" s="288"/>
      <c r="BG5" s="289"/>
      <c r="BH5" s="306"/>
      <c r="BI5" s="307"/>
    </row>
    <row r="6" spans="1:61" ht="56.25" customHeight="1" thickBot="1">
      <c r="A6" s="274"/>
      <c r="B6" s="275"/>
      <c r="C6" s="276"/>
      <c r="D6" s="277"/>
      <c r="E6" s="308"/>
      <c r="F6" s="309"/>
      <c r="G6" s="308"/>
      <c r="H6" s="309"/>
      <c r="I6" s="308"/>
      <c r="J6" s="309"/>
      <c r="K6" s="308"/>
      <c r="L6" s="309"/>
      <c r="M6" s="308"/>
      <c r="N6" s="309"/>
      <c r="O6" s="310"/>
      <c r="P6" s="310"/>
      <c r="Q6" s="308"/>
      <c r="R6" s="309"/>
      <c r="S6" s="311"/>
      <c r="T6" s="309"/>
      <c r="U6" s="312"/>
      <c r="V6" s="313"/>
      <c r="W6" s="314"/>
      <c r="X6" s="314"/>
      <c r="Y6" s="314"/>
      <c r="Z6" s="314"/>
      <c r="AA6" s="314"/>
      <c r="AB6" s="314"/>
      <c r="AC6" s="314"/>
      <c r="AD6" s="315"/>
      <c r="AE6" s="315"/>
      <c r="AF6" s="316"/>
      <c r="AG6" s="317"/>
      <c r="AH6" s="318"/>
      <c r="AI6" s="319"/>
      <c r="AJ6" s="320"/>
      <c r="AK6" s="321"/>
      <c r="AL6" s="322"/>
      <c r="AM6" s="322"/>
      <c r="AN6" s="323"/>
      <c r="AO6" s="322"/>
      <c r="AP6" s="323"/>
      <c r="AQ6" s="323"/>
      <c r="AR6" s="323"/>
      <c r="AS6" s="323"/>
      <c r="AT6" s="323"/>
      <c r="AU6" s="194"/>
      <c r="AV6" s="186"/>
      <c r="AW6" s="194"/>
      <c r="AX6" s="182"/>
      <c r="AY6" s="154" t="s">
        <v>116</v>
      </c>
      <c r="AZ6" s="324"/>
      <c r="BA6" s="323"/>
      <c r="BB6" s="323"/>
      <c r="BC6" s="325"/>
      <c r="BD6" s="326"/>
      <c r="BE6" s="323"/>
      <c r="BF6" s="327"/>
      <c r="BG6" s="328"/>
      <c r="BH6" s="306"/>
      <c r="BI6" s="307"/>
    </row>
    <row r="7" spans="1:61" ht="19.5" customHeight="1" thickBot="1">
      <c r="A7" s="329">
        <v>1</v>
      </c>
      <c r="B7" s="330">
        <v>2</v>
      </c>
      <c r="C7" s="330">
        <v>3</v>
      </c>
      <c r="D7" s="329">
        <v>4</v>
      </c>
      <c r="E7" s="330">
        <v>5</v>
      </c>
      <c r="F7" s="330">
        <v>6</v>
      </c>
      <c r="G7" s="329">
        <v>7</v>
      </c>
      <c r="H7" s="330">
        <v>8</v>
      </c>
      <c r="I7" s="330">
        <v>9</v>
      </c>
      <c r="J7" s="329">
        <v>10</v>
      </c>
      <c r="K7" s="330">
        <v>11</v>
      </c>
      <c r="L7" s="330">
        <v>12</v>
      </c>
      <c r="M7" s="329">
        <v>13</v>
      </c>
      <c r="N7" s="330">
        <v>14</v>
      </c>
      <c r="O7" s="330">
        <v>15</v>
      </c>
      <c r="P7" s="329">
        <v>16</v>
      </c>
      <c r="Q7" s="330">
        <v>17</v>
      </c>
      <c r="R7" s="330">
        <v>18</v>
      </c>
      <c r="S7" s="329">
        <v>19</v>
      </c>
      <c r="T7" s="330">
        <v>20</v>
      </c>
      <c r="U7" s="330">
        <v>21</v>
      </c>
      <c r="V7" s="329">
        <v>22</v>
      </c>
      <c r="W7" s="330">
        <v>23</v>
      </c>
      <c r="X7" s="329">
        <v>24</v>
      </c>
      <c r="Y7" s="330">
        <v>25</v>
      </c>
      <c r="Z7" s="329">
        <v>26</v>
      </c>
      <c r="AA7" s="330">
        <v>27</v>
      </c>
      <c r="AB7" s="329">
        <v>28</v>
      </c>
      <c r="AC7" s="330">
        <v>29</v>
      </c>
      <c r="AD7" s="329">
        <v>30</v>
      </c>
      <c r="AE7" s="329">
        <v>31</v>
      </c>
      <c r="AF7" s="330">
        <v>32</v>
      </c>
      <c r="AG7" s="329">
        <v>33</v>
      </c>
      <c r="AH7" s="330">
        <v>34</v>
      </c>
      <c r="AI7" s="329">
        <v>35</v>
      </c>
      <c r="AJ7" s="330">
        <v>36</v>
      </c>
      <c r="AK7" s="329">
        <v>37</v>
      </c>
      <c r="AL7" s="330">
        <v>38</v>
      </c>
      <c r="AM7" s="329">
        <v>39</v>
      </c>
      <c r="AN7" s="329">
        <v>40</v>
      </c>
      <c r="AO7" s="330">
        <v>41</v>
      </c>
      <c r="AP7" s="329">
        <v>42</v>
      </c>
      <c r="AQ7" s="330">
        <v>43</v>
      </c>
      <c r="AR7" s="329"/>
      <c r="AS7" s="329">
        <v>44</v>
      </c>
      <c r="AT7" s="330">
        <v>45</v>
      </c>
      <c r="AU7" s="329">
        <v>46</v>
      </c>
      <c r="AV7" s="330">
        <v>47</v>
      </c>
      <c r="AW7" s="329">
        <v>48</v>
      </c>
      <c r="AX7" s="329">
        <v>49</v>
      </c>
      <c r="AY7" s="330"/>
      <c r="AZ7" s="330">
        <v>50</v>
      </c>
      <c r="BA7" s="330">
        <v>51</v>
      </c>
      <c r="BB7" s="330">
        <v>52</v>
      </c>
      <c r="BC7" s="330">
        <v>53</v>
      </c>
      <c r="BD7" s="330">
        <v>54</v>
      </c>
      <c r="BE7" s="330"/>
      <c r="BF7" s="330">
        <v>55</v>
      </c>
      <c r="BG7" s="330">
        <v>56</v>
      </c>
      <c r="BH7" s="307"/>
      <c r="BI7" s="307"/>
    </row>
    <row r="8" spans="1:59" s="28" customFormat="1" ht="13.5" thickBot="1">
      <c r="A8" s="33" t="s">
        <v>54</v>
      </c>
      <c r="B8" s="331"/>
      <c r="C8" s="331">
        <f>Лист1!C44</f>
        <v>500373.08999999997</v>
      </c>
      <c r="D8" s="331">
        <f>Лист1!D44</f>
        <v>57582.62721840001</v>
      </c>
      <c r="E8" s="331">
        <f>Лист1!E44</f>
        <v>43347.06</v>
      </c>
      <c r="F8" s="331">
        <f>Лист1!F44</f>
        <v>8048</v>
      </c>
      <c r="G8" s="331">
        <f>0</f>
        <v>0</v>
      </c>
      <c r="H8" s="331">
        <f>0</f>
        <v>0</v>
      </c>
      <c r="I8" s="331">
        <f>Лист1!G44</f>
        <v>58648.880000000005</v>
      </c>
      <c r="J8" s="331">
        <f>Лист1!H44</f>
        <v>10895.560000000001</v>
      </c>
      <c r="K8" s="331">
        <f>Лист1!K44</f>
        <v>97661.13</v>
      </c>
      <c r="L8" s="331">
        <f>Лист1!L44</f>
        <v>18138.65</v>
      </c>
      <c r="M8" s="331">
        <f>Лист1!I44</f>
        <v>140656.84</v>
      </c>
      <c r="N8" s="331">
        <f>Лист1!J44</f>
        <v>26186.44</v>
      </c>
      <c r="O8" s="331">
        <f>Лист1!M44</f>
        <v>34677.759999999995</v>
      </c>
      <c r="P8" s="331">
        <f>Лист1!N44</f>
        <v>6438.17</v>
      </c>
      <c r="Q8" s="331">
        <f>'[2]Лист1'!O44</f>
        <v>0</v>
      </c>
      <c r="R8" s="331">
        <f>'[2]Лист1'!P44</f>
        <v>0</v>
      </c>
      <c r="S8" s="331">
        <f>'[2]Лист1'!Q44</f>
        <v>0</v>
      </c>
      <c r="T8" s="331">
        <f>'[2]Лист1'!R44</f>
        <v>0</v>
      </c>
      <c r="U8" s="331">
        <f>Лист1!S44</f>
        <v>374991.67</v>
      </c>
      <c r="V8" s="331">
        <f>Лист1!T44</f>
        <v>69706.82</v>
      </c>
      <c r="W8" s="331">
        <f>Лист1!U44</f>
        <v>38368.979999999996</v>
      </c>
      <c r="X8" s="331">
        <v>0</v>
      </c>
      <c r="Y8" s="331">
        <f>Лист1!V44</f>
        <v>51903.75</v>
      </c>
      <c r="Z8" s="331">
        <f>Лист1!X44</f>
        <v>86436.26000000001</v>
      </c>
      <c r="AA8" s="331">
        <f>Лист1!W44</f>
        <v>124724.2</v>
      </c>
      <c r="AB8" s="331">
        <f>Лист1!Y44</f>
        <v>30695.88</v>
      </c>
      <c r="AC8" s="331">
        <f>'[3]Лист1'!Z46</f>
        <v>0</v>
      </c>
      <c r="AD8" s="331">
        <f>'[3]Лист1'!AA46</f>
        <v>0</v>
      </c>
      <c r="AF8" s="331">
        <f>Лист1!AB44</f>
        <v>332129.06999999995</v>
      </c>
      <c r="AG8" s="331">
        <f>Лист1!AC44</f>
        <v>459418.5172184</v>
      </c>
      <c r="AH8" s="331">
        <f>'[3]Лист1'!AD46</f>
        <v>0</v>
      </c>
      <c r="AI8" s="331">
        <f>'[3]Лист1'!AE46</f>
        <v>0</v>
      </c>
      <c r="AJ8" s="331">
        <f>'[3]Лист1'!AF46</f>
        <v>0</v>
      </c>
      <c r="AK8" s="331">
        <f>Лист1!AG44</f>
        <v>34193.016</v>
      </c>
      <c r="AL8" s="331">
        <f>Лист1!AH44</f>
        <v>11457.556688</v>
      </c>
      <c r="AM8" s="331">
        <f>Лист1!AI44+Лист1!AJ44</f>
        <v>56761.40734296</v>
      </c>
      <c r="AN8" s="331">
        <v>0</v>
      </c>
      <c r="AO8" s="331">
        <f>Лист1!AK44+Лист1!AL44</f>
        <v>56616.63865840319</v>
      </c>
      <c r="AP8" s="331">
        <f>Лист1!AM44+Лист1!AN44</f>
        <v>126650.2070488896</v>
      </c>
      <c r="AQ8" s="331">
        <v>0</v>
      </c>
      <c r="AR8" s="331">
        <v>0</v>
      </c>
      <c r="AS8" s="331">
        <v>0</v>
      </c>
      <c r="AT8" s="331">
        <f>Лист1!AO44</f>
        <v>2120.58</v>
      </c>
      <c r="AU8" s="331">
        <f>Лист1!AS44+Лист1!AU44</f>
        <v>57124.8312</v>
      </c>
      <c r="AV8" s="331">
        <f>0</f>
        <v>0</v>
      </c>
      <c r="AW8" s="331">
        <f>Лист1!AT44</f>
        <v>67940.86</v>
      </c>
      <c r="AX8" s="331">
        <f>Лист1!AQ44+Лист1!AR44</f>
        <v>7183.9816</v>
      </c>
      <c r="AY8" s="332">
        <f>Лист1!AX44</f>
        <v>25046.369599999998</v>
      </c>
      <c r="AZ8" s="332">
        <f>'[3]Лист1'!AY46</f>
        <v>0</v>
      </c>
      <c r="BA8" s="332">
        <f>Лист1!AZ44</f>
        <v>0</v>
      </c>
      <c r="BB8" s="332">
        <v>0</v>
      </c>
      <c r="BC8" s="332">
        <f>Лист1!BB44</f>
        <v>445095.44813825283</v>
      </c>
      <c r="BD8" s="332">
        <f>Лист1!BC44</f>
        <v>112.5</v>
      </c>
      <c r="BE8" s="333">
        <f>Лист1!BB44+Лист1!BC44</f>
        <v>445207.94813825283</v>
      </c>
      <c r="BF8" s="334">
        <f>Лист1!BD44</f>
        <v>14660.569080147223</v>
      </c>
      <c r="BG8" s="334">
        <f>Лист1!BE44</f>
        <v>-42862.600000000006</v>
      </c>
    </row>
    <row r="9" spans="1:60" ht="13.5" thickBot="1">
      <c r="A9" s="5" t="s">
        <v>88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>
        <v>0</v>
      </c>
      <c r="BB9" s="335"/>
      <c r="BC9" s="335"/>
      <c r="BD9" s="335"/>
      <c r="BE9" s="336"/>
      <c r="BF9" s="334"/>
      <c r="BG9" s="337"/>
      <c r="BH9" s="255"/>
    </row>
    <row r="10" spans="1:68" ht="13.5" thickBot="1">
      <c r="A10" s="338" t="s">
        <v>45</v>
      </c>
      <c r="B10" s="156">
        <v>2137.9</v>
      </c>
      <c r="C10" s="130">
        <f>B10*8.55</f>
        <v>18279.045000000002</v>
      </c>
      <c r="D10" s="114">
        <v>280.0072</v>
      </c>
      <c r="E10" s="157">
        <v>0</v>
      </c>
      <c r="F10" s="158">
        <v>0</v>
      </c>
      <c r="G10" s="157">
        <v>11310.78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5339.16</v>
      </c>
      <c r="N10" s="157">
        <v>0</v>
      </c>
      <c r="O10" s="157">
        <v>1869.36</v>
      </c>
      <c r="P10" s="158">
        <v>0</v>
      </c>
      <c r="Q10" s="340">
        <v>0</v>
      </c>
      <c r="R10" s="341">
        <v>0</v>
      </c>
      <c r="S10" s="340">
        <v>0</v>
      </c>
      <c r="T10" s="341">
        <v>0</v>
      </c>
      <c r="U10" s="344">
        <f aca="true" t="shared" si="0" ref="U10:V12">E10+G10+I10+K10+M10+O10+Q10+S10</f>
        <v>18519.300000000003</v>
      </c>
      <c r="V10" s="345">
        <f t="shared" si="0"/>
        <v>0</v>
      </c>
      <c r="W10" s="159">
        <v>1108.64</v>
      </c>
      <c r="X10" s="159"/>
      <c r="Y10" s="159">
        <v>1501.47</v>
      </c>
      <c r="Z10" s="159">
        <v>2499.23</v>
      </c>
      <c r="AA10" s="159">
        <v>3607.91</v>
      </c>
      <c r="AB10" s="159">
        <v>886.96</v>
      </c>
      <c r="AC10" s="161">
        <v>0</v>
      </c>
      <c r="AD10" s="161">
        <v>0</v>
      </c>
      <c r="AE10" s="346">
        <v>0</v>
      </c>
      <c r="AF10" s="346">
        <f>SUM(W10:AE10)</f>
        <v>9604.21</v>
      </c>
      <c r="AG10" s="347">
        <f>AF10+V10+D10</f>
        <v>9884.2172</v>
      </c>
      <c r="AH10" s="348">
        <f aca="true" t="shared" si="1" ref="AH10:AI12">AC10</f>
        <v>0</v>
      </c>
      <c r="AI10" s="348">
        <f t="shared" si="1"/>
        <v>0</v>
      </c>
      <c r="AJ10" s="163">
        <f>'[4]Т01'!$I$171</f>
        <v>114</v>
      </c>
      <c r="AK10" s="164">
        <f>0.67*B10</f>
        <v>1432.3930000000003</v>
      </c>
      <c r="AL10" s="164">
        <f>B10*0.2</f>
        <v>427.58000000000004</v>
      </c>
      <c r="AM10" s="164">
        <f>B10*1</f>
        <v>2137.9</v>
      </c>
      <c r="AN10" s="164">
        <f>B10*0.21</f>
        <v>448.959</v>
      </c>
      <c r="AO10" s="164">
        <f>2.02*B10</f>
        <v>4318.558</v>
      </c>
      <c r="AP10" s="164">
        <f>B10*1.03</f>
        <v>2202.0370000000003</v>
      </c>
      <c r="AQ10" s="164">
        <f>B10*0.75</f>
        <v>1603.4250000000002</v>
      </c>
      <c r="AR10" s="164">
        <f>B10*0.75</f>
        <v>1603.4250000000002</v>
      </c>
      <c r="AS10" s="164">
        <f>B10*1.15</f>
        <v>2458.585</v>
      </c>
      <c r="AT10" s="164">
        <f>392.7*0.45</f>
        <v>176.715</v>
      </c>
      <c r="AU10" s="166"/>
      <c r="AV10" s="165"/>
      <c r="AW10" s="166"/>
      <c r="AX10" s="166"/>
      <c r="AY10" s="126"/>
      <c r="AZ10" s="443"/>
      <c r="BA10" s="127"/>
      <c r="BB10" s="169">
        <f>BA10*0.18</f>
        <v>0</v>
      </c>
      <c r="BC10" s="169">
        <f>SUM(AK10:BB10)</f>
        <v>16809.576999999997</v>
      </c>
      <c r="BD10" s="170">
        <f>'[4]Т01'!$R$171</f>
        <v>28.5</v>
      </c>
      <c r="BE10" s="170">
        <f aca="true" t="shared" si="2" ref="BE10:BF21">BC10+BD10</f>
        <v>16838.076999999997</v>
      </c>
      <c r="BF10" s="170">
        <f aca="true" t="shared" si="3" ref="BF10:BF21">AG10+AJ10-BE10</f>
        <v>-6839.859799999998</v>
      </c>
      <c r="BG10" s="170">
        <f aca="true" t="shared" si="4" ref="BG10:BG21">AF10-U10</f>
        <v>-8915.090000000004</v>
      </c>
      <c r="BH10" s="170">
        <f>AF10-U10</f>
        <v>-8915.090000000004</v>
      </c>
      <c r="BI10" s="170"/>
      <c r="BJ10" s="349"/>
      <c r="BK10" s="75"/>
      <c r="BL10" s="350"/>
      <c r="BM10" s="75"/>
      <c r="BN10" s="350"/>
      <c r="BO10" s="75"/>
      <c r="BP10" s="350"/>
    </row>
    <row r="11" spans="1:66" ht="13.5" thickBot="1">
      <c r="A11" s="338" t="s">
        <v>46</v>
      </c>
      <c r="B11" s="156">
        <v>2137.9</v>
      </c>
      <c r="C11" s="130">
        <f>B11*8.55</f>
        <v>18279.045000000002</v>
      </c>
      <c r="D11" s="114">
        <v>280.0072</v>
      </c>
      <c r="E11" s="157">
        <v>0</v>
      </c>
      <c r="F11" s="158">
        <v>0</v>
      </c>
      <c r="G11" s="157">
        <v>10678.17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5339.16</v>
      </c>
      <c r="N11" s="157">
        <v>0</v>
      </c>
      <c r="O11" s="157">
        <v>1869.36</v>
      </c>
      <c r="P11" s="157">
        <v>0</v>
      </c>
      <c r="Q11" s="158">
        <v>0</v>
      </c>
      <c r="R11" s="158">
        <v>0</v>
      </c>
      <c r="S11" s="161">
        <v>0</v>
      </c>
      <c r="T11" s="159">
        <v>0</v>
      </c>
      <c r="U11" s="351">
        <f t="shared" si="0"/>
        <v>17886.69</v>
      </c>
      <c r="V11" s="345">
        <f t="shared" si="0"/>
        <v>0</v>
      </c>
      <c r="W11" s="159">
        <v>481.82</v>
      </c>
      <c r="X11" s="161">
        <v>7304.84</v>
      </c>
      <c r="Y11" s="159">
        <v>652.79</v>
      </c>
      <c r="Z11" s="159">
        <v>1086.49</v>
      </c>
      <c r="AA11" s="159">
        <v>4724.83</v>
      </c>
      <c r="AB11" s="159">
        <v>1544.28</v>
      </c>
      <c r="AC11" s="161">
        <v>0</v>
      </c>
      <c r="AD11" s="161">
        <v>0</v>
      </c>
      <c r="AE11" s="161">
        <v>0</v>
      </c>
      <c r="AF11" s="346">
        <f>SUM(W11:AE11)</f>
        <v>15795.050000000001</v>
      </c>
      <c r="AG11" s="347">
        <f>AF11+V11+D11</f>
        <v>16075.057200000001</v>
      </c>
      <c r="AH11" s="348">
        <f t="shared" si="1"/>
        <v>0</v>
      </c>
      <c r="AI11" s="348">
        <f t="shared" si="1"/>
        <v>0</v>
      </c>
      <c r="AJ11" s="163">
        <f>'[4]Т02'!$J$173</f>
        <v>114</v>
      </c>
      <c r="AK11" s="164">
        <f>0.67*B11</f>
        <v>1432.3930000000003</v>
      </c>
      <c r="AL11" s="164">
        <f>B11*0.2</f>
        <v>427.58000000000004</v>
      </c>
      <c r="AM11" s="164">
        <f>B11*1</f>
        <v>2137.9</v>
      </c>
      <c r="AN11" s="164">
        <f>B11*0.21</f>
        <v>448.959</v>
      </c>
      <c r="AO11" s="164">
        <f>2.02*B11</f>
        <v>4318.558</v>
      </c>
      <c r="AP11" s="164">
        <f>B11*1.03</f>
        <v>2202.0370000000003</v>
      </c>
      <c r="AQ11" s="164">
        <f>B11*0.75</f>
        <v>1603.4250000000002</v>
      </c>
      <c r="AR11" s="164">
        <f>B11*0.75</f>
        <v>1603.4250000000002</v>
      </c>
      <c r="AS11" s="164">
        <f>B11*1.15</f>
        <v>2458.585</v>
      </c>
      <c r="AT11" s="164">
        <f>392.7*0.45</f>
        <v>176.715</v>
      </c>
      <c r="AU11" s="166">
        <v>4324</v>
      </c>
      <c r="AV11" s="165"/>
      <c r="AW11" s="166"/>
      <c r="AX11" s="166">
        <f>33.84+232+380+58+58+26+16+30</f>
        <v>833.84</v>
      </c>
      <c r="AY11" s="126"/>
      <c r="AZ11" s="443"/>
      <c r="BA11" s="127"/>
      <c r="BB11" s="169">
        <f>BA11*0.18</f>
        <v>0</v>
      </c>
      <c r="BC11" s="169">
        <f>SUM(AK11:BB11)</f>
        <v>21967.416999999998</v>
      </c>
      <c r="BD11" s="170">
        <f>'[4]Т02'!$S$172</f>
        <v>28.5</v>
      </c>
      <c r="BE11" s="170">
        <f t="shared" si="2"/>
        <v>21995.916999999998</v>
      </c>
      <c r="BF11" s="170">
        <f t="shared" si="3"/>
        <v>-5806.8597999999965</v>
      </c>
      <c r="BG11" s="170">
        <f t="shared" si="4"/>
        <v>-2091.6399999999976</v>
      </c>
      <c r="BH11" s="170">
        <f>AF11-U11</f>
        <v>-2091.6399999999976</v>
      </c>
      <c r="BI11" s="170"/>
      <c r="BJ11" s="349"/>
      <c r="BK11" s="75"/>
      <c r="BL11" s="350"/>
      <c r="BM11" s="350"/>
      <c r="BN11" s="352"/>
    </row>
    <row r="12" spans="1:66" ht="13.5" thickBot="1">
      <c r="A12" s="338" t="s">
        <v>47</v>
      </c>
      <c r="B12" s="156">
        <v>2137.9</v>
      </c>
      <c r="C12" s="130">
        <f>B12*8.55</f>
        <v>18279.045000000002</v>
      </c>
      <c r="D12" s="114">
        <v>280.0072</v>
      </c>
      <c r="E12" s="157">
        <v>-1.23</v>
      </c>
      <c r="F12" s="158">
        <v>0</v>
      </c>
      <c r="G12" s="157">
        <v>10991.72</v>
      </c>
      <c r="H12" s="157">
        <v>103.4</v>
      </c>
      <c r="I12" s="157">
        <v>-1.66</v>
      </c>
      <c r="J12" s="157">
        <v>0</v>
      </c>
      <c r="K12" s="157">
        <v>-2.77</v>
      </c>
      <c r="L12" s="157">
        <v>0</v>
      </c>
      <c r="M12" s="157">
        <v>5333.84</v>
      </c>
      <c r="N12" s="157">
        <v>50.2</v>
      </c>
      <c r="O12" s="157">
        <v>1867.91</v>
      </c>
      <c r="P12" s="157"/>
      <c r="Q12" s="157">
        <v>0</v>
      </c>
      <c r="R12" s="157">
        <v>0</v>
      </c>
      <c r="S12" s="159">
        <v>0</v>
      </c>
      <c r="T12" s="159">
        <v>0</v>
      </c>
      <c r="U12" s="159">
        <f t="shared" si="0"/>
        <v>18187.81</v>
      </c>
      <c r="V12" s="160">
        <f t="shared" si="0"/>
        <v>153.60000000000002</v>
      </c>
      <c r="W12" s="172">
        <v>171.46</v>
      </c>
      <c r="X12" s="161">
        <v>8003.14</v>
      </c>
      <c r="Y12" s="159">
        <v>232.36</v>
      </c>
      <c r="Z12" s="159">
        <v>386.65</v>
      </c>
      <c r="AA12" s="159">
        <v>4317.51</v>
      </c>
      <c r="AB12" s="159">
        <v>1495.58</v>
      </c>
      <c r="AC12" s="161">
        <v>0</v>
      </c>
      <c r="AD12" s="161">
        <v>0</v>
      </c>
      <c r="AE12" s="159">
        <v>0</v>
      </c>
      <c r="AF12" s="353">
        <f>SUM(W12:AE12)</f>
        <v>14606.7</v>
      </c>
      <c r="AG12" s="347">
        <f>AF12+V12+D12</f>
        <v>15040.307200000001</v>
      </c>
      <c r="AH12" s="348">
        <f t="shared" si="1"/>
        <v>0</v>
      </c>
      <c r="AI12" s="348">
        <f t="shared" si="1"/>
        <v>0</v>
      </c>
      <c r="AJ12" s="163">
        <f>'[4]Т03'!$J$173</f>
        <v>114</v>
      </c>
      <c r="AK12" s="164">
        <f>0.67*B12</f>
        <v>1432.3930000000003</v>
      </c>
      <c r="AL12" s="164">
        <f>B12*0.2</f>
        <v>427.58000000000004</v>
      </c>
      <c r="AM12" s="164">
        <f>B12*1</f>
        <v>2137.9</v>
      </c>
      <c r="AN12" s="164">
        <f>B12*0.21</f>
        <v>448.959</v>
      </c>
      <c r="AO12" s="164">
        <f>2.02*B12</f>
        <v>4318.558</v>
      </c>
      <c r="AP12" s="164">
        <f>B12*1.03</f>
        <v>2202.0370000000003</v>
      </c>
      <c r="AQ12" s="164">
        <f>B12*0.75</f>
        <v>1603.4250000000002</v>
      </c>
      <c r="AR12" s="164">
        <f>B12*0.75</f>
        <v>1603.4250000000002</v>
      </c>
      <c r="AS12" s="164">
        <f>B12*1.15</f>
        <v>2458.585</v>
      </c>
      <c r="AT12" s="164">
        <f>392.7*0.45</f>
        <v>176.715</v>
      </c>
      <c r="AU12" s="166">
        <v>17252</v>
      </c>
      <c r="AV12" s="165">
        <v>215</v>
      </c>
      <c r="AW12" s="166"/>
      <c r="AX12" s="166">
        <f>79.66+98.3+98.3+19.6+138+10.4+18+52+36+172+58+360</f>
        <v>1140.26</v>
      </c>
      <c r="AY12" s="126"/>
      <c r="AZ12" s="443"/>
      <c r="BA12" s="127"/>
      <c r="BB12" s="169">
        <f>BA12*0.18</f>
        <v>0</v>
      </c>
      <c r="BC12" s="169">
        <f>SUM(AK12:BB12)</f>
        <v>35416.837</v>
      </c>
      <c r="BD12" s="170">
        <f>'[4]Т03'!$S$173</f>
        <v>28.5</v>
      </c>
      <c r="BE12" s="170">
        <f t="shared" si="2"/>
        <v>35445.337</v>
      </c>
      <c r="BF12" s="170">
        <f t="shared" si="3"/>
        <v>-20291.029799999997</v>
      </c>
      <c r="BG12" s="170">
        <f t="shared" si="4"/>
        <v>-3581.1100000000006</v>
      </c>
      <c r="BH12" s="170">
        <f>AF12-U12</f>
        <v>-3581.1100000000006</v>
      </c>
      <c r="BI12" s="170"/>
      <c r="BJ12" s="349"/>
      <c r="BK12" s="75"/>
      <c r="BL12" s="350"/>
      <c r="BM12" s="350"/>
      <c r="BN12" s="352"/>
    </row>
    <row r="13" spans="1:65" ht="13.5" thickBot="1">
      <c r="A13" s="338" t="s">
        <v>48</v>
      </c>
      <c r="B13" s="156">
        <v>2137.9</v>
      </c>
      <c r="C13" s="130">
        <f aca="true" t="shared" si="5" ref="C13:C21">B13*8.55</f>
        <v>18279.045000000002</v>
      </c>
      <c r="D13" s="354">
        <v>280.0072</v>
      </c>
      <c r="E13" s="340">
        <v>0</v>
      </c>
      <c r="F13" s="158">
        <v>0</v>
      </c>
      <c r="G13" s="441">
        <v>10980.32</v>
      </c>
      <c r="H13" s="157">
        <v>103.4</v>
      </c>
      <c r="I13" s="157">
        <v>0</v>
      </c>
      <c r="J13" s="157">
        <v>0</v>
      </c>
      <c r="K13" s="157">
        <v>0</v>
      </c>
      <c r="L13" s="157">
        <v>0</v>
      </c>
      <c r="M13" s="157">
        <v>5332.22</v>
      </c>
      <c r="N13" s="157">
        <v>50.2</v>
      </c>
      <c r="O13" s="157">
        <v>1866.88</v>
      </c>
      <c r="P13" s="157">
        <v>0</v>
      </c>
      <c r="Q13" s="355">
        <v>0</v>
      </c>
      <c r="R13" s="339">
        <v>0</v>
      </c>
      <c r="S13" s="342">
        <v>0</v>
      </c>
      <c r="T13" s="343">
        <v>0</v>
      </c>
      <c r="U13" s="351">
        <f aca="true" t="shared" si="6" ref="U13:V21">E13+G13+I13+K13+M13+O13+Q13+S13</f>
        <v>18179.420000000002</v>
      </c>
      <c r="V13" s="160">
        <f t="shared" si="6"/>
        <v>153.60000000000002</v>
      </c>
      <c r="W13" s="159">
        <v>1076.73</v>
      </c>
      <c r="X13" s="161">
        <v>8992.94</v>
      </c>
      <c r="Y13" s="159">
        <v>1457.84</v>
      </c>
      <c r="Z13" s="159">
        <v>2426.99</v>
      </c>
      <c r="AA13" s="159">
        <v>7989.68</v>
      </c>
      <c r="AB13" s="161">
        <v>2428.54</v>
      </c>
      <c r="AC13" s="159">
        <v>0</v>
      </c>
      <c r="AD13" s="161">
        <v>0</v>
      </c>
      <c r="AE13" s="161">
        <v>0</v>
      </c>
      <c r="AF13" s="346">
        <f>SUM(W13:AD13)</f>
        <v>24372.72</v>
      </c>
      <c r="AG13" s="356">
        <f>AF13+V13+D13</f>
        <v>24806.3272</v>
      </c>
      <c r="AH13" s="357">
        <f aca="true" t="shared" si="7" ref="AH13:AI21">AC13</f>
        <v>0</v>
      </c>
      <c r="AI13" s="357">
        <f t="shared" si="7"/>
        <v>0</v>
      </c>
      <c r="AJ13" s="358">
        <f>'[5]Т04'!$J$175</f>
        <v>114</v>
      </c>
      <c r="AK13" s="164">
        <f aca="true" t="shared" si="8" ref="AK13:AK21">0.67*B13</f>
        <v>1432.3930000000003</v>
      </c>
      <c r="AL13" s="164">
        <f aca="true" t="shared" si="9" ref="AL13:AL21">B13*0.2</f>
        <v>427.58000000000004</v>
      </c>
      <c r="AM13" s="164">
        <f aca="true" t="shared" si="10" ref="AM13:AM21">B13*1</f>
        <v>2137.9</v>
      </c>
      <c r="AN13" s="164">
        <f aca="true" t="shared" si="11" ref="AN13:AN21">B13*0.21</f>
        <v>448.959</v>
      </c>
      <c r="AO13" s="164">
        <f aca="true" t="shared" si="12" ref="AO13:AO21">2.02*B13</f>
        <v>4318.558</v>
      </c>
      <c r="AP13" s="164">
        <f aca="true" t="shared" si="13" ref="AP13:AP21">B13*1.03</f>
        <v>2202.0370000000003</v>
      </c>
      <c r="AQ13" s="164">
        <f aca="true" t="shared" si="14" ref="AQ13:AQ21">B13*0.75</f>
        <v>1603.4250000000002</v>
      </c>
      <c r="AR13" s="164">
        <f aca="true" t="shared" si="15" ref="AR13:AR21">B13*0.75</f>
        <v>1603.4250000000002</v>
      </c>
      <c r="AS13" s="164"/>
      <c r="AT13" s="440">
        <f>0.45*392.7</f>
        <v>176.715</v>
      </c>
      <c r="AU13" s="360"/>
      <c r="AV13" s="360">
        <v>151</v>
      </c>
      <c r="AW13" s="360"/>
      <c r="AX13" s="360">
        <f>264+360</f>
        <v>624</v>
      </c>
      <c r="AY13" s="360"/>
      <c r="AZ13" s="126"/>
      <c r="BA13" s="359"/>
      <c r="BB13" s="359"/>
      <c r="BC13" s="157">
        <f>SUM(AK13:BB13)</f>
        <v>15125.991999999998</v>
      </c>
      <c r="BD13" s="361">
        <f>'[4]Т04'!$S$175</f>
        <v>28.5</v>
      </c>
      <c r="BE13" s="170">
        <f t="shared" si="2"/>
        <v>15154.491999999998</v>
      </c>
      <c r="BF13" s="170">
        <f t="shared" si="3"/>
        <v>9765.835200000001</v>
      </c>
      <c r="BG13" s="170">
        <f t="shared" si="4"/>
        <v>6193.299999999999</v>
      </c>
      <c r="BH13" s="170"/>
      <c r="BI13" s="349"/>
      <c r="BJ13" s="75"/>
      <c r="BK13" s="350"/>
      <c r="BL13" s="350"/>
      <c r="BM13" s="352"/>
    </row>
    <row r="14" spans="1:65" ht="13.5" thickBot="1">
      <c r="A14" s="338" t="s">
        <v>49</v>
      </c>
      <c r="B14" s="362">
        <v>2137.9</v>
      </c>
      <c r="C14" s="130">
        <f t="shared" si="5"/>
        <v>18279.045000000002</v>
      </c>
      <c r="D14" s="354">
        <v>280.0072</v>
      </c>
      <c r="E14" s="441">
        <v>0</v>
      </c>
      <c r="F14" s="158">
        <v>0</v>
      </c>
      <c r="G14" s="157">
        <v>10980.32</v>
      </c>
      <c r="H14" s="157">
        <v>103.4</v>
      </c>
      <c r="I14" s="157">
        <v>0</v>
      </c>
      <c r="J14" s="157">
        <v>0</v>
      </c>
      <c r="K14" s="157">
        <v>0</v>
      </c>
      <c r="L14" s="157">
        <v>0</v>
      </c>
      <c r="M14" s="157">
        <v>5332.22</v>
      </c>
      <c r="N14" s="157">
        <v>50.2</v>
      </c>
      <c r="O14" s="157">
        <v>1866.88</v>
      </c>
      <c r="P14" s="157">
        <v>0</v>
      </c>
      <c r="Q14" s="157">
        <v>0</v>
      </c>
      <c r="R14" s="158">
        <v>0</v>
      </c>
      <c r="S14" s="159">
        <v>0</v>
      </c>
      <c r="T14" s="161">
        <v>0</v>
      </c>
      <c r="U14" s="342">
        <f t="shared" si="6"/>
        <v>18179.420000000002</v>
      </c>
      <c r="V14" s="363">
        <f>F14+H14+J14+L14+N14++R14+T14</f>
        <v>153.60000000000002</v>
      </c>
      <c r="W14" s="159">
        <v>55.87</v>
      </c>
      <c r="X14" s="161">
        <v>9430.11</v>
      </c>
      <c r="Y14" s="159">
        <v>75.7</v>
      </c>
      <c r="Z14" s="159">
        <v>125.97</v>
      </c>
      <c r="AA14" s="159">
        <v>4724.22</v>
      </c>
      <c r="AB14" s="159">
        <v>1659.74</v>
      </c>
      <c r="AC14" s="161">
        <v>0</v>
      </c>
      <c r="AD14" s="161">
        <v>0</v>
      </c>
      <c r="AE14" s="346">
        <v>0</v>
      </c>
      <c r="AF14" s="364">
        <f>SUM(W14:AE14)</f>
        <v>16071.610000000002</v>
      </c>
      <c r="AG14" s="356">
        <f aca="true" t="shared" si="16" ref="AG14:AG21">D14+V14+AF14</f>
        <v>16505.217200000003</v>
      </c>
      <c r="AH14" s="357">
        <f t="shared" si="7"/>
        <v>0</v>
      </c>
      <c r="AI14" s="357">
        <f t="shared" si="7"/>
        <v>0</v>
      </c>
      <c r="AJ14" s="358">
        <f>'[4]Т05'!$J$173</f>
        <v>114</v>
      </c>
      <c r="AK14" s="164">
        <f t="shared" si="8"/>
        <v>1432.3930000000003</v>
      </c>
      <c r="AL14" s="164">
        <f t="shared" si="9"/>
        <v>427.58000000000004</v>
      </c>
      <c r="AM14" s="164">
        <f t="shared" si="10"/>
        <v>2137.9</v>
      </c>
      <c r="AN14" s="164">
        <f t="shared" si="11"/>
        <v>448.959</v>
      </c>
      <c r="AO14" s="164">
        <f t="shared" si="12"/>
        <v>4318.558</v>
      </c>
      <c r="AP14" s="164">
        <f t="shared" si="13"/>
        <v>2202.0370000000003</v>
      </c>
      <c r="AQ14" s="164">
        <f t="shared" si="14"/>
        <v>1603.4250000000002</v>
      </c>
      <c r="AR14" s="164">
        <f t="shared" si="15"/>
        <v>1603.4250000000002</v>
      </c>
      <c r="AS14" s="164"/>
      <c r="AT14" s="440">
        <f>0.45*392.7</f>
        <v>176.715</v>
      </c>
      <c r="AU14" s="360"/>
      <c r="AV14" s="360"/>
      <c r="AW14" s="360"/>
      <c r="AX14" s="360">
        <v>234</v>
      </c>
      <c r="AY14" s="360"/>
      <c r="AZ14" s="126"/>
      <c r="BA14" s="359"/>
      <c r="BB14" s="359"/>
      <c r="BC14" s="157">
        <f>SUM(AK14:BB14)</f>
        <v>14584.991999999998</v>
      </c>
      <c r="BD14" s="361">
        <f>'[4]Т05'!$S$173</f>
        <v>28.5</v>
      </c>
      <c r="BE14" s="170">
        <f t="shared" si="2"/>
        <v>14613.491999999998</v>
      </c>
      <c r="BF14" s="170">
        <f t="shared" si="3"/>
        <v>2005.7252000000044</v>
      </c>
      <c r="BG14" s="170">
        <f t="shared" si="4"/>
        <v>-2107.8099999999995</v>
      </c>
      <c r="BH14" s="170"/>
      <c r="BI14" s="349"/>
      <c r="BJ14" s="75"/>
      <c r="BK14" s="350"/>
      <c r="BL14" s="350"/>
      <c r="BM14" s="352"/>
    </row>
    <row r="15" spans="1:66" ht="13.5" thickBot="1">
      <c r="A15" s="338" t="s">
        <v>50</v>
      </c>
      <c r="B15" s="156">
        <v>2137.9</v>
      </c>
      <c r="C15" s="130">
        <f t="shared" si="5"/>
        <v>18279.045000000002</v>
      </c>
      <c r="D15" s="354">
        <v>280.0072</v>
      </c>
      <c r="E15" s="365">
        <v>0</v>
      </c>
      <c r="F15" s="365"/>
      <c r="G15" s="365">
        <v>10980.33</v>
      </c>
      <c r="H15" s="365">
        <v>103.4</v>
      </c>
      <c r="I15" s="366">
        <v>0</v>
      </c>
      <c r="J15" s="366"/>
      <c r="K15" s="366">
        <v>0</v>
      </c>
      <c r="L15" s="366"/>
      <c r="M15" s="366">
        <v>5332.23</v>
      </c>
      <c r="N15" s="366">
        <v>50.2</v>
      </c>
      <c r="O15" s="366">
        <v>1866.88</v>
      </c>
      <c r="P15" s="366"/>
      <c r="Q15" s="366">
        <v>0</v>
      </c>
      <c r="R15" s="367"/>
      <c r="S15" s="367">
        <v>0</v>
      </c>
      <c r="T15" s="366"/>
      <c r="U15" s="368">
        <f t="shared" si="6"/>
        <v>18179.44</v>
      </c>
      <c r="V15" s="369">
        <f t="shared" si="6"/>
        <v>153.60000000000002</v>
      </c>
      <c r="W15" s="370">
        <v>-49.45</v>
      </c>
      <c r="X15" s="365">
        <v>6552.07</v>
      </c>
      <c r="Y15" s="365">
        <v>-66.73</v>
      </c>
      <c r="Z15" s="365">
        <v>-111.24</v>
      </c>
      <c r="AA15" s="365">
        <v>3192.8</v>
      </c>
      <c r="AB15" s="365">
        <v>1106.45</v>
      </c>
      <c r="AC15" s="365">
        <v>0</v>
      </c>
      <c r="AD15" s="365">
        <v>0</v>
      </c>
      <c r="AE15" s="371">
        <v>0</v>
      </c>
      <c r="AF15" s="372">
        <f aca="true" t="shared" si="17" ref="AF15:AF21">SUM(W15:AE15)</f>
        <v>10623.900000000001</v>
      </c>
      <c r="AG15" s="356">
        <f t="shared" si="16"/>
        <v>11057.507200000002</v>
      </c>
      <c r="AH15" s="357">
        <f t="shared" si="7"/>
        <v>0</v>
      </c>
      <c r="AI15" s="357">
        <f t="shared" si="7"/>
        <v>0</v>
      </c>
      <c r="AJ15" s="358">
        <f>'[4]Т06'!$J$173</f>
        <v>114</v>
      </c>
      <c r="AK15" s="164">
        <f t="shared" si="8"/>
        <v>1432.3930000000003</v>
      </c>
      <c r="AL15" s="164">
        <f t="shared" si="9"/>
        <v>427.58000000000004</v>
      </c>
      <c r="AM15" s="164">
        <f t="shared" si="10"/>
        <v>2137.9</v>
      </c>
      <c r="AN15" s="164">
        <f t="shared" si="11"/>
        <v>448.959</v>
      </c>
      <c r="AO15" s="164">
        <f t="shared" si="12"/>
        <v>4318.558</v>
      </c>
      <c r="AP15" s="164">
        <f t="shared" si="13"/>
        <v>2202.0370000000003</v>
      </c>
      <c r="AQ15" s="164">
        <f t="shared" si="14"/>
        <v>1603.4250000000002</v>
      </c>
      <c r="AR15" s="164">
        <f t="shared" si="15"/>
        <v>1603.4250000000002</v>
      </c>
      <c r="AS15" s="164"/>
      <c r="AT15" s="440">
        <f>0.45*392.7</f>
        <v>176.715</v>
      </c>
      <c r="AU15" s="360"/>
      <c r="AV15" s="360">
        <v>686</v>
      </c>
      <c r="AW15" s="360"/>
      <c r="AX15" s="360"/>
      <c r="AY15" s="360"/>
      <c r="AZ15" s="164"/>
      <c r="BA15" s="359"/>
      <c r="BB15" s="359"/>
      <c r="BC15" s="374">
        <f>SUM(AK15:BB15)</f>
        <v>15036.991999999998</v>
      </c>
      <c r="BD15" s="361">
        <f>'[4]Т06'!$S$173</f>
        <v>28.5</v>
      </c>
      <c r="BE15" s="170">
        <f t="shared" si="2"/>
        <v>15065.491999999998</v>
      </c>
      <c r="BF15" s="170">
        <f t="shared" si="3"/>
        <v>-3893.9847999999965</v>
      </c>
      <c r="BG15" s="170">
        <f t="shared" si="4"/>
        <v>-7555.539999999997</v>
      </c>
      <c r="BH15" s="170"/>
      <c r="BI15" s="349"/>
      <c r="BJ15" s="75"/>
      <c r="BK15" s="350"/>
      <c r="BL15" s="350"/>
      <c r="BM15" s="350"/>
      <c r="BN15" s="352"/>
    </row>
    <row r="16" spans="1:64" ht="13.5" thickBot="1">
      <c r="A16" s="338" t="s">
        <v>51</v>
      </c>
      <c r="B16" s="156">
        <v>2137.9</v>
      </c>
      <c r="C16" s="130">
        <f t="shared" si="5"/>
        <v>18279.045000000002</v>
      </c>
      <c r="D16" s="354">
        <v>280.0072</v>
      </c>
      <c r="E16" s="375"/>
      <c r="F16" s="375"/>
      <c r="G16" s="375">
        <v>10980.32</v>
      </c>
      <c r="H16" s="375">
        <v>103.4</v>
      </c>
      <c r="I16" s="375"/>
      <c r="J16" s="375"/>
      <c r="K16" s="375"/>
      <c r="L16" s="375"/>
      <c r="M16" s="375">
        <v>5332.22</v>
      </c>
      <c r="N16" s="375">
        <v>50.2</v>
      </c>
      <c r="O16" s="375">
        <v>1866.88</v>
      </c>
      <c r="P16" s="375"/>
      <c r="Q16" s="375"/>
      <c r="R16" s="375"/>
      <c r="S16" s="376"/>
      <c r="T16" s="370"/>
      <c r="U16" s="377">
        <f t="shared" si="6"/>
        <v>18179.420000000002</v>
      </c>
      <c r="V16" s="378">
        <f t="shared" si="6"/>
        <v>153.60000000000002</v>
      </c>
      <c r="W16" s="379">
        <v>197.46</v>
      </c>
      <c r="X16" s="375">
        <v>7869.79</v>
      </c>
      <c r="Y16" s="375">
        <v>266.98</v>
      </c>
      <c r="Z16" s="375">
        <v>444.72</v>
      </c>
      <c r="AA16" s="375">
        <v>4464.05</v>
      </c>
      <c r="AB16" s="375">
        <v>1483.72</v>
      </c>
      <c r="AC16" s="365"/>
      <c r="AD16" s="375"/>
      <c r="AE16" s="376"/>
      <c r="AF16" s="372">
        <f t="shared" si="17"/>
        <v>14726.72</v>
      </c>
      <c r="AG16" s="380">
        <f t="shared" si="16"/>
        <v>15160.3272</v>
      </c>
      <c r="AH16" s="357">
        <f t="shared" si="7"/>
        <v>0</v>
      </c>
      <c r="AI16" s="357">
        <f t="shared" si="7"/>
        <v>0</v>
      </c>
      <c r="AJ16" s="358">
        <f>'[4]Т07'!$J$177</f>
        <v>114</v>
      </c>
      <c r="AK16" s="164">
        <f t="shared" si="8"/>
        <v>1432.3930000000003</v>
      </c>
      <c r="AL16" s="164">
        <f t="shared" si="9"/>
        <v>427.58000000000004</v>
      </c>
      <c r="AM16" s="164">
        <f t="shared" si="10"/>
        <v>2137.9</v>
      </c>
      <c r="AN16" s="164">
        <f t="shared" si="11"/>
        <v>448.959</v>
      </c>
      <c r="AO16" s="164">
        <f t="shared" si="12"/>
        <v>4318.558</v>
      </c>
      <c r="AP16" s="164">
        <f t="shared" si="13"/>
        <v>2202.0370000000003</v>
      </c>
      <c r="AQ16" s="164">
        <f t="shared" si="14"/>
        <v>1603.4250000000002</v>
      </c>
      <c r="AR16" s="164">
        <f t="shared" si="15"/>
        <v>1603.4250000000002</v>
      </c>
      <c r="AS16" s="442"/>
      <c r="AT16" s="440">
        <f>0.45*392.7</f>
        <v>176.715</v>
      </c>
      <c r="AU16" s="360"/>
      <c r="AV16" s="360"/>
      <c r="AW16" s="360">
        <v>867</v>
      </c>
      <c r="AX16" s="360">
        <f>96.43+9.43</f>
        <v>105.86000000000001</v>
      </c>
      <c r="AY16" s="360"/>
      <c r="AZ16" s="126"/>
      <c r="BA16" s="359">
        <v>1328.6</v>
      </c>
      <c r="BB16" s="359"/>
      <c r="BC16" s="157">
        <f>SUM(AK16:BB16)</f>
        <v>16652.451999999997</v>
      </c>
      <c r="BD16" s="361">
        <f>'[4]Т07'!$S$177</f>
        <v>28.5</v>
      </c>
      <c r="BE16" s="170">
        <f t="shared" si="2"/>
        <v>16680.951999999997</v>
      </c>
      <c r="BF16" s="170">
        <f t="shared" si="3"/>
        <v>-1406.6247999999978</v>
      </c>
      <c r="BG16" s="170">
        <f t="shared" si="4"/>
        <v>-3452.7000000000025</v>
      </c>
      <c r="BH16" s="170"/>
      <c r="BI16" s="349"/>
      <c r="BJ16" s="75"/>
      <c r="BK16" s="255"/>
      <c r="BL16" s="255"/>
    </row>
    <row r="17" spans="1:64" ht="13.5" thickBot="1">
      <c r="A17" s="338" t="s">
        <v>52</v>
      </c>
      <c r="B17" s="156">
        <v>2137.9</v>
      </c>
      <c r="C17" s="130">
        <f t="shared" si="5"/>
        <v>18279.045000000002</v>
      </c>
      <c r="D17" s="354">
        <v>280.0072</v>
      </c>
      <c r="E17" s="375"/>
      <c r="F17" s="375"/>
      <c r="G17" s="375">
        <v>10980.32</v>
      </c>
      <c r="H17" s="375">
        <v>103.4</v>
      </c>
      <c r="I17" s="375"/>
      <c r="J17" s="375"/>
      <c r="K17" s="375"/>
      <c r="L17" s="375"/>
      <c r="M17" s="375">
        <v>5332.22</v>
      </c>
      <c r="N17" s="375">
        <v>50.2</v>
      </c>
      <c r="O17" s="375">
        <v>1866.88</v>
      </c>
      <c r="P17" s="375"/>
      <c r="Q17" s="375"/>
      <c r="R17" s="375"/>
      <c r="S17" s="376"/>
      <c r="T17" s="371"/>
      <c r="U17" s="381">
        <f t="shared" si="6"/>
        <v>18179.420000000002</v>
      </c>
      <c r="V17" s="382">
        <f t="shared" si="6"/>
        <v>153.60000000000002</v>
      </c>
      <c r="W17" s="375">
        <v>126.21</v>
      </c>
      <c r="X17" s="375">
        <v>12684.26</v>
      </c>
      <c r="Y17" s="375">
        <v>170.72</v>
      </c>
      <c r="Z17" s="375">
        <v>282.51</v>
      </c>
      <c r="AA17" s="375">
        <v>6567.5</v>
      </c>
      <c r="AB17" s="375">
        <v>2236.75</v>
      </c>
      <c r="AC17" s="375"/>
      <c r="AD17" s="375"/>
      <c r="AE17" s="376"/>
      <c r="AF17" s="372">
        <f t="shared" si="17"/>
        <v>22067.949999999997</v>
      </c>
      <c r="AG17" s="380">
        <f t="shared" si="16"/>
        <v>22501.557199999996</v>
      </c>
      <c r="AH17" s="357">
        <f t="shared" si="7"/>
        <v>0</v>
      </c>
      <c r="AI17" s="357">
        <f t="shared" si="7"/>
        <v>0</v>
      </c>
      <c r="AJ17" s="358">
        <f>'[4]Т08'!$J$181</f>
        <v>114</v>
      </c>
      <c r="AK17" s="164">
        <f t="shared" si="8"/>
        <v>1432.3930000000003</v>
      </c>
      <c r="AL17" s="164">
        <f t="shared" si="9"/>
        <v>427.58000000000004</v>
      </c>
      <c r="AM17" s="164">
        <f t="shared" si="10"/>
        <v>2137.9</v>
      </c>
      <c r="AN17" s="164">
        <f t="shared" si="11"/>
        <v>448.959</v>
      </c>
      <c r="AO17" s="164">
        <f t="shared" si="12"/>
        <v>4318.558</v>
      </c>
      <c r="AP17" s="164">
        <f t="shared" si="13"/>
        <v>2202.0370000000003</v>
      </c>
      <c r="AQ17" s="164">
        <f t="shared" si="14"/>
        <v>1603.4250000000002</v>
      </c>
      <c r="AR17" s="164">
        <f t="shared" si="15"/>
        <v>1603.4250000000002</v>
      </c>
      <c r="AS17" s="442"/>
      <c r="AT17" s="440">
        <f>0.45*392.7</f>
        <v>176.715</v>
      </c>
      <c r="AU17" s="360">
        <v>1265</v>
      </c>
      <c r="AV17" s="360"/>
      <c r="AW17" s="360"/>
      <c r="AX17" s="360">
        <f>30.95+246</f>
        <v>276.95</v>
      </c>
      <c r="AY17" s="360"/>
      <c r="AZ17" s="126"/>
      <c r="BA17" s="359"/>
      <c r="BB17" s="359"/>
      <c r="BC17" s="157">
        <f>SUM(AK17:BB17)</f>
        <v>15892.942</v>
      </c>
      <c r="BD17" s="361">
        <f>'[4]Т08'!$S$181</f>
        <v>28.5</v>
      </c>
      <c r="BE17" s="170">
        <f t="shared" si="2"/>
        <v>15921.442</v>
      </c>
      <c r="BF17" s="170">
        <f t="shared" si="3"/>
        <v>6694.115199999997</v>
      </c>
      <c r="BG17" s="170">
        <f t="shared" si="4"/>
        <v>3888.529999999995</v>
      </c>
      <c r="BH17" s="170"/>
      <c r="BI17" s="349"/>
      <c r="BJ17" s="75"/>
      <c r="BK17" s="255"/>
      <c r="BL17" s="255"/>
    </row>
    <row r="18" spans="1:64" ht="13.5" thickBot="1">
      <c r="A18" s="338" t="s">
        <v>53</v>
      </c>
      <c r="B18" s="156">
        <v>2137.9</v>
      </c>
      <c r="C18" s="130">
        <f t="shared" si="5"/>
        <v>18279.045000000002</v>
      </c>
      <c r="D18" s="354">
        <v>280.0072</v>
      </c>
      <c r="E18" s="375"/>
      <c r="F18" s="375"/>
      <c r="G18" s="375">
        <v>11308.1</v>
      </c>
      <c r="H18" s="375"/>
      <c r="I18" s="375"/>
      <c r="J18" s="375"/>
      <c r="K18" s="375"/>
      <c r="L18" s="375"/>
      <c r="M18" s="375">
        <v>5491.48</v>
      </c>
      <c r="N18" s="375">
        <v>0</v>
      </c>
      <c r="O18" s="375">
        <v>1904.74</v>
      </c>
      <c r="P18" s="375"/>
      <c r="Q18" s="375"/>
      <c r="R18" s="375"/>
      <c r="S18" s="376"/>
      <c r="T18" s="383"/>
      <c r="U18" s="383">
        <f t="shared" si="6"/>
        <v>18704.320000000003</v>
      </c>
      <c r="V18" s="384">
        <f t="shared" si="6"/>
        <v>0</v>
      </c>
      <c r="W18" s="375">
        <v>5.22</v>
      </c>
      <c r="X18" s="375">
        <v>8246.28</v>
      </c>
      <c r="Y18" s="375">
        <v>7.08</v>
      </c>
      <c r="Z18" s="375">
        <v>13.6</v>
      </c>
      <c r="AA18" s="375">
        <v>4018.86</v>
      </c>
      <c r="AB18" s="375">
        <v>1430.88</v>
      </c>
      <c r="AC18" s="375"/>
      <c r="AD18" s="375"/>
      <c r="AE18" s="376"/>
      <c r="AF18" s="372">
        <f t="shared" si="17"/>
        <v>13721.920000000002</v>
      </c>
      <c r="AG18" s="380">
        <f t="shared" si="16"/>
        <v>14001.927200000002</v>
      </c>
      <c r="AH18" s="357">
        <f t="shared" si="7"/>
        <v>0</v>
      </c>
      <c r="AI18" s="357">
        <f t="shared" si="7"/>
        <v>0</v>
      </c>
      <c r="AJ18" s="358">
        <f>'[4]Т09'!$J$181</f>
        <v>114</v>
      </c>
      <c r="AK18" s="164">
        <f t="shared" si="8"/>
        <v>1432.3930000000003</v>
      </c>
      <c r="AL18" s="164">
        <f t="shared" si="9"/>
        <v>427.58000000000004</v>
      </c>
      <c r="AM18" s="164">
        <f t="shared" si="10"/>
        <v>2137.9</v>
      </c>
      <c r="AN18" s="164">
        <f t="shared" si="11"/>
        <v>448.959</v>
      </c>
      <c r="AO18" s="164">
        <f t="shared" si="12"/>
        <v>4318.558</v>
      </c>
      <c r="AP18" s="164">
        <f t="shared" si="13"/>
        <v>2202.0370000000003</v>
      </c>
      <c r="AQ18" s="164">
        <f t="shared" si="14"/>
        <v>1603.4250000000002</v>
      </c>
      <c r="AR18" s="164">
        <f t="shared" si="15"/>
        <v>1603.4250000000002</v>
      </c>
      <c r="AS18" s="442"/>
      <c r="AT18" s="440">
        <f>0.45*392.7</f>
        <v>176.715</v>
      </c>
      <c r="AU18" s="360">
        <v>35801</v>
      </c>
      <c r="AV18" s="360"/>
      <c r="AW18" s="373">
        <v>5654</v>
      </c>
      <c r="AX18" s="360">
        <f>193.02</f>
        <v>193.02</v>
      </c>
      <c r="AY18" s="360"/>
      <c r="AZ18" s="126"/>
      <c r="BA18" s="359"/>
      <c r="BB18" s="359"/>
      <c r="BC18" s="157">
        <f>SUM(AK18:BB18)</f>
        <v>55999.011999999995</v>
      </c>
      <c r="BD18" s="361">
        <f>'[4]Т08'!$S$181</f>
        <v>28.5</v>
      </c>
      <c r="BE18" s="170">
        <f t="shared" si="2"/>
        <v>56027.511999999995</v>
      </c>
      <c r="BF18" s="170">
        <f t="shared" si="3"/>
        <v>-41911.5848</v>
      </c>
      <c r="BG18" s="170">
        <f t="shared" si="4"/>
        <v>-4982.4000000000015</v>
      </c>
      <c r="BH18" s="170"/>
      <c r="BI18" s="349"/>
      <c r="BJ18" s="75"/>
      <c r="BK18" s="255"/>
      <c r="BL18" s="255"/>
    </row>
    <row r="19" spans="1:62" ht="13.5" thickBot="1">
      <c r="A19" s="338" t="s">
        <v>41</v>
      </c>
      <c r="B19" s="156">
        <v>2137.9</v>
      </c>
      <c r="C19" s="130">
        <f t="shared" si="5"/>
        <v>18279.045000000002</v>
      </c>
      <c r="D19" s="385">
        <v>280.0072</v>
      </c>
      <c r="E19" s="365"/>
      <c r="F19" s="365"/>
      <c r="G19" s="365">
        <v>11101.3</v>
      </c>
      <c r="H19" s="365">
        <v>206.8</v>
      </c>
      <c r="I19" s="365"/>
      <c r="J19" s="365"/>
      <c r="K19" s="365"/>
      <c r="L19" s="365"/>
      <c r="M19" s="365">
        <v>5391.08</v>
      </c>
      <c r="N19" s="365">
        <v>100.4</v>
      </c>
      <c r="O19" s="365">
        <v>1904.74</v>
      </c>
      <c r="P19" s="365"/>
      <c r="Q19" s="365"/>
      <c r="R19" s="365"/>
      <c r="S19" s="371"/>
      <c r="T19" s="386"/>
      <c r="U19" s="387">
        <f t="shared" si="6"/>
        <v>18397.12</v>
      </c>
      <c r="V19" s="388">
        <f t="shared" si="6"/>
        <v>307.20000000000005</v>
      </c>
      <c r="W19" s="365">
        <v>0</v>
      </c>
      <c r="X19" s="365">
        <v>9056.8</v>
      </c>
      <c r="Y19" s="365">
        <v>0</v>
      </c>
      <c r="Z19" s="365">
        <v>0</v>
      </c>
      <c r="AA19" s="365">
        <v>4941.88</v>
      </c>
      <c r="AB19" s="365">
        <v>2404.57</v>
      </c>
      <c r="AC19" s="365"/>
      <c r="AD19" s="365"/>
      <c r="AE19" s="371"/>
      <c r="AF19" s="372">
        <f t="shared" si="17"/>
        <v>16403.25</v>
      </c>
      <c r="AG19" s="380">
        <f t="shared" si="16"/>
        <v>16990.4572</v>
      </c>
      <c r="AH19" s="357">
        <f t="shared" si="7"/>
        <v>0</v>
      </c>
      <c r="AI19" s="357">
        <f t="shared" si="7"/>
        <v>0</v>
      </c>
      <c r="AJ19" s="358">
        <f>'[8]Т10'!$J$181</f>
        <v>114</v>
      </c>
      <c r="AK19" s="164">
        <f t="shared" si="8"/>
        <v>1432.3930000000003</v>
      </c>
      <c r="AL19" s="164">
        <f t="shared" si="9"/>
        <v>427.58000000000004</v>
      </c>
      <c r="AM19" s="164">
        <f t="shared" si="10"/>
        <v>2137.9</v>
      </c>
      <c r="AN19" s="164">
        <f t="shared" si="11"/>
        <v>448.959</v>
      </c>
      <c r="AO19" s="164">
        <f t="shared" si="12"/>
        <v>4318.558</v>
      </c>
      <c r="AP19" s="164">
        <f t="shared" si="13"/>
        <v>2202.0370000000003</v>
      </c>
      <c r="AQ19" s="164">
        <f t="shared" si="14"/>
        <v>1603.4250000000002</v>
      </c>
      <c r="AR19" s="164">
        <f t="shared" si="15"/>
        <v>1603.4250000000002</v>
      </c>
      <c r="AS19" s="389">
        <f>B19*1.15</f>
        <v>2458.585</v>
      </c>
      <c r="AT19" s="440">
        <f>0.45*392.7</f>
        <v>176.715</v>
      </c>
      <c r="AU19" s="360"/>
      <c r="AV19" s="360"/>
      <c r="AW19" s="360">
        <v>1924</v>
      </c>
      <c r="AX19" s="360">
        <f>10.45</f>
        <v>10.45</v>
      </c>
      <c r="AY19" s="360"/>
      <c r="AZ19" s="126"/>
      <c r="BA19" s="359"/>
      <c r="BB19" s="359"/>
      <c r="BC19" s="157">
        <f>SUM(AK19:BB19)</f>
        <v>18744.027</v>
      </c>
      <c r="BD19" s="361">
        <f>'[4]Т10'!$S$181</f>
        <v>28.5</v>
      </c>
      <c r="BE19" s="170">
        <f t="shared" si="2"/>
        <v>18772.527</v>
      </c>
      <c r="BF19" s="170">
        <f t="shared" si="3"/>
        <v>-1668.0697999999975</v>
      </c>
      <c r="BG19" s="170">
        <f t="shared" si="4"/>
        <v>-1993.869999999999</v>
      </c>
      <c r="BH19" s="170"/>
      <c r="BI19" s="349"/>
      <c r="BJ19" s="75"/>
    </row>
    <row r="20" spans="1:62" ht="13.5" thickBot="1">
      <c r="A20" s="338" t="s">
        <v>42</v>
      </c>
      <c r="B20" s="156">
        <v>2137.9</v>
      </c>
      <c r="C20" s="130">
        <f t="shared" si="5"/>
        <v>18279.045000000002</v>
      </c>
      <c r="D20" s="439">
        <v>280.0072</v>
      </c>
      <c r="E20" s="365"/>
      <c r="F20" s="365"/>
      <c r="G20" s="365">
        <v>11204.7</v>
      </c>
      <c r="H20" s="365">
        <v>103.4</v>
      </c>
      <c r="I20" s="365"/>
      <c r="J20" s="365"/>
      <c r="K20" s="365"/>
      <c r="L20" s="365"/>
      <c r="M20" s="365">
        <v>5441.28</v>
      </c>
      <c r="N20" s="365">
        <v>50.2</v>
      </c>
      <c r="O20" s="365">
        <v>1904.74</v>
      </c>
      <c r="P20" s="365"/>
      <c r="Q20" s="365"/>
      <c r="R20" s="365"/>
      <c r="S20" s="371"/>
      <c r="T20" s="386"/>
      <c r="U20" s="387">
        <f t="shared" si="6"/>
        <v>18550.72</v>
      </c>
      <c r="V20" s="388">
        <f t="shared" si="6"/>
        <v>153.60000000000002</v>
      </c>
      <c r="W20" s="365">
        <v>0</v>
      </c>
      <c r="X20" s="365">
        <v>9934.35</v>
      </c>
      <c r="Y20" s="365">
        <v>0</v>
      </c>
      <c r="Z20" s="365">
        <v>0</v>
      </c>
      <c r="AA20" s="365">
        <v>4824.38</v>
      </c>
      <c r="AB20" s="365">
        <v>1673.4</v>
      </c>
      <c r="AC20" s="365"/>
      <c r="AD20" s="365"/>
      <c r="AE20" s="371"/>
      <c r="AF20" s="372">
        <f t="shared" si="17"/>
        <v>16432.13</v>
      </c>
      <c r="AG20" s="380">
        <f t="shared" si="16"/>
        <v>16865.7372</v>
      </c>
      <c r="AH20" s="357">
        <f t="shared" si="7"/>
        <v>0</v>
      </c>
      <c r="AI20" s="357">
        <f t="shared" si="7"/>
        <v>0</v>
      </c>
      <c r="AJ20" s="358">
        <f>'[4]Т11'!$J$181</f>
        <v>114</v>
      </c>
      <c r="AK20" s="164">
        <f t="shared" si="8"/>
        <v>1432.3930000000003</v>
      </c>
      <c r="AL20" s="164">
        <f t="shared" si="9"/>
        <v>427.58000000000004</v>
      </c>
      <c r="AM20" s="164">
        <f t="shared" si="10"/>
        <v>2137.9</v>
      </c>
      <c r="AN20" s="164">
        <f t="shared" si="11"/>
        <v>448.959</v>
      </c>
      <c r="AO20" s="164">
        <f t="shared" si="12"/>
        <v>4318.558</v>
      </c>
      <c r="AP20" s="164">
        <f t="shared" si="13"/>
        <v>2202.0370000000003</v>
      </c>
      <c r="AQ20" s="164">
        <f t="shared" si="14"/>
        <v>1603.4250000000002</v>
      </c>
      <c r="AR20" s="164">
        <f t="shared" si="15"/>
        <v>1603.4250000000002</v>
      </c>
      <c r="AS20" s="389">
        <f>B20*1.15</f>
        <v>2458.585</v>
      </c>
      <c r="AT20" s="440">
        <f>0.45*392.7</f>
        <v>176.715</v>
      </c>
      <c r="AU20" s="360"/>
      <c r="AV20" s="360"/>
      <c r="AW20" s="360"/>
      <c r="AX20" s="360"/>
      <c r="AY20" s="360"/>
      <c r="AZ20" s="126"/>
      <c r="BA20" s="359"/>
      <c r="BB20" s="359"/>
      <c r="BC20" s="157">
        <f>SUM(AK20:BB20)</f>
        <v>16809.576999999997</v>
      </c>
      <c r="BD20" s="361">
        <f>'[4]Т11'!$S$181</f>
        <v>28.5</v>
      </c>
      <c r="BE20" s="170">
        <f t="shared" si="2"/>
        <v>16838.076999999997</v>
      </c>
      <c r="BF20" s="170">
        <f t="shared" si="3"/>
        <v>141.66020000000208</v>
      </c>
      <c r="BG20" s="170">
        <f t="shared" si="4"/>
        <v>-2118.59</v>
      </c>
      <c r="BH20" s="170"/>
      <c r="BI20" s="349"/>
      <c r="BJ20" s="75"/>
    </row>
    <row r="21" spans="1:62" ht="13.5" thickBot="1">
      <c r="A21" s="338" t="s">
        <v>43</v>
      </c>
      <c r="B21" s="156">
        <v>2137.9</v>
      </c>
      <c r="C21" s="130">
        <f t="shared" si="5"/>
        <v>18279.045000000002</v>
      </c>
      <c r="D21" s="439">
        <v>280.0072</v>
      </c>
      <c r="E21" s="390"/>
      <c r="F21" s="390"/>
      <c r="G21" s="390">
        <v>11201.73</v>
      </c>
      <c r="H21" s="390">
        <v>103.4</v>
      </c>
      <c r="I21" s="390"/>
      <c r="J21" s="390"/>
      <c r="K21" s="390"/>
      <c r="L21" s="390"/>
      <c r="M21" s="390">
        <v>5439.81</v>
      </c>
      <c r="N21" s="390">
        <v>50.2</v>
      </c>
      <c r="O21" s="390">
        <v>1904.22</v>
      </c>
      <c r="P21" s="390"/>
      <c r="Q21" s="390"/>
      <c r="R21" s="390"/>
      <c r="S21" s="391"/>
      <c r="T21" s="392"/>
      <c r="U21" s="387">
        <f t="shared" si="6"/>
        <v>18545.760000000002</v>
      </c>
      <c r="V21" s="388">
        <f t="shared" si="6"/>
        <v>153.60000000000002</v>
      </c>
      <c r="W21" s="365">
        <v>0</v>
      </c>
      <c r="X21" s="365">
        <v>15396.58</v>
      </c>
      <c r="Y21" s="365">
        <v>0</v>
      </c>
      <c r="Z21" s="365">
        <v>0</v>
      </c>
      <c r="AA21" s="365">
        <v>7529.15</v>
      </c>
      <c r="AB21" s="365">
        <v>2678.03</v>
      </c>
      <c r="AC21" s="365"/>
      <c r="AD21" s="365"/>
      <c r="AE21" s="371"/>
      <c r="AF21" s="372">
        <f t="shared" si="17"/>
        <v>25603.76</v>
      </c>
      <c r="AG21" s="380">
        <f t="shared" si="16"/>
        <v>26037.367199999997</v>
      </c>
      <c r="AH21" s="357">
        <f t="shared" si="7"/>
        <v>0</v>
      </c>
      <c r="AI21" s="357">
        <f t="shared" si="7"/>
        <v>0</v>
      </c>
      <c r="AJ21" s="358">
        <f>'[4]Т12'!$J$205</f>
        <v>114</v>
      </c>
      <c r="AK21" s="164">
        <f t="shared" si="8"/>
        <v>1432.3930000000003</v>
      </c>
      <c r="AL21" s="164">
        <f t="shared" si="9"/>
        <v>427.58000000000004</v>
      </c>
      <c r="AM21" s="164">
        <f t="shared" si="10"/>
        <v>2137.9</v>
      </c>
      <c r="AN21" s="164">
        <f t="shared" si="11"/>
        <v>448.959</v>
      </c>
      <c r="AO21" s="164">
        <f t="shared" si="12"/>
        <v>4318.558</v>
      </c>
      <c r="AP21" s="164">
        <f t="shared" si="13"/>
        <v>2202.0370000000003</v>
      </c>
      <c r="AQ21" s="164">
        <f t="shared" si="14"/>
        <v>1603.4250000000002</v>
      </c>
      <c r="AR21" s="164">
        <f t="shared" si="15"/>
        <v>1603.4250000000002</v>
      </c>
      <c r="AS21" s="389">
        <f>B21*1.15</f>
        <v>2458.585</v>
      </c>
      <c r="AT21" s="440">
        <f>0.45*392.7</f>
        <v>176.715</v>
      </c>
      <c r="AU21" s="360"/>
      <c r="AV21" s="360">
        <v>211</v>
      </c>
      <c r="AW21" s="360"/>
      <c r="AX21" s="360">
        <f>1200</f>
        <v>1200</v>
      </c>
      <c r="AY21" s="360"/>
      <c r="AZ21" s="126"/>
      <c r="BA21" s="359"/>
      <c r="BB21" s="359"/>
      <c r="BC21" s="157">
        <f>SUM(AK21:BB21)</f>
        <v>18220.576999999997</v>
      </c>
      <c r="BD21" s="361">
        <f>'[4]Т12'!$S$205</f>
        <v>28.5</v>
      </c>
      <c r="BE21" s="170">
        <f t="shared" si="2"/>
        <v>18249.076999999997</v>
      </c>
      <c r="BF21" s="170">
        <f t="shared" si="3"/>
        <v>7902.2901999999995</v>
      </c>
      <c r="BG21" s="170">
        <f t="shared" si="4"/>
        <v>7057.999999999996</v>
      </c>
      <c r="BH21" s="170"/>
      <c r="BI21" s="349"/>
      <c r="BJ21" s="75"/>
    </row>
    <row r="22" spans="1:61" s="28" customFormat="1" ht="13.5" thickBot="1">
      <c r="A22" s="393" t="s">
        <v>5</v>
      </c>
      <c r="B22" s="394"/>
      <c r="C22" s="395">
        <f aca="true" t="shared" si="18" ref="C22:BF22">SUM(C10:C21)</f>
        <v>219348.54000000007</v>
      </c>
      <c r="D22" s="395">
        <f t="shared" si="18"/>
        <v>3360.0864</v>
      </c>
      <c r="E22" s="395">
        <f t="shared" si="18"/>
        <v>-1.23</v>
      </c>
      <c r="F22" s="395">
        <f t="shared" si="18"/>
        <v>0</v>
      </c>
      <c r="G22" s="395">
        <f t="shared" si="18"/>
        <v>132698.11000000002</v>
      </c>
      <c r="H22" s="395">
        <f t="shared" si="18"/>
        <v>1034</v>
      </c>
      <c r="I22" s="395">
        <f t="shared" si="18"/>
        <v>-1.66</v>
      </c>
      <c r="J22" s="395">
        <f t="shared" si="18"/>
        <v>0</v>
      </c>
      <c r="K22" s="395">
        <f t="shared" si="18"/>
        <v>-2.77</v>
      </c>
      <c r="L22" s="395">
        <f t="shared" si="18"/>
        <v>0</v>
      </c>
      <c r="M22" s="395">
        <f t="shared" si="18"/>
        <v>64436.92</v>
      </c>
      <c r="N22" s="395">
        <f t="shared" si="18"/>
        <v>502</v>
      </c>
      <c r="O22" s="395">
        <f t="shared" si="18"/>
        <v>22559.47000000001</v>
      </c>
      <c r="P22" s="395">
        <f t="shared" si="18"/>
        <v>0</v>
      </c>
      <c r="Q22" s="395">
        <f t="shared" si="18"/>
        <v>0</v>
      </c>
      <c r="R22" s="395">
        <f t="shared" si="18"/>
        <v>0</v>
      </c>
      <c r="S22" s="395">
        <f t="shared" si="18"/>
        <v>0</v>
      </c>
      <c r="T22" s="395">
        <f t="shared" si="18"/>
        <v>0</v>
      </c>
      <c r="U22" s="395">
        <f t="shared" si="18"/>
        <v>219688.84000000003</v>
      </c>
      <c r="V22" s="395">
        <f t="shared" si="18"/>
        <v>1536</v>
      </c>
      <c r="W22" s="395">
        <f t="shared" si="18"/>
        <v>3173.96</v>
      </c>
      <c r="X22" s="395">
        <f t="shared" si="18"/>
        <v>103471.16000000002</v>
      </c>
      <c r="Y22" s="395">
        <f t="shared" si="18"/>
        <v>4298.21</v>
      </c>
      <c r="Z22" s="395">
        <f t="shared" si="18"/>
        <v>7154.920000000002</v>
      </c>
      <c r="AA22" s="395">
        <f t="shared" si="18"/>
        <v>60902.77</v>
      </c>
      <c r="AB22" s="395">
        <f t="shared" si="18"/>
        <v>21028.899999999998</v>
      </c>
      <c r="AC22" s="395">
        <f t="shared" si="18"/>
        <v>0</v>
      </c>
      <c r="AD22" s="395">
        <f t="shared" si="18"/>
        <v>0</v>
      </c>
      <c r="AE22" s="395">
        <f t="shared" si="18"/>
        <v>0</v>
      </c>
      <c r="AF22" s="395">
        <f t="shared" si="18"/>
        <v>200029.92</v>
      </c>
      <c r="AG22" s="395">
        <f t="shared" si="18"/>
        <v>204926.0064</v>
      </c>
      <c r="AH22" s="395">
        <f t="shared" si="18"/>
        <v>0</v>
      </c>
      <c r="AI22" s="395">
        <f t="shared" si="18"/>
        <v>0</v>
      </c>
      <c r="AJ22" s="395">
        <f t="shared" si="18"/>
        <v>1368</v>
      </c>
      <c r="AK22" s="395">
        <f t="shared" si="18"/>
        <v>17188.716000000004</v>
      </c>
      <c r="AL22" s="395">
        <f t="shared" si="18"/>
        <v>5130.96</v>
      </c>
      <c r="AM22" s="395">
        <f t="shared" si="18"/>
        <v>25654.800000000007</v>
      </c>
      <c r="AN22" s="395">
        <f t="shared" si="18"/>
        <v>5387.507999999999</v>
      </c>
      <c r="AO22" s="395">
        <f t="shared" si="18"/>
        <v>51822.69599999999</v>
      </c>
      <c r="AP22" s="395">
        <f t="shared" si="18"/>
        <v>26424.444000000003</v>
      </c>
      <c r="AQ22" s="395">
        <f t="shared" si="18"/>
        <v>19241.1</v>
      </c>
      <c r="AR22" s="395">
        <f t="shared" si="18"/>
        <v>19241.1</v>
      </c>
      <c r="AS22" s="395">
        <f t="shared" si="18"/>
        <v>14751.509999999998</v>
      </c>
      <c r="AT22" s="395">
        <f t="shared" si="18"/>
        <v>2120.5799999999995</v>
      </c>
      <c r="AU22" s="395">
        <f t="shared" si="18"/>
        <v>58642</v>
      </c>
      <c r="AV22" s="395">
        <f t="shared" si="18"/>
        <v>1263</v>
      </c>
      <c r="AW22" s="395">
        <f t="shared" si="18"/>
        <v>8445</v>
      </c>
      <c r="AX22" s="395">
        <f t="shared" si="18"/>
        <v>4618.379999999999</v>
      </c>
      <c r="AY22" s="395">
        <f t="shared" si="18"/>
        <v>0</v>
      </c>
      <c r="AZ22" s="395">
        <f t="shared" si="18"/>
        <v>0</v>
      </c>
      <c r="BA22" s="395">
        <f t="shared" si="18"/>
        <v>1328.6</v>
      </c>
      <c r="BB22" s="395">
        <f t="shared" si="18"/>
        <v>0</v>
      </c>
      <c r="BC22" s="395">
        <f t="shared" si="18"/>
        <v>261260.39399999997</v>
      </c>
      <c r="BD22" s="395">
        <f t="shared" si="18"/>
        <v>342</v>
      </c>
      <c r="BE22" s="395">
        <f t="shared" si="18"/>
        <v>261602.39399999997</v>
      </c>
      <c r="BF22" s="395">
        <f t="shared" si="18"/>
        <v>-55308.38759999997</v>
      </c>
      <c r="BG22" s="395">
        <f>SUM(BG10:BG21)</f>
        <v>-19658.920000000013</v>
      </c>
      <c r="BH22" s="64"/>
      <c r="BI22" s="64"/>
    </row>
    <row r="23" spans="1:61" s="28" customFormat="1" ht="13.5" thickBot="1">
      <c r="A23" s="396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8"/>
      <c r="BF23" s="397"/>
      <c r="BG23" s="399"/>
      <c r="BI23" s="64"/>
    </row>
    <row r="24" spans="1:59" s="28" customFormat="1" ht="13.5" thickBot="1">
      <c r="A24" s="33" t="s">
        <v>54</v>
      </c>
      <c r="B24" s="397"/>
      <c r="C24" s="400">
        <f aca="true" t="shared" si="19" ref="C24:AD24">C22+C8</f>
        <v>719721.63</v>
      </c>
      <c r="D24" s="400">
        <f t="shared" si="19"/>
        <v>60942.71361840001</v>
      </c>
      <c r="E24" s="400">
        <f t="shared" si="19"/>
        <v>43345.829999999994</v>
      </c>
      <c r="F24" s="400">
        <f t="shared" si="19"/>
        <v>8048</v>
      </c>
      <c r="G24" s="400">
        <f t="shared" si="19"/>
        <v>132698.11000000002</v>
      </c>
      <c r="H24" s="400">
        <f t="shared" si="19"/>
        <v>1034</v>
      </c>
      <c r="I24" s="400">
        <f t="shared" si="19"/>
        <v>58647.22</v>
      </c>
      <c r="J24" s="400">
        <f t="shared" si="19"/>
        <v>10895.560000000001</v>
      </c>
      <c r="K24" s="400">
        <f t="shared" si="19"/>
        <v>97658.36</v>
      </c>
      <c r="L24" s="400">
        <f t="shared" si="19"/>
        <v>18138.65</v>
      </c>
      <c r="M24" s="400">
        <f t="shared" si="19"/>
        <v>205093.76</v>
      </c>
      <c r="N24" s="400">
        <f t="shared" si="19"/>
        <v>26688.44</v>
      </c>
      <c r="O24" s="400">
        <f t="shared" si="19"/>
        <v>57237.23</v>
      </c>
      <c r="P24" s="400">
        <f t="shared" si="19"/>
        <v>6438.17</v>
      </c>
      <c r="Q24" s="400">
        <f t="shared" si="19"/>
        <v>0</v>
      </c>
      <c r="R24" s="400">
        <f t="shared" si="19"/>
        <v>0</v>
      </c>
      <c r="S24" s="400">
        <f t="shared" si="19"/>
        <v>0</v>
      </c>
      <c r="T24" s="400">
        <f t="shared" si="19"/>
        <v>0</v>
      </c>
      <c r="U24" s="400">
        <f t="shared" si="19"/>
        <v>594680.51</v>
      </c>
      <c r="V24" s="400">
        <f t="shared" si="19"/>
        <v>71242.82</v>
      </c>
      <c r="W24" s="400">
        <f t="shared" si="19"/>
        <v>41542.939999999995</v>
      </c>
      <c r="X24" s="400">
        <f t="shared" si="19"/>
        <v>103471.16000000002</v>
      </c>
      <c r="Y24" s="400">
        <f t="shared" si="19"/>
        <v>56201.96</v>
      </c>
      <c r="Z24" s="400">
        <f t="shared" si="19"/>
        <v>93591.18000000001</v>
      </c>
      <c r="AA24" s="400">
        <f t="shared" si="19"/>
        <v>185626.97</v>
      </c>
      <c r="AB24" s="400">
        <f t="shared" si="19"/>
        <v>51724.78</v>
      </c>
      <c r="AC24" s="400">
        <f t="shared" si="19"/>
        <v>0</v>
      </c>
      <c r="AD24" s="400">
        <f t="shared" si="19"/>
        <v>0</v>
      </c>
      <c r="AE24" s="400">
        <f>AE22+AF8</f>
        <v>332129.06999999995</v>
      </c>
      <c r="AF24" s="400" t="e">
        <f>AF22+#REF!</f>
        <v>#REF!</v>
      </c>
      <c r="AG24" s="400">
        <f aca="true" t="shared" si="20" ref="AG24:BG24">AG22+AG8</f>
        <v>664344.5236184001</v>
      </c>
      <c r="AH24" s="400">
        <f t="shared" si="20"/>
        <v>0</v>
      </c>
      <c r="AI24" s="400">
        <f t="shared" si="20"/>
        <v>0</v>
      </c>
      <c r="AJ24" s="400">
        <f t="shared" si="20"/>
        <v>1368</v>
      </c>
      <c r="AK24" s="400">
        <f t="shared" si="20"/>
        <v>51381.732</v>
      </c>
      <c r="AL24" s="400">
        <f t="shared" si="20"/>
        <v>16588.516688</v>
      </c>
      <c r="AM24" s="400">
        <f t="shared" si="20"/>
        <v>82416.20734296001</v>
      </c>
      <c r="AN24" s="400">
        <f t="shared" si="20"/>
        <v>5387.507999999999</v>
      </c>
      <c r="AO24" s="400">
        <f t="shared" si="20"/>
        <v>108439.33465840318</v>
      </c>
      <c r="AP24" s="400">
        <f t="shared" si="20"/>
        <v>153074.65104888962</v>
      </c>
      <c r="AQ24" s="400">
        <f t="shared" si="20"/>
        <v>19241.1</v>
      </c>
      <c r="AR24" s="400">
        <f t="shared" si="20"/>
        <v>19241.1</v>
      </c>
      <c r="AS24" s="400">
        <f t="shared" si="20"/>
        <v>14751.509999999998</v>
      </c>
      <c r="AT24" s="400">
        <f t="shared" si="20"/>
        <v>4241.16</v>
      </c>
      <c r="AU24" s="400">
        <f t="shared" si="20"/>
        <v>115766.8312</v>
      </c>
      <c r="AV24" s="400">
        <f t="shared" si="20"/>
        <v>1263</v>
      </c>
      <c r="AW24" s="400">
        <f t="shared" si="20"/>
        <v>76385.86</v>
      </c>
      <c r="AX24" s="400">
        <f t="shared" si="20"/>
        <v>11802.3616</v>
      </c>
      <c r="AY24" s="400">
        <f t="shared" si="20"/>
        <v>25046.369599999998</v>
      </c>
      <c r="AZ24" s="400">
        <f t="shared" si="20"/>
        <v>0</v>
      </c>
      <c r="BA24" s="400">
        <f t="shared" si="20"/>
        <v>1328.6</v>
      </c>
      <c r="BB24" s="400">
        <f t="shared" si="20"/>
        <v>0</v>
      </c>
      <c r="BC24" s="400">
        <f t="shared" si="20"/>
        <v>706355.8421382528</v>
      </c>
      <c r="BD24" s="401">
        <f t="shared" si="20"/>
        <v>454.5</v>
      </c>
      <c r="BE24" s="401">
        <f t="shared" si="20"/>
        <v>706810.3421382528</v>
      </c>
      <c r="BF24" s="401">
        <f t="shared" si="20"/>
        <v>-40647.81851985275</v>
      </c>
      <c r="BG24" s="401">
        <f t="shared" si="20"/>
        <v>-62521.52000000002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6">
      <selection activeCell="M30" sqref="M30:M41"/>
    </sheetView>
  </sheetViews>
  <sheetFormatPr defaultColWidth="9.00390625" defaultRowHeight="12.75"/>
  <cols>
    <col min="1" max="1" width="9.125" style="256" customWidth="1"/>
    <col min="2" max="2" width="10.00390625" style="256" customWidth="1"/>
    <col min="3" max="3" width="11.75390625" style="256" customWidth="1"/>
    <col min="4" max="4" width="10.75390625" style="256" customWidth="1"/>
    <col min="5" max="5" width="11.375" style="256" customWidth="1"/>
    <col min="6" max="6" width="9.875" style="256" customWidth="1"/>
    <col min="7" max="8" width="11.375" style="256" customWidth="1"/>
    <col min="9" max="9" width="8.375" style="256" customWidth="1"/>
    <col min="10" max="10" width="9.875" style="256" customWidth="1"/>
    <col min="11" max="11" width="9.00390625" style="256" customWidth="1"/>
    <col min="12" max="12" width="11.375" style="256" customWidth="1"/>
    <col min="13" max="13" width="10.125" style="256" customWidth="1"/>
    <col min="14" max="14" width="8.25390625" style="256" customWidth="1"/>
    <col min="15" max="15" width="11.75390625" style="256" customWidth="1"/>
    <col min="16" max="16" width="10.625" style="256" customWidth="1"/>
    <col min="17" max="17" width="9.75390625" style="256" customWidth="1"/>
    <col min="18" max="16384" width="9.125" style="256" customWidth="1"/>
  </cols>
  <sheetData>
    <row r="1" spans="2:9" ht="20.25" customHeight="1">
      <c r="B1" s="402" t="s">
        <v>55</v>
      </c>
      <c r="C1" s="402"/>
      <c r="D1" s="402"/>
      <c r="E1" s="402"/>
      <c r="F1" s="402"/>
      <c r="G1" s="402"/>
      <c r="H1" s="402"/>
      <c r="I1" s="35"/>
    </row>
    <row r="2" spans="2:9" ht="21" customHeight="1">
      <c r="B2" s="402" t="s">
        <v>56</v>
      </c>
      <c r="C2" s="402"/>
      <c r="D2" s="402"/>
      <c r="E2" s="402"/>
      <c r="F2" s="402"/>
      <c r="G2" s="402"/>
      <c r="H2" s="402"/>
      <c r="I2" s="35"/>
    </row>
    <row r="5" spans="1:16" ht="12.75">
      <c r="A5" s="236" t="s">
        <v>126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12.75">
      <c r="A6" s="223" t="s">
        <v>117</v>
      </c>
      <c r="B6" s="223"/>
      <c r="C6" s="223"/>
      <c r="D6" s="223"/>
      <c r="E6" s="223"/>
      <c r="F6" s="223"/>
      <c r="G6" s="223"/>
      <c r="H6" s="109"/>
      <c r="I6" s="109"/>
      <c r="J6" s="109"/>
      <c r="K6" s="109"/>
      <c r="L6" s="109"/>
      <c r="M6" s="109"/>
      <c r="N6" s="109"/>
      <c r="O6" s="109"/>
      <c r="P6" s="109"/>
    </row>
    <row r="7" spans="1:6" ht="13.5" thickBot="1">
      <c r="A7" s="403" t="s">
        <v>57</v>
      </c>
      <c r="B7" s="403"/>
      <c r="C7" s="403"/>
      <c r="D7" s="403"/>
      <c r="E7" s="403">
        <v>8.55</v>
      </c>
      <c r="F7" s="403"/>
    </row>
    <row r="8" spans="1:17" ht="12.75" customHeight="1">
      <c r="A8" s="208" t="s">
        <v>58</v>
      </c>
      <c r="B8" s="238" t="s">
        <v>1</v>
      </c>
      <c r="C8" s="241" t="s">
        <v>59</v>
      </c>
      <c r="D8" s="244" t="s">
        <v>3</v>
      </c>
      <c r="E8" s="247" t="s">
        <v>60</v>
      </c>
      <c r="F8" s="248"/>
      <c r="G8" s="404" t="s">
        <v>118</v>
      </c>
      <c r="H8" s="405"/>
      <c r="I8" s="406" t="s">
        <v>119</v>
      </c>
      <c r="J8" s="407" t="s">
        <v>10</v>
      </c>
      <c r="K8" s="408"/>
      <c r="L8" s="408"/>
      <c r="M8" s="408"/>
      <c r="N8" s="408"/>
      <c r="O8" s="409"/>
      <c r="P8" s="220" t="s">
        <v>61</v>
      </c>
      <c r="Q8" s="220" t="s">
        <v>12</v>
      </c>
    </row>
    <row r="9" spans="1:17" ht="12.75">
      <c r="A9" s="209"/>
      <c r="B9" s="239"/>
      <c r="C9" s="242"/>
      <c r="D9" s="245"/>
      <c r="E9" s="249"/>
      <c r="F9" s="250"/>
      <c r="G9" s="410"/>
      <c r="H9" s="411"/>
      <c r="I9" s="412"/>
      <c r="J9" s="413"/>
      <c r="K9" s="414"/>
      <c r="L9" s="414"/>
      <c r="M9" s="414"/>
      <c r="N9" s="414"/>
      <c r="O9" s="415"/>
      <c r="P9" s="221"/>
      <c r="Q9" s="221"/>
    </row>
    <row r="10" spans="1:17" ht="26.25" customHeight="1">
      <c r="A10" s="209"/>
      <c r="B10" s="239"/>
      <c r="C10" s="242"/>
      <c r="D10" s="245"/>
      <c r="E10" s="228" t="s">
        <v>62</v>
      </c>
      <c r="F10" s="229"/>
      <c r="G10" s="416" t="s">
        <v>63</v>
      </c>
      <c r="H10" s="234" t="s">
        <v>7</v>
      </c>
      <c r="I10" s="412"/>
      <c r="J10" s="232" t="s">
        <v>64</v>
      </c>
      <c r="K10" s="215" t="s">
        <v>120</v>
      </c>
      <c r="L10" s="215" t="s">
        <v>65</v>
      </c>
      <c r="M10" s="215" t="s">
        <v>37</v>
      </c>
      <c r="N10" s="234" t="s">
        <v>121</v>
      </c>
      <c r="O10" s="234" t="s">
        <v>39</v>
      </c>
      <c r="P10" s="221"/>
      <c r="Q10" s="221"/>
    </row>
    <row r="11" spans="1:17" ht="66.75" customHeight="1" thickBot="1">
      <c r="A11" s="237"/>
      <c r="B11" s="240"/>
      <c r="C11" s="243"/>
      <c r="D11" s="246"/>
      <c r="E11" s="40" t="s">
        <v>67</v>
      </c>
      <c r="F11" s="41" t="s">
        <v>21</v>
      </c>
      <c r="G11" s="155" t="s">
        <v>122</v>
      </c>
      <c r="H11" s="235"/>
      <c r="I11" s="417"/>
      <c r="J11" s="233"/>
      <c r="K11" s="216"/>
      <c r="L11" s="216"/>
      <c r="M11" s="216"/>
      <c r="N11" s="235"/>
      <c r="O11" s="235"/>
      <c r="P11" s="222"/>
      <c r="Q11" s="222"/>
    </row>
    <row r="12" spans="1:17" ht="13.5" thickBot="1">
      <c r="A12" s="43">
        <v>1</v>
      </c>
      <c r="B12" s="44">
        <v>2</v>
      </c>
      <c r="C12" s="43">
        <v>3</v>
      </c>
      <c r="D12" s="44">
        <v>4</v>
      </c>
      <c r="E12" s="43">
        <v>5</v>
      </c>
      <c r="F12" s="44">
        <v>6</v>
      </c>
      <c r="G12" s="43">
        <v>7</v>
      </c>
      <c r="H12" s="44">
        <v>8</v>
      </c>
      <c r="I12" s="44">
        <v>9</v>
      </c>
      <c r="J12" s="43">
        <v>10</v>
      </c>
      <c r="K12" s="44">
        <v>11</v>
      </c>
      <c r="L12" s="44">
        <v>12</v>
      </c>
      <c r="M12" s="43">
        <v>13</v>
      </c>
      <c r="N12" s="44">
        <v>14</v>
      </c>
      <c r="O12" s="44">
        <v>14</v>
      </c>
      <c r="P12" s="44">
        <v>15</v>
      </c>
      <c r="Q12" s="43">
        <v>16</v>
      </c>
    </row>
    <row r="13" spans="1:19" ht="13.5" hidden="1" thickBot="1">
      <c r="A13" s="8" t="s">
        <v>44</v>
      </c>
      <c r="B13" s="418"/>
      <c r="C13" s="65"/>
      <c r="D13" s="66"/>
      <c r="E13" s="419"/>
      <c r="F13" s="420"/>
      <c r="G13" s="421"/>
      <c r="H13" s="420"/>
      <c r="I13" s="422"/>
      <c r="J13" s="421"/>
      <c r="K13" s="423"/>
      <c r="L13" s="423"/>
      <c r="M13" s="424"/>
      <c r="N13" s="425"/>
      <c r="O13" s="426"/>
      <c r="P13" s="427"/>
      <c r="Q13" s="427"/>
      <c r="R13" s="255"/>
      <c r="S13" s="255"/>
    </row>
    <row r="14" spans="1:19" ht="13.5" hidden="1" thickBot="1">
      <c r="A14" s="338" t="s">
        <v>45</v>
      </c>
      <c r="B14" s="428">
        <f>'[6]Лист1'!B8</f>
        <v>0</v>
      </c>
      <c r="C14" s="49">
        <f aca="true" t="shared" si="0" ref="C14:C25">B14*8.65</f>
        <v>0</v>
      </c>
      <c r="D14" s="50">
        <f>'[6]Лист1'!D8</f>
        <v>0</v>
      </c>
      <c r="E14" s="423">
        <f>'[6]Лист1'!S8</f>
        <v>0</v>
      </c>
      <c r="F14" s="425">
        <f>'[6]Лист1'!T8</f>
        <v>0</v>
      </c>
      <c r="G14" s="429">
        <f>'[6]Лист1'!AB8</f>
        <v>0</v>
      </c>
      <c r="H14" s="425">
        <f>'[6]Лист1'!AC8</f>
        <v>0</v>
      </c>
      <c r="I14" s="430"/>
      <c r="J14" s="429">
        <f>'[6]Лист1'!AG8</f>
        <v>0</v>
      </c>
      <c r="K14" s="423">
        <f>'[6]Лист1'!AI8+'[6]Лист1'!AJ8</f>
        <v>0</v>
      </c>
      <c r="L14" s="423">
        <f>'[6]Лист1'!AH8+'[6]Лист1'!AK8+'[6]Лист1'!AL8+'[6]Лист1'!AM8+'[6]Лист1'!AN8+'[6]Лист1'!AO8+'[6]Лист1'!AP8+'[6]Лист1'!AQ8+'[6]Лист1'!AR8</f>
        <v>0</v>
      </c>
      <c r="M14" s="424">
        <f>'[6]Лист1'!AS8+'[6]Лист1'!AT8+'[6]Лист1'!AU8+'[6]Лист1'!AZ8+'[6]Лист1'!BA8</f>
        <v>0</v>
      </c>
      <c r="N14" s="425">
        <f>'[6]Лист1'!BB8</f>
        <v>0</v>
      </c>
      <c r="O14" s="426"/>
      <c r="P14" s="427">
        <f>'[6]Лист1'!BD8</f>
        <v>0</v>
      </c>
      <c r="Q14" s="427">
        <f>'[6]Лист1'!BE8</f>
        <v>0</v>
      </c>
      <c r="R14" s="255"/>
      <c r="S14" s="255"/>
    </row>
    <row r="15" spans="1:19" ht="13.5" hidden="1" thickBot="1">
      <c r="A15" s="338" t="s">
        <v>46</v>
      </c>
      <c r="B15" s="428">
        <f>'[6]Лист1'!B9</f>
        <v>347</v>
      </c>
      <c r="C15" s="49">
        <f t="shared" si="0"/>
        <v>3001.55</v>
      </c>
      <c r="D15" s="50">
        <f>'[6]Лист1'!D9</f>
        <v>375.19375</v>
      </c>
      <c r="E15" s="423">
        <f>'[6]Лист1'!S9</f>
        <v>1402.63</v>
      </c>
      <c r="F15" s="425">
        <f>'[6]Лист1'!T9</f>
        <v>770.85</v>
      </c>
      <c r="G15" s="429">
        <f>'[6]Лист1'!AB9</f>
        <v>1205.52</v>
      </c>
      <c r="H15" s="425">
        <f>'[6]Лист1'!AC9</f>
        <v>2351.5637500000003</v>
      </c>
      <c r="I15" s="430"/>
      <c r="J15" s="429">
        <f>'[6]Лист1'!AG9</f>
        <v>187.38</v>
      </c>
      <c r="K15" s="423">
        <f>'[6]Лист1'!AI9+'[6]Лист1'!AJ9</f>
        <v>301.727947</v>
      </c>
      <c r="L15" s="423">
        <f>'[6]Лист1'!AH9+'[6]Лист1'!AK9+'[6]Лист1'!AL9+'[6]Лист1'!AM9+'[6]Лист1'!AN9+'[6]Лист1'!AO9+'[6]Лист1'!AP9+'[6]Лист1'!AQ9+'[6]Лист1'!AR9</f>
        <v>1036.33545944</v>
      </c>
      <c r="M15" s="424">
        <f>'[6]Лист1'!AS9+'[6]Лист1'!AT9+'[6]Лист1'!AU9+'[6]Лист1'!AZ9+'[6]Лист1'!BA9</f>
        <v>0</v>
      </c>
      <c r="N15" s="425">
        <f>'[6]Лист1'!BB9</f>
        <v>1525.4434064399998</v>
      </c>
      <c r="O15" s="426"/>
      <c r="P15" s="427">
        <f>'[6]Лист1'!BD9</f>
        <v>826.1203435600005</v>
      </c>
      <c r="Q15" s="427">
        <f>'[6]Лист1'!BE9</f>
        <v>-197.11000000000013</v>
      </c>
      <c r="R15" s="255"/>
      <c r="S15" s="255"/>
    </row>
    <row r="16" spans="1:19" ht="13.5" hidden="1" thickBot="1">
      <c r="A16" s="338" t="s">
        <v>47</v>
      </c>
      <c r="B16" s="428">
        <f>'[6]Лист1'!B10</f>
        <v>347</v>
      </c>
      <c r="C16" s="49">
        <f t="shared" si="0"/>
        <v>3001.55</v>
      </c>
      <c r="D16" s="50">
        <f>'[6]Лист1'!D10</f>
        <v>375.19375</v>
      </c>
      <c r="E16" s="423">
        <f>'[6]Лист1'!S10</f>
        <v>1402.63</v>
      </c>
      <c r="F16" s="425">
        <f>'[6]Лист1'!T10</f>
        <v>770.85</v>
      </c>
      <c r="G16" s="429">
        <f>'[6]Лист1'!AB10</f>
        <v>1141.3000000000002</v>
      </c>
      <c r="H16" s="425">
        <f>'[6]Лист1'!AC10</f>
        <v>2287.34375</v>
      </c>
      <c r="I16" s="430"/>
      <c r="J16" s="429">
        <f>'[6]Лист1'!AG10</f>
        <v>187.38</v>
      </c>
      <c r="K16" s="423">
        <f>'[6]Лист1'!AI10+'[6]Лист1'!AJ10</f>
        <v>301.403506</v>
      </c>
      <c r="L16" s="423">
        <f>'[6]Лист1'!AH10+'[6]Лист1'!AK10+'[6]Лист1'!AL10+'[6]Лист1'!AM10+'[6]Лист1'!AN10+'[6]Лист1'!AO10+'[6]Лист1'!AP10+'[6]Лист1'!AQ10+'[6]Лист1'!AR10</f>
        <v>1037.8314805399998</v>
      </c>
      <c r="M16" s="424">
        <f>'[6]Лист1'!AS10+'[6]Лист1'!AT10+'[6]Лист1'!AU10+'[6]Лист1'!AZ10+'[6]Лист1'!BA10</f>
        <v>1569.4</v>
      </c>
      <c r="N16" s="425">
        <f>'[6]Лист1'!BB10</f>
        <v>3096.0149865399994</v>
      </c>
      <c r="O16" s="426"/>
      <c r="P16" s="427">
        <f>'[6]Лист1'!BD10</f>
        <v>-808.6712365399994</v>
      </c>
      <c r="Q16" s="427">
        <f>'[6]Лист1'!BE10</f>
        <v>-261.3299999999999</v>
      </c>
      <c r="R16" s="255"/>
      <c r="S16" s="255"/>
    </row>
    <row r="17" spans="1:19" ht="13.5" hidden="1" thickBot="1">
      <c r="A17" s="338" t="s">
        <v>48</v>
      </c>
      <c r="B17" s="428">
        <f>'[6]Лист1'!B11</f>
        <v>347</v>
      </c>
      <c r="C17" s="49">
        <f t="shared" si="0"/>
        <v>3001.55</v>
      </c>
      <c r="D17" s="50">
        <f>'[6]Лист1'!D11</f>
        <v>375.19375</v>
      </c>
      <c r="E17" s="423">
        <f>'[6]Лист1'!S11</f>
        <v>1402.63</v>
      </c>
      <c r="F17" s="425">
        <f>'[6]Лист1'!T11</f>
        <v>770.85</v>
      </c>
      <c r="G17" s="429">
        <f>'[6]Лист1'!AB11</f>
        <v>1864.7600000000002</v>
      </c>
      <c r="H17" s="425">
        <f>'[6]Лист1'!AC11</f>
        <v>3010.80375</v>
      </c>
      <c r="I17" s="430"/>
      <c r="J17" s="429">
        <f>'[6]Лист1'!AG11</f>
        <v>187.38</v>
      </c>
      <c r="K17" s="423">
        <f>'[6]Лист1'!AI11+'[6]Лист1'!AJ11</f>
        <v>301.9373675</v>
      </c>
      <c r="L17" s="423">
        <f>'[6]Лист1'!AH11+'[6]Лист1'!AK11+'[6]Лист1'!AL11+'[6]Лист1'!AM11+'[6]Лист1'!AN11+'[6]Лист1'!AO11+'[6]Лист1'!AP11+'[6]Лист1'!AQ11+'[6]Лист1'!AR11</f>
        <v>1003.1883752000001</v>
      </c>
      <c r="M17" s="424">
        <f>'[6]Лист1'!AS11+'[6]Лист1'!AT11+'[6]Лист1'!AU11+'[6]Лист1'!AY11+'[6]Лист1'!AZ11</f>
        <v>0</v>
      </c>
      <c r="N17" s="425">
        <f>'[6]Лист1'!BB11</f>
        <v>1492.5057427</v>
      </c>
      <c r="O17" s="426"/>
      <c r="P17" s="427">
        <f>'[6]Лист1'!BD11</f>
        <v>1518.2980073</v>
      </c>
      <c r="Q17" s="427">
        <f>'[6]Лист1'!BE11</f>
        <v>462.1300000000001</v>
      </c>
      <c r="R17" s="255"/>
      <c r="S17" s="255"/>
    </row>
    <row r="18" spans="1:19" ht="13.5" hidden="1" thickBot="1">
      <c r="A18" s="338" t="s">
        <v>49</v>
      </c>
      <c r="B18" s="428">
        <f>'[6]Лист1'!B12</f>
        <v>347</v>
      </c>
      <c r="C18" s="49">
        <f t="shared" si="0"/>
        <v>3001.55</v>
      </c>
      <c r="D18" s="50">
        <f>'[6]Лист1'!D12</f>
        <v>375.19375</v>
      </c>
      <c r="E18" s="423">
        <f>'[6]Лист1'!S12</f>
        <v>1401.9099999999999</v>
      </c>
      <c r="F18" s="425">
        <f>'[6]Лист1'!T12</f>
        <v>770.85</v>
      </c>
      <c r="G18" s="429">
        <f>'[6]Лист1'!AB12</f>
        <v>1402.6</v>
      </c>
      <c r="H18" s="425">
        <f>'[6]Лист1'!AC12</f>
        <v>2548.64375</v>
      </c>
      <c r="I18" s="430"/>
      <c r="J18" s="429">
        <f>'[6]Лист1'!AG12</f>
        <v>187.38</v>
      </c>
      <c r="K18" s="423">
        <f>'[6]Лист1'!AI12+'[6]Лист1'!AJ12</f>
        <v>310.800613</v>
      </c>
      <c r="L18" s="423">
        <f>'[6]Лист1'!AH12+'[6]Лист1'!AK12+'[6]Лист1'!AL12+'[6]Лист1'!AM12+'[6]Лист1'!AN12+'[6]Лист1'!AO12+'[6]Лист1'!AP12+'[6]Лист1'!AQ12+'[6]Лист1'!AR12</f>
        <v>1017.49191592</v>
      </c>
      <c r="M18" s="424">
        <f>'[6]Лист1'!AS12+'[6]Лист1'!AT12+'[6]Лист1'!AU12+'[6]Лист1'!AZ12+'[6]Лист1'!BA12</f>
        <v>0</v>
      </c>
      <c r="N18" s="425">
        <f>'[6]Лист1'!BB12</f>
        <v>1833.8477289200002</v>
      </c>
      <c r="O18" s="426"/>
      <c r="P18" s="427">
        <f>'[6]Лист1'!BD12</f>
        <v>714.79602108</v>
      </c>
      <c r="Q18" s="427">
        <f>'[6]Лист1'!BE12</f>
        <v>0.6900000000000546</v>
      </c>
      <c r="R18" s="255"/>
      <c r="S18" s="255"/>
    </row>
    <row r="19" spans="1:19" ht="13.5" hidden="1" thickBot="1">
      <c r="A19" s="338" t="s">
        <v>50</v>
      </c>
      <c r="B19" s="428">
        <f>'[6]Лист1'!B13</f>
        <v>347</v>
      </c>
      <c r="C19" s="49">
        <f t="shared" si="0"/>
        <v>3001.55</v>
      </c>
      <c r="D19" s="50">
        <f>'[6]Лист1'!D13</f>
        <v>577.8599999999997</v>
      </c>
      <c r="E19" s="423">
        <f>'[6]Лист1'!S13</f>
        <v>1563.57</v>
      </c>
      <c r="F19" s="425">
        <f>'[6]Лист1'!T13</f>
        <v>860.12</v>
      </c>
      <c r="G19" s="429">
        <f>'[6]Лист1'!AB13</f>
        <v>1101.03</v>
      </c>
      <c r="H19" s="425">
        <f>'[6]Лист1'!AC13</f>
        <v>2539.0099999999993</v>
      </c>
      <c r="I19" s="430"/>
      <c r="J19" s="429">
        <f>'[6]Лист1'!AG13</f>
        <v>208.2</v>
      </c>
      <c r="K19" s="423">
        <f>'[6]Лист1'!AI13+'[6]Лист1'!AJ13</f>
        <v>348.041</v>
      </c>
      <c r="L19" s="423">
        <f>'[6]Лист1'!AH13+'[6]Лист1'!AK13+'[6]Лист1'!AL13+'[6]Лист1'!AM13+'[6]Лист1'!AN13+'[6]Лист1'!AO13+'[6]Лист1'!AP13+'[6]Лист1'!AQ13+'[6]Лист1'!AR13</f>
        <v>1192.0144</v>
      </c>
      <c r="M19" s="424">
        <f>'[6]Лист1'!AS13+'[6]Лист1'!AT13+'[6]Лист1'!AU13+'[6]Лист1'!AZ13+'[6]Лист1'!BA13</f>
        <v>0</v>
      </c>
      <c r="N19" s="425">
        <f>'[6]Лист1'!BB13</f>
        <v>1800.3925199999999</v>
      </c>
      <c r="O19" s="426"/>
      <c r="P19" s="427">
        <f>'[6]Лист1'!BD13</f>
        <v>738.6174799999994</v>
      </c>
      <c r="Q19" s="427">
        <f>'[6]Лист1'!BE13</f>
        <v>-462.53999999999996</v>
      </c>
      <c r="R19" s="255"/>
      <c r="S19" s="255"/>
    </row>
    <row r="20" spans="1:19" ht="13.5" hidden="1" thickBot="1">
      <c r="A20" s="338" t="s">
        <v>51</v>
      </c>
      <c r="B20" s="428">
        <f>'[6]Лист1'!B14</f>
        <v>347</v>
      </c>
      <c r="C20" s="49">
        <f t="shared" si="0"/>
        <v>3001.55</v>
      </c>
      <c r="D20" s="50">
        <f>'[6]Лист1'!D14</f>
        <v>577.73</v>
      </c>
      <c r="E20" s="423">
        <f>'[6]Лист1'!S14</f>
        <v>1563.7</v>
      </c>
      <c r="F20" s="425">
        <f>'[6]Лист1'!T14</f>
        <v>860.12</v>
      </c>
      <c r="G20" s="429">
        <f>'[6]Лист1'!AB14</f>
        <v>1864.8400000000001</v>
      </c>
      <c r="H20" s="425">
        <f>'[6]Лист1'!AC14</f>
        <v>3302.69</v>
      </c>
      <c r="I20" s="430"/>
      <c r="J20" s="429">
        <f>'[6]Лист1'!AG14</f>
        <v>208.2</v>
      </c>
      <c r="K20" s="423">
        <f>'[6]Лист1'!AI14+'[6]Лист1'!AJ14</f>
        <v>348.041</v>
      </c>
      <c r="L20" s="423">
        <f>'[6]Лист1'!AH14+'[6]Лист1'!AK14+'[6]Лист1'!AL14+'[6]Лист1'!AM14+'[6]Лист1'!AN14+'[6]Лист1'!AO14+'[6]Лист1'!AP14+'[6]Лист1'!AQ14+'[6]Лист1'!AR14</f>
        <v>1192.04563</v>
      </c>
      <c r="M20" s="424">
        <f>'[6]Лист1'!AS14+'[6]Лист1'!AT14+'[6]Лист1'!AU14+'[6]Лист1'!AZ14+'[6]Лист1'!BA14</f>
        <v>0</v>
      </c>
      <c r="N20" s="425">
        <f>'[6]Лист1'!BB14</f>
        <v>1794.47655</v>
      </c>
      <c r="O20" s="426"/>
      <c r="P20" s="427">
        <f>'[6]Лист1'!BD14</f>
        <v>1508.21345</v>
      </c>
      <c r="Q20" s="427">
        <f>'[6]Лист1'!BE14</f>
        <v>301.1400000000001</v>
      </c>
      <c r="R20" s="255"/>
      <c r="S20" s="255"/>
    </row>
    <row r="21" spans="1:19" ht="13.5" hidden="1" thickBot="1">
      <c r="A21" s="338" t="s">
        <v>52</v>
      </c>
      <c r="B21" s="428">
        <f>'[6]Лист1'!B15</f>
        <v>347</v>
      </c>
      <c r="C21" s="49">
        <f t="shared" si="0"/>
        <v>3001.55</v>
      </c>
      <c r="D21" s="50">
        <f>'[6]Лист1'!D15</f>
        <v>595.9700000000003</v>
      </c>
      <c r="E21" s="423">
        <f>'[6]Лист1'!S15</f>
        <v>1553.6399999999999</v>
      </c>
      <c r="F21" s="425">
        <f>'[6]Лист1'!T15</f>
        <v>851.9399999999999</v>
      </c>
      <c r="G21" s="429">
        <f>'[6]Лист1'!AB15</f>
        <v>1230.87</v>
      </c>
      <c r="H21" s="425">
        <f>'[6]Лист1'!AC15</f>
        <v>2678.78</v>
      </c>
      <c r="I21" s="430"/>
      <c r="J21" s="429">
        <f>'[6]Лист1'!AG15</f>
        <v>208.2</v>
      </c>
      <c r="K21" s="423">
        <f>'[6]Лист1'!AI15+'[6]Лист1'!AJ15</f>
        <v>343.0988178</v>
      </c>
      <c r="L21" s="423">
        <f>'[6]Лист1'!AH15+'[6]Лист1'!AK15+'[6]Лист1'!AL15+'[6]Лист1'!AM15+'[6]Лист1'!AN15+'[6]Лист1'!AO15+'[6]Лист1'!AP15+'[6]Лист1'!AQ15+'[6]Лист1'!AR15</f>
        <v>1180.18489934</v>
      </c>
      <c r="M21" s="424">
        <f>'[6]Лист1'!AS15+'[6]Лист1'!AT15+'[6]Лист1'!AU15+'[6]Лист1'!AZ15+'[6]Лист1'!BA15</f>
        <v>0</v>
      </c>
      <c r="N21" s="425">
        <f>'[6]Лист1'!BB15</f>
        <v>1780.64723714</v>
      </c>
      <c r="O21" s="426"/>
      <c r="P21" s="427">
        <f>'[6]Лист1'!BD15</f>
        <v>898.1327628600002</v>
      </c>
      <c r="Q21" s="427">
        <f>'[6]Лист1'!BE15</f>
        <v>-322.77</v>
      </c>
      <c r="R21" s="255"/>
      <c r="S21" s="255"/>
    </row>
    <row r="22" spans="1:19" ht="13.5" hidden="1" thickBot="1">
      <c r="A22" s="338" t="s">
        <v>53</v>
      </c>
      <c r="B22" s="428">
        <f>'[6]Лист1'!B16</f>
        <v>347</v>
      </c>
      <c r="C22" s="49">
        <f t="shared" si="0"/>
        <v>3001.55</v>
      </c>
      <c r="D22" s="50">
        <f>'[6]Лист1'!D16</f>
        <v>577.73</v>
      </c>
      <c r="E22" s="423">
        <f>'[6]Лист1'!S16</f>
        <v>1563.7</v>
      </c>
      <c r="F22" s="425">
        <f>'[6]Лист1'!T16</f>
        <v>860.12</v>
      </c>
      <c r="G22" s="429">
        <f>'[6]Лист1'!AB16</f>
        <v>1843.1499999999999</v>
      </c>
      <c r="H22" s="425">
        <f>'[6]Лист1'!AC16</f>
        <v>3281</v>
      </c>
      <c r="I22" s="430"/>
      <c r="J22" s="429">
        <f>'[6]Лист1'!AG16</f>
        <v>208.2</v>
      </c>
      <c r="K22" s="423">
        <f>'[6]Лист1'!AI16+'[6]Лист1'!AJ16</f>
        <v>342.9073952499999</v>
      </c>
      <c r="L22" s="423">
        <f>'[6]Лист1'!AH16+'[6]Лист1'!AK16+'[6]Лист1'!AL16+'[6]Лист1'!AM16+'[6]Лист1'!AN16+'[6]Лист1'!AO16+'[6]Лист1'!AP16+'[6]Лист1'!AQ16+'[6]Лист1'!AR16</f>
        <v>1179.93693314</v>
      </c>
      <c r="M22" s="424">
        <f>'[6]Лист1'!AS16+'[6]Лист1'!AT16+'[6]Лист1'!AU16+'[6]Лист1'!AZ16+'[6]Лист1'!BA16</f>
        <v>0</v>
      </c>
      <c r="N22" s="425">
        <f>'[6]Лист1'!BB16</f>
        <v>1789.1286483900003</v>
      </c>
      <c r="O22" s="426"/>
      <c r="P22" s="427">
        <f>'[6]Лист1'!BD16</f>
        <v>1491.8713516099997</v>
      </c>
      <c r="Q22" s="427">
        <f>'[6]Лист1'!BE16</f>
        <v>279.4499999999998</v>
      </c>
      <c r="R22" s="255"/>
      <c r="S22" s="255"/>
    </row>
    <row r="23" spans="1:19" ht="13.5" hidden="1" thickBot="1">
      <c r="A23" s="338" t="s">
        <v>41</v>
      </c>
      <c r="B23" s="428">
        <f>'[6]Лист1'!B17</f>
        <v>347</v>
      </c>
      <c r="C23" s="49">
        <f t="shared" si="0"/>
        <v>3001.55</v>
      </c>
      <c r="D23" s="50">
        <f>'[6]Лист1'!D17</f>
        <v>577.73</v>
      </c>
      <c r="E23" s="423">
        <f>'[6]Лист1'!S17</f>
        <v>1563.7</v>
      </c>
      <c r="F23" s="425">
        <f>'[6]Лист1'!T17</f>
        <v>860.12</v>
      </c>
      <c r="G23" s="429">
        <f>'[6]Лист1'!AB17</f>
        <v>1231.0300000000002</v>
      </c>
      <c r="H23" s="425">
        <f>'[6]Лист1'!AC17</f>
        <v>2668.88</v>
      </c>
      <c r="I23" s="430"/>
      <c r="J23" s="429">
        <f>'[6]Лист1'!AG17</f>
        <v>208.2</v>
      </c>
      <c r="K23" s="423">
        <f>'[6]Лист1'!AI17+'[6]Лист1'!AJ17</f>
        <v>342.84822827999994</v>
      </c>
      <c r="L23" s="423">
        <f>'[6]Лист1'!AH17+'[6]Лист1'!AK17+'[6]Лист1'!AL17+'[6]Лист1'!AM17+'[6]Лист1'!AN17+'[6]Лист1'!AO17+'[6]Лист1'!AP17+'[6]Лист1'!AQ17+'[6]Лист1'!AR17</f>
        <v>1179.8602711239998</v>
      </c>
      <c r="M23" s="424">
        <f>'[6]Лист1'!AS17+'[6]Лист1'!AT17+'[6]Лист1'!AU17+'[6]Лист1'!AZ17+'[6]Лист1'!BA17</f>
        <v>0</v>
      </c>
      <c r="N23" s="425">
        <f>'[6]Лист1'!BB17</f>
        <v>1800.0942594039993</v>
      </c>
      <c r="O23" s="426"/>
      <c r="P23" s="427">
        <f>'[6]Лист1'!BD17</f>
        <v>868.7857405960008</v>
      </c>
      <c r="Q23" s="427">
        <f>'[6]Лист1'!BE17</f>
        <v>-332.66999999999985</v>
      </c>
      <c r="R23" s="255"/>
      <c r="S23" s="255"/>
    </row>
    <row r="24" spans="1:19" ht="13.5" hidden="1" thickBot="1">
      <c r="A24" s="338" t="s">
        <v>42</v>
      </c>
      <c r="B24" s="428">
        <f>'[6]Лист1'!B18</f>
        <v>347</v>
      </c>
      <c r="C24" s="49">
        <f t="shared" si="0"/>
        <v>3001.55</v>
      </c>
      <c r="D24" s="50">
        <f>'[6]Лист1'!D18</f>
        <v>577.73</v>
      </c>
      <c r="E24" s="423">
        <f>'[6]Лист1'!S18</f>
        <v>1563.7</v>
      </c>
      <c r="F24" s="425">
        <f>'[6]Лист1'!T18</f>
        <v>860.12</v>
      </c>
      <c r="G24" s="429">
        <f>'[6]Лист1'!AB18</f>
        <v>1939.5499999999997</v>
      </c>
      <c r="H24" s="425">
        <f>'[6]Лист1'!AC18</f>
        <v>3377.3999999999996</v>
      </c>
      <c r="I24" s="430"/>
      <c r="J24" s="429">
        <f>'[6]Лист1'!AG18</f>
        <v>208.2</v>
      </c>
      <c r="K24" s="423">
        <f>'[6]Лист1'!AI18+'[6]Лист1'!AJ18</f>
        <v>346.81262</v>
      </c>
      <c r="L24" s="423">
        <f>'[6]Лист1'!AH18+'[6]Лист1'!AK18+'[6]Лист1'!AL18+'[6]Лист1'!AM18+'[6]Лист1'!AN18+'[6]Лист1'!AO18+'[6]Лист1'!AP18+'[6]Лист1'!AQ18+'[6]Лист1'!AR18</f>
        <v>1190.0018</v>
      </c>
      <c r="M24" s="424">
        <f>'[6]Лист1'!AS18+'[6]Лист1'!AT18+'[6]Лист1'!AU18+'[6]Лист1'!AZ18+'[6]Лист1'!BA18</f>
        <v>0</v>
      </c>
      <c r="N24" s="425">
        <f>'[6]Лист1'!BB18</f>
        <v>1829.2664200000002</v>
      </c>
      <c r="O24" s="426"/>
      <c r="P24" s="427">
        <f>'[6]Лист1'!BD18</f>
        <v>1548.1335799999995</v>
      </c>
      <c r="Q24" s="427">
        <f>'[6]Лист1'!BE18</f>
        <v>375.8499999999997</v>
      </c>
      <c r="R24" s="255"/>
      <c r="S24" s="255"/>
    </row>
    <row r="25" spans="1:19" ht="13.5" hidden="1" thickBot="1">
      <c r="A25" s="431" t="s">
        <v>43</v>
      </c>
      <c r="B25" s="428">
        <f>'[6]Лист1'!B19</f>
        <v>347</v>
      </c>
      <c r="C25" s="55">
        <f t="shared" si="0"/>
        <v>3001.55</v>
      </c>
      <c r="D25" s="50">
        <f>'[6]Лист1'!D19</f>
        <v>577.73</v>
      </c>
      <c r="E25" s="423">
        <f>'[6]Лист1'!S19</f>
        <v>1563.7</v>
      </c>
      <c r="F25" s="425">
        <f>'[6]Лист1'!T19</f>
        <v>860.12</v>
      </c>
      <c r="G25" s="429">
        <f>'[6]Лист1'!AB19</f>
        <v>1230.9</v>
      </c>
      <c r="H25" s="425">
        <f>'[6]Лист1'!AC19</f>
        <v>2668.75</v>
      </c>
      <c r="I25" s="430"/>
      <c r="J25" s="429">
        <f>'[6]Лист1'!AG19</f>
        <v>208.2</v>
      </c>
      <c r="K25" s="423">
        <f>'[6]Лист1'!AI19+'[6]Лист1'!AJ19</f>
        <v>348.041</v>
      </c>
      <c r="L25" s="423">
        <f>'[6]Лист1'!AH19+'[6]Лист1'!AK19+'[6]Лист1'!AL19+'[6]Лист1'!AM19+'[6]Лист1'!AN19+'[6]Лист1'!AO19+'[6]Лист1'!AP19+'[6]Лист1'!AQ19+'[6]Лист1'!AR19</f>
        <v>1191.3204</v>
      </c>
      <c r="M25" s="424">
        <f>'[6]Лист1'!AS19+'[6]Лист1'!AT19+'[6]Лист1'!AU19+'[6]Лист1'!AZ19+'[6]Лист1'!BA19</f>
        <v>0</v>
      </c>
      <c r="N25" s="425">
        <f>'[6]Лист1'!BB19</f>
        <v>1840.7342</v>
      </c>
      <c r="O25" s="426"/>
      <c r="P25" s="427">
        <f>'[6]Лист1'!BD19</f>
        <v>828.0157999999999</v>
      </c>
      <c r="Q25" s="427">
        <f>'[6]Лист1'!BE19</f>
        <v>-332.79999999999995</v>
      </c>
      <c r="R25" s="255"/>
      <c r="S25" s="255"/>
    </row>
    <row r="26" spans="1:19" s="28" customFormat="1" ht="13.5" hidden="1" thickBot="1">
      <c r="A26" s="56" t="s">
        <v>5</v>
      </c>
      <c r="B26" s="57"/>
      <c r="C26" s="58">
        <f aca="true" t="shared" si="1" ref="C26:Q26">SUM(C14:C25)</f>
        <v>33017.049999999996</v>
      </c>
      <c r="D26" s="59">
        <f t="shared" si="1"/>
        <v>5563.254999999999</v>
      </c>
      <c r="E26" s="58">
        <f t="shared" si="1"/>
        <v>16545.510000000002</v>
      </c>
      <c r="F26" s="60">
        <f t="shared" si="1"/>
        <v>9096.060000000001</v>
      </c>
      <c r="G26" s="59">
        <f t="shared" si="1"/>
        <v>16055.549999999997</v>
      </c>
      <c r="H26" s="60">
        <f t="shared" si="1"/>
        <v>30714.864999999998</v>
      </c>
      <c r="I26" s="61"/>
      <c r="J26" s="59">
        <f t="shared" si="1"/>
        <v>2206.92</v>
      </c>
      <c r="K26" s="58">
        <f t="shared" si="1"/>
        <v>3635.6594948300003</v>
      </c>
      <c r="L26" s="58">
        <f t="shared" si="1"/>
        <v>12400.211564704</v>
      </c>
      <c r="M26" s="58">
        <f t="shared" si="1"/>
        <v>1569.4</v>
      </c>
      <c r="N26" s="60">
        <f t="shared" si="1"/>
        <v>20582.551699533997</v>
      </c>
      <c r="O26" s="432"/>
      <c r="P26" s="62">
        <f t="shared" si="1"/>
        <v>10132.313300466</v>
      </c>
      <c r="Q26" s="62">
        <f t="shared" si="1"/>
        <v>-489.96000000000004</v>
      </c>
      <c r="R26" s="64"/>
      <c r="S26" s="64"/>
    </row>
    <row r="27" spans="1:19" ht="13.5" thickBot="1">
      <c r="A27" s="218" t="s">
        <v>92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433"/>
      <c r="R27" s="255"/>
      <c r="S27" s="255"/>
    </row>
    <row r="28" spans="1:19" s="28" customFormat="1" ht="13.5" thickBot="1">
      <c r="A28" s="72" t="s">
        <v>54</v>
      </c>
      <c r="B28" s="73"/>
      <c r="C28" s="74">
        <f>'2011 полн'!C8</f>
        <v>500373.08999999997</v>
      </c>
      <c r="D28" s="74">
        <f>'2011 полн'!D8</f>
        <v>57582.62721840001</v>
      </c>
      <c r="E28" s="74">
        <f>'2011 полн'!U8</f>
        <v>374991.67</v>
      </c>
      <c r="F28" s="74">
        <f>'2011 полн'!V8</f>
        <v>69706.82</v>
      </c>
      <c r="G28" s="74">
        <f>'2011 полн'!AF8</f>
        <v>332129.06999999995</v>
      </c>
      <c r="H28" s="74">
        <f>'2011 полн'!AG8</f>
        <v>459418.5172184</v>
      </c>
      <c r="I28" s="74">
        <f>Лист1!AF44</f>
        <v>450</v>
      </c>
      <c r="J28" s="74">
        <f>'2011 полн'!AK8</f>
        <v>34193.016</v>
      </c>
      <c r="K28" s="74">
        <f>'2011 полн'!AL8</f>
        <v>11457.556688</v>
      </c>
      <c r="L28" s="74">
        <f>'2011 полн'!AM8+'2011 полн'!AN8+'2011 полн'!AO8+'2011 полн'!AP8+'2011 полн'!AQ8+'2011 полн'!AR8+'2011 полн'!AS8+'2011 полн'!AT8+'2011 полн'!AX8+'2011 полн'!AY8+'2011 полн'!BA16</f>
        <v>275707.78425025276</v>
      </c>
      <c r="M28" s="74">
        <f>'2011 полн'!AU8+'2011 полн'!AW8</f>
        <v>125065.6912</v>
      </c>
      <c r="N28" s="74">
        <f>'2011 полн'!BD8</f>
        <v>112.5</v>
      </c>
      <c r="O28" s="74">
        <f>SUM(J28:N28)</f>
        <v>446536.54813825275</v>
      </c>
      <c r="P28" s="74">
        <f>H28+I28-O28</f>
        <v>13331.969080147275</v>
      </c>
      <c r="Q28" s="74">
        <f>'2011 полн'!BG8</f>
        <v>-42862.600000000006</v>
      </c>
      <c r="R28" s="75"/>
      <c r="S28" s="64"/>
    </row>
    <row r="29" spans="1:19" ht="12.75">
      <c r="A29" s="8" t="s">
        <v>123</v>
      </c>
      <c r="B29" s="418"/>
      <c r="C29" s="65"/>
      <c r="D29" s="66"/>
      <c r="E29" s="419"/>
      <c r="F29" s="420"/>
      <c r="G29" s="421"/>
      <c r="H29" s="420"/>
      <c r="I29" s="422"/>
      <c r="J29" s="421"/>
      <c r="K29" s="423"/>
      <c r="L29" s="423"/>
      <c r="M29" s="424"/>
      <c r="N29" s="425"/>
      <c r="O29" s="425"/>
      <c r="P29" s="427"/>
      <c r="Q29" s="427"/>
      <c r="R29" s="255"/>
      <c r="S29" s="255"/>
    </row>
    <row r="30" spans="1:19" ht="12.75">
      <c r="A30" s="338" t="s">
        <v>45</v>
      </c>
      <c r="B30" s="428">
        <f>'2011 полн'!B10</f>
        <v>2137.9</v>
      </c>
      <c r="C30" s="49">
        <f>'2011 полн'!C10</f>
        <v>18279.045000000002</v>
      </c>
      <c r="D30" s="50">
        <f>'2011 полн'!D10</f>
        <v>280.0072</v>
      </c>
      <c r="E30" s="423">
        <f>'2011 полн'!U10</f>
        <v>18519.300000000003</v>
      </c>
      <c r="F30" s="425">
        <f>'2011 полн'!V10</f>
        <v>0</v>
      </c>
      <c r="G30" s="429">
        <f>'2011 полн'!AF10</f>
        <v>9604.21</v>
      </c>
      <c r="H30" s="429">
        <f>'2011 полн'!AG10</f>
        <v>9884.2172</v>
      </c>
      <c r="I30" s="430">
        <f>'2011 полн'!AJ10</f>
        <v>114</v>
      </c>
      <c r="J30" s="429">
        <f>'2011 полн'!AK10</f>
        <v>1432.3930000000003</v>
      </c>
      <c r="K30" s="429">
        <f>'2011 полн'!AL10</f>
        <v>427.58000000000004</v>
      </c>
      <c r="L30" s="423">
        <f>'2011 полн'!AM10+'2011 полн'!AN10+'2011 полн'!AO10+'2011 полн'!AP10+'2011 полн'!AQ10+'2011 полн'!AR10+'2011 полн'!AS10+'2011 полн'!AT10+'2011 полн'!AX10</f>
        <v>14949.604</v>
      </c>
      <c r="M30" s="424">
        <f>'2011 полн'!AU10+'2011 полн'!AV10+'2011 полн'!AW10</f>
        <v>0</v>
      </c>
      <c r="N30" s="425">
        <f>'2011 полн'!BD10</f>
        <v>28.5</v>
      </c>
      <c r="O30" s="425">
        <f>SUM(J30:N30)</f>
        <v>16838.077</v>
      </c>
      <c r="P30" s="427">
        <f>H30+I30-O30</f>
        <v>-6839.859800000002</v>
      </c>
      <c r="Q30" s="427">
        <f>'2011 полн'!BG10</f>
        <v>-8915.090000000004</v>
      </c>
      <c r="R30" s="255"/>
      <c r="S30" s="255"/>
    </row>
    <row r="31" spans="1:19" ht="12.75">
      <c r="A31" s="338" t="s">
        <v>46</v>
      </c>
      <c r="B31" s="428">
        <f>'2011 полн'!B11</f>
        <v>2137.9</v>
      </c>
      <c r="C31" s="49">
        <f>'2011 полн'!C11</f>
        <v>18279.045000000002</v>
      </c>
      <c r="D31" s="50">
        <f>'2011 полн'!D11</f>
        <v>280.0072</v>
      </c>
      <c r="E31" s="423">
        <f>'2011 полн'!U11</f>
        <v>17886.69</v>
      </c>
      <c r="F31" s="425">
        <f>'2011 полн'!V11</f>
        <v>0</v>
      </c>
      <c r="G31" s="429">
        <f>'2011 полн'!AF11</f>
        <v>15795.050000000001</v>
      </c>
      <c r="H31" s="429">
        <f>'2011 полн'!AG11</f>
        <v>16075.057200000001</v>
      </c>
      <c r="I31" s="430">
        <f>'2011 полн'!AJ11</f>
        <v>114</v>
      </c>
      <c r="J31" s="429">
        <f>'2011 полн'!AK11</f>
        <v>1432.3930000000003</v>
      </c>
      <c r="K31" s="429">
        <f>'2011 полн'!AL11</f>
        <v>427.58000000000004</v>
      </c>
      <c r="L31" s="423">
        <f>'2011 полн'!AM11+'2011 полн'!AN11+'2011 полн'!AO11+'2011 полн'!AP11+'2011 полн'!AQ11+'2011 полн'!AR11+'2011 полн'!AS11+'2011 полн'!AT11+'2011 полн'!AX11</f>
        <v>15783.444</v>
      </c>
      <c r="M31" s="424">
        <f>'2011 полн'!AU11+'2011 полн'!AV11+'2011 полн'!AW11</f>
        <v>4324</v>
      </c>
      <c r="N31" s="425">
        <f>'2011 полн'!BD11</f>
        <v>28.5</v>
      </c>
      <c r="O31" s="425">
        <f aca="true" t="shared" si="2" ref="O31:O41">SUM(J31:N31)</f>
        <v>21995.917</v>
      </c>
      <c r="P31" s="427">
        <f aca="true" t="shared" si="3" ref="P31:P41">H31+I31-O31</f>
        <v>-5806.8598</v>
      </c>
      <c r="Q31" s="427">
        <f>'2011 полн'!BG11</f>
        <v>-2091.6399999999976</v>
      </c>
      <c r="R31" s="255"/>
      <c r="S31" s="255"/>
    </row>
    <row r="32" spans="1:19" ht="12.75">
      <c r="A32" s="338" t="s">
        <v>47</v>
      </c>
      <c r="B32" s="428">
        <f>'2011 полн'!B12</f>
        <v>2137.9</v>
      </c>
      <c r="C32" s="49">
        <f>'2011 полн'!C12</f>
        <v>18279.045000000002</v>
      </c>
      <c r="D32" s="50">
        <f>'2011 полн'!D12</f>
        <v>280.0072</v>
      </c>
      <c r="E32" s="423">
        <f>'2011 полн'!U12</f>
        <v>18187.81</v>
      </c>
      <c r="F32" s="425">
        <f>'2011 полн'!V12</f>
        <v>153.60000000000002</v>
      </c>
      <c r="G32" s="429">
        <f>'2011 полн'!AF12</f>
        <v>14606.7</v>
      </c>
      <c r="H32" s="429">
        <f>'2011 полн'!AG12</f>
        <v>15040.307200000001</v>
      </c>
      <c r="I32" s="430">
        <f>'2011 полн'!AJ12</f>
        <v>114</v>
      </c>
      <c r="J32" s="429">
        <f>'2011 полн'!AK12</f>
        <v>1432.3930000000003</v>
      </c>
      <c r="K32" s="429">
        <f>'2011 полн'!AL12</f>
        <v>427.58000000000004</v>
      </c>
      <c r="L32" s="423">
        <f>'2011 полн'!AM12+'2011 полн'!AN12+'2011 полн'!AO12+'2011 полн'!AP12+'2011 полн'!AQ12+'2011 полн'!AR12+'2011 полн'!AS12+'2011 полн'!AT12+'2011 полн'!AX12</f>
        <v>16089.864</v>
      </c>
      <c r="M32" s="424">
        <f>'2011 полн'!AU12+'2011 полн'!AV12+'2011 полн'!AW12</f>
        <v>17467</v>
      </c>
      <c r="N32" s="425">
        <f>'2011 полн'!BD12</f>
        <v>28.5</v>
      </c>
      <c r="O32" s="425">
        <f t="shared" si="2"/>
        <v>35445.337</v>
      </c>
      <c r="P32" s="427">
        <f t="shared" si="3"/>
        <v>-20291.029799999997</v>
      </c>
      <c r="Q32" s="427">
        <f>'2011 полн'!BG12</f>
        <v>-3581.1100000000006</v>
      </c>
      <c r="R32" s="255"/>
      <c r="S32" s="255"/>
    </row>
    <row r="33" spans="1:19" ht="12.75">
      <c r="A33" s="338" t="s">
        <v>48</v>
      </c>
      <c r="B33" s="428">
        <f>'2011 полн'!B13</f>
        <v>2137.9</v>
      </c>
      <c r="C33" s="49">
        <f>'2011 полн'!C13</f>
        <v>18279.045000000002</v>
      </c>
      <c r="D33" s="50">
        <f>'2011 полн'!D13</f>
        <v>280.0072</v>
      </c>
      <c r="E33" s="423">
        <f>'2011 полн'!U13</f>
        <v>18179.420000000002</v>
      </c>
      <c r="F33" s="425">
        <f>'2011 полн'!V13</f>
        <v>153.60000000000002</v>
      </c>
      <c r="G33" s="429">
        <f>'2011 полн'!AF13</f>
        <v>24372.72</v>
      </c>
      <c r="H33" s="429">
        <f>'2011 полн'!AG13</f>
        <v>24806.3272</v>
      </c>
      <c r="I33" s="430">
        <f>'2011 полн'!AJ13</f>
        <v>114</v>
      </c>
      <c r="J33" s="429">
        <f>'2011 полн'!AK13</f>
        <v>1432.3930000000003</v>
      </c>
      <c r="K33" s="429">
        <f>'2011 полн'!AL13</f>
        <v>427.58000000000004</v>
      </c>
      <c r="L33" s="423">
        <f>'2011 полн'!AM13+'2011 полн'!AN13+'2011 полн'!AO13+'2011 полн'!AP13+'2011 полн'!AQ13+'2011 полн'!AR13+'2011 полн'!AS13+'2011 полн'!AT13+'2011 полн'!AX13</f>
        <v>13115.019</v>
      </c>
      <c r="M33" s="424">
        <f>'2011 полн'!AU13+'2011 полн'!AV13+'2011 полн'!AW13</f>
        <v>151</v>
      </c>
      <c r="N33" s="425">
        <f>'2011 полн'!BD13</f>
        <v>28.5</v>
      </c>
      <c r="O33" s="425">
        <f t="shared" si="2"/>
        <v>15154.492</v>
      </c>
      <c r="P33" s="427">
        <f t="shared" si="3"/>
        <v>9765.8352</v>
      </c>
      <c r="Q33" s="427">
        <f>'2011 полн'!BG13</f>
        <v>6193.299999999999</v>
      </c>
      <c r="R33" s="255"/>
      <c r="S33" s="255"/>
    </row>
    <row r="34" spans="1:19" ht="12.75">
      <c r="A34" s="338" t="s">
        <v>49</v>
      </c>
      <c r="B34" s="428">
        <f>'2011 полн'!B14</f>
        <v>2137.9</v>
      </c>
      <c r="C34" s="49">
        <f>'2011 полн'!C14</f>
        <v>18279.045000000002</v>
      </c>
      <c r="D34" s="50">
        <f>'2011 полн'!D14</f>
        <v>280.0072</v>
      </c>
      <c r="E34" s="423">
        <f>'2011 полн'!U14</f>
        <v>18179.420000000002</v>
      </c>
      <c r="F34" s="425">
        <f>'2011 полн'!V14</f>
        <v>153.60000000000002</v>
      </c>
      <c r="G34" s="429">
        <f>'2011 полн'!AF14</f>
        <v>16071.610000000002</v>
      </c>
      <c r="H34" s="429">
        <f>'2011 полн'!AG14</f>
        <v>16505.217200000003</v>
      </c>
      <c r="I34" s="430">
        <f>'2011 полн'!AJ14</f>
        <v>114</v>
      </c>
      <c r="J34" s="429">
        <f>'2011 полн'!AK14</f>
        <v>1432.3930000000003</v>
      </c>
      <c r="K34" s="429">
        <f>'2011 полн'!AL14</f>
        <v>427.58000000000004</v>
      </c>
      <c r="L34" s="423">
        <f>'2011 полн'!AM14+'2011 полн'!AN14+'2011 полн'!AO14+'2011 полн'!AP14+'2011 полн'!AQ14+'2011 полн'!AR14+'2011 полн'!AS14+'2011 полн'!AT14+'2011 полн'!AX14</f>
        <v>12725.019</v>
      </c>
      <c r="M34" s="424">
        <f>'2011 полн'!AU14+'2011 полн'!AV14+'2011 полн'!AW14</f>
        <v>0</v>
      </c>
      <c r="N34" s="425">
        <f>'2011 полн'!BD14</f>
        <v>28.5</v>
      </c>
      <c r="O34" s="425">
        <f t="shared" si="2"/>
        <v>14613.492</v>
      </c>
      <c r="P34" s="427">
        <f t="shared" si="3"/>
        <v>2005.7252000000026</v>
      </c>
      <c r="Q34" s="427">
        <f>'2011 полн'!BG14</f>
        <v>-2107.8099999999995</v>
      </c>
      <c r="R34" s="255"/>
      <c r="S34" s="255"/>
    </row>
    <row r="35" spans="1:19" ht="12.75">
      <c r="A35" s="338" t="s">
        <v>50</v>
      </c>
      <c r="B35" s="428">
        <f>'2011 полн'!B15</f>
        <v>2137.9</v>
      </c>
      <c r="C35" s="49">
        <f>'2011 полн'!C15</f>
        <v>18279.045000000002</v>
      </c>
      <c r="D35" s="50">
        <f>'2011 полн'!D15</f>
        <v>280.0072</v>
      </c>
      <c r="E35" s="423">
        <f>'2011 полн'!U15</f>
        <v>18179.44</v>
      </c>
      <c r="F35" s="425">
        <f>'2011 полн'!V15</f>
        <v>153.60000000000002</v>
      </c>
      <c r="G35" s="429">
        <f>'2011 полн'!AF15</f>
        <v>10623.900000000001</v>
      </c>
      <c r="H35" s="429">
        <f>'2011 полн'!AG15</f>
        <v>11057.507200000002</v>
      </c>
      <c r="I35" s="430">
        <f>'2011 полн'!AJ15</f>
        <v>114</v>
      </c>
      <c r="J35" s="429">
        <f>'2011 полн'!AK15</f>
        <v>1432.3930000000003</v>
      </c>
      <c r="K35" s="429">
        <f>'2011 полн'!AL15</f>
        <v>427.58000000000004</v>
      </c>
      <c r="L35" s="423">
        <f>'2011 полн'!AM15+'2011 полн'!AN15+'2011 полн'!AO15+'2011 полн'!AP15+'2011 полн'!AQ15+'2011 полн'!AR15+'2011 полн'!AS15+'2011 полн'!AT15+'2011 полн'!AX15</f>
        <v>12491.019</v>
      </c>
      <c r="M35" s="424">
        <f>'2011 полн'!AU15+'2011 полн'!AV15+'2011 полн'!AW15</f>
        <v>686</v>
      </c>
      <c r="N35" s="425">
        <f>'2011 полн'!BD15</f>
        <v>28.5</v>
      </c>
      <c r="O35" s="425">
        <f t="shared" si="2"/>
        <v>15065.492</v>
      </c>
      <c r="P35" s="427">
        <f t="shared" si="3"/>
        <v>-3893.9847999999984</v>
      </c>
      <c r="Q35" s="427">
        <f>'2011 полн'!BG15</f>
        <v>-7555.539999999997</v>
      </c>
      <c r="R35" s="255"/>
      <c r="S35" s="255"/>
    </row>
    <row r="36" spans="1:17" ht="12.75">
      <c r="A36" s="338" t="s">
        <v>51</v>
      </c>
      <c r="B36" s="428">
        <f>'2011 полн'!B16</f>
        <v>2137.9</v>
      </c>
      <c r="C36" s="49">
        <f>'2011 полн'!C16</f>
        <v>18279.045000000002</v>
      </c>
      <c r="D36" s="50">
        <f>'2011 полн'!D16</f>
        <v>280.0072</v>
      </c>
      <c r="E36" s="423">
        <f>'2011 полн'!U16</f>
        <v>18179.420000000002</v>
      </c>
      <c r="F36" s="425">
        <f>'2011 полн'!V16</f>
        <v>153.60000000000002</v>
      </c>
      <c r="G36" s="429">
        <f>'2011 полн'!AF16</f>
        <v>14726.72</v>
      </c>
      <c r="H36" s="429">
        <f>'2011 полн'!AG16</f>
        <v>15160.3272</v>
      </c>
      <c r="I36" s="430">
        <f>'2011 полн'!AJ16</f>
        <v>114</v>
      </c>
      <c r="J36" s="429">
        <f>'2011 полн'!AK16</f>
        <v>1432.3930000000003</v>
      </c>
      <c r="K36" s="429">
        <f>'2011 полн'!AL16</f>
        <v>427.58000000000004</v>
      </c>
      <c r="L36" s="423">
        <f>'2011 полн'!AM16+'2011 полн'!AN16+'2011 полн'!AO16+'2011 полн'!AP16+'2011 полн'!AQ16+'2011 полн'!AR16+'2011 полн'!AS16+'2011 полн'!AT16+'2011 полн'!AX16</f>
        <v>12596.879</v>
      </c>
      <c r="M36" s="424">
        <f>'2011 полн'!AU16+'2011 полн'!AV16+'2011 полн'!AW16</f>
        <v>867</v>
      </c>
      <c r="N36" s="425">
        <f>'2011 полн'!BD16</f>
        <v>28.5</v>
      </c>
      <c r="O36" s="425">
        <f t="shared" si="2"/>
        <v>15352.352</v>
      </c>
      <c r="P36" s="427">
        <f t="shared" si="3"/>
        <v>-78.02480000000105</v>
      </c>
      <c r="Q36" s="427">
        <f>'2011 полн'!BG16</f>
        <v>-3452.7000000000025</v>
      </c>
    </row>
    <row r="37" spans="1:17" ht="12.75">
      <c r="A37" s="338" t="s">
        <v>52</v>
      </c>
      <c r="B37" s="428">
        <f>'2011 полн'!B17</f>
        <v>2137.9</v>
      </c>
      <c r="C37" s="49">
        <f>'2011 полн'!C17</f>
        <v>18279.045000000002</v>
      </c>
      <c r="D37" s="50">
        <f>'2011 полн'!D17</f>
        <v>280.0072</v>
      </c>
      <c r="E37" s="423">
        <f>'2011 полн'!U17</f>
        <v>18179.420000000002</v>
      </c>
      <c r="F37" s="425">
        <f>'2011 полн'!V17</f>
        <v>153.60000000000002</v>
      </c>
      <c r="G37" s="429">
        <f>'2011 полн'!AF17</f>
        <v>22067.949999999997</v>
      </c>
      <c r="H37" s="429">
        <f>'2011 полн'!AG17</f>
        <v>22501.557199999996</v>
      </c>
      <c r="I37" s="430">
        <f>'2011 полн'!AJ17</f>
        <v>114</v>
      </c>
      <c r="J37" s="429">
        <f>'2011 полн'!AK17</f>
        <v>1432.3930000000003</v>
      </c>
      <c r="K37" s="429">
        <f>'2011 полн'!AL17</f>
        <v>427.58000000000004</v>
      </c>
      <c r="L37" s="423">
        <f>'2011 полн'!AM17+'2011 полн'!AN17+'2011 полн'!AO17+'2011 полн'!AP17+'2011 полн'!AQ17+'2011 полн'!AR17+'2011 полн'!AS17+'2011 полн'!AT17+'2011 полн'!AX17</f>
        <v>12767.969000000001</v>
      </c>
      <c r="M37" s="424">
        <f>'2011 полн'!AU17+'2011 полн'!AV17+'2011 полн'!AW17</f>
        <v>1265</v>
      </c>
      <c r="N37" s="425">
        <f>'2011 полн'!BD17</f>
        <v>28.5</v>
      </c>
      <c r="O37" s="425">
        <f t="shared" si="2"/>
        <v>15921.442000000001</v>
      </c>
      <c r="P37" s="427">
        <f t="shared" si="3"/>
        <v>6694.115199999995</v>
      </c>
      <c r="Q37" s="427">
        <f>'2011 полн'!BG17</f>
        <v>3888.529999999995</v>
      </c>
    </row>
    <row r="38" spans="1:17" ht="12.75">
      <c r="A38" s="338" t="s">
        <v>53</v>
      </c>
      <c r="B38" s="428">
        <f>'2011 полн'!B18</f>
        <v>2137.9</v>
      </c>
      <c r="C38" s="49">
        <f>'2011 полн'!C18</f>
        <v>18279.045000000002</v>
      </c>
      <c r="D38" s="50">
        <f>'2011 полн'!D18</f>
        <v>280.0072</v>
      </c>
      <c r="E38" s="423">
        <f>'2011 полн'!U18</f>
        <v>18704.320000000003</v>
      </c>
      <c r="F38" s="425">
        <f>'2011 полн'!V18</f>
        <v>0</v>
      </c>
      <c r="G38" s="429">
        <f>'2011 полн'!AF18</f>
        <v>13721.920000000002</v>
      </c>
      <c r="H38" s="429">
        <f>'2011 полн'!AG18</f>
        <v>14001.927200000002</v>
      </c>
      <c r="I38" s="430">
        <f>'2011 полн'!AJ18</f>
        <v>114</v>
      </c>
      <c r="J38" s="429">
        <f>'2011 полн'!AK18</f>
        <v>1432.3930000000003</v>
      </c>
      <c r="K38" s="429">
        <f>'2011 полн'!AL18</f>
        <v>427.58000000000004</v>
      </c>
      <c r="L38" s="423">
        <f>'2011 полн'!AM18+'2011 полн'!AN18+'2011 полн'!AO18+'2011 полн'!AP18+'2011 полн'!AQ18+'2011 полн'!AR18+'2011 полн'!AS18+'2011 полн'!AT18+'2011 полн'!AX18</f>
        <v>12684.039</v>
      </c>
      <c r="M38" s="424">
        <f>'2011 полн'!AU18+'2011 полн'!AV18+'2011 полн'!AW18</f>
        <v>41455</v>
      </c>
      <c r="N38" s="425">
        <f>'2011 полн'!BD18</f>
        <v>28.5</v>
      </c>
      <c r="O38" s="425">
        <f t="shared" si="2"/>
        <v>56027.512</v>
      </c>
      <c r="P38" s="427">
        <f t="shared" si="3"/>
        <v>-41911.5848</v>
      </c>
      <c r="Q38" s="427">
        <f>'2011 полн'!BG18</f>
        <v>-4982.4000000000015</v>
      </c>
    </row>
    <row r="39" spans="1:17" ht="12.75">
      <c r="A39" s="338" t="s">
        <v>41</v>
      </c>
      <c r="B39" s="428">
        <f>'2011 полн'!B19</f>
        <v>2137.9</v>
      </c>
      <c r="C39" s="49">
        <f>'2011 полн'!C19</f>
        <v>18279.045000000002</v>
      </c>
      <c r="D39" s="50">
        <f>'2011 полн'!D19</f>
        <v>280.0072</v>
      </c>
      <c r="E39" s="423">
        <f>'2011 полн'!U19</f>
        <v>18397.12</v>
      </c>
      <c r="F39" s="425">
        <f>'2011 полн'!V19</f>
        <v>307.20000000000005</v>
      </c>
      <c r="G39" s="429">
        <f>'2011 полн'!AF19</f>
        <v>16403.25</v>
      </c>
      <c r="H39" s="429">
        <f>'2011 полн'!AG19</f>
        <v>16990.4572</v>
      </c>
      <c r="I39" s="430">
        <f>'2011 полн'!AJ19</f>
        <v>114</v>
      </c>
      <c r="J39" s="429">
        <f>'2011 полн'!AK19</f>
        <v>1432.3930000000003</v>
      </c>
      <c r="K39" s="429">
        <f>'2011 полн'!AL19</f>
        <v>427.58000000000004</v>
      </c>
      <c r="L39" s="423">
        <f>'2011 полн'!AM19+'2011 полн'!AN19+'2011 полн'!AO19+'2011 полн'!AP19+'2011 полн'!AQ19+'2011 полн'!AR19+'2011 полн'!AS19+'2011 полн'!AT19+'2011 полн'!AX19</f>
        <v>14960.054</v>
      </c>
      <c r="M39" s="424">
        <f>'2011 полн'!AU19+'2011 полн'!AV19+'2011 полн'!AW19</f>
        <v>1924</v>
      </c>
      <c r="N39" s="425">
        <f>'2011 полн'!BD19</f>
        <v>28.5</v>
      </c>
      <c r="O39" s="425">
        <f t="shared" si="2"/>
        <v>18772.527000000002</v>
      </c>
      <c r="P39" s="427">
        <f t="shared" si="3"/>
        <v>-1668.0698000000011</v>
      </c>
      <c r="Q39" s="427">
        <f>'2011 полн'!BG19</f>
        <v>-1993.869999999999</v>
      </c>
    </row>
    <row r="40" spans="1:17" ht="12.75">
      <c r="A40" s="338" t="s">
        <v>42</v>
      </c>
      <c r="B40" s="428">
        <f>'2011 полн'!B20</f>
        <v>2137.9</v>
      </c>
      <c r="C40" s="49">
        <f>'2011 полн'!C20</f>
        <v>18279.045000000002</v>
      </c>
      <c r="D40" s="50">
        <f>'2011 полн'!D20</f>
        <v>280.0072</v>
      </c>
      <c r="E40" s="423">
        <f>'2011 полн'!U20</f>
        <v>18550.72</v>
      </c>
      <c r="F40" s="425">
        <f>'2011 полн'!V20</f>
        <v>153.60000000000002</v>
      </c>
      <c r="G40" s="429">
        <f>'2011 полн'!AF20</f>
        <v>16432.13</v>
      </c>
      <c r="H40" s="429">
        <f>'2011 полн'!AG20</f>
        <v>16865.7372</v>
      </c>
      <c r="I40" s="430">
        <f>'2011 полн'!AJ20</f>
        <v>114</v>
      </c>
      <c r="J40" s="429">
        <f>'2011 полн'!AK20</f>
        <v>1432.3930000000003</v>
      </c>
      <c r="K40" s="429">
        <f>'2011 полн'!AL20</f>
        <v>427.58000000000004</v>
      </c>
      <c r="L40" s="423">
        <f>'2011 полн'!AM20+'2011 полн'!AN20+'2011 полн'!AO20+'2011 полн'!AP20+'2011 полн'!AQ20+'2011 полн'!AR20+'2011 полн'!AS20+'2011 полн'!AT20+'2011 полн'!AX20</f>
        <v>14949.604</v>
      </c>
      <c r="M40" s="424">
        <f>'2011 полн'!AU20+'2011 полн'!AV20+'2011 полн'!AW20</f>
        <v>0</v>
      </c>
      <c r="N40" s="425">
        <f>'2011 полн'!BD20</f>
        <v>28.5</v>
      </c>
      <c r="O40" s="425">
        <f t="shared" si="2"/>
        <v>16838.077</v>
      </c>
      <c r="P40" s="427">
        <f t="shared" si="3"/>
        <v>141.66019999999844</v>
      </c>
      <c r="Q40" s="427">
        <f>'2011 полн'!BG20</f>
        <v>-2118.59</v>
      </c>
    </row>
    <row r="41" spans="1:17" ht="13.5" thickBot="1">
      <c r="A41" s="338" t="s">
        <v>43</v>
      </c>
      <c r="B41" s="428">
        <f>'2011 полн'!B21</f>
        <v>2137.9</v>
      </c>
      <c r="C41" s="49">
        <f>'2011 полн'!C21</f>
        <v>18279.045000000002</v>
      </c>
      <c r="D41" s="50">
        <f>'2011 полн'!D21</f>
        <v>280.0072</v>
      </c>
      <c r="E41" s="423">
        <f>'2011 полн'!U21</f>
        <v>18545.760000000002</v>
      </c>
      <c r="F41" s="425">
        <f>'2011 полн'!V21</f>
        <v>153.60000000000002</v>
      </c>
      <c r="G41" s="429">
        <f>'2011 полн'!AF21</f>
        <v>25603.76</v>
      </c>
      <c r="H41" s="429">
        <f>'2011 полн'!AG21</f>
        <v>26037.367199999997</v>
      </c>
      <c r="I41" s="430">
        <f>'2011 полн'!AJ21</f>
        <v>114</v>
      </c>
      <c r="J41" s="429">
        <f>'2011 полн'!AK21</f>
        <v>1432.3930000000003</v>
      </c>
      <c r="K41" s="429">
        <f>'2011 полн'!AL21</f>
        <v>427.58000000000004</v>
      </c>
      <c r="L41" s="423">
        <f>'2011 полн'!AM21+'2011 полн'!AN21+'2011 полн'!AO21+'2011 полн'!AP21+'2011 полн'!AQ21+'2011 полн'!AR21+'2011 полн'!AS21+'2011 полн'!AT21+'2011 полн'!AX21</f>
        <v>16149.604</v>
      </c>
      <c r="M41" s="424">
        <f>'2011 полн'!AU21+'2011 полн'!AV21+'2011 полн'!AW21</f>
        <v>211</v>
      </c>
      <c r="N41" s="425">
        <f>'2011 полн'!BD21</f>
        <v>28.5</v>
      </c>
      <c r="O41" s="425">
        <f t="shared" si="2"/>
        <v>18249.077</v>
      </c>
      <c r="P41" s="427">
        <f t="shared" si="3"/>
        <v>7902.290199999996</v>
      </c>
      <c r="Q41" s="427">
        <f>'2011 полн'!BG21</f>
        <v>7057.999999999996</v>
      </c>
    </row>
    <row r="42" spans="1:19" s="28" customFormat="1" ht="13.5" thickBot="1">
      <c r="A42" s="56" t="s">
        <v>5</v>
      </c>
      <c r="B42" s="57"/>
      <c r="C42" s="62">
        <f aca="true" t="shared" si="4" ref="C42:P42">SUM(C30:C41)</f>
        <v>219348.54000000007</v>
      </c>
      <c r="D42" s="62">
        <f t="shared" si="4"/>
        <v>3360.0864</v>
      </c>
      <c r="E42" s="62">
        <f t="shared" si="4"/>
        <v>219688.84000000003</v>
      </c>
      <c r="F42" s="62">
        <f t="shared" si="4"/>
        <v>1536</v>
      </c>
      <c r="G42" s="62">
        <f t="shared" si="4"/>
        <v>200029.92</v>
      </c>
      <c r="H42" s="62">
        <f t="shared" si="4"/>
        <v>204926.0064</v>
      </c>
      <c r="I42" s="62">
        <f t="shared" si="4"/>
        <v>1368</v>
      </c>
      <c r="J42" s="62">
        <f t="shared" si="4"/>
        <v>17188.716000000004</v>
      </c>
      <c r="K42" s="62">
        <f t="shared" si="4"/>
        <v>5130.96</v>
      </c>
      <c r="L42" s="62">
        <f t="shared" si="4"/>
        <v>169262.118</v>
      </c>
      <c r="M42" s="62">
        <f t="shared" si="4"/>
        <v>68350</v>
      </c>
      <c r="N42" s="62">
        <f t="shared" si="4"/>
        <v>342</v>
      </c>
      <c r="O42" s="62">
        <f t="shared" si="4"/>
        <v>260273.794</v>
      </c>
      <c r="P42" s="62">
        <f t="shared" si="4"/>
        <v>-53979.7876</v>
      </c>
      <c r="Q42" s="62">
        <f>SUM(Q30:Q41)</f>
        <v>-19658.920000000013</v>
      </c>
      <c r="R42" s="64"/>
      <c r="S42" s="64"/>
    </row>
    <row r="43" spans="1:19" ht="13.5" thickBot="1">
      <c r="A43" s="218" t="s">
        <v>68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433"/>
      <c r="R43" s="255"/>
      <c r="S43" s="255"/>
    </row>
    <row r="44" spans="1:19" s="28" customFormat="1" ht="13.5" thickBot="1">
      <c r="A44" s="72" t="s">
        <v>54</v>
      </c>
      <c r="B44" s="73"/>
      <c r="C44" s="74">
        <f aca="true" t="shared" si="5" ref="C44:Q44">C42+C28</f>
        <v>719721.63</v>
      </c>
      <c r="D44" s="74">
        <f t="shared" si="5"/>
        <v>60942.71361840001</v>
      </c>
      <c r="E44" s="74">
        <f t="shared" si="5"/>
        <v>594680.51</v>
      </c>
      <c r="F44" s="74">
        <f t="shared" si="5"/>
        <v>71242.82</v>
      </c>
      <c r="G44" s="74">
        <f t="shared" si="5"/>
        <v>532158.99</v>
      </c>
      <c r="H44" s="74">
        <f t="shared" si="5"/>
        <v>664344.5236184001</v>
      </c>
      <c r="I44" s="74">
        <f t="shared" si="5"/>
        <v>1818</v>
      </c>
      <c r="J44" s="74">
        <f t="shared" si="5"/>
        <v>51381.732</v>
      </c>
      <c r="K44" s="74">
        <f t="shared" si="5"/>
        <v>16588.516688</v>
      </c>
      <c r="L44" s="74">
        <f t="shared" si="5"/>
        <v>444969.9022502528</v>
      </c>
      <c r="M44" s="74">
        <f t="shared" si="5"/>
        <v>193415.6912</v>
      </c>
      <c r="N44" s="74">
        <f t="shared" si="5"/>
        <v>454.5</v>
      </c>
      <c r="O44" s="74">
        <f t="shared" si="5"/>
        <v>706810.3421382527</v>
      </c>
      <c r="P44" s="74">
        <f t="shared" si="5"/>
        <v>-40647.81851985273</v>
      </c>
      <c r="Q44" s="74">
        <f t="shared" si="5"/>
        <v>-62521.52000000002</v>
      </c>
      <c r="R44" s="75"/>
      <c r="S44" s="64"/>
    </row>
    <row r="46" spans="1:19" ht="12.75">
      <c r="A46" s="28" t="s">
        <v>69</v>
      </c>
      <c r="D46" s="434" t="s">
        <v>124</v>
      </c>
      <c r="R46" s="255"/>
      <c r="S46" s="255"/>
    </row>
    <row r="47" spans="1:19" ht="12.75">
      <c r="A47" s="335" t="s">
        <v>70</v>
      </c>
      <c r="B47" s="335" t="s">
        <v>71</v>
      </c>
      <c r="C47" s="435" t="s">
        <v>72</v>
      </c>
      <c r="D47" s="436"/>
      <c r="R47" s="255"/>
      <c r="S47" s="255"/>
    </row>
    <row r="48" spans="1:19" ht="12.75">
      <c r="A48" s="437">
        <v>158091.15</v>
      </c>
      <c r="B48" s="131">
        <v>0</v>
      </c>
      <c r="C48" s="339">
        <f>A48-B48</f>
        <v>158091.15</v>
      </c>
      <c r="D48" s="438"/>
      <c r="R48" s="255"/>
      <c r="S48" s="255"/>
    </row>
    <row r="49" spans="1:19" ht="12.75">
      <c r="A49" s="76"/>
      <c r="R49" s="255"/>
      <c r="S49" s="255"/>
    </row>
    <row r="50" spans="1:19" ht="12.75">
      <c r="A50" s="256" t="s">
        <v>73</v>
      </c>
      <c r="G50" s="256" t="s">
        <v>74</v>
      </c>
      <c r="R50" s="255"/>
      <c r="S50" s="255"/>
    </row>
    <row r="51" ht="12.75">
      <c r="A51" s="255"/>
    </row>
    <row r="52" ht="12.75">
      <c r="A52" s="255"/>
    </row>
    <row r="53" ht="12.75">
      <c r="A53" s="434" t="s">
        <v>125</v>
      </c>
    </row>
    <row r="54" ht="12.75">
      <c r="A54" s="256" t="s">
        <v>75</v>
      </c>
    </row>
  </sheetData>
  <sheetProtection/>
  <mergeCells count="26">
    <mergeCell ref="N10:N11"/>
    <mergeCell ref="O10:O11"/>
    <mergeCell ref="A27:P27"/>
    <mergeCell ref="A43:P43"/>
    <mergeCell ref="I8:I11"/>
    <mergeCell ref="J8:O9"/>
    <mergeCell ref="P8:P11"/>
    <mergeCell ref="Q8:Q11"/>
    <mergeCell ref="E10:F10"/>
    <mergeCell ref="H10:H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P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2012-05-04T14:03:20Z</cp:lastPrinted>
  <dcterms:created xsi:type="dcterms:W3CDTF">2010-04-03T04:08:20Z</dcterms:created>
  <dcterms:modified xsi:type="dcterms:W3CDTF">2012-05-04T14:06:24Z</dcterms:modified>
  <cp:category/>
  <cp:version/>
  <cp:contentType/>
  <cp:contentStatus/>
</cp:coreProperties>
</file>