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<sst xmlns="http://schemas.openxmlformats.org/spreadsheetml/2006/main" count="304" uniqueCount="126">
  <si>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</si>
  <si>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</si>
  <si>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</si>
  <si>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</si>
  <si>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</si>
  <si>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</si>
  <si>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</si>
  <si>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</si>
  <si>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</si>
  <si>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</si>
  <si>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</si>
  <si>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</si>
  <si>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</si>
  <si>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</si>
  <si>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</si>
  <si>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</si>
  <si>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</si>
  <si>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</si>
  <si>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</si>
  <si>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</si>
  <si>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</si>
  <si>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</si>
  <si>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</si>
  <si>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</si>
  <si>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</si>
  <si>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</si>
  <si>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</si>
  <si>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</si>
  <si>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</si>
  <si>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</si>
  <si>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</si>
  <si>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</si>
  <si>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</si>
  <si>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</si>
  <si>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</si>
  <si>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</si>
  <si>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</si>
  <si>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</si>
  <si>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</si>
  <si>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</si>
  <si>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</si>
  <si>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</si>
  <si>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</si>
  <si>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</si>
  <si>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</si>
  <si>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</si>
  <si>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</si>
  <si>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</si>
  <si>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</si>
  <si>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</si>
  <si>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</si>
  <si>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</si>
  <si>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</si>
  <si>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</si>
  <si>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</si>
  <si>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</si>
  <si>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</si>
  <si>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</si>
  <si>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</si>
  <si>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</si>
  <si>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</si>
  <si>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</si>
  <si>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</si>
  <si>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</si>
  <si>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</si>
  <si>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</si>
  <si>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</si>
  <si>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</si>
  <si>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</si>
  <si>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</si>
  <si>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</si>
  <si>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</si>
  <si>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</si>
  <si>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</si>
  <si>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</si>
  <si>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</si>
  <si>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</si>
  <si>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</si>
  <si>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</si>
  <si>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</si>
  <si>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</si>
  <si>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</si>
  <si>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</si>
  <si>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</si>
  <si>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</si>
  <si>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</si>
  <si>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</si>
  <si>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</si>
  <si>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Мира, д.37</t>
  </si>
  <si>
    <t>Выписка по лицевому счету по адресу г. Таштагол ул. Мира, д.37</t>
  </si>
  <si>
    <t>2010 год</t>
  </si>
  <si>
    <t>*по состоянию на 01.01.2011 г.</t>
  </si>
  <si>
    <t>на 01.01.2011 г.</t>
  </si>
  <si>
    <t>на начало отчетного периода</t>
  </si>
  <si>
    <t>на начло отчетного периода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</si>
  <si>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</si>
  <si>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</si>
  <si>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</si>
  <si>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</si>
  <si>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</si>
  <si>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</si>
  <si>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</si>
  <si>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</si>
  <si>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</si>
  <si>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</si>
  <si>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</si>
  <si>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</si>
  <si>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</si>
  <si>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</si>
  <si>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</si>
  <si>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</si>
  <si>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</si>
  <si>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</si>
  <si>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</si>
  <si>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</si>
  <si>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</si>
  <si>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</si>
  <si>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</si>
  <si>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</si>
  <si>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Доходы по нежилым помещениям</t>
  </si>
  <si>
    <t>Услуга начисления</t>
  </si>
  <si>
    <t>Расходы по нежилым помещениям</t>
  </si>
  <si>
    <t>на конец отчетного периода</t>
  </si>
  <si>
    <t>*по состоянию на 01.01.2012 г.</t>
  </si>
  <si>
    <t>Исп. В.В. Колмогорова</t>
  </si>
  <si>
    <t>Выписка по лицевому счету по адресу г. Таштагол ул. Мира, д. 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</si>
</sst>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horizontal="center"/>
    </xf>
    <xf numFmtId="4" fontId="10" fillId="37" borderId="20" xfId="0" applyNumberFormat="1" applyFont="1" applyFill="1" applyBorder="1" applyAlignment="1">
      <alignment/>
    </xf>
    <xf numFmtId="4" fontId="0" fillId="0" borderId="38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2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 textRotation="90" wrapText="1"/>
    </xf>
    <xf numFmtId="0" fontId="1" fillId="0" borderId="49" xfId="0" applyFont="1" applyFill="1" applyBorder="1" applyAlignment="1">
      <alignment horizontal="center" textRotation="90" wrapText="1"/>
    </xf>
    <xf numFmtId="0" fontId="1" fillId="0" borderId="50" xfId="0" applyFont="1" applyFill="1" applyBorder="1" applyAlignment="1">
      <alignment horizontal="center" textRotation="90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textRotation="90"/>
    </xf>
    <xf numFmtId="0" fontId="1" fillId="35" borderId="42" xfId="0" applyFont="1" applyFill="1" applyBorder="1" applyAlignment="1">
      <alignment horizontal="center" textRotation="90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28" fillId="0" borderId="42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28" fillId="0" borderId="40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0" fontId="1" fillId="38" borderId="65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5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" fillId="0" borderId="70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6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1" fillId="39" borderId="0" xfId="0" applyNumberFormat="1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72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29" fillId="0" borderId="38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61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4" fontId="0" fillId="34" borderId="37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5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1" fillId="0" borderId="42" xfId="0" applyFont="1" applyFill="1" applyBorder="1" applyAlignment="1">
      <alignment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40" xfId="0" applyNumberFormat="1" applyFont="1" applyFill="1" applyBorder="1" applyAlignment="1">
      <alignment horizontal="center" vertical="center" textRotation="90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2" fontId="1" fillId="0" borderId="73" xfId="0" applyNumberFormat="1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2" fontId="0" fillId="0" borderId="38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 horizontal="center" wrapText="1"/>
    </xf>
    <xf numFmtId="4" fontId="0" fillId="0" borderId="59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82;&#1072;&#1088;&#1077;&#1085;&#1082;&#1086;,%202%20&#1089;%202011%20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82;&#1072;&#1088;&#1077;&#1085;&#1082;&#1086;,%2014%20%20&#1089;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80;&#1088;&#1072;,%2033%20&#1089;%202011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7">
          <cell r="I47">
            <v>1844.8355999999999</v>
          </cell>
          <cell r="O47">
            <v>737.1848492</v>
          </cell>
        </row>
        <row r="48">
          <cell r="I48">
            <v>969.19828</v>
          </cell>
          <cell r="O48">
            <v>387.28161795999995</v>
          </cell>
        </row>
      </sheetData>
      <sheetData sheetId="7">
        <row r="47">
          <cell r="I47">
            <v>1844.8355999999999</v>
          </cell>
          <cell r="O47">
            <v>741.4410407600001</v>
          </cell>
        </row>
        <row r="48">
          <cell r="I48">
            <v>969.19828</v>
          </cell>
          <cell r="O48">
            <v>388.482030308</v>
          </cell>
        </row>
      </sheetData>
      <sheetData sheetId="8">
        <row r="47">
          <cell r="I47">
            <v>1844.8355999999999</v>
          </cell>
          <cell r="O47">
            <v>736.7384526039999</v>
          </cell>
        </row>
        <row r="48">
          <cell r="I48">
            <v>969.19828</v>
          </cell>
          <cell r="O48">
            <v>387.0471025652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A4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 (2)"/>
      <sheetName val="2011 полн"/>
      <sheetName val="2011 печать"/>
    </sheetNames>
    <sheetDataSet>
      <sheetData sheetId="0">
        <row r="44">
          <cell r="AD4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47">
          <cell r="I47">
            <v>1559.16</v>
          </cell>
          <cell r="R47">
            <v>1123.22</v>
          </cell>
        </row>
        <row r="48">
          <cell r="I48">
            <v>819.108</v>
          </cell>
          <cell r="R48">
            <v>590.0859999999999</v>
          </cell>
        </row>
        <row r="143">
          <cell r="I143">
            <v>100</v>
          </cell>
          <cell r="R143">
            <v>25</v>
          </cell>
        </row>
      </sheetData>
      <sheetData sheetId="1">
        <row r="47">
          <cell r="J47">
            <v>1559.16</v>
          </cell>
          <cell r="S47">
            <v>1123.22</v>
          </cell>
        </row>
        <row r="48">
          <cell r="J48">
            <v>819.108</v>
          </cell>
          <cell r="S48">
            <v>590.0859999999999</v>
          </cell>
        </row>
        <row r="144">
          <cell r="S144">
            <v>25</v>
          </cell>
        </row>
        <row r="145">
          <cell r="J145">
            <v>100</v>
          </cell>
        </row>
      </sheetData>
      <sheetData sheetId="2">
        <row r="47">
          <cell r="J47">
            <v>1559.16</v>
          </cell>
          <cell r="S47">
            <v>1123.22</v>
          </cell>
        </row>
        <row r="48">
          <cell r="J48">
            <v>819.108</v>
          </cell>
          <cell r="S48">
            <v>590.0859999999999</v>
          </cell>
        </row>
        <row r="145">
          <cell r="J145">
            <v>100</v>
          </cell>
          <cell r="S145">
            <v>25</v>
          </cell>
        </row>
        <row r="198">
          <cell r="J198">
            <v>5929.200000000001</v>
          </cell>
          <cell r="S198">
            <v>180</v>
          </cell>
        </row>
      </sheetData>
      <sheetData sheetId="3">
        <row r="47">
          <cell r="S47">
            <v>1123.22</v>
          </cell>
        </row>
        <row r="48">
          <cell r="S48">
            <v>590.0859999999999</v>
          </cell>
        </row>
        <row r="147">
          <cell r="S147">
            <v>25</v>
          </cell>
        </row>
      </sheetData>
      <sheetData sheetId="4">
        <row r="47">
          <cell r="J47">
            <v>1559.16</v>
          </cell>
          <cell r="S47">
            <v>1123.22</v>
          </cell>
        </row>
        <row r="48">
          <cell r="J48">
            <v>819.108</v>
          </cell>
          <cell r="S48">
            <v>590.0859999999999</v>
          </cell>
        </row>
        <row r="145">
          <cell r="J145">
            <v>100</v>
          </cell>
          <cell r="S145">
            <v>25</v>
          </cell>
        </row>
        <row r="209">
          <cell r="J209">
            <v>3952.8</v>
          </cell>
          <cell r="S209">
            <v>1233</v>
          </cell>
        </row>
      </sheetData>
      <sheetData sheetId="5">
        <row r="47">
          <cell r="J47">
            <v>1559.16</v>
          </cell>
          <cell r="S47">
            <v>1123.22</v>
          </cell>
        </row>
        <row r="48">
          <cell r="J48">
            <v>819.108</v>
          </cell>
          <cell r="S48">
            <v>590.0859999999999</v>
          </cell>
        </row>
        <row r="145">
          <cell r="J145">
            <v>100</v>
          </cell>
          <cell r="S145">
            <v>25</v>
          </cell>
        </row>
        <row r="209">
          <cell r="J209">
            <v>1976.4</v>
          </cell>
          <cell r="S209">
            <v>1737.9</v>
          </cell>
        </row>
      </sheetData>
      <sheetData sheetId="6">
        <row r="47">
          <cell r="J47">
            <v>1559.16</v>
          </cell>
          <cell r="S47">
            <v>1123.22</v>
          </cell>
        </row>
        <row r="48">
          <cell r="J48">
            <v>819.108</v>
          </cell>
          <cell r="S48">
            <v>590.0859999999999</v>
          </cell>
        </row>
        <row r="140">
          <cell r="J140">
            <v>1976.4</v>
          </cell>
          <cell r="S140">
            <v>1737.9</v>
          </cell>
        </row>
        <row r="150">
          <cell r="J150">
            <v>100</v>
          </cell>
          <cell r="S150">
            <v>25</v>
          </cell>
        </row>
      </sheetData>
      <sheetData sheetId="7">
        <row r="47">
          <cell r="J47">
            <v>1559.16</v>
          </cell>
          <cell r="S47">
            <v>1123.22</v>
          </cell>
        </row>
        <row r="48">
          <cell r="J48">
            <v>819.108</v>
          </cell>
          <cell r="S48">
            <v>590.0859999999999</v>
          </cell>
        </row>
        <row r="140">
          <cell r="J140">
            <v>1976.4</v>
          </cell>
          <cell r="S140">
            <v>1423.8000000000002</v>
          </cell>
        </row>
        <row r="153">
          <cell r="J153">
            <v>100</v>
          </cell>
          <cell r="S153">
            <v>25</v>
          </cell>
        </row>
        <row r="218">
          <cell r="J218">
            <v>114</v>
          </cell>
          <cell r="S218">
            <v>28.5</v>
          </cell>
        </row>
      </sheetData>
      <sheetData sheetId="8">
        <row r="47">
          <cell r="J47">
            <v>1559.16</v>
          </cell>
        </row>
        <row r="48">
          <cell r="J48">
            <v>819.108</v>
          </cell>
        </row>
        <row r="140">
          <cell r="J140">
            <v>1976.4</v>
          </cell>
        </row>
        <row r="153">
          <cell r="J153">
            <v>100</v>
          </cell>
        </row>
        <row r="218">
          <cell r="J218">
            <v>114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47">
          <cell r="J47">
            <v>1559.16</v>
          </cell>
        </row>
        <row r="48">
          <cell r="J48">
            <v>819.108</v>
          </cell>
        </row>
        <row r="147">
          <cell r="J147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47">
          <cell r="J47">
            <v>1559.16</v>
          </cell>
        </row>
        <row r="48">
          <cell r="J48">
            <v>819.108</v>
          </cell>
        </row>
        <row r="140">
          <cell r="J140">
            <v>1976.4</v>
          </cell>
        </row>
        <row r="153">
          <cell r="J153">
            <v>100</v>
          </cell>
        </row>
        <row r="218">
          <cell r="J218">
            <v>114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47">
          <cell r="S47">
            <v>1123.22</v>
          </cell>
        </row>
        <row r="48">
          <cell r="S48">
            <v>590.0859999999999</v>
          </cell>
        </row>
        <row r="140">
          <cell r="S140">
            <v>1423.8000000000002</v>
          </cell>
        </row>
        <row r="153">
          <cell r="S153">
            <v>25</v>
          </cell>
        </row>
        <row r="218">
          <cell r="S218">
            <v>28.5</v>
          </cell>
        </row>
      </sheetData>
      <sheetData sheetId="10">
        <row r="47">
          <cell r="J47">
            <v>1559.16</v>
          </cell>
          <cell r="S47">
            <v>1123.22</v>
          </cell>
        </row>
        <row r="48">
          <cell r="J48">
            <v>819.108</v>
          </cell>
          <cell r="S48">
            <v>590.0859999999999</v>
          </cell>
        </row>
        <row r="140">
          <cell r="J140">
            <v>1976.4</v>
          </cell>
          <cell r="S140">
            <v>1423.8000000000002</v>
          </cell>
        </row>
        <row r="153">
          <cell r="J153">
            <v>100</v>
          </cell>
          <cell r="S153">
            <v>25</v>
          </cell>
        </row>
        <row r="218">
          <cell r="J218">
            <v>114</v>
          </cell>
          <cell r="S218">
            <v>28.5</v>
          </cell>
        </row>
      </sheetData>
      <sheetData sheetId="11">
        <row r="47">
          <cell r="J47">
            <v>1559.16</v>
          </cell>
          <cell r="S47">
            <v>1123.22</v>
          </cell>
        </row>
        <row r="48">
          <cell r="J48">
            <v>819.108</v>
          </cell>
          <cell r="S48">
            <v>590.0859999999999</v>
          </cell>
        </row>
        <row r="140">
          <cell r="J140">
            <v>1976.4</v>
          </cell>
          <cell r="S140">
            <v>1423.8000000000002</v>
          </cell>
        </row>
        <row r="164">
          <cell r="J164">
            <v>5610</v>
          </cell>
          <cell r="S164">
            <v>1402.5</v>
          </cell>
        </row>
        <row r="177">
          <cell r="J177">
            <v>100</v>
          </cell>
          <cell r="S177">
            <v>25</v>
          </cell>
        </row>
        <row r="242">
          <cell r="J242">
            <v>114</v>
          </cell>
          <cell r="S242">
            <v>28.5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8">
          <cell r="I48">
            <v>1844.8355999999999</v>
          </cell>
        </row>
        <row r="49">
          <cell r="I49">
            <v>969.19828</v>
          </cell>
        </row>
      </sheetData>
      <sheetData sheetId="1">
        <row r="48">
          <cell r="I48">
            <v>1844.8355999999999</v>
          </cell>
          <cell r="O48">
            <v>743.5404000000001</v>
          </cell>
        </row>
        <row r="49">
          <cell r="I49">
            <v>969.19828</v>
          </cell>
          <cell r="O49">
            <v>390.62052</v>
          </cell>
        </row>
      </sheetData>
      <sheetData sheetId="2">
        <row r="49">
          <cell r="I49">
            <v>1844.8455999999996</v>
          </cell>
          <cell r="O49">
            <v>743.5404000000001</v>
          </cell>
        </row>
        <row r="50">
          <cell r="I50">
            <v>969.18828</v>
          </cell>
          <cell r="O50">
            <v>390.62052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8">
          <cell r="O48">
            <v>742.5007200000001</v>
          </cell>
        </row>
        <row r="49">
          <cell r="O49">
            <v>390.07051599999994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6">
          <cell r="I46">
            <v>1559.9835999999998</v>
          </cell>
        </row>
        <row r="47">
          <cell r="I47">
            <v>819.5506799999999</v>
          </cell>
        </row>
      </sheetData>
      <sheetData sheetId="2">
        <row r="47">
          <cell r="M47">
            <v>742.6600000000001</v>
          </cell>
        </row>
        <row r="48">
          <cell r="M48">
            <v>390.15799999999996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7">
          <cell r="I47">
            <v>1559.9835999999998</v>
          </cell>
          <cell r="M47">
            <v>742.6600000000001</v>
          </cell>
        </row>
        <row r="48">
          <cell r="I48">
            <v>819.5506799999999</v>
          </cell>
          <cell r="M48">
            <v>390.15799999999996</v>
          </cell>
        </row>
      </sheetData>
      <sheetData sheetId="5">
        <row r="47">
          <cell r="M47">
            <v>742.6600000000001</v>
          </cell>
        </row>
        <row r="48">
          <cell r="M48">
            <v>390.15799999999996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7">
          <cell r="I47">
            <v>1559.9835999999998</v>
          </cell>
        </row>
        <row r="48">
          <cell r="I48">
            <v>819.5506799999999</v>
          </cell>
        </row>
      </sheetData>
      <sheetData sheetId="9">
        <row r="47">
          <cell r="I47">
            <v>1559.9835999999998</v>
          </cell>
          <cell r="M47">
            <v>742.6600000000001</v>
          </cell>
        </row>
        <row r="48">
          <cell r="I48">
            <v>819.5506799999999</v>
          </cell>
          <cell r="M48">
            <v>390.15799999999996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9">
        <row r="47">
          <cell r="I47">
            <v>1559.9835999999998</v>
          </cell>
          <cell r="M47">
            <v>742.6600000000001</v>
          </cell>
        </row>
        <row r="48">
          <cell r="I48">
            <v>819.5506799999999</v>
          </cell>
          <cell r="M48">
            <v>390.15799999999996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85" t="s">
        <v>88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6" t="s">
        <v>0</v>
      </c>
      <c r="B3" s="189" t="s">
        <v>1</v>
      </c>
      <c r="C3" s="189" t="s">
        <v>2</v>
      </c>
      <c r="D3" s="189" t="s">
        <v>3</v>
      </c>
      <c r="E3" s="192" t="s">
        <v>4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71" t="s">
        <v>5</v>
      </c>
      <c r="T3" s="171"/>
      <c r="U3" s="172" t="s">
        <v>6</v>
      </c>
      <c r="V3" s="172"/>
      <c r="W3" s="172"/>
      <c r="X3" s="172"/>
      <c r="Y3" s="172"/>
      <c r="Z3" s="172"/>
      <c r="AA3" s="172"/>
      <c r="AB3" s="172"/>
      <c r="AC3" s="152" t="s">
        <v>86</v>
      </c>
      <c r="AD3" s="152" t="s">
        <v>8</v>
      </c>
      <c r="AE3" s="174" t="s">
        <v>9</v>
      </c>
      <c r="AF3" s="163" t="s">
        <v>74</v>
      </c>
      <c r="AG3" s="166" t="s">
        <v>10</v>
      </c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82" t="s">
        <v>75</v>
      </c>
      <c r="BD3" s="168" t="s">
        <v>11</v>
      </c>
      <c r="BE3" s="177" t="s">
        <v>12</v>
      </c>
    </row>
    <row r="4" spans="1:57" ht="36" customHeight="1" thickBot="1">
      <c r="A4" s="187"/>
      <c r="B4" s="190"/>
      <c r="C4" s="190"/>
      <c r="D4" s="190"/>
      <c r="E4" s="167" t="s">
        <v>13</v>
      </c>
      <c r="F4" s="167"/>
      <c r="G4" s="167" t="s">
        <v>14</v>
      </c>
      <c r="H4" s="167"/>
      <c r="I4" s="167" t="s">
        <v>15</v>
      </c>
      <c r="J4" s="167"/>
      <c r="K4" s="167" t="s">
        <v>16</v>
      </c>
      <c r="L4" s="167"/>
      <c r="M4" s="167" t="s">
        <v>17</v>
      </c>
      <c r="N4" s="167"/>
      <c r="O4" s="167" t="s">
        <v>18</v>
      </c>
      <c r="P4" s="167"/>
      <c r="Q4" s="167" t="s">
        <v>19</v>
      </c>
      <c r="R4" s="167"/>
      <c r="S4" s="167"/>
      <c r="T4" s="167"/>
      <c r="U4" s="173"/>
      <c r="V4" s="173"/>
      <c r="W4" s="173"/>
      <c r="X4" s="173"/>
      <c r="Y4" s="173"/>
      <c r="Z4" s="173"/>
      <c r="AA4" s="173"/>
      <c r="AB4" s="173"/>
      <c r="AC4" s="153"/>
      <c r="AD4" s="153"/>
      <c r="AE4" s="175"/>
      <c r="AF4" s="164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83"/>
      <c r="BD4" s="169"/>
      <c r="BE4" s="178"/>
    </row>
    <row r="5" spans="1:57" ht="29.25" customHeight="1" thickBot="1">
      <c r="A5" s="187"/>
      <c r="B5" s="190"/>
      <c r="C5" s="190"/>
      <c r="D5" s="190"/>
      <c r="E5" s="145" t="s">
        <v>20</v>
      </c>
      <c r="F5" s="145" t="s">
        <v>21</v>
      </c>
      <c r="G5" s="145" t="s">
        <v>20</v>
      </c>
      <c r="H5" s="145" t="s">
        <v>21</v>
      </c>
      <c r="I5" s="145" t="s">
        <v>20</v>
      </c>
      <c r="J5" s="145" t="s">
        <v>21</v>
      </c>
      <c r="K5" s="145" t="s">
        <v>20</v>
      </c>
      <c r="L5" s="145" t="s">
        <v>21</v>
      </c>
      <c r="M5" s="145" t="s">
        <v>20</v>
      </c>
      <c r="N5" s="145" t="s">
        <v>21</v>
      </c>
      <c r="O5" s="145" t="s">
        <v>20</v>
      </c>
      <c r="P5" s="145" t="s">
        <v>21</v>
      </c>
      <c r="Q5" s="145" t="s">
        <v>20</v>
      </c>
      <c r="R5" s="145" t="s">
        <v>21</v>
      </c>
      <c r="S5" s="145" t="s">
        <v>20</v>
      </c>
      <c r="T5" s="145" t="s">
        <v>21</v>
      </c>
      <c r="U5" s="147" t="s">
        <v>22</v>
      </c>
      <c r="V5" s="147" t="s">
        <v>23</v>
      </c>
      <c r="W5" s="147" t="s">
        <v>24</v>
      </c>
      <c r="X5" s="147" t="s">
        <v>25</v>
      </c>
      <c r="Y5" s="147" t="s">
        <v>26</v>
      </c>
      <c r="Z5" s="147" t="s">
        <v>27</v>
      </c>
      <c r="AA5" s="147" t="s">
        <v>28</v>
      </c>
      <c r="AB5" s="147" t="s">
        <v>29</v>
      </c>
      <c r="AC5" s="153"/>
      <c r="AD5" s="153"/>
      <c r="AE5" s="175"/>
      <c r="AF5" s="164"/>
      <c r="AG5" s="155" t="s">
        <v>30</v>
      </c>
      <c r="AH5" s="155" t="s">
        <v>31</v>
      </c>
      <c r="AI5" s="155" t="s">
        <v>32</v>
      </c>
      <c r="AJ5" s="155" t="s">
        <v>33</v>
      </c>
      <c r="AK5" s="155" t="s">
        <v>34</v>
      </c>
      <c r="AL5" s="155" t="s">
        <v>33</v>
      </c>
      <c r="AM5" s="155" t="s">
        <v>35</v>
      </c>
      <c r="AN5" s="155" t="s">
        <v>33</v>
      </c>
      <c r="AO5" s="155" t="s">
        <v>36</v>
      </c>
      <c r="AP5" s="155" t="s">
        <v>33</v>
      </c>
      <c r="AQ5" s="157" t="s">
        <v>79</v>
      </c>
      <c r="AR5" s="159" t="s">
        <v>33</v>
      </c>
      <c r="AS5" s="180" t="s">
        <v>80</v>
      </c>
      <c r="AT5" s="161" t="s">
        <v>81</v>
      </c>
      <c r="AU5" s="161" t="s">
        <v>33</v>
      </c>
      <c r="AV5" s="149" t="s">
        <v>82</v>
      </c>
      <c r="AW5" s="150"/>
      <c r="AX5" s="151"/>
      <c r="AY5" s="155" t="s">
        <v>19</v>
      </c>
      <c r="AZ5" s="155" t="s">
        <v>38</v>
      </c>
      <c r="BA5" s="155" t="s">
        <v>33</v>
      </c>
      <c r="BB5" s="155" t="s">
        <v>39</v>
      </c>
      <c r="BC5" s="183"/>
      <c r="BD5" s="169"/>
      <c r="BE5" s="178"/>
    </row>
    <row r="6" spans="1:57" ht="54" customHeight="1" thickBot="1">
      <c r="A6" s="188"/>
      <c r="B6" s="191"/>
      <c r="C6" s="191"/>
      <c r="D6" s="191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8"/>
      <c r="V6" s="148"/>
      <c r="W6" s="148"/>
      <c r="X6" s="148"/>
      <c r="Y6" s="148"/>
      <c r="Z6" s="148"/>
      <c r="AA6" s="148"/>
      <c r="AB6" s="148"/>
      <c r="AC6" s="154"/>
      <c r="AD6" s="154"/>
      <c r="AE6" s="176"/>
      <c r="AF6" s="165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8"/>
      <c r="AR6" s="160"/>
      <c r="AS6" s="181"/>
      <c r="AT6" s="162"/>
      <c r="AU6" s="162"/>
      <c r="AV6" s="115" t="s">
        <v>83</v>
      </c>
      <c r="AW6" s="115" t="s">
        <v>84</v>
      </c>
      <c r="AX6" s="115" t="s">
        <v>85</v>
      </c>
      <c r="AY6" s="156"/>
      <c r="AZ6" s="156"/>
      <c r="BA6" s="156"/>
      <c r="BB6" s="156"/>
      <c r="BC6" s="184"/>
      <c r="BD6" s="170"/>
      <c r="BE6" s="179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102">
        <v>3277.8</v>
      </c>
      <c r="C9" s="103">
        <f>B9*8.65</f>
        <v>28352.97</v>
      </c>
      <c r="D9" s="104">
        <f>C9*0.24088</f>
        <v>6829.6634136</v>
      </c>
      <c r="E9" s="126">
        <v>2193.78</v>
      </c>
      <c r="F9" s="126">
        <v>507.53</v>
      </c>
      <c r="G9" s="126">
        <v>2961.55</v>
      </c>
      <c r="H9" s="126">
        <v>685.17</v>
      </c>
      <c r="I9" s="126">
        <v>7129.64</v>
      </c>
      <c r="J9" s="126">
        <v>1649.47</v>
      </c>
      <c r="K9" s="126">
        <v>4935.99</v>
      </c>
      <c r="L9" s="126">
        <v>1141.94</v>
      </c>
      <c r="M9" s="126">
        <v>1755.05</v>
      </c>
      <c r="N9" s="126">
        <v>406.01</v>
      </c>
      <c r="O9" s="126">
        <v>0</v>
      </c>
      <c r="P9" s="126">
        <v>0</v>
      </c>
      <c r="Q9" s="126">
        <v>0</v>
      </c>
      <c r="R9" s="126">
        <v>0</v>
      </c>
      <c r="S9" s="91">
        <f>E9+G9+I9+K9+M9+O9+Q9</f>
        <v>18976.01</v>
      </c>
      <c r="T9" s="105">
        <f>P9+N9+L9+J9+H9+F9+R9</f>
        <v>4390.12</v>
      </c>
      <c r="U9" s="91">
        <v>0</v>
      </c>
      <c r="V9" s="91">
        <v>0</v>
      </c>
      <c r="W9" s="91">
        <v>0</v>
      </c>
      <c r="X9" s="91">
        <v>0</v>
      </c>
      <c r="Y9" s="133">
        <v>0</v>
      </c>
      <c r="Z9" s="106">
        <v>0</v>
      </c>
      <c r="AA9" s="106">
        <v>0</v>
      </c>
      <c r="AB9" s="106">
        <f>SUM(U9:AA9)</f>
        <v>0</v>
      </c>
      <c r="AC9" s="107">
        <f>D9+T9+AB9</f>
        <v>11219.7834136</v>
      </c>
      <c r="AD9" s="108">
        <f>P9+Z9</f>
        <v>0</v>
      </c>
      <c r="AE9" s="100">
        <f>R9+AA9</f>
        <v>0</v>
      </c>
      <c r="AF9" s="100"/>
      <c r="AG9" s="16">
        <f>0.6*B9</f>
        <v>1966.68</v>
      </c>
      <c r="AH9" s="16">
        <f>B9*0.2*1.05826</f>
        <v>693.7529256</v>
      </c>
      <c r="AI9" s="16">
        <f>0.8518*B9</f>
        <v>2792.03004</v>
      </c>
      <c r="AJ9" s="16">
        <f>AI9*0.18</f>
        <v>502.5654072</v>
      </c>
      <c r="AK9" s="16">
        <f>1.04*B9*0.9531</f>
        <v>3249.0340272</v>
      </c>
      <c r="AL9" s="16">
        <f>AK9*0.18</f>
        <v>584.8261248959999</v>
      </c>
      <c r="AM9" s="16">
        <f>(1.91)*B9*0.9531</f>
        <v>5966.9759538</v>
      </c>
      <c r="AN9" s="16">
        <f>AM9*0.18</f>
        <v>1074.055671684</v>
      </c>
      <c r="AO9" s="16"/>
      <c r="AP9" s="16">
        <f>AO9*0.18</f>
        <v>0</v>
      </c>
      <c r="AQ9" s="113"/>
      <c r="AR9" s="113"/>
      <c r="AS9" s="95">
        <v>2884.98</v>
      </c>
      <c r="AT9" s="95"/>
      <c r="AU9" s="95">
        <f>(AS9+AT9)*0.18</f>
        <v>519.2964</v>
      </c>
      <c r="AV9" s="114"/>
      <c r="AW9" s="130"/>
      <c r="AX9" s="16">
        <f>AV9*AW9*1.12*1.18</f>
        <v>0</v>
      </c>
      <c r="AY9" s="116"/>
      <c r="AZ9" s="117"/>
      <c r="BA9" s="117">
        <f>AZ9*0.18</f>
        <v>0</v>
      </c>
      <c r="BB9" s="117">
        <f>SUM(AG9:BA9)-AV9-AW9</f>
        <v>20234.19655038</v>
      </c>
      <c r="BC9" s="123"/>
      <c r="BD9" s="14">
        <f>AC9-BB9</f>
        <v>-9014.413136779998</v>
      </c>
      <c r="BE9" s="30">
        <f>AB9-S9</f>
        <v>-18976.01</v>
      </c>
    </row>
    <row r="10" spans="1:57" ht="12.75" hidden="1">
      <c r="A10" s="11" t="s">
        <v>42</v>
      </c>
      <c r="B10" s="102">
        <v>3277.8</v>
      </c>
      <c r="C10" s="103">
        <f>B10*8.65</f>
        <v>28352.97</v>
      </c>
      <c r="D10" s="104">
        <f>C10*0.24088</f>
        <v>6829.6634136</v>
      </c>
      <c r="E10" s="126">
        <v>1976.03</v>
      </c>
      <c r="F10" s="126">
        <v>501.61</v>
      </c>
      <c r="G10" s="126">
        <v>2667.6</v>
      </c>
      <c r="H10" s="126">
        <v>677.17</v>
      </c>
      <c r="I10" s="126">
        <v>6421.89</v>
      </c>
      <c r="J10" s="126">
        <v>1630.21</v>
      </c>
      <c r="K10" s="126">
        <v>4445.98</v>
      </c>
      <c r="L10" s="126">
        <v>1228.6</v>
      </c>
      <c r="M10" s="126">
        <v>1580.84</v>
      </c>
      <c r="N10" s="126">
        <v>401.25</v>
      </c>
      <c r="O10" s="126">
        <v>0</v>
      </c>
      <c r="P10" s="126">
        <v>0</v>
      </c>
      <c r="Q10" s="91">
        <v>0</v>
      </c>
      <c r="R10" s="91">
        <v>0</v>
      </c>
      <c r="S10" s="91">
        <f>E10+G10+I10+K10+M10+O10+Q10</f>
        <v>17092.34</v>
      </c>
      <c r="T10" s="105">
        <f>P10+N10+L10+J10+H10+F10+R10</f>
        <v>4438.84</v>
      </c>
      <c r="U10" s="91">
        <v>1203.13</v>
      </c>
      <c r="V10" s="91">
        <v>1624.27</v>
      </c>
      <c r="W10" s="91">
        <v>4302.84</v>
      </c>
      <c r="X10" s="91">
        <v>2706.94</v>
      </c>
      <c r="Y10" s="133">
        <v>962.52</v>
      </c>
      <c r="Z10" s="91">
        <v>0</v>
      </c>
      <c r="AA10" s="106">
        <v>0</v>
      </c>
      <c r="AB10" s="109">
        <f>SUM(U10:AA10)</f>
        <v>10799.7</v>
      </c>
      <c r="AC10" s="110">
        <f>D10+T10+AB10</f>
        <v>22068.2034136</v>
      </c>
      <c r="AD10" s="100">
        <f>P10+Z10</f>
        <v>0</v>
      </c>
      <c r="AE10" s="100">
        <f>R10+AA10</f>
        <v>0</v>
      </c>
      <c r="AF10" s="100"/>
      <c r="AG10" s="16">
        <f>0.6*B10</f>
        <v>1966.68</v>
      </c>
      <c r="AH10" s="16">
        <f>B10*0.201</f>
        <v>658.8378000000001</v>
      </c>
      <c r="AI10" s="16">
        <f>0.8518*B10</f>
        <v>2792.03004</v>
      </c>
      <c r="AJ10" s="16">
        <f>AI10*0.18</f>
        <v>502.5654072</v>
      </c>
      <c r="AK10" s="16">
        <f>1.04*B10*0.9531</f>
        <v>3249.0340272</v>
      </c>
      <c r="AL10" s="16">
        <f>AK10*0.18</f>
        <v>584.8261248959999</v>
      </c>
      <c r="AM10" s="16">
        <f>(1.91)*B10*0.9531</f>
        <v>5966.9759538</v>
      </c>
      <c r="AN10" s="16">
        <f>AM10*0.18</f>
        <v>1074.055671684</v>
      </c>
      <c r="AO10" s="16"/>
      <c r="AP10" s="16">
        <f>AO10*0.18</f>
        <v>0</v>
      </c>
      <c r="AQ10" s="113"/>
      <c r="AR10" s="113"/>
      <c r="AS10" s="95">
        <v>2680</v>
      </c>
      <c r="AT10" s="95"/>
      <c r="AU10" s="95">
        <f>(AS10+AT10)*0.18</f>
        <v>482.4</v>
      </c>
      <c r="AV10" s="114"/>
      <c r="AW10" s="130"/>
      <c r="AX10" s="16">
        <f>AV10*AW10*1.12*1.18</f>
        <v>0</v>
      </c>
      <c r="AY10" s="116"/>
      <c r="AZ10" s="117"/>
      <c r="BA10" s="117">
        <f>AZ10*0.18</f>
        <v>0</v>
      </c>
      <c r="BB10" s="117">
        <f>SUM(AG10:BA10)-AV10-AW10</f>
        <v>19957.40502478</v>
      </c>
      <c r="BC10" s="123"/>
      <c r="BD10" s="14">
        <f>AC10-BB10</f>
        <v>2110.7983888199997</v>
      </c>
      <c r="BE10" s="30">
        <f>AB10-S10</f>
        <v>-6292.639999999999</v>
      </c>
    </row>
    <row r="11" spans="1:57" ht="12.75" hidden="1">
      <c r="A11" s="11" t="s">
        <v>43</v>
      </c>
      <c r="B11" s="102">
        <v>3277.8</v>
      </c>
      <c r="C11" s="103">
        <f>B11*8.65</f>
        <v>28352.97</v>
      </c>
      <c r="D11" s="104">
        <f>C11*0.24035</f>
        <v>6814.636339500001</v>
      </c>
      <c r="E11" s="126">
        <v>2295.83</v>
      </c>
      <c r="F11" s="126">
        <v>504.1</v>
      </c>
      <c r="G11" s="126">
        <v>3029.28</v>
      </c>
      <c r="H11" s="126">
        <v>680.53</v>
      </c>
      <c r="I11" s="126">
        <v>7010.75</v>
      </c>
      <c r="J11" s="126">
        <v>1638.32</v>
      </c>
      <c r="K11" s="126">
        <v>4915.27</v>
      </c>
      <c r="L11" s="126">
        <v>1134.22</v>
      </c>
      <c r="M11" s="126">
        <v>1876.71</v>
      </c>
      <c r="N11" s="126">
        <v>403.27</v>
      </c>
      <c r="O11" s="126">
        <v>0</v>
      </c>
      <c r="P11" s="131">
        <v>0</v>
      </c>
      <c r="Q11" s="126">
        <v>0</v>
      </c>
      <c r="R11" s="131">
        <v>0</v>
      </c>
      <c r="S11" s="91">
        <f>E11+G11+I11+K11+M11+O11+Q11</f>
        <v>19127.84</v>
      </c>
      <c r="T11" s="105">
        <f>P11+N11+L11+J11+H11+F11+R11</f>
        <v>4360.4400000000005</v>
      </c>
      <c r="U11" s="91">
        <v>1941.46</v>
      </c>
      <c r="V11" s="91">
        <v>2620.88</v>
      </c>
      <c r="W11" s="91">
        <v>6297.82</v>
      </c>
      <c r="X11" s="91">
        <v>4368.39</v>
      </c>
      <c r="Y11" s="133">
        <v>1553.17</v>
      </c>
      <c r="Z11" s="91">
        <v>0</v>
      </c>
      <c r="AA11" s="106">
        <v>0</v>
      </c>
      <c r="AB11" s="109">
        <f>SUM(U11:AA11)</f>
        <v>16781.72</v>
      </c>
      <c r="AC11" s="110">
        <f>D11+T11+AB11</f>
        <v>27956.796339500004</v>
      </c>
      <c r="AD11" s="100">
        <f>P11+Z11</f>
        <v>0</v>
      </c>
      <c r="AE11" s="100">
        <f>R11+AA11</f>
        <v>0</v>
      </c>
      <c r="AF11" s="100"/>
      <c r="AG11" s="16">
        <f>0.6*B11</f>
        <v>1966.68</v>
      </c>
      <c r="AH11" s="16">
        <f>B11*0.2*1.02524</f>
        <v>672.1063344</v>
      </c>
      <c r="AI11" s="16">
        <f>0.84932*B11</f>
        <v>2783.901096</v>
      </c>
      <c r="AJ11" s="16">
        <f>AI11*0.18</f>
        <v>501.10219728</v>
      </c>
      <c r="AK11" s="16">
        <f>1.04*B11*0.95033</f>
        <v>3239.5913409600003</v>
      </c>
      <c r="AL11" s="16">
        <f>AK11*0.18</f>
        <v>583.1264413728001</v>
      </c>
      <c r="AM11" s="16">
        <f>(1.91)*B11*0.95033</f>
        <v>5949.63409734</v>
      </c>
      <c r="AN11" s="16">
        <f>AM11*0.18</f>
        <v>1070.9341375212</v>
      </c>
      <c r="AO11" s="16"/>
      <c r="AP11" s="16">
        <f>AO11*0.18</f>
        <v>0</v>
      </c>
      <c r="AQ11" s="113"/>
      <c r="AR11" s="113"/>
      <c r="AS11" s="95">
        <v>386</v>
      </c>
      <c r="AT11" s="95"/>
      <c r="AU11" s="95">
        <f>(AS11+AT11)*0.18</f>
        <v>69.48</v>
      </c>
      <c r="AV11" s="114"/>
      <c r="AW11" s="130"/>
      <c r="AX11" s="16">
        <f>AV11*AW11*1.12*1.18</f>
        <v>0</v>
      </c>
      <c r="AY11" s="116"/>
      <c r="AZ11" s="117"/>
      <c r="BA11" s="117">
        <f>AZ11*0.18</f>
        <v>0</v>
      </c>
      <c r="BB11" s="117">
        <f>SUM(AG11:BA11)-AV11-AW11</f>
        <v>17222.555644874</v>
      </c>
      <c r="BC11" s="123"/>
      <c r="BD11" s="14">
        <f>AC11-BB11</f>
        <v>10734.240694626005</v>
      </c>
      <c r="BE11" s="30">
        <f>AB11-S11</f>
        <v>-2346.119999999999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85058.91</v>
      </c>
      <c r="D12" s="60">
        <f t="shared" si="0"/>
        <v>20473.9631667</v>
      </c>
      <c r="E12" s="57">
        <f>SUM(E9:E11)</f>
        <v>6465.64</v>
      </c>
      <c r="F12" s="57">
        <f t="shared" si="0"/>
        <v>1513.24</v>
      </c>
      <c r="G12" s="57">
        <f t="shared" si="0"/>
        <v>8658.43</v>
      </c>
      <c r="H12" s="57">
        <f t="shared" si="0"/>
        <v>2042.87</v>
      </c>
      <c r="I12" s="57">
        <f t="shared" si="0"/>
        <v>20562.28</v>
      </c>
      <c r="J12" s="57">
        <f t="shared" si="0"/>
        <v>4918</v>
      </c>
      <c r="K12" s="57">
        <f t="shared" si="0"/>
        <v>14297.24</v>
      </c>
      <c r="L12" s="57">
        <f t="shared" si="0"/>
        <v>3504.76</v>
      </c>
      <c r="M12" s="57">
        <f t="shared" si="0"/>
        <v>5212.6</v>
      </c>
      <c r="N12" s="57">
        <f t="shared" si="0"/>
        <v>1210.53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55196.19</v>
      </c>
      <c r="T12" s="57">
        <f t="shared" si="0"/>
        <v>13189.4</v>
      </c>
      <c r="U12" s="61">
        <f t="shared" si="0"/>
        <v>3144.59</v>
      </c>
      <c r="V12" s="61">
        <f t="shared" si="0"/>
        <v>4245.15</v>
      </c>
      <c r="W12" s="61">
        <f t="shared" si="0"/>
        <v>10600.66</v>
      </c>
      <c r="X12" s="61">
        <f t="shared" si="0"/>
        <v>7075.33</v>
      </c>
      <c r="Y12" s="61">
        <f t="shared" si="0"/>
        <v>2515.69</v>
      </c>
      <c r="Z12" s="61">
        <f t="shared" si="0"/>
        <v>0</v>
      </c>
      <c r="AA12" s="61">
        <f t="shared" si="0"/>
        <v>0</v>
      </c>
      <c r="AB12" s="61">
        <f t="shared" si="0"/>
        <v>27581.420000000002</v>
      </c>
      <c r="AC12" s="61">
        <f t="shared" si="0"/>
        <v>61244.78316670001</v>
      </c>
      <c r="AD12" s="61">
        <f>SUM(AD9:AD11)</f>
        <v>0</v>
      </c>
      <c r="AE12" s="98">
        <f t="shared" si="0"/>
        <v>0</v>
      </c>
      <c r="AF12" s="98">
        <f t="shared" si="0"/>
        <v>0</v>
      </c>
      <c r="AG12" s="18">
        <f t="shared" si="0"/>
        <v>5900.04</v>
      </c>
      <c r="AH12" s="18">
        <f t="shared" si="0"/>
        <v>2024.69706</v>
      </c>
      <c r="AI12" s="18">
        <f t="shared" si="0"/>
        <v>8367.961176</v>
      </c>
      <c r="AJ12" s="18">
        <f t="shared" si="0"/>
        <v>1506.23301168</v>
      </c>
      <c r="AK12" s="18">
        <f t="shared" si="0"/>
        <v>9737.65939536</v>
      </c>
      <c r="AL12" s="18">
        <f t="shared" si="0"/>
        <v>1752.7786911648</v>
      </c>
      <c r="AM12" s="18">
        <f>SUM(AM9:AM11)</f>
        <v>17883.58600494</v>
      </c>
      <c r="AN12" s="18">
        <f>SUM(AN9:AN11)</f>
        <v>3219.0454808892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5950.98</v>
      </c>
      <c r="AT12" s="18">
        <f>SUM(AT9:AT11)</f>
        <v>0</v>
      </c>
      <c r="AU12" s="18">
        <f>SUM(AU9:AU11)</f>
        <v>1071.1763999999998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57414.157220034</v>
      </c>
      <c r="BC12" s="18">
        <f t="shared" si="0"/>
        <v>0</v>
      </c>
      <c r="BD12" s="18">
        <f t="shared" si="0"/>
        <v>3830.6259466660067</v>
      </c>
      <c r="BE12" s="19">
        <f t="shared" si="0"/>
        <v>-27614.769999999997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6"/>
      <c r="AD13" s="96"/>
      <c r="AE13" s="97"/>
      <c r="AF13" s="97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14"/>
      <c r="AV13" s="14"/>
      <c r="AW13" s="14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11">
        <v>3264.5</v>
      </c>
      <c r="C14" s="103">
        <f aca="true" t="shared" si="1" ref="C14:C25">B14*8.65</f>
        <v>28237.925000000003</v>
      </c>
      <c r="D14" s="104">
        <f>C14*0.125</f>
        <v>3529.7406250000004</v>
      </c>
      <c r="E14" s="126">
        <v>2068.98</v>
      </c>
      <c r="F14" s="126">
        <v>502.65</v>
      </c>
      <c r="G14" s="126">
        <v>2793.15</v>
      </c>
      <c r="H14" s="126">
        <v>678.58</v>
      </c>
      <c r="I14" s="126">
        <v>6724.21</v>
      </c>
      <c r="J14" s="126">
        <v>1633.62</v>
      </c>
      <c r="K14" s="126">
        <v>4655.22</v>
      </c>
      <c r="L14" s="126">
        <v>1130.97</v>
      </c>
      <c r="M14" s="126">
        <v>1655.19</v>
      </c>
      <c r="N14" s="126">
        <v>402.12</v>
      </c>
      <c r="O14" s="126">
        <v>0</v>
      </c>
      <c r="P14" s="131">
        <v>0</v>
      </c>
      <c r="Q14" s="126">
        <v>0</v>
      </c>
      <c r="R14" s="131">
        <v>0</v>
      </c>
      <c r="S14" s="91">
        <f aca="true" t="shared" si="2" ref="S14:S25">E14+G14+I14+K14+M14+O14+Q14</f>
        <v>17896.75</v>
      </c>
      <c r="T14" s="105">
        <f aca="true" t="shared" si="3" ref="T14:T25">P14+N14+L14+J14+H14+F14+R14</f>
        <v>4347.94</v>
      </c>
      <c r="U14" s="91">
        <v>1595.65</v>
      </c>
      <c r="V14" s="91">
        <v>2154.05</v>
      </c>
      <c r="W14" s="91">
        <v>4843.47</v>
      </c>
      <c r="X14" s="91">
        <v>3590.15</v>
      </c>
      <c r="Y14" s="133">
        <v>1276.51</v>
      </c>
      <c r="Z14" s="91">
        <v>0</v>
      </c>
      <c r="AA14" s="106">
        <v>0</v>
      </c>
      <c r="AB14" s="112">
        <f aca="true" t="shared" si="4" ref="AB14:AB22">SUM(U14:AA14)</f>
        <v>13459.83</v>
      </c>
      <c r="AC14" s="110">
        <f aca="true" t="shared" si="5" ref="AC14:AC22">D14+T14+AB14</f>
        <v>21337.510625</v>
      </c>
      <c r="AD14" s="100">
        <f aca="true" t="shared" si="6" ref="AD14:AD25">P14+Z14</f>
        <v>0</v>
      </c>
      <c r="AE14" s="100">
        <f aca="true" t="shared" si="7" ref="AE14:AE25">R14+AA14</f>
        <v>0</v>
      </c>
      <c r="AF14" s="100"/>
      <c r="AG14" s="16">
        <f>0.6*B14*0.9</f>
        <v>1762.83</v>
      </c>
      <c r="AH14" s="16">
        <f>B14*0.2*0.891</f>
        <v>581.7339000000001</v>
      </c>
      <c r="AI14" s="16">
        <f>0.85*B14*0.867-0.02</f>
        <v>2405.753275</v>
      </c>
      <c r="AJ14" s="16">
        <f aca="true" t="shared" si="8" ref="AJ14:AJ25">AI14*0.18</f>
        <v>433.0355895</v>
      </c>
      <c r="AK14" s="16">
        <f>0.83*B14*0.8685</f>
        <v>2353.2311475</v>
      </c>
      <c r="AL14" s="16">
        <f aca="true" t="shared" si="9" ref="AL14:AL25">AK14*0.18</f>
        <v>423.58160655</v>
      </c>
      <c r="AM14" s="16">
        <f>1.91*B14*0.8686</f>
        <v>5415.890377</v>
      </c>
      <c r="AN14" s="16">
        <f aca="true" t="shared" si="10" ref="AN14:AN25">AM14*0.18</f>
        <v>974.8602678599999</v>
      </c>
      <c r="AO14" s="16"/>
      <c r="AP14" s="16">
        <f aca="true" t="shared" si="11" ref="AP14:AR25">AO14*0.18</f>
        <v>0</v>
      </c>
      <c r="AQ14" s="113"/>
      <c r="AR14" s="113">
        <f>AQ14*0.18</f>
        <v>0</v>
      </c>
      <c r="AS14" s="95">
        <v>6576</v>
      </c>
      <c r="AT14" s="95"/>
      <c r="AU14" s="95">
        <f>(AS14+AT14)*0.18+0.01</f>
        <v>1183.69</v>
      </c>
      <c r="AV14" s="114">
        <v>508</v>
      </c>
      <c r="AW14" s="134">
        <v>1.75</v>
      </c>
      <c r="AX14" s="16">
        <f aca="true" t="shared" si="12" ref="AX14:AX25">AV14*AW14*1.12*1.18</f>
        <v>1174.9024</v>
      </c>
      <c r="AY14" s="116"/>
      <c r="AZ14" s="117"/>
      <c r="BA14" s="117">
        <f>AZ14*0.18</f>
        <v>0</v>
      </c>
      <c r="BB14" s="117">
        <f>SUM(AG14:AU14)</f>
        <v>22110.60616341</v>
      </c>
      <c r="BC14" s="123"/>
      <c r="BD14" s="14">
        <f aca="true" t="shared" si="13" ref="BD14:BD25">AC14+AF14-BB14-BC14</f>
        <v>-773.0955384100016</v>
      </c>
      <c r="BE14" s="30">
        <f>AB14-S14</f>
        <v>-4436.92</v>
      </c>
    </row>
    <row r="15" spans="1:57" ht="12.75" hidden="1">
      <c r="A15" s="11" t="s">
        <v>46</v>
      </c>
      <c r="B15" s="111">
        <v>3264.5</v>
      </c>
      <c r="C15" s="103">
        <f t="shared" si="1"/>
        <v>28237.925000000003</v>
      </c>
      <c r="D15" s="104">
        <f>C15*0.125</f>
        <v>3529.7406250000004</v>
      </c>
      <c r="E15" s="126">
        <v>2133.72</v>
      </c>
      <c r="F15" s="126">
        <v>521.22</v>
      </c>
      <c r="G15" s="126">
        <v>2880.55</v>
      </c>
      <c r="H15" s="126">
        <v>703.64</v>
      </c>
      <c r="I15" s="126">
        <v>6937.49</v>
      </c>
      <c r="J15" s="126">
        <v>1693.96</v>
      </c>
      <c r="K15" s="126">
        <v>4800.92</v>
      </c>
      <c r="L15" s="126">
        <v>1172.74</v>
      </c>
      <c r="M15" s="126">
        <v>1706.99</v>
      </c>
      <c r="N15" s="126">
        <v>416.97</v>
      </c>
      <c r="O15" s="126">
        <v>0</v>
      </c>
      <c r="P15" s="131">
        <v>0</v>
      </c>
      <c r="Q15" s="126">
        <v>0</v>
      </c>
      <c r="R15" s="131">
        <v>0</v>
      </c>
      <c r="S15" s="91">
        <f t="shared" si="2"/>
        <v>18459.670000000002</v>
      </c>
      <c r="T15" s="105">
        <f t="shared" si="3"/>
        <v>4508.53</v>
      </c>
      <c r="U15" s="91">
        <v>1708.54</v>
      </c>
      <c r="V15" s="91">
        <v>2244.7</v>
      </c>
      <c r="W15" s="91">
        <v>5330.65</v>
      </c>
      <c r="X15" s="91">
        <v>3714.41</v>
      </c>
      <c r="Y15" s="133">
        <v>1346.53</v>
      </c>
      <c r="Z15" s="91">
        <v>0</v>
      </c>
      <c r="AA15" s="106">
        <v>0</v>
      </c>
      <c r="AB15" s="109">
        <f t="shared" si="4"/>
        <v>14344.83</v>
      </c>
      <c r="AC15" s="110">
        <f t="shared" si="5"/>
        <v>22383.100625</v>
      </c>
      <c r="AD15" s="100">
        <f t="shared" si="6"/>
        <v>0</v>
      </c>
      <c r="AE15" s="100">
        <f t="shared" si="7"/>
        <v>0</v>
      </c>
      <c r="AF15" s="100"/>
      <c r="AG15" s="16">
        <f>0.6*B15*0.9</f>
        <v>1762.83</v>
      </c>
      <c r="AH15" s="16">
        <f>B15*0.2*0.9153</f>
        <v>597.5993700000001</v>
      </c>
      <c r="AI15" s="16">
        <f>0.85*B15*0.867</f>
        <v>2405.773275</v>
      </c>
      <c r="AJ15" s="16">
        <f t="shared" si="8"/>
        <v>433.03918949999996</v>
      </c>
      <c r="AK15" s="16">
        <f>0.83*B15*0.8684</f>
        <v>2352.960194</v>
      </c>
      <c r="AL15" s="16">
        <f t="shared" si="9"/>
        <v>423.53283491999997</v>
      </c>
      <c r="AM15" s="16">
        <f>(1.91)*B15*0.8684</f>
        <v>5414.643338</v>
      </c>
      <c r="AN15" s="16">
        <f t="shared" si="10"/>
        <v>974.6358008399999</v>
      </c>
      <c r="AO15" s="16"/>
      <c r="AP15" s="16">
        <f t="shared" si="11"/>
        <v>0</v>
      </c>
      <c r="AQ15" s="113"/>
      <c r="AR15" s="113">
        <f>AQ15*0.18</f>
        <v>0</v>
      </c>
      <c r="AS15" s="95">
        <v>7425</v>
      </c>
      <c r="AT15" s="95"/>
      <c r="AU15" s="95">
        <f aca="true" t="shared" si="14" ref="AU15:AU25">(AS15+AT15)*0.18</f>
        <v>1336.5</v>
      </c>
      <c r="AV15" s="114">
        <v>407</v>
      </c>
      <c r="AW15" s="134">
        <v>1.75</v>
      </c>
      <c r="AX15" s="16">
        <f t="shared" si="12"/>
        <v>941.3095999999999</v>
      </c>
      <c r="AY15" s="116"/>
      <c r="AZ15" s="117"/>
      <c r="BA15" s="117">
        <f>AZ15*0.18</f>
        <v>0</v>
      </c>
      <c r="BB15" s="117">
        <f>SUM(AG15:AU15)+AY15</f>
        <v>23126.514002260003</v>
      </c>
      <c r="BC15" s="120"/>
      <c r="BD15" s="14">
        <f t="shared" si="13"/>
        <v>-743.4133772600035</v>
      </c>
      <c r="BE15" s="30">
        <f aca="true" t="shared" si="15" ref="BE15:BE21">AB15-S15</f>
        <v>-4114.840000000002</v>
      </c>
    </row>
    <row r="16" spans="1:57" ht="12.75" hidden="1">
      <c r="A16" s="11" t="s">
        <v>47</v>
      </c>
      <c r="B16" s="127">
        <v>3274.7</v>
      </c>
      <c r="C16" s="103">
        <f t="shared" si="1"/>
        <v>28326.155</v>
      </c>
      <c r="D16" s="104">
        <f>C16*0.125</f>
        <v>3540.769375</v>
      </c>
      <c r="E16" s="126">
        <v>2104.95</v>
      </c>
      <c r="F16" s="126">
        <v>521.22</v>
      </c>
      <c r="G16" s="126">
        <v>2841.75</v>
      </c>
      <c r="H16" s="126">
        <v>703.64</v>
      </c>
      <c r="I16" s="126">
        <v>6841.17</v>
      </c>
      <c r="J16" s="126">
        <v>1693.96</v>
      </c>
      <c r="K16" s="126">
        <v>4736.25</v>
      </c>
      <c r="L16" s="126">
        <v>1172.74</v>
      </c>
      <c r="M16" s="126">
        <v>1684</v>
      </c>
      <c r="N16" s="126">
        <v>416.97</v>
      </c>
      <c r="O16" s="126">
        <v>0</v>
      </c>
      <c r="P16" s="131">
        <v>0</v>
      </c>
      <c r="Q16" s="126">
        <v>0</v>
      </c>
      <c r="R16" s="131">
        <v>0</v>
      </c>
      <c r="S16" s="91">
        <f t="shared" si="2"/>
        <v>18208.12</v>
      </c>
      <c r="T16" s="105">
        <f t="shared" si="3"/>
        <v>4508.53</v>
      </c>
      <c r="U16" s="92">
        <v>2691.11</v>
      </c>
      <c r="V16" s="92">
        <v>3662.15</v>
      </c>
      <c r="W16" s="92">
        <v>8805.52</v>
      </c>
      <c r="X16" s="92">
        <v>6103.52</v>
      </c>
      <c r="Y16" s="135">
        <v>2170.18</v>
      </c>
      <c r="Z16" s="92">
        <v>0</v>
      </c>
      <c r="AA16" s="118">
        <v>0</v>
      </c>
      <c r="AB16" s="112">
        <f t="shared" si="4"/>
        <v>23432.480000000003</v>
      </c>
      <c r="AC16" s="110">
        <f t="shared" si="5"/>
        <v>31481.779375000002</v>
      </c>
      <c r="AD16" s="100">
        <f t="shared" si="6"/>
        <v>0</v>
      </c>
      <c r="AE16" s="100">
        <f t="shared" si="7"/>
        <v>0</v>
      </c>
      <c r="AF16" s="100"/>
      <c r="AG16" s="16">
        <f>0.6*B16*0.9</f>
        <v>1768.3379999999997</v>
      </c>
      <c r="AH16" s="119">
        <f>B16*0.2*0.9082</f>
        <v>594.816508</v>
      </c>
      <c r="AI16" s="16">
        <f>0.85*B16*0.8675</f>
        <v>2414.6819125</v>
      </c>
      <c r="AJ16" s="16">
        <f t="shared" si="8"/>
        <v>434.64274425</v>
      </c>
      <c r="AK16" s="119">
        <f>0.83*B16*0.838</f>
        <v>2277.6848379999997</v>
      </c>
      <c r="AL16" s="16">
        <f t="shared" si="9"/>
        <v>409.98327083999993</v>
      </c>
      <c r="AM16" s="16">
        <f>1.91*B16*0.8381</f>
        <v>5242.0447937</v>
      </c>
      <c r="AN16" s="16">
        <f t="shared" si="10"/>
        <v>943.568062866</v>
      </c>
      <c r="AO16" s="16"/>
      <c r="AP16" s="16">
        <f t="shared" si="11"/>
        <v>0</v>
      </c>
      <c r="AQ16" s="113"/>
      <c r="AR16" s="113">
        <f>AQ16*0.18</f>
        <v>0</v>
      </c>
      <c r="AS16" s="95"/>
      <c r="AT16" s="95"/>
      <c r="AU16" s="95">
        <f t="shared" si="14"/>
        <v>0</v>
      </c>
      <c r="AV16" s="114">
        <v>383</v>
      </c>
      <c r="AW16" s="134">
        <v>1.75</v>
      </c>
      <c r="AX16" s="16">
        <f t="shared" si="12"/>
        <v>885.8024</v>
      </c>
      <c r="AY16" s="116"/>
      <c r="AZ16" s="117"/>
      <c r="BA16" s="117">
        <f>AZ16*0.18</f>
        <v>0</v>
      </c>
      <c r="BB16" s="117">
        <f>SUM(AG16:AU16)</f>
        <v>14085.760130155999</v>
      </c>
      <c r="BC16" s="120"/>
      <c r="BD16" s="14">
        <f t="shared" si="13"/>
        <v>17396.019244844003</v>
      </c>
      <c r="BE16" s="30">
        <f t="shared" si="15"/>
        <v>5224.360000000004</v>
      </c>
    </row>
    <row r="17" spans="1:57" ht="12.75" hidden="1">
      <c r="A17" s="11" t="s">
        <v>48</v>
      </c>
      <c r="B17" s="129">
        <v>3274.7</v>
      </c>
      <c r="C17" s="103">
        <f t="shared" si="1"/>
        <v>28326.155</v>
      </c>
      <c r="D17" s="104">
        <f>C17*0.125</f>
        <v>3540.769375</v>
      </c>
      <c r="E17" s="128">
        <v>2233.17</v>
      </c>
      <c r="F17" s="128">
        <v>521.22</v>
      </c>
      <c r="G17" s="128">
        <v>3014.81</v>
      </c>
      <c r="H17" s="128">
        <v>703.64</v>
      </c>
      <c r="I17" s="128">
        <v>7257.87</v>
      </c>
      <c r="J17" s="128">
        <v>1693.96</v>
      </c>
      <c r="K17" s="128">
        <v>5024.72</v>
      </c>
      <c r="L17" s="128">
        <v>1172.74</v>
      </c>
      <c r="M17" s="128">
        <v>1786.56</v>
      </c>
      <c r="N17" s="128">
        <v>416.97</v>
      </c>
      <c r="O17" s="128">
        <v>0</v>
      </c>
      <c r="P17" s="132">
        <v>0</v>
      </c>
      <c r="Q17" s="128">
        <v>0</v>
      </c>
      <c r="R17" s="132">
        <v>0</v>
      </c>
      <c r="S17" s="91">
        <f t="shared" si="2"/>
        <v>19317.13</v>
      </c>
      <c r="T17" s="105">
        <f t="shared" si="3"/>
        <v>4508.53</v>
      </c>
      <c r="U17" s="91">
        <v>1866.36</v>
      </c>
      <c r="V17" s="91">
        <v>2529.12</v>
      </c>
      <c r="W17" s="91">
        <v>6065.6</v>
      </c>
      <c r="X17" s="91">
        <v>4207.56</v>
      </c>
      <c r="Y17" s="91">
        <v>1503.44</v>
      </c>
      <c r="Z17" s="91">
        <v>0</v>
      </c>
      <c r="AA17" s="91">
        <v>0</v>
      </c>
      <c r="AB17" s="112">
        <f t="shared" si="4"/>
        <v>16172.08</v>
      </c>
      <c r="AC17" s="110">
        <f t="shared" si="5"/>
        <v>24221.379375</v>
      </c>
      <c r="AD17" s="100">
        <f t="shared" si="6"/>
        <v>0</v>
      </c>
      <c r="AE17" s="100">
        <f t="shared" si="7"/>
        <v>0</v>
      </c>
      <c r="AF17" s="100"/>
      <c r="AG17" s="16">
        <f>0.6*B17*0.9</f>
        <v>1768.3379999999997</v>
      </c>
      <c r="AH17" s="119">
        <f>B17*0.2*0.9234</f>
        <v>604.771596</v>
      </c>
      <c r="AI17" s="16">
        <f>0.85*B17*0.8934</f>
        <v>2486.774433</v>
      </c>
      <c r="AJ17" s="16">
        <f t="shared" si="8"/>
        <v>447.61939794</v>
      </c>
      <c r="AK17" s="16">
        <f>0.83*B17*0.8498</f>
        <v>2309.7572498</v>
      </c>
      <c r="AL17" s="16">
        <f t="shared" si="9"/>
        <v>415.756304964</v>
      </c>
      <c r="AM17" s="16">
        <f>(1.91)*B17*0.8498</f>
        <v>5315.2245146</v>
      </c>
      <c r="AN17" s="16">
        <f t="shared" si="10"/>
        <v>956.7404126279998</v>
      </c>
      <c r="AO17" s="16"/>
      <c r="AP17" s="16">
        <f t="shared" si="11"/>
        <v>0</v>
      </c>
      <c r="AQ17" s="113"/>
      <c r="AR17" s="113">
        <f t="shared" si="11"/>
        <v>0</v>
      </c>
      <c r="AS17" s="95">
        <v>510</v>
      </c>
      <c r="AT17" s="95"/>
      <c r="AU17" s="95">
        <f t="shared" si="14"/>
        <v>91.8</v>
      </c>
      <c r="AV17" s="114">
        <v>307</v>
      </c>
      <c r="AW17" s="134">
        <v>1.75</v>
      </c>
      <c r="AX17" s="16">
        <f t="shared" si="12"/>
        <v>710.0296</v>
      </c>
      <c r="AY17" s="125"/>
      <c r="AZ17" s="31"/>
      <c r="BA17" s="14">
        <f aca="true" t="shared" si="16" ref="BA17:BA25">AZ17*0.18</f>
        <v>0</v>
      </c>
      <c r="BB17" s="14">
        <f>SUM(AG17:BA17)-AV17-AW17+AX14+AX15+AX16</f>
        <v>18618.825908931998</v>
      </c>
      <c r="BC17" s="120"/>
      <c r="BD17" s="14">
        <f t="shared" si="13"/>
        <v>5602.553466068002</v>
      </c>
      <c r="BE17" s="30">
        <f t="shared" si="15"/>
        <v>-3145.050000000001</v>
      </c>
    </row>
    <row r="18" spans="1:57" ht="12.75" hidden="1">
      <c r="A18" s="11" t="s">
        <v>49</v>
      </c>
      <c r="B18" s="127">
        <v>3274.7</v>
      </c>
      <c r="C18" s="103">
        <f t="shared" si="1"/>
        <v>28326.155</v>
      </c>
      <c r="D18" s="121">
        <f aca="true" t="shared" si="17" ref="D18:D25">C18-E18-F18-G18-H18-I18-J18-K18-L18-M18-N18</f>
        <v>3431.2350000000006</v>
      </c>
      <c r="E18" s="128">
        <v>2317.52</v>
      </c>
      <c r="F18" s="128">
        <v>555.6</v>
      </c>
      <c r="G18" s="128">
        <v>3139.75</v>
      </c>
      <c r="H18" s="128">
        <v>753.12</v>
      </c>
      <c r="I18" s="128">
        <v>7543.04</v>
      </c>
      <c r="J18" s="128">
        <v>1808.74</v>
      </c>
      <c r="K18" s="128">
        <v>5225.49</v>
      </c>
      <c r="L18" s="128">
        <v>1253.2</v>
      </c>
      <c r="M18" s="128">
        <v>1854</v>
      </c>
      <c r="N18" s="128">
        <v>444.46</v>
      </c>
      <c r="O18" s="128">
        <v>0</v>
      </c>
      <c r="P18" s="132">
        <v>0</v>
      </c>
      <c r="Q18" s="128">
        <v>0</v>
      </c>
      <c r="R18" s="132">
        <v>0</v>
      </c>
      <c r="S18" s="91">
        <f t="shared" si="2"/>
        <v>20079.800000000003</v>
      </c>
      <c r="T18" s="105">
        <f t="shared" si="3"/>
        <v>4815.120000000001</v>
      </c>
      <c r="U18" s="92">
        <v>2439.05</v>
      </c>
      <c r="V18" s="92">
        <v>3298.11</v>
      </c>
      <c r="W18" s="92">
        <v>7938.5</v>
      </c>
      <c r="X18" s="92">
        <v>5496.73</v>
      </c>
      <c r="Y18" s="135">
        <v>1954.42</v>
      </c>
      <c r="Z18" s="92">
        <v>0</v>
      </c>
      <c r="AA18" s="118">
        <v>0</v>
      </c>
      <c r="AB18" s="112">
        <f t="shared" si="4"/>
        <v>21126.809999999998</v>
      </c>
      <c r="AC18" s="110">
        <f t="shared" si="5"/>
        <v>29373.165</v>
      </c>
      <c r="AD18" s="100">
        <f t="shared" si="6"/>
        <v>0</v>
      </c>
      <c r="AE18" s="100">
        <f t="shared" si="7"/>
        <v>0</v>
      </c>
      <c r="AF18" s="100"/>
      <c r="AG18" s="16">
        <f aca="true" t="shared" si="18" ref="AG18:AG25">0.6*B18</f>
        <v>1964.8199999999997</v>
      </c>
      <c r="AH18" s="16">
        <f>B18*0.2*1.01</f>
        <v>661.4894</v>
      </c>
      <c r="AI18" s="16">
        <f>0.85*B18</f>
        <v>2783.495</v>
      </c>
      <c r="AJ18" s="16">
        <f t="shared" si="8"/>
        <v>501.02909999999997</v>
      </c>
      <c r="AK18" s="16">
        <f>0.83*B18</f>
        <v>2718.0009999999997</v>
      </c>
      <c r="AL18" s="16">
        <f t="shared" si="9"/>
        <v>489.24017999999995</v>
      </c>
      <c r="AM18" s="16">
        <f>(1.91)*B18</f>
        <v>6254.677</v>
      </c>
      <c r="AN18" s="16">
        <f t="shared" si="10"/>
        <v>1125.84186</v>
      </c>
      <c r="AO18" s="16"/>
      <c r="AP18" s="16">
        <f t="shared" si="11"/>
        <v>0</v>
      </c>
      <c r="AQ18" s="113"/>
      <c r="AR18" s="113">
        <f t="shared" si="11"/>
        <v>0</v>
      </c>
      <c r="AS18" s="95">
        <v>2381.39</v>
      </c>
      <c r="AT18" s="95"/>
      <c r="AU18" s="95">
        <f t="shared" si="14"/>
        <v>428.6502</v>
      </c>
      <c r="AV18" s="114">
        <v>263</v>
      </c>
      <c r="AW18" s="134">
        <v>1.75</v>
      </c>
      <c r="AX18" s="16">
        <f t="shared" si="12"/>
        <v>608.2664</v>
      </c>
      <c r="AY18" s="116"/>
      <c r="AZ18" s="117"/>
      <c r="BA18" s="117">
        <f t="shared" si="16"/>
        <v>0</v>
      </c>
      <c r="BB18" s="117">
        <f>SUM(AG18:BA18)-AV18-AW18</f>
        <v>19916.900139999998</v>
      </c>
      <c r="BC18" s="120"/>
      <c r="BD18" s="14">
        <f t="shared" si="13"/>
        <v>9456.264860000003</v>
      </c>
      <c r="BE18" s="30">
        <f>AB18-S18</f>
        <v>1047.0099999999948</v>
      </c>
    </row>
    <row r="19" spans="1:57" ht="12.75" hidden="1">
      <c r="A19" s="11" t="s">
        <v>50</v>
      </c>
      <c r="B19" s="127">
        <v>3274.7</v>
      </c>
      <c r="C19" s="103">
        <f t="shared" si="1"/>
        <v>28326.155</v>
      </c>
      <c r="D19" s="121">
        <f t="shared" si="17"/>
        <v>3172.904999999997</v>
      </c>
      <c r="E19" s="128">
        <v>2348.39</v>
      </c>
      <c r="F19" s="128">
        <v>555.59</v>
      </c>
      <c r="G19" s="128">
        <v>3178.56</v>
      </c>
      <c r="H19" s="128">
        <v>753.13</v>
      </c>
      <c r="I19" s="128">
        <v>7640.41</v>
      </c>
      <c r="J19" s="128">
        <v>1808.74</v>
      </c>
      <c r="K19" s="128">
        <v>5292</v>
      </c>
      <c r="L19" s="128">
        <v>1253.2</v>
      </c>
      <c r="M19" s="128">
        <v>1878.76</v>
      </c>
      <c r="N19" s="128">
        <v>444.47</v>
      </c>
      <c r="O19" s="128">
        <v>0</v>
      </c>
      <c r="P19" s="132">
        <v>0</v>
      </c>
      <c r="Q19" s="128">
        <v>0</v>
      </c>
      <c r="R19" s="132">
        <v>0</v>
      </c>
      <c r="S19" s="91">
        <f t="shared" si="2"/>
        <v>20338.12</v>
      </c>
      <c r="T19" s="105">
        <f t="shared" si="3"/>
        <v>4815.13</v>
      </c>
      <c r="U19" s="92">
        <v>1902.41</v>
      </c>
      <c r="V19" s="92">
        <v>2569.32</v>
      </c>
      <c r="W19" s="92">
        <v>6152.69</v>
      </c>
      <c r="X19" s="92">
        <v>4266.54</v>
      </c>
      <c r="Y19" s="135">
        <v>1525.15</v>
      </c>
      <c r="Z19" s="92">
        <v>0</v>
      </c>
      <c r="AA19" s="118">
        <v>0</v>
      </c>
      <c r="AB19" s="112">
        <f t="shared" si="4"/>
        <v>16416.11</v>
      </c>
      <c r="AC19" s="110">
        <f t="shared" si="5"/>
        <v>24404.144999999997</v>
      </c>
      <c r="AD19" s="100">
        <f t="shared" si="6"/>
        <v>0</v>
      </c>
      <c r="AE19" s="100">
        <f t="shared" si="7"/>
        <v>0</v>
      </c>
      <c r="AF19" s="100"/>
      <c r="AG19" s="16">
        <f t="shared" si="18"/>
        <v>1964.8199999999997</v>
      </c>
      <c r="AH19" s="16">
        <f>B19*0.2*1.01045</f>
        <v>661.7841230000001</v>
      </c>
      <c r="AI19" s="16">
        <f>0.85*B19</f>
        <v>2783.495</v>
      </c>
      <c r="AJ19" s="16">
        <f t="shared" si="8"/>
        <v>501.02909999999997</v>
      </c>
      <c r="AK19" s="16">
        <f>0.83*B19</f>
        <v>2718.0009999999997</v>
      </c>
      <c r="AL19" s="16">
        <f t="shared" si="9"/>
        <v>489.24017999999995</v>
      </c>
      <c r="AM19" s="16">
        <f>(1.91)*B19</f>
        <v>6254.677</v>
      </c>
      <c r="AN19" s="16">
        <f t="shared" si="10"/>
        <v>1125.84186</v>
      </c>
      <c r="AO19" s="16"/>
      <c r="AP19" s="16">
        <f t="shared" si="11"/>
        <v>0</v>
      </c>
      <c r="AQ19" s="113"/>
      <c r="AR19" s="113">
        <f t="shared" si="11"/>
        <v>0</v>
      </c>
      <c r="AS19" s="95"/>
      <c r="AT19" s="95"/>
      <c r="AU19" s="95">
        <f t="shared" si="14"/>
        <v>0</v>
      </c>
      <c r="AV19" s="114">
        <v>233</v>
      </c>
      <c r="AW19" s="134">
        <v>1.75</v>
      </c>
      <c r="AX19" s="16">
        <f t="shared" si="12"/>
        <v>538.8824000000001</v>
      </c>
      <c r="AY19" s="116"/>
      <c r="AZ19" s="117"/>
      <c r="BA19" s="117">
        <f t="shared" si="16"/>
        <v>0</v>
      </c>
      <c r="BB19" s="117">
        <f>SUM(AG19:BA19)-AV19-AW19</f>
        <v>17037.770663</v>
      </c>
      <c r="BC19" s="120"/>
      <c r="BD19" s="14">
        <f t="shared" si="13"/>
        <v>7366.3743369999975</v>
      </c>
      <c r="BE19" s="30">
        <f t="shared" si="15"/>
        <v>-3922.0099999999984</v>
      </c>
    </row>
    <row r="20" spans="1:57" ht="12.75" hidden="1">
      <c r="A20" s="11" t="s">
        <v>51</v>
      </c>
      <c r="B20" s="111">
        <v>3273.68</v>
      </c>
      <c r="C20" s="103">
        <f t="shared" si="1"/>
        <v>28317.332</v>
      </c>
      <c r="D20" s="121">
        <f t="shared" si="17"/>
        <v>2979.4319999999957</v>
      </c>
      <c r="E20" s="128">
        <v>2366.96</v>
      </c>
      <c r="F20" s="128">
        <v>557.4</v>
      </c>
      <c r="G20" s="128">
        <v>3206.41</v>
      </c>
      <c r="H20" s="128">
        <v>755.56</v>
      </c>
      <c r="I20" s="128">
        <v>7703.6</v>
      </c>
      <c r="J20" s="128">
        <v>1814.6</v>
      </c>
      <c r="K20" s="128">
        <v>5336.66</v>
      </c>
      <c r="L20" s="128">
        <v>1257.26</v>
      </c>
      <c r="M20" s="128">
        <v>1893.55</v>
      </c>
      <c r="N20" s="128">
        <v>445.9</v>
      </c>
      <c r="O20" s="128">
        <v>0</v>
      </c>
      <c r="P20" s="132">
        <v>0</v>
      </c>
      <c r="Q20" s="128">
        <v>0</v>
      </c>
      <c r="R20" s="132">
        <v>0</v>
      </c>
      <c r="S20" s="91">
        <f t="shared" si="2"/>
        <v>20507.18</v>
      </c>
      <c r="T20" s="105">
        <f t="shared" si="3"/>
        <v>4830.719999999999</v>
      </c>
      <c r="U20" s="92">
        <v>2627.46</v>
      </c>
      <c r="V20" s="92">
        <v>3551.57</v>
      </c>
      <c r="W20" s="92">
        <v>8511.09</v>
      </c>
      <c r="X20" s="92">
        <v>5900.94</v>
      </c>
      <c r="Y20" s="135">
        <v>2105.3</v>
      </c>
      <c r="Z20" s="92">
        <v>0</v>
      </c>
      <c r="AA20" s="118">
        <v>0</v>
      </c>
      <c r="AB20" s="112">
        <f t="shared" si="4"/>
        <v>22696.36</v>
      </c>
      <c r="AC20" s="110">
        <f t="shared" si="5"/>
        <v>30506.511999999995</v>
      </c>
      <c r="AD20" s="100">
        <f t="shared" si="6"/>
        <v>0</v>
      </c>
      <c r="AE20" s="100">
        <f t="shared" si="7"/>
        <v>0</v>
      </c>
      <c r="AF20" s="100">
        <f>'[1]Т07-09'!$I$47+'[1]Т07-09'!$I$48</f>
        <v>2814.03388</v>
      </c>
      <c r="AG20" s="16">
        <f t="shared" si="18"/>
        <v>1964.2079999999999</v>
      </c>
      <c r="AH20" s="16">
        <f>B20*0.2*0.99425</f>
        <v>650.971268</v>
      </c>
      <c r="AI20" s="16">
        <f>0.85*B20*0.9857</f>
        <v>2742.8364195999998</v>
      </c>
      <c r="AJ20" s="16">
        <f t="shared" si="8"/>
        <v>493.71055552799993</v>
      </c>
      <c r="AK20" s="16">
        <f>0.83*B20*0.9905</f>
        <v>2691.3414332</v>
      </c>
      <c r="AL20" s="16">
        <f t="shared" si="9"/>
        <v>484.44145797600004</v>
      </c>
      <c r="AM20" s="16">
        <f>(1.91)*B20*0.9904</f>
        <v>6192.70260352</v>
      </c>
      <c r="AN20" s="16">
        <f t="shared" si="10"/>
        <v>1114.6864686335998</v>
      </c>
      <c r="AO20" s="16"/>
      <c r="AP20" s="16">
        <f t="shared" si="11"/>
        <v>0</v>
      </c>
      <c r="AQ20" s="113"/>
      <c r="AR20" s="113">
        <f t="shared" si="11"/>
        <v>0</v>
      </c>
      <c r="AS20" s="95">
        <f>4703</f>
        <v>4703</v>
      </c>
      <c r="AT20" s="95">
        <f>228.81*2</f>
        <v>457.62</v>
      </c>
      <c r="AU20" s="95">
        <f t="shared" si="14"/>
        <v>928.9115999999999</v>
      </c>
      <c r="AV20" s="114">
        <v>248</v>
      </c>
      <c r="AW20" s="134">
        <v>1.75</v>
      </c>
      <c r="AX20" s="16">
        <f t="shared" si="12"/>
        <v>573.5744</v>
      </c>
      <c r="AY20" s="116"/>
      <c r="AZ20" s="117"/>
      <c r="BA20" s="117">
        <f t="shared" si="16"/>
        <v>0</v>
      </c>
      <c r="BB20" s="117">
        <f>SUM(AG20:BA20)-AV20-AW20</f>
        <v>22998.004206457597</v>
      </c>
      <c r="BC20" s="120">
        <f>'[1]Т07-09'!$O$47+'[1]Т07-09'!$O$48</f>
        <v>1124.4664671599999</v>
      </c>
      <c r="BD20" s="14">
        <f t="shared" si="13"/>
        <v>9198.0752063824</v>
      </c>
      <c r="BE20" s="30">
        <f t="shared" si="15"/>
        <v>2189.1800000000003</v>
      </c>
    </row>
    <row r="21" spans="1:57" ht="12.75" hidden="1">
      <c r="A21" s="11" t="s">
        <v>52</v>
      </c>
      <c r="B21" s="102">
        <v>3273.68</v>
      </c>
      <c r="C21" s="103">
        <f t="shared" si="1"/>
        <v>28317.332</v>
      </c>
      <c r="D21" s="121">
        <f t="shared" si="17"/>
        <v>2701.992000000002</v>
      </c>
      <c r="E21" s="128">
        <v>2398.89</v>
      </c>
      <c r="F21" s="128">
        <v>557.46</v>
      </c>
      <c r="G21" s="128">
        <v>3249.76</v>
      </c>
      <c r="H21" s="128">
        <v>755.64</v>
      </c>
      <c r="I21" s="128">
        <v>7807.64</v>
      </c>
      <c r="J21" s="128">
        <v>1814.79</v>
      </c>
      <c r="K21" s="128">
        <v>5408.74</v>
      </c>
      <c r="L21" s="128">
        <v>1257.39</v>
      </c>
      <c r="M21" s="128">
        <v>1919.08</v>
      </c>
      <c r="N21" s="128">
        <v>445.95</v>
      </c>
      <c r="O21" s="128">
        <v>0</v>
      </c>
      <c r="P21" s="132">
        <v>0</v>
      </c>
      <c r="Q21" s="92">
        <v>0</v>
      </c>
      <c r="R21" s="92">
        <v>0</v>
      </c>
      <c r="S21" s="91">
        <f t="shared" si="2"/>
        <v>20784.11</v>
      </c>
      <c r="T21" s="105">
        <f t="shared" si="3"/>
        <v>4831.2300000000005</v>
      </c>
      <c r="U21" s="92">
        <v>2085.57</v>
      </c>
      <c r="V21" s="92">
        <v>2824.13</v>
      </c>
      <c r="W21" s="92">
        <v>6786.61</v>
      </c>
      <c r="X21" s="92">
        <v>4700.92</v>
      </c>
      <c r="Y21" s="135">
        <v>1668.43</v>
      </c>
      <c r="Z21" s="92">
        <v>0</v>
      </c>
      <c r="AA21" s="118">
        <v>0</v>
      </c>
      <c r="AB21" s="112">
        <f t="shared" si="4"/>
        <v>18065.660000000003</v>
      </c>
      <c r="AC21" s="110">
        <f t="shared" si="5"/>
        <v>25598.882000000005</v>
      </c>
      <c r="AD21" s="100">
        <f t="shared" si="6"/>
        <v>0</v>
      </c>
      <c r="AE21" s="100">
        <f t="shared" si="7"/>
        <v>0</v>
      </c>
      <c r="AF21" s="100">
        <f>'[1]Т08-09'!$I$47+'[1]Т08-09'!$I$48</f>
        <v>2814.03388</v>
      </c>
      <c r="AG21" s="16">
        <f t="shared" si="18"/>
        <v>1964.2079999999999</v>
      </c>
      <c r="AH21" s="16">
        <f>B21*0.2*0.99875</f>
        <v>653.91758</v>
      </c>
      <c r="AI21" s="16">
        <f>0.85*B21*0.98526</f>
        <v>2741.61206328</v>
      </c>
      <c r="AJ21" s="16">
        <f t="shared" si="8"/>
        <v>493.49017139039995</v>
      </c>
      <c r="AK21" s="16">
        <f>0.83*B21</f>
        <v>2717.1544</v>
      </c>
      <c r="AL21" s="16">
        <f t="shared" si="9"/>
        <v>489.087792</v>
      </c>
      <c r="AM21" s="16">
        <f>(1.91)*B21</f>
        <v>6252.7288</v>
      </c>
      <c r="AN21" s="16">
        <f t="shared" si="10"/>
        <v>1125.491184</v>
      </c>
      <c r="AO21" s="16"/>
      <c r="AP21" s="16">
        <f t="shared" si="11"/>
        <v>0</v>
      </c>
      <c r="AQ21" s="113"/>
      <c r="AR21" s="113">
        <f t="shared" si="11"/>
        <v>0</v>
      </c>
      <c r="AS21" s="95">
        <v>22890</v>
      </c>
      <c r="AT21" s="95"/>
      <c r="AU21" s="95">
        <f t="shared" si="14"/>
        <v>4120.2</v>
      </c>
      <c r="AV21" s="114">
        <v>293</v>
      </c>
      <c r="AW21" s="134">
        <v>1.75</v>
      </c>
      <c r="AX21" s="16">
        <f t="shared" si="12"/>
        <v>677.6504000000001</v>
      </c>
      <c r="AY21" s="116"/>
      <c r="AZ21" s="117"/>
      <c r="BA21" s="117">
        <f t="shared" si="16"/>
        <v>0</v>
      </c>
      <c r="BB21" s="117">
        <f>SUM(AG21:BA21)-AV21-AW21</f>
        <v>44125.540390670394</v>
      </c>
      <c r="BC21" s="120">
        <f>'[1]Т08-09'!$O$47+'[1]Т08-09'!$O$48</f>
        <v>1129.9230710680001</v>
      </c>
      <c r="BD21" s="14">
        <f t="shared" si="13"/>
        <v>-16842.54758173839</v>
      </c>
      <c r="BE21" s="30">
        <f t="shared" si="15"/>
        <v>-2718.449999999997</v>
      </c>
    </row>
    <row r="22" spans="1:57" ht="12.75" hidden="1">
      <c r="A22" s="11" t="s">
        <v>53</v>
      </c>
      <c r="B22" s="102">
        <v>3273.68</v>
      </c>
      <c r="C22" s="103">
        <f t="shared" si="1"/>
        <v>28317.332</v>
      </c>
      <c r="D22" s="121">
        <f t="shared" si="17"/>
        <v>3487.012000000001</v>
      </c>
      <c r="E22" s="126">
        <v>2342.94</v>
      </c>
      <c r="F22" s="126">
        <v>557.44</v>
      </c>
      <c r="G22" s="126">
        <v>3173.89</v>
      </c>
      <c r="H22" s="126">
        <v>755.65</v>
      </c>
      <c r="I22" s="126">
        <v>7325.43</v>
      </c>
      <c r="J22" s="126">
        <v>1814.8</v>
      </c>
      <c r="K22" s="126">
        <v>5282.53</v>
      </c>
      <c r="L22" s="126">
        <v>1257.38</v>
      </c>
      <c r="M22" s="126">
        <v>1874.32</v>
      </c>
      <c r="N22" s="126">
        <v>445.94</v>
      </c>
      <c r="O22" s="126">
        <v>0</v>
      </c>
      <c r="P22" s="131">
        <v>0</v>
      </c>
      <c r="Q22" s="126">
        <v>0</v>
      </c>
      <c r="R22" s="131">
        <v>0</v>
      </c>
      <c r="S22" s="91">
        <f t="shared" si="2"/>
        <v>19999.11</v>
      </c>
      <c r="T22" s="105">
        <f t="shared" si="3"/>
        <v>4831.209999999999</v>
      </c>
      <c r="U22" s="91">
        <v>2105.45</v>
      </c>
      <c r="V22" s="91">
        <v>2851.42</v>
      </c>
      <c r="W22" s="91">
        <v>6851.7</v>
      </c>
      <c r="X22" s="91">
        <v>4746.31</v>
      </c>
      <c r="Y22" s="133">
        <v>1684.37</v>
      </c>
      <c r="Z22" s="91">
        <v>0</v>
      </c>
      <c r="AA22" s="106">
        <v>0</v>
      </c>
      <c r="AB22" s="112">
        <f t="shared" si="4"/>
        <v>18239.25</v>
      </c>
      <c r="AC22" s="110">
        <f t="shared" si="5"/>
        <v>26557.472</v>
      </c>
      <c r="AD22" s="100">
        <f t="shared" si="6"/>
        <v>0</v>
      </c>
      <c r="AE22" s="100">
        <f t="shared" si="7"/>
        <v>0</v>
      </c>
      <c r="AF22" s="100">
        <f>'[1]Т09-09'!$I$47+'[1]Т09-09'!$I$48</f>
        <v>2814.03388</v>
      </c>
      <c r="AG22" s="16">
        <f t="shared" si="18"/>
        <v>1964.2079999999999</v>
      </c>
      <c r="AH22" s="16">
        <f>B22*0.2*0.9997</f>
        <v>654.5395792</v>
      </c>
      <c r="AI22" s="16">
        <f>0.85*B22*0.98509</f>
        <v>2741.1390165199996</v>
      </c>
      <c r="AJ22" s="16">
        <f t="shared" si="8"/>
        <v>493.4050229735999</v>
      </c>
      <c r="AK22" s="16">
        <f>0.83*B22*0.98981</f>
        <v>2689.466596664</v>
      </c>
      <c r="AL22" s="16">
        <f t="shared" si="9"/>
        <v>484.10398739952</v>
      </c>
      <c r="AM22" s="16">
        <f>(1.91)*B22*0.98981</f>
        <v>6189.013493527999</v>
      </c>
      <c r="AN22" s="16">
        <f t="shared" si="10"/>
        <v>1114.0224288350398</v>
      </c>
      <c r="AO22" s="16"/>
      <c r="AP22" s="16">
        <f t="shared" si="11"/>
        <v>0</v>
      </c>
      <c r="AQ22" s="113"/>
      <c r="AR22" s="113">
        <f t="shared" si="11"/>
        <v>0</v>
      </c>
      <c r="AS22" s="95">
        <v>1435.6</v>
      </c>
      <c r="AT22" s="95"/>
      <c r="AU22" s="95">
        <f t="shared" si="14"/>
        <v>258.40799999999996</v>
      </c>
      <c r="AV22" s="114">
        <v>349</v>
      </c>
      <c r="AW22" s="134">
        <v>1.75</v>
      </c>
      <c r="AX22" s="16">
        <f t="shared" si="12"/>
        <v>807.1672000000001</v>
      </c>
      <c r="AY22" s="116"/>
      <c r="AZ22" s="117"/>
      <c r="BA22" s="117">
        <f t="shared" si="16"/>
        <v>0</v>
      </c>
      <c r="BB22" s="117">
        <f>SUM(AG22:BA22)-AV22-AW22</f>
        <v>18831.073325120156</v>
      </c>
      <c r="BC22" s="120">
        <f>'[1]Т09-09'!$O$47+'[1]Т09-09'!$O$48</f>
        <v>1123.7855551692</v>
      </c>
      <c r="BD22" s="14">
        <f t="shared" si="13"/>
        <v>9416.646999710643</v>
      </c>
      <c r="BE22" s="30">
        <f>AB22-S22</f>
        <v>-1759.8600000000006</v>
      </c>
    </row>
    <row r="23" spans="1:57" ht="12.75" hidden="1">
      <c r="A23" s="11" t="s">
        <v>41</v>
      </c>
      <c r="B23" s="102">
        <v>3273.68</v>
      </c>
      <c r="C23" s="122">
        <f t="shared" si="1"/>
        <v>28317.332</v>
      </c>
      <c r="D23" s="121">
        <f t="shared" si="17"/>
        <v>2744.982</v>
      </c>
      <c r="E23" s="93">
        <f>2396.65-3.33</f>
        <v>2393.32</v>
      </c>
      <c r="F23" s="91">
        <v>558.04</v>
      </c>
      <c r="G23" s="91">
        <f>3246.79-4.49</f>
        <v>3242.3</v>
      </c>
      <c r="H23" s="91">
        <v>756.42</v>
      </c>
      <c r="I23" s="91">
        <f>7800.4-10.83</f>
        <v>7789.57</v>
      </c>
      <c r="J23" s="91">
        <v>1816.69</v>
      </c>
      <c r="K23" s="91">
        <f>5403.75-7.49</f>
        <v>5396.26</v>
      </c>
      <c r="L23" s="91">
        <v>1258.7</v>
      </c>
      <c r="M23" s="91">
        <f>1917.3-2.67</f>
        <v>1914.6299999999999</v>
      </c>
      <c r="N23" s="91">
        <v>446.42</v>
      </c>
      <c r="O23" s="91">
        <v>0</v>
      </c>
      <c r="P23" s="106">
        <v>0</v>
      </c>
      <c r="Q23" s="91">
        <v>0</v>
      </c>
      <c r="R23" s="91">
        <v>0</v>
      </c>
      <c r="S23" s="91">
        <f t="shared" si="2"/>
        <v>20736.08</v>
      </c>
      <c r="T23" s="105">
        <f t="shared" si="3"/>
        <v>4836.27</v>
      </c>
      <c r="U23" s="94">
        <f>1629.83+1578.19</f>
        <v>3208.02</v>
      </c>
      <c r="V23" s="91">
        <f>2197.99+2137.97</f>
        <v>4335.959999999999</v>
      </c>
      <c r="W23" s="91">
        <f>5245.41+5136.67</f>
        <v>10382.08</v>
      </c>
      <c r="X23" s="91">
        <f>3641.68+3558.4</f>
        <v>7200.08</v>
      </c>
      <c r="Y23" s="91">
        <f>1308.99+1262.53</f>
        <v>2571.52</v>
      </c>
      <c r="Z23" s="91">
        <v>0</v>
      </c>
      <c r="AA23" s="106">
        <v>0</v>
      </c>
      <c r="AB23" s="106">
        <f>SUM(U23:AA23)</f>
        <v>27697.66</v>
      </c>
      <c r="AC23" s="110">
        <f>AB23+T23+D23</f>
        <v>35278.912</v>
      </c>
      <c r="AD23" s="100">
        <f t="shared" si="6"/>
        <v>0</v>
      </c>
      <c r="AE23" s="100">
        <f t="shared" si="7"/>
        <v>0</v>
      </c>
      <c r="AF23" s="100">
        <f>'[2]Т10'!$I$48+'[2]Т10'!$I$49</f>
        <v>2814.03388</v>
      </c>
      <c r="AG23" s="16">
        <f t="shared" si="18"/>
        <v>1964.2079999999999</v>
      </c>
      <c r="AH23" s="16">
        <f>B23*0.2</f>
        <v>654.736</v>
      </c>
      <c r="AI23" s="16">
        <f>0.847*B23</f>
        <v>2772.80696</v>
      </c>
      <c r="AJ23" s="16">
        <f t="shared" si="8"/>
        <v>499.10525279999996</v>
      </c>
      <c r="AK23" s="16">
        <f>0.83*B23</f>
        <v>2717.1544</v>
      </c>
      <c r="AL23" s="16">
        <f t="shared" si="9"/>
        <v>489.087792</v>
      </c>
      <c r="AM23" s="16">
        <f>(2.25/1.18)*B23</f>
        <v>6242.186440677966</v>
      </c>
      <c r="AN23" s="16">
        <f t="shared" si="10"/>
        <v>1123.5935593220338</v>
      </c>
      <c r="AO23" s="16"/>
      <c r="AP23" s="16">
        <f t="shared" si="11"/>
        <v>0</v>
      </c>
      <c r="AQ23" s="113">
        <f>1233.47+889.21</f>
        <v>2122.6800000000003</v>
      </c>
      <c r="AR23" s="113">
        <f t="shared" si="11"/>
        <v>382.08240000000006</v>
      </c>
      <c r="AS23" s="95">
        <v>1211.78</v>
      </c>
      <c r="AT23" s="95"/>
      <c r="AU23" s="95">
        <f t="shared" si="14"/>
        <v>218.1204</v>
      </c>
      <c r="AV23" s="114">
        <v>425</v>
      </c>
      <c r="AW23" s="130">
        <v>1.75</v>
      </c>
      <c r="AX23" s="16">
        <f t="shared" si="12"/>
        <v>982.94</v>
      </c>
      <c r="AY23" s="116"/>
      <c r="AZ23" s="136">
        <f>28869.28+19288</f>
        <v>48157.28</v>
      </c>
      <c r="BA23" s="117">
        <f t="shared" si="16"/>
        <v>8668.3104</v>
      </c>
      <c r="BB23" s="117">
        <f>SUM(AG23:AU23)+AX23+AY23+AZ23+BA23</f>
        <v>78206.07160479999</v>
      </c>
      <c r="BC23" s="120">
        <f>'[3]Т10'!$O$48+'[3]Т10'!$O$49</f>
        <v>1132.571236</v>
      </c>
      <c r="BD23" s="14">
        <f t="shared" si="13"/>
        <v>-41245.69696079999</v>
      </c>
      <c r="BE23" s="30">
        <f>AB23-S23</f>
        <v>6961.579999999998</v>
      </c>
    </row>
    <row r="24" spans="1:57" ht="12.75" hidden="1">
      <c r="A24" s="11" t="s">
        <v>42</v>
      </c>
      <c r="B24" s="111">
        <v>3273.68</v>
      </c>
      <c r="C24" s="122">
        <f t="shared" si="1"/>
        <v>28317.332</v>
      </c>
      <c r="D24" s="121">
        <f t="shared" si="17"/>
        <v>2718.502000000002</v>
      </c>
      <c r="E24" s="126">
        <v>2403.8</v>
      </c>
      <c r="F24" s="126">
        <v>550.62</v>
      </c>
      <c r="G24" s="126">
        <v>3256.48</v>
      </c>
      <c r="H24" s="126">
        <v>746.37</v>
      </c>
      <c r="I24" s="126">
        <v>7823.66</v>
      </c>
      <c r="J24" s="126">
        <v>1792.56</v>
      </c>
      <c r="K24" s="126">
        <v>5419.85</v>
      </c>
      <c r="L24" s="126">
        <v>1241.99</v>
      </c>
      <c r="M24" s="126">
        <v>1923.02</v>
      </c>
      <c r="N24" s="126">
        <v>440.48</v>
      </c>
      <c r="O24" s="126">
        <v>0</v>
      </c>
      <c r="P24" s="131">
        <v>0</v>
      </c>
      <c r="Q24" s="106">
        <v>0</v>
      </c>
      <c r="R24" s="106">
        <v>0</v>
      </c>
      <c r="S24" s="91">
        <f t="shared" si="2"/>
        <v>20826.81</v>
      </c>
      <c r="T24" s="105">
        <f t="shared" si="3"/>
        <v>4772.0199999999995</v>
      </c>
      <c r="U24" s="91">
        <v>3306.64</v>
      </c>
      <c r="V24" s="91">
        <v>4463.92</v>
      </c>
      <c r="W24" s="91">
        <v>10664.62</v>
      </c>
      <c r="X24" s="91">
        <v>7400.6</v>
      </c>
      <c r="Y24" s="133">
        <v>2653.85</v>
      </c>
      <c r="Z24" s="91">
        <v>0</v>
      </c>
      <c r="AA24" s="106">
        <v>0</v>
      </c>
      <c r="AB24" s="106">
        <f>SUM(U24:AA24)</f>
        <v>28489.629999999997</v>
      </c>
      <c r="AC24" s="110">
        <f>D24+T24+AB24</f>
        <v>35980.152</v>
      </c>
      <c r="AD24" s="100">
        <f t="shared" si="6"/>
        <v>0</v>
      </c>
      <c r="AE24" s="100">
        <f t="shared" si="7"/>
        <v>0</v>
      </c>
      <c r="AF24" s="100">
        <f>'[2]Т11'!$I$48+'[2]Т11'!$I$49</f>
        <v>2814.03388</v>
      </c>
      <c r="AG24" s="16">
        <f t="shared" si="18"/>
        <v>1964.2079999999999</v>
      </c>
      <c r="AH24" s="16">
        <f>B24*0.2</f>
        <v>654.736</v>
      </c>
      <c r="AI24" s="16">
        <f>0.85*B24</f>
        <v>2782.6279999999997</v>
      </c>
      <c r="AJ24" s="16">
        <f t="shared" si="8"/>
        <v>500.87303999999995</v>
      </c>
      <c r="AK24" s="16">
        <f>0.83*B24</f>
        <v>2717.1544</v>
      </c>
      <c r="AL24" s="16">
        <f t="shared" si="9"/>
        <v>489.087792</v>
      </c>
      <c r="AM24" s="16">
        <f>(1.91)*B24</f>
        <v>6252.7288</v>
      </c>
      <c r="AN24" s="16">
        <f t="shared" si="10"/>
        <v>1125.491184</v>
      </c>
      <c r="AO24" s="16"/>
      <c r="AP24" s="16">
        <f t="shared" si="11"/>
        <v>0</v>
      </c>
      <c r="AQ24" s="113"/>
      <c r="AR24" s="113">
        <f t="shared" si="11"/>
        <v>0</v>
      </c>
      <c r="AS24" s="95">
        <v>264</v>
      </c>
      <c r="AT24" s="95"/>
      <c r="AU24" s="95">
        <f t="shared" si="14"/>
        <v>47.519999999999996</v>
      </c>
      <c r="AV24" s="114">
        <v>470</v>
      </c>
      <c r="AW24" s="130">
        <v>1.75</v>
      </c>
      <c r="AX24" s="16">
        <f t="shared" si="12"/>
        <v>1087.016</v>
      </c>
      <c r="AY24" s="116"/>
      <c r="AZ24" s="136">
        <v>19288</v>
      </c>
      <c r="BA24" s="117">
        <f t="shared" si="16"/>
        <v>3471.8399999999997</v>
      </c>
      <c r="BB24" s="117">
        <f>SUM(AG24:AU24)+AX24+AY24+AZ24+BA24</f>
        <v>40645.283215999996</v>
      </c>
      <c r="BC24" s="123">
        <f>'[2]Т11'!$O$48+'[2]Т11'!$O$49</f>
        <v>1134.16092</v>
      </c>
      <c r="BD24" s="14">
        <f>AC24+AF24-BB24-BC24</f>
        <v>-2985.258255999992</v>
      </c>
      <c r="BE24" s="30">
        <f>AB24-S24</f>
        <v>7662.819999999996</v>
      </c>
    </row>
    <row r="25" spans="1:57" ht="12.75" hidden="1">
      <c r="A25" s="11" t="s">
        <v>43</v>
      </c>
      <c r="B25" s="102">
        <v>3273.68</v>
      </c>
      <c r="C25" s="122">
        <f t="shared" si="1"/>
        <v>28317.332</v>
      </c>
      <c r="D25" s="121">
        <f t="shared" si="17"/>
        <v>2717.5519999999997</v>
      </c>
      <c r="E25" s="126">
        <v>2405.25</v>
      </c>
      <c r="F25" s="126">
        <v>549.28</v>
      </c>
      <c r="G25" s="126">
        <v>3258.44</v>
      </c>
      <c r="H25" s="126">
        <v>744.56</v>
      </c>
      <c r="I25" s="126">
        <v>7828.36</v>
      </c>
      <c r="J25" s="126">
        <v>1788.21</v>
      </c>
      <c r="K25" s="126">
        <v>5423.12</v>
      </c>
      <c r="L25" s="126">
        <v>1238.97</v>
      </c>
      <c r="M25" s="126">
        <v>1924.18</v>
      </c>
      <c r="N25" s="126">
        <v>439.41</v>
      </c>
      <c r="O25" s="126">
        <v>0</v>
      </c>
      <c r="P25" s="131">
        <v>0</v>
      </c>
      <c r="Q25" s="131"/>
      <c r="R25" s="131"/>
      <c r="S25" s="91">
        <f t="shared" si="2"/>
        <v>20839.35</v>
      </c>
      <c r="T25" s="105">
        <f t="shared" si="3"/>
        <v>4760.429999999999</v>
      </c>
      <c r="U25" s="91">
        <v>2476.8</v>
      </c>
      <c r="V25" s="91">
        <v>3355.06</v>
      </c>
      <c r="W25" s="91">
        <v>8060.92</v>
      </c>
      <c r="X25" s="91">
        <v>5584.25</v>
      </c>
      <c r="Y25" s="133">
        <v>1981.44</v>
      </c>
      <c r="Z25" s="91">
        <v>0</v>
      </c>
      <c r="AA25" s="106">
        <v>0</v>
      </c>
      <c r="AB25" s="106">
        <f>SUM(U25:AA25)</f>
        <v>21458.469999999998</v>
      </c>
      <c r="AC25" s="110">
        <f>D25+T25+AB25</f>
        <v>28936.451999999997</v>
      </c>
      <c r="AD25" s="100">
        <f t="shared" si="6"/>
        <v>0</v>
      </c>
      <c r="AE25" s="100">
        <f t="shared" si="7"/>
        <v>0</v>
      </c>
      <c r="AF25" s="100">
        <f>'[2]Т12'!$I$49+'[2]Т12'!$I$50</f>
        <v>2814.0338799999995</v>
      </c>
      <c r="AG25" s="16">
        <f t="shared" si="18"/>
        <v>1964.2079999999999</v>
      </c>
      <c r="AH25" s="16">
        <f>B25*0.2</f>
        <v>654.736</v>
      </c>
      <c r="AI25" s="16">
        <f>0.85*B25</f>
        <v>2782.6279999999997</v>
      </c>
      <c r="AJ25" s="16">
        <f t="shared" si="8"/>
        <v>500.87303999999995</v>
      </c>
      <c r="AK25" s="16">
        <f>0.83*B25</f>
        <v>2717.1544</v>
      </c>
      <c r="AL25" s="16">
        <f t="shared" si="9"/>
        <v>489.087792</v>
      </c>
      <c r="AM25" s="16">
        <f>(1.91)*B25</f>
        <v>6252.7288</v>
      </c>
      <c r="AN25" s="16">
        <f t="shared" si="10"/>
        <v>1125.491184</v>
      </c>
      <c r="AO25" s="16"/>
      <c r="AP25" s="16">
        <f t="shared" si="11"/>
        <v>0</v>
      </c>
      <c r="AQ25" s="113"/>
      <c r="AR25" s="113">
        <f t="shared" si="11"/>
        <v>0</v>
      </c>
      <c r="AS25" s="95">
        <v>960</v>
      </c>
      <c r="AT25" s="95"/>
      <c r="AU25" s="95">
        <f t="shared" si="14"/>
        <v>172.79999999999998</v>
      </c>
      <c r="AV25" s="114">
        <v>514</v>
      </c>
      <c r="AW25" s="130">
        <v>1.75</v>
      </c>
      <c r="AX25" s="16">
        <f t="shared" si="12"/>
        <v>1188.7792</v>
      </c>
      <c r="AY25" s="116"/>
      <c r="AZ25" s="136">
        <v>19288</v>
      </c>
      <c r="BA25" s="117">
        <f t="shared" si="16"/>
        <v>3471.8399999999997</v>
      </c>
      <c r="BB25" s="117">
        <f>SUM(AG25:BA25)-AV25-AW25</f>
        <v>41568.326415999996</v>
      </c>
      <c r="BC25" s="123">
        <f>'[2]Т12'!$O$49+'[2]Т12'!$O$50</f>
        <v>1134.16092</v>
      </c>
      <c r="BD25" s="14">
        <f t="shared" si="13"/>
        <v>-10952.001456</v>
      </c>
      <c r="BE25" s="30">
        <f>AB25-S25</f>
        <v>619.119999999999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339684.462</v>
      </c>
      <c r="D26" s="60">
        <f t="shared" si="19"/>
        <v>38094.632</v>
      </c>
      <c r="E26" s="57">
        <f t="shared" si="19"/>
        <v>27517.889999999996</v>
      </c>
      <c r="F26" s="57">
        <f t="shared" si="19"/>
        <v>6507.740000000001</v>
      </c>
      <c r="G26" s="57">
        <f t="shared" si="19"/>
        <v>37235.85</v>
      </c>
      <c r="H26" s="57">
        <f t="shared" si="19"/>
        <v>8809.949999999999</v>
      </c>
      <c r="I26" s="57">
        <f t="shared" si="19"/>
        <v>89222.45</v>
      </c>
      <c r="J26" s="57">
        <f t="shared" si="19"/>
        <v>21174.629999999997</v>
      </c>
      <c r="K26" s="57">
        <f t="shared" si="19"/>
        <v>62001.759999999995</v>
      </c>
      <c r="L26" s="57">
        <f t="shared" si="19"/>
        <v>14667.279999999999</v>
      </c>
      <c r="M26" s="57">
        <f t="shared" si="19"/>
        <v>22014.28</v>
      </c>
      <c r="N26" s="57">
        <f t="shared" si="19"/>
        <v>5206.0599999999995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237992.23</v>
      </c>
      <c r="T26" s="57">
        <f t="shared" si="19"/>
        <v>56365.66</v>
      </c>
      <c r="U26" s="61">
        <f t="shared" si="19"/>
        <v>28013.059999999998</v>
      </c>
      <c r="V26" s="61">
        <f t="shared" si="19"/>
        <v>37839.509999999995</v>
      </c>
      <c r="W26" s="61">
        <f t="shared" si="19"/>
        <v>90393.45</v>
      </c>
      <c r="X26" s="61">
        <f t="shared" si="19"/>
        <v>62912.009999999995</v>
      </c>
      <c r="Y26" s="61">
        <f t="shared" si="19"/>
        <v>22441.139999999996</v>
      </c>
      <c r="Z26" s="61">
        <f t="shared" si="19"/>
        <v>0</v>
      </c>
      <c r="AA26" s="61">
        <f t="shared" si="19"/>
        <v>0</v>
      </c>
      <c r="AB26" s="61">
        <f t="shared" si="19"/>
        <v>241599.17</v>
      </c>
      <c r="AC26" s="61">
        <f t="shared" si="19"/>
        <v>336059.462</v>
      </c>
      <c r="AD26" s="61">
        <f t="shared" si="19"/>
        <v>0</v>
      </c>
      <c r="AE26" s="98">
        <f t="shared" si="19"/>
        <v>0</v>
      </c>
      <c r="AF26" s="98">
        <f t="shared" si="19"/>
        <v>16884.203279999998</v>
      </c>
      <c r="AG26" s="18">
        <f t="shared" si="19"/>
        <v>22777.223999999995</v>
      </c>
      <c r="AH26" s="18">
        <f t="shared" si="19"/>
        <v>7625.8313242</v>
      </c>
      <c r="AI26" s="18">
        <f t="shared" si="19"/>
        <v>31843.623354900003</v>
      </c>
      <c r="AJ26" s="18">
        <f t="shared" si="19"/>
        <v>5731.852203882001</v>
      </c>
      <c r="AK26" s="18">
        <f t="shared" si="19"/>
        <v>30979.061059163996</v>
      </c>
      <c r="AL26" s="18">
        <f t="shared" si="19"/>
        <v>5576.23099064952</v>
      </c>
      <c r="AM26" s="18">
        <f t="shared" si="19"/>
        <v>71279.24596102595</v>
      </c>
      <c r="AN26" s="18">
        <f t="shared" si="19"/>
        <v>12830.264272984674</v>
      </c>
      <c r="AO26" s="18">
        <f t="shared" si="19"/>
        <v>0</v>
      </c>
      <c r="AP26" s="18">
        <f t="shared" si="19"/>
        <v>0</v>
      </c>
      <c r="AQ26" s="18">
        <f>SUM(AQ14:AQ25)</f>
        <v>2122.6800000000003</v>
      </c>
      <c r="AR26" s="18">
        <f>SUM(AR14:AR25)</f>
        <v>382.08240000000006</v>
      </c>
      <c r="AS26" s="18">
        <f>SUM(AS14:AS25)</f>
        <v>48356.77</v>
      </c>
      <c r="AT26" s="18">
        <f>SUM(AT14:AT25)</f>
        <v>457.62</v>
      </c>
      <c r="AU26" s="18">
        <f>SUM(AU14:AU25)</f>
        <v>8786.600199999999</v>
      </c>
      <c r="AV26" s="18"/>
      <c r="AW26" s="18"/>
      <c r="AX26" s="18">
        <f t="shared" si="19"/>
        <v>10176.32</v>
      </c>
      <c r="AY26" s="18">
        <f t="shared" si="19"/>
        <v>0</v>
      </c>
      <c r="AZ26" s="18">
        <f t="shared" si="19"/>
        <v>86733.28</v>
      </c>
      <c r="BA26" s="18">
        <f t="shared" si="19"/>
        <v>15611.9904</v>
      </c>
      <c r="BB26" s="18">
        <f t="shared" si="19"/>
        <v>361270.67616680614</v>
      </c>
      <c r="BC26" s="18">
        <f t="shared" si="19"/>
        <v>6779.0681693972</v>
      </c>
      <c r="BD26" s="18">
        <f>SUM(BD14:BD25)</f>
        <v>-15106.079056203322</v>
      </c>
      <c r="BE26" s="19">
        <f>SUM(BE14:BE25)</f>
        <v>3606.9399999999932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9"/>
      <c r="AD27" s="99"/>
      <c r="AE27" s="100"/>
      <c r="AF27" s="100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15"/>
      <c r="AT27" s="15"/>
      <c r="AU27" s="16"/>
      <c r="AV27" s="16"/>
      <c r="AW27" s="16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424743.372</v>
      </c>
      <c r="D28" s="23">
        <f>D12+D26</f>
        <v>58568.5951667</v>
      </c>
      <c r="E28" s="50">
        <f aca="true" t="shared" si="20" ref="E28:BC28">E12+E26</f>
        <v>33983.53</v>
      </c>
      <c r="F28" s="50">
        <f t="shared" si="20"/>
        <v>8020.9800000000005</v>
      </c>
      <c r="G28" s="50">
        <f t="shared" si="20"/>
        <v>45894.28</v>
      </c>
      <c r="H28" s="50">
        <f t="shared" si="20"/>
        <v>10852.82</v>
      </c>
      <c r="I28" s="50">
        <f t="shared" si="20"/>
        <v>109784.73</v>
      </c>
      <c r="J28" s="50">
        <f t="shared" si="20"/>
        <v>26092.629999999997</v>
      </c>
      <c r="K28" s="50">
        <f t="shared" si="20"/>
        <v>76299</v>
      </c>
      <c r="L28" s="50">
        <f t="shared" si="20"/>
        <v>18172.04</v>
      </c>
      <c r="M28" s="50">
        <f t="shared" si="20"/>
        <v>27226.879999999997</v>
      </c>
      <c r="N28" s="50">
        <f>N12+N26</f>
        <v>6416.589999999999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293188.42000000004</v>
      </c>
      <c r="T28" s="50">
        <f t="shared" si="20"/>
        <v>69555.06</v>
      </c>
      <c r="U28" s="53">
        <f t="shared" si="20"/>
        <v>31157.649999999998</v>
      </c>
      <c r="V28" s="53">
        <f t="shared" si="20"/>
        <v>42084.659999999996</v>
      </c>
      <c r="W28" s="53">
        <f t="shared" si="20"/>
        <v>100994.11</v>
      </c>
      <c r="X28" s="53">
        <f t="shared" si="20"/>
        <v>69987.34</v>
      </c>
      <c r="Y28" s="53">
        <f t="shared" si="20"/>
        <v>24956.829999999994</v>
      </c>
      <c r="Z28" s="53">
        <f t="shared" si="20"/>
        <v>0</v>
      </c>
      <c r="AA28" s="53">
        <f t="shared" si="20"/>
        <v>0</v>
      </c>
      <c r="AB28" s="53">
        <f t="shared" si="20"/>
        <v>269180.59</v>
      </c>
      <c r="AC28" s="53">
        <f t="shared" si="20"/>
        <v>397304.2451667</v>
      </c>
      <c r="AD28" s="53">
        <f t="shared" si="20"/>
        <v>0</v>
      </c>
      <c r="AE28" s="53">
        <f>AE12+AE26</f>
        <v>0</v>
      </c>
      <c r="AF28" s="53">
        <f t="shared" si="20"/>
        <v>16884.203279999998</v>
      </c>
      <c r="AG28" s="23">
        <f t="shared" si="20"/>
        <v>28677.263999999996</v>
      </c>
      <c r="AH28" s="23">
        <f t="shared" si="20"/>
        <v>9650.5283842</v>
      </c>
      <c r="AI28" s="23">
        <f t="shared" si="20"/>
        <v>40211.5845309</v>
      </c>
      <c r="AJ28" s="23">
        <f t="shared" si="20"/>
        <v>7238.085215562001</v>
      </c>
      <c r="AK28" s="23">
        <f t="shared" si="20"/>
        <v>40716.720454523995</v>
      </c>
      <c r="AL28" s="23">
        <f t="shared" si="20"/>
        <v>7329.00968181432</v>
      </c>
      <c r="AM28" s="23">
        <f t="shared" si="20"/>
        <v>89162.83196596595</v>
      </c>
      <c r="AN28" s="23">
        <f t="shared" si="20"/>
        <v>16049.309753873873</v>
      </c>
      <c r="AO28" s="23">
        <f t="shared" si="20"/>
        <v>0</v>
      </c>
      <c r="AP28" s="23">
        <f t="shared" si="20"/>
        <v>0</v>
      </c>
      <c r="AQ28" s="23">
        <f t="shared" si="20"/>
        <v>2122.6800000000003</v>
      </c>
      <c r="AR28" s="23">
        <f t="shared" si="20"/>
        <v>382.08240000000006</v>
      </c>
      <c r="AS28" s="23">
        <f t="shared" si="20"/>
        <v>54307.75</v>
      </c>
      <c r="AT28" s="23">
        <f t="shared" si="20"/>
        <v>457.62</v>
      </c>
      <c r="AU28" s="23">
        <f t="shared" si="20"/>
        <v>9857.7766</v>
      </c>
      <c r="AV28" s="23"/>
      <c r="AW28" s="23"/>
      <c r="AX28" s="23">
        <f t="shared" si="20"/>
        <v>10176.32</v>
      </c>
      <c r="AY28" s="23">
        <f t="shared" si="20"/>
        <v>0</v>
      </c>
      <c r="AZ28" s="23">
        <f t="shared" si="20"/>
        <v>86733.28</v>
      </c>
      <c r="BA28" s="23">
        <f t="shared" si="20"/>
        <v>15611.9904</v>
      </c>
      <c r="BB28" s="23">
        <f t="shared" si="20"/>
        <v>418684.8333868401</v>
      </c>
      <c r="BC28" s="23">
        <f t="shared" si="20"/>
        <v>6779.0681693972</v>
      </c>
      <c r="BD28" s="23">
        <f>BD12+BD26</f>
        <v>-11275.453109537315</v>
      </c>
      <c r="BE28" s="24">
        <f>BE12+BE26</f>
        <v>-24007.83</v>
      </c>
    </row>
    <row r="29" spans="1:57" ht="15" customHeight="1" hidden="1">
      <c r="A29" s="5" t="s">
        <v>90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6"/>
      <c r="AD29" s="96"/>
      <c r="AE29" s="97"/>
      <c r="AF29" s="97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14"/>
      <c r="AV29" s="14"/>
      <c r="AW29" s="14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102">
        <v>3273.68</v>
      </c>
      <c r="C30" s="122">
        <f aca="true" t="shared" si="21" ref="C30:C41">B30*8.65</f>
        <v>28317.332</v>
      </c>
      <c r="D30" s="121">
        <f aca="true" t="shared" si="22" ref="D30:D41">C30-E30-F30-G30-H30-I30-J30-K30-L30-M30-N30</f>
        <v>3185.2519999999995</v>
      </c>
      <c r="E30" s="126">
        <v>2353.64</v>
      </c>
      <c r="F30" s="126">
        <v>546.88</v>
      </c>
      <c r="G30" s="126">
        <v>3188.6</v>
      </c>
      <c r="H30" s="126">
        <v>741.31</v>
      </c>
      <c r="I30" s="126">
        <v>7660.46</v>
      </c>
      <c r="J30" s="126">
        <v>1780.41</v>
      </c>
      <c r="K30" s="126">
        <v>5306.84</v>
      </c>
      <c r="L30" s="126">
        <v>1233.56</v>
      </c>
      <c r="M30" s="126">
        <v>1882.89</v>
      </c>
      <c r="N30" s="126">
        <v>437.49</v>
      </c>
      <c r="O30" s="126">
        <v>0</v>
      </c>
      <c r="P30" s="131">
        <v>0</v>
      </c>
      <c r="Q30" s="131"/>
      <c r="R30" s="131"/>
      <c r="S30" s="91">
        <f aca="true" t="shared" si="23" ref="S30:S41">E30+G30+I30+K30+M30+O30+Q30</f>
        <v>20392.43</v>
      </c>
      <c r="T30" s="105">
        <f aca="true" t="shared" si="24" ref="T30:T41">P30+N30+L30+J30+H30+F30+R30</f>
        <v>4739.650000000001</v>
      </c>
      <c r="U30" s="91">
        <v>1445.48</v>
      </c>
      <c r="V30" s="91">
        <v>1957.66</v>
      </c>
      <c r="W30" s="91">
        <v>4703.98</v>
      </c>
      <c r="X30" s="91">
        <v>3258.52</v>
      </c>
      <c r="Y30" s="133">
        <v>1156.39</v>
      </c>
      <c r="Z30" s="91">
        <v>0</v>
      </c>
      <c r="AA30" s="106">
        <v>0</v>
      </c>
      <c r="AB30" s="106">
        <f>SUM(U30:AA30)</f>
        <v>12522.029999999999</v>
      </c>
      <c r="AC30" s="110">
        <f aca="true" t="shared" si="25" ref="AC30:AC41">D30+T30+AB30</f>
        <v>20446.932</v>
      </c>
      <c r="AD30" s="100">
        <f aca="true" t="shared" si="26" ref="AD30:AD41">P30+Z30</f>
        <v>0</v>
      </c>
      <c r="AE30" s="100">
        <f aca="true" t="shared" si="27" ref="AE30:AE41">R30+AA30</f>
        <v>0</v>
      </c>
      <c r="AF30" s="100">
        <f>'[4]Т01-10'!$I$46+'[4]Т01-10'!$I$47</f>
        <v>2379.53428</v>
      </c>
      <c r="AG30" s="16">
        <f aca="true" t="shared" si="28" ref="AG30:AG41">0.6*B30</f>
        <v>1964.2079999999999</v>
      </c>
      <c r="AH30" s="16">
        <f aca="true" t="shared" si="29" ref="AH30:AH41">B30*0.2</f>
        <v>654.736</v>
      </c>
      <c r="AI30" s="16">
        <f aca="true" t="shared" si="30" ref="AI30:AI41">1*B30</f>
        <v>3273.68</v>
      </c>
      <c r="AJ30" s="16">
        <v>0</v>
      </c>
      <c r="AK30" s="16">
        <f aca="true" t="shared" si="31" ref="AK30:AK41">0.98*B30</f>
        <v>3208.2063999999996</v>
      </c>
      <c r="AL30" s="16">
        <v>0</v>
      </c>
      <c r="AM30" s="16">
        <f aca="true" t="shared" si="32" ref="AM30:AM41">2.25*B30</f>
        <v>7365.78</v>
      </c>
      <c r="AN30" s="16">
        <v>0</v>
      </c>
      <c r="AO30" s="16"/>
      <c r="AP30" s="16">
        <v>0</v>
      </c>
      <c r="AQ30" s="113"/>
      <c r="AR30" s="113"/>
      <c r="AS30" s="95">
        <v>1572</v>
      </c>
      <c r="AT30" s="95"/>
      <c r="AU30" s="95">
        <f aca="true" t="shared" si="33" ref="AU30:AU37">AT30*0.18</f>
        <v>0</v>
      </c>
      <c r="AV30" s="114">
        <v>508</v>
      </c>
      <c r="AW30" s="130">
        <v>1.75</v>
      </c>
      <c r="AX30" s="16">
        <f aca="true" t="shared" si="34" ref="AX30:AX41">AV30*AW30*1.4</f>
        <v>1244.6</v>
      </c>
      <c r="AY30" s="116"/>
      <c r="AZ30" s="117"/>
      <c r="BA30" s="117">
        <f aca="true" t="shared" si="35" ref="BA30:BA41">AZ30*0.18</f>
        <v>0</v>
      </c>
      <c r="BB30" s="117">
        <f>SUM(AG30:BA30)-AV30-AW30</f>
        <v>19283.210399999996</v>
      </c>
      <c r="BC30" s="123">
        <f>'[4]Т03-10'!$M$47+'[4]Т03-10'!$M$48</f>
        <v>1132.818</v>
      </c>
      <c r="BD30" s="14">
        <f>AC30+AF30-BB30-BC30</f>
        <v>2410.437880000004</v>
      </c>
      <c r="BE30" s="30">
        <f>AB30-S30</f>
        <v>-7870.4000000000015</v>
      </c>
    </row>
    <row r="31" spans="1:57" ht="12.75" hidden="1">
      <c r="A31" s="11" t="s">
        <v>46</v>
      </c>
      <c r="B31" s="111">
        <v>3272.88</v>
      </c>
      <c r="C31" s="122">
        <f t="shared" si="21"/>
        <v>28310.412000000004</v>
      </c>
      <c r="D31" s="121">
        <f t="shared" si="22"/>
        <v>2746.6720000000037</v>
      </c>
      <c r="E31" s="137">
        <v>2406.33</v>
      </c>
      <c r="F31" s="126">
        <v>546.75</v>
      </c>
      <c r="G31" s="126">
        <v>3259.94</v>
      </c>
      <c r="H31" s="126">
        <v>741.13</v>
      </c>
      <c r="I31" s="126">
        <v>7808.36</v>
      </c>
      <c r="J31" s="126">
        <v>1779.96</v>
      </c>
      <c r="K31" s="126">
        <v>5425.61</v>
      </c>
      <c r="L31" s="126">
        <v>1233.24</v>
      </c>
      <c r="M31" s="126">
        <v>1925.03</v>
      </c>
      <c r="N31" s="126">
        <v>437.39</v>
      </c>
      <c r="O31" s="126">
        <v>0</v>
      </c>
      <c r="P31" s="131">
        <v>0</v>
      </c>
      <c r="Q31" s="106">
        <v>0</v>
      </c>
      <c r="R31" s="106">
        <v>0</v>
      </c>
      <c r="S31" s="91">
        <f t="shared" si="23"/>
        <v>20825.27</v>
      </c>
      <c r="T31" s="105">
        <f t="shared" si="24"/>
        <v>4738.47</v>
      </c>
      <c r="U31" s="91">
        <v>2437.53</v>
      </c>
      <c r="V31" s="91">
        <v>3301.4</v>
      </c>
      <c r="W31" s="91">
        <v>7932.67</v>
      </c>
      <c r="X31" s="91">
        <v>5495.1</v>
      </c>
      <c r="Y31" s="133">
        <v>1950.03</v>
      </c>
      <c r="Z31" s="91">
        <v>0</v>
      </c>
      <c r="AA31" s="106">
        <v>0</v>
      </c>
      <c r="AB31" s="106">
        <f>SUM(U31:AA31)</f>
        <v>21116.73</v>
      </c>
      <c r="AC31" s="110">
        <f t="shared" si="25"/>
        <v>28601.872000000003</v>
      </c>
      <c r="AD31" s="100">
        <f t="shared" si="26"/>
        <v>0</v>
      </c>
      <c r="AE31" s="100">
        <f t="shared" si="27"/>
        <v>0</v>
      </c>
      <c r="AF31" s="100">
        <f>'[4]Т01-10'!$I$46+'[4]Т01-10'!$I$47</f>
        <v>2379.53428</v>
      </c>
      <c r="AG31" s="16">
        <f t="shared" si="28"/>
        <v>1963.728</v>
      </c>
      <c r="AH31" s="16">
        <f t="shared" si="29"/>
        <v>654.576</v>
      </c>
      <c r="AI31" s="16">
        <f t="shared" si="30"/>
        <v>3272.88</v>
      </c>
      <c r="AJ31" s="16">
        <v>0</v>
      </c>
      <c r="AK31" s="16">
        <f t="shared" si="31"/>
        <v>3207.4224</v>
      </c>
      <c r="AL31" s="16">
        <v>0</v>
      </c>
      <c r="AM31" s="16">
        <f t="shared" si="32"/>
        <v>7363.9800000000005</v>
      </c>
      <c r="AN31" s="16">
        <v>0</v>
      </c>
      <c r="AO31" s="16"/>
      <c r="AP31" s="16"/>
      <c r="AQ31" s="113"/>
      <c r="AR31" s="113"/>
      <c r="AS31" s="95">
        <v>154</v>
      </c>
      <c r="AT31" s="95"/>
      <c r="AU31" s="95">
        <f t="shared" si="33"/>
        <v>0</v>
      </c>
      <c r="AV31" s="114">
        <v>407</v>
      </c>
      <c r="AW31" s="130">
        <v>1.75</v>
      </c>
      <c r="AX31" s="16">
        <f t="shared" si="34"/>
        <v>997.15</v>
      </c>
      <c r="AY31" s="116"/>
      <c r="AZ31" s="117"/>
      <c r="BA31" s="117">
        <f t="shared" si="35"/>
        <v>0</v>
      </c>
      <c r="BB31" s="117">
        <f>SUM(AG31:BA31)-AV31-AW31</f>
        <v>17613.7364</v>
      </c>
      <c r="BC31" s="123">
        <f>'[4]Т03-10'!$M$47+'[4]Т03-10'!$M$48</f>
        <v>1132.818</v>
      </c>
      <c r="BD31" s="14">
        <f aca="true" t="shared" si="36" ref="BD31:BD41">AC31+AF31-BB31-BC31</f>
        <v>12234.851880000002</v>
      </c>
      <c r="BE31" s="30">
        <f aca="true" t="shared" si="37" ref="BE31:BE41">AB31-S31</f>
        <v>291.4599999999991</v>
      </c>
    </row>
    <row r="32" spans="1:57" ht="12.75" hidden="1">
      <c r="A32" s="11" t="s">
        <v>47</v>
      </c>
      <c r="B32" s="102">
        <v>3272.88</v>
      </c>
      <c r="C32" s="122">
        <f t="shared" si="21"/>
        <v>28310.412000000004</v>
      </c>
      <c r="D32" s="121">
        <f t="shared" si="22"/>
        <v>2726.202000000005</v>
      </c>
      <c r="E32" s="126">
        <v>2408.1</v>
      </c>
      <c r="F32" s="126">
        <v>544.61</v>
      </c>
      <c r="G32" s="126">
        <v>3262.37</v>
      </c>
      <c r="H32" s="126">
        <v>738.22</v>
      </c>
      <c r="I32" s="126">
        <v>7837.77</v>
      </c>
      <c r="J32" s="126">
        <v>1772.96</v>
      </c>
      <c r="K32" s="126">
        <v>5429.64</v>
      </c>
      <c r="L32" s="126">
        <v>1228.41</v>
      </c>
      <c r="M32" s="126">
        <v>1926.46</v>
      </c>
      <c r="N32" s="126">
        <v>435.67</v>
      </c>
      <c r="O32" s="126">
        <v>0</v>
      </c>
      <c r="P32" s="131">
        <v>0</v>
      </c>
      <c r="Q32" s="131">
        <v>0</v>
      </c>
      <c r="R32" s="131">
        <v>0</v>
      </c>
      <c r="S32" s="91">
        <f t="shared" si="23"/>
        <v>20864.34</v>
      </c>
      <c r="T32" s="105">
        <f t="shared" si="24"/>
        <v>4719.87</v>
      </c>
      <c r="U32" s="91">
        <v>2216.21</v>
      </c>
      <c r="V32" s="91">
        <v>3001.2</v>
      </c>
      <c r="W32" s="91">
        <v>7211.92</v>
      </c>
      <c r="X32" s="91">
        <v>4995.64</v>
      </c>
      <c r="Y32" s="133">
        <v>1772.94</v>
      </c>
      <c r="Z32" s="91">
        <v>0</v>
      </c>
      <c r="AA32" s="106">
        <v>0</v>
      </c>
      <c r="AB32" s="106">
        <f>SUM(U32:AA32)</f>
        <v>19197.91</v>
      </c>
      <c r="AC32" s="110">
        <f t="shared" si="25"/>
        <v>26643.982000000004</v>
      </c>
      <c r="AD32" s="100">
        <f t="shared" si="26"/>
        <v>0</v>
      </c>
      <c r="AE32" s="100">
        <f t="shared" si="27"/>
        <v>0</v>
      </c>
      <c r="AF32" s="100">
        <f>'[4]Т01-10'!$I$46+'[4]Т01-10'!$I$47</f>
        <v>2379.53428</v>
      </c>
      <c r="AG32" s="16">
        <f t="shared" si="28"/>
        <v>1963.728</v>
      </c>
      <c r="AH32" s="16">
        <f t="shared" si="29"/>
        <v>654.576</v>
      </c>
      <c r="AI32" s="16">
        <f t="shared" si="30"/>
        <v>3272.88</v>
      </c>
      <c r="AJ32" s="16">
        <v>0</v>
      </c>
      <c r="AK32" s="16">
        <f t="shared" si="31"/>
        <v>3207.4224</v>
      </c>
      <c r="AL32" s="16">
        <v>0</v>
      </c>
      <c r="AM32" s="16">
        <f t="shared" si="32"/>
        <v>7363.9800000000005</v>
      </c>
      <c r="AN32" s="16">
        <v>0</v>
      </c>
      <c r="AO32" s="16"/>
      <c r="AP32" s="16"/>
      <c r="AQ32" s="113"/>
      <c r="AR32" s="113"/>
      <c r="AS32" s="95"/>
      <c r="AT32" s="95"/>
      <c r="AU32" s="95">
        <f t="shared" si="33"/>
        <v>0</v>
      </c>
      <c r="AV32" s="114">
        <v>383</v>
      </c>
      <c r="AW32" s="130">
        <v>1.75</v>
      </c>
      <c r="AX32" s="16">
        <f t="shared" si="34"/>
        <v>938.3499999999999</v>
      </c>
      <c r="AY32" s="116"/>
      <c r="AZ32" s="117"/>
      <c r="BA32" s="117">
        <f t="shared" si="35"/>
        <v>0</v>
      </c>
      <c r="BB32" s="117">
        <f>SUM(AG32:BA32)-AV32-AW32</f>
        <v>17400.9364</v>
      </c>
      <c r="BC32" s="123">
        <f>'[4]Т03-10'!$M$47+'[4]Т03-10'!$M$48</f>
        <v>1132.818</v>
      </c>
      <c r="BD32" s="14">
        <f t="shared" si="36"/>
        <v>10489.761880000005</v>
      </c>
      <c r="BE32" s="30">
        <f t="shared" si="37"/>
        <v>-1666.4300000000003</v>
      </c>
    </row>
    <row r="33" spans="1:57" ht="12.75" hidden="1">
      <c r="A33" s="11" t="s">
        <v>48</v>
      </c>
      <c r="B33" s="102">
        <v>3272.88</v>
      </c>
      <c r="C33" s="122">
        <f t="shared" si="21"/>
        <v>28310.412000000004</v>
      </c>
      <c r="D33" s="121">
        <f t="shared" si="22"/>
        <v>2727.6420000000035</v>
      </c>
      <c r="E33" s="126">
        <v>2414.42</v>
      </c>
      <c r="F33" s="126">
        <v>538.13</v>
      </c>
      <c r="G33" s="126">
        <v>3270.9</v>
      </c>
      <c r="H33" s="126">
        <v>729.46</v>
      </c>
      <c r="I33" s="126">
        <v>7858.31</v>
      </c>
      <c r="J33" s="126">
        <v>1751.89</v>
      </c>
      <c r="K33" s="126">
        <v>5443.86</v>
      </c>
      <c r="L33" s="126">
        <v>1213.81</v>
      </c>
      <c r="M33" s="126">
        <v>1931.49</v>
      </c>
      <c r="N33" s="126">
        <v>430.5</v>
      </c>
      <c r="O33" s="126">
        <v>0</v>
      </c>
      <c r="P33" s="131">
        <v>0</v>
      </c>
      <c r="Q33" s="131"/>
      <c r="R33" s="131"/>
      <c r="S33" s="91">
        <f t="shared" si="23"/>
        <v>20918.980000000003</v>
      </c>
      <c r="T33" s="105">
        <f t="shared" si="24"/>
        <v>4663.79</v>
      </c>
      <c r="U33" s="91">
        <v>1866.36</v>
      </c>
      <c r="V33" s="91">
        <v>2529.12</v>
      </c>
      <c r="W33" s="91">
        <v>6065.6</v>
      </c>
      <c r="X33" s="91">
        <v>4207.56</v>
      </c>
      <c r="Y33" s="133">
        <v>1503.44</v>
      </c>
      <c r="Z33" s="91">
        <v>0</v>
      </c>
      <c r="AA33" s="106">
        <v>0</v>
      </c>
      <c r="AB33" s="106">
        <f>SUM(U33:AA33)</f>
        <v>16172.08</v>
      </c>
      <c r="AC33" s="110">
        <f t="shared" si="25"/>
        <v>23563.512000000002</v>
      </c>
      <c r="AD33" s="100">
        <f t="shared" si="26"/>
        <v>0</v>
      </c>
      <c r="AE33" s="100">
        <f t="shared" si="27"/>
        <v>0</v>
      </c>
      <c r="AF33" s="100">
        <f>'[5]Т04-10'!$I$47+'[5]Т04-10'!$I$48</f>
        <v>2379.53428</v>
      </c>
      <c r="AG33" s="16">
        <f t="shared" si="28"/>
        <v>1963.728</v>
      </c>
      <c r="AH33" s="16">
        <f t="shared" si="29"/>
        <v>654.576</v>
      </c>
      <c r="AI33" s="16">
        <f t="shared" si="30"/>
        <v>3272.88</v>
      </c>
      <c r="AJ33" s="16">
        <v>0</v>
      </c>
      <c r="AK33" s="16">
        <f t="shared" si="31"/>
        <v>3207.4224</v>
      </c>
      <c r="AL33" s="16">
        <v>0</v>
      </c>
      <c r="AM33" s="16">
        <f t="shared" si="32"/>
        <v>7363.9800000000005</v>
      </c>
      <c r="AN33" s="16">
        <v>0</v>
      </c>
      <c r="AO33" s="16"/>
      <c r="AP33" s="16"/>
      <c r="AQ33" s="113"/>
      <c r="AR33" s="113"/>
      <c r="AS33" s="95">
        <v>3328</v>
      </c>
      <c r="AT33" s="95"/>
      <c r="AU33" s="95">
        <f t="shared" si="33"/>
        <v>0</v>
      </c>
      <c r="AV33" s="114">
        <v>307</v>
      </c>
      <c r="AW33" s="130">
        <v>1.75</v>
      </c>
      <c r="AX33" s="16">
        <f t="shared" si="34"/>
        <v>752.15</v>
      </c>
      <c r="AY33" s="116"/>
      <c r="AZ33" s="117"/>
      <c r="BA33" s="117">
        <f t="shared" si="35"/>
        <v>0</v>
      </c>
      <c r="BB33" s="117">
        <f aca="true" t="shared" si="38" ref="BB33:BB41">SUM(AG33:BA33)-AV33-AW33</f>
        <v>20542.7364</v>
      </c>
      <c r="BC33" s="123">
        <f>'[5]Т04-10'!$M$47+'[5]Т04-10'!$M$48</f>
        <v>1132.818</v>
      </c>
      <c r="BD33" s="14">
        <f t="shared" si="36"/>
        <v>4267.4918800000005</v>
      </c>
      <c r="BE33" s="30">
        <f t="shared" si="37"/>
        <v>-4746.900000000003</v>
      </c>
    </row>
    <row r="34" spans="1:57" ht="12.75" hidden="1">
      <c r="A34" s="11" t="s">
        <v>49</v>
      </c>
      <c r="B34" s="102">
        <v>3274.88</v>
      </c>
      <c r="C34" s="122">
        <f t="shared" si="21"/>
        <v>28327.712000000003</v>
      </c>
      <c r="D34" s="121">
        <f t="shared" si="22"/>
        <v>2748.322000000002</v>
      </c>
      <c r="E34" s="126">
        <v>2407.27</v>
      </c>
      <c r="F34" s="126">
        <v>544.85</v>
      </c>
      <c r="G34" s="126">
        <v>3261.34</v>
      </c>
      <c r="H34" s="126">
        <v>738.56</v>
      </c>
      <c r="I34" s="126">
        <v>7835.14</v>
      </c>
      <c r="J34" s="126">
        <v>1773.78</v>
      </c>
      <c r="K34" s="126">
        <v>5427.81</v>
      </c>
      <c r="L34" s="126">
        <v>1228.98</v>
      </c>
      <c r="M34" s="126">
        <v>1925.79</v>
      </c>
      <c r="N34" s="126">
        <v>435.87</v>
      </c>
      <c r="O34" s="126">
        <v>0</v>
      </c>
      <c r="P34" s="131">
        <v>0</v>
      </c>
      <c r="Q34" s="131"/>
      <c r="R34" s="131"/>
      <c r="S34" s="91">
        <f t="shared" si="23"/>
        <v>20857.350000000002</v>
      </c>
      <c r="T34" s="105">
        <f t="shared" si="24"/>
        <v>4722.040000000001</v>
      </c>
      <c r="U34" s="138">
        <v>2914.4</v>
      </c>
      <c r="V34" s="138">
        <v>3487.14</v>
      </c>
      <c r="W34" s="138">
        <v>8375.21</v>
      </c>
      <c r="X34" s="138">
        <v>5802.59</v>
      </c>
      <c r="Y34" s="139">
        <v>2058.61</v>
      </c>
      <c r="Z34" s="138">
        <v>0</v>
      </c>
      <c r="AA34" s="140">
        <v>0</v>
      </c>
      <c r="AB34" s="106">
        <f aca="true" t="shared" si="39" ref="AB34:AB41">SUM(U34:AA34)</f>
        <v>22637.95</v>
      </c>
      <c r="AC34" s="110">
        <f t="shared" si="25"/>
        <v>30108.312000000005</v>
      </c>
      <c r="AD34" s="100">
        <f t="shared" si="26"/>
        <v>0</v>
      </c>
      <c r="AE34" s="100">
        <f t="shared" si="27"/>
        <v>0</v>
      </c>
      <c r="AF34" s="100">
        <f>'[5]Т04-10'!$I$47+'[5]Т04-10'!$I$48</f>
        <v>2379.53428</v>
      </c>
      <c r="AG34" s="16">
        <f t="shared" si="28"/>
        <v>1964.9279999999999</v>
      </c>
      <c r="AH34" s="16">
        <f t="shared" si="29"/>
        <v>654.9760000000001</v>
      </c>
      <c r="AI34" s="16">
        <f t="shared" si="30"/>
        <v>3274.88</v>
      </c>
      <c r="AJ34" s="16">
        <v>0</v>
      </c>
      <c r="AK34" s="16">
        <f t="shared" si="31"/>
        <v>3209.3824</v>
      </c>
      <c r="AL34" s="16">
        <v>0</v>
      </c>
      <c r="AM34" s="16">
        <f t="shared" si="32"/>
        <v>7368.4800000000005</v>
      </c>
      <c r="AN34" s="16">
        <v>0</v>
      </c>
      <c r="AO34" s="16"/>
      <c r="AP34" s="16"/>
      <c r="AQ34" s="113"/>
      <c r="AR34" s="113"/>
      <c r="AS34" s="95">
        <v>2477</v>
      </c>
      <c r="AT34" s="95"/>
      <c r="AU34" s="95">
        <f t="shared" si="33"/>
        <v>0</v>
      </c>
      <c r="AV34" s="114">
        <v>263</v>
      </c>
      <c r="AW34" s="130">
        <v>1.75</v>
      </c>
      <c r="AX34" s="16">
        <f t="shared" si="34"/>
        <v>644.3499999999999</v>
      </c>
      <c r="AY34" s="116"/>
      <c r="AZ34" s="117"/>
      <c r="BA34" s="117">
        <f t="shared" si="35"/>
        <v>0</v>
      </c>
      <c r="BB34" s="117">
        <f t="shared" si="38"/>
        <v>19593.9964</v>
      </c>
      <c r="BC34" s="123">
        <f>'[5]Т04-10'!$M$47+'[5]Т04-10'!$M$48</f>
        <v>1132.818</v>
      </c>
      <c r="BD34" s="14">
        <f t="shared" si="36"/>
        <v>11761.031880000006</v>
      </c>
      <c r="BE34" s="30">
        <f t="shared" si="37"/>
        <v>1780.5999999999985</v>
      </c>
    </row>
    <row r="35" spans="1:57" ht="12.75" hidden="1">
      <c r="A35" s="11" t="s">
        <v>50</v>
      </c>
      <c r="B35" s="102">
        <v>3274.88</v>
      </c>
      <c r="C35" s="122">
        <f t="shared" si="21"/>
        <v>28327.712000000003</v>
      </c>
      <c r="D35" s="121">
        <f t="shared" si="22"/>
        <v>2744.972000000006</v>
      </c>
      <c r="E35" s="126">
        <v>2413</v>
      </c>
      <c r="F35" s="126">
        <v>539.51</v>
      </c>
      <c r="G35" s="126">
        <v>3269.11</v>
      </c>
      <c r="H35" s="126">
        <v>731.3</v>
      </c>
      <c r="I35" s="126">
        <v>7853.87</v>
      </c>
      <c r="J35" s="126">
        <v>1756.31</v>
      </c>
      <c r="K35" s="126">
        <v>5440.78</v>
      </c>
      <c r="L35" s="126">
        <v>1216.89</v>
      </c>
      <c r="M35" s="126">
        <v>1930.38</v>
      </c>
      <c r="N35" s="126">
        <v>431.59</v>
      </c>
      <c r="O35" s="126">
        <v>0</v>
      </c>
      <c r="P35" s="131">
        <v>0</v>
      </c>
      <c r="Q35" s="126">
        <v>0</v>
      </c>
      <c r="R35" s="131">
        <v>0</v>
      </c>
      <c r="S35" s="91">
        <f t="shared" si="23"/>
        <v>20907.14</v>
      </c>
      <c r="T35" s="105">
        <f t="shared" si="24"/>
        <v>4675.6</v>
      </c>
      <c r="U35" s="91">
        <v>1859.4</v>
      </c>
      <c r="V35" s="91">
        <v>2688.98</v>
      </c>
      <c r="W35" s="91">
        <v>6460.55</v>
      </c>
      <c r="X35" s="91">
        <v>4475.36</v>
      </c>
      <c r="Y35" s="133">
        <v>1587.97</v>
      </c>
      <c r="Z35" s="91">
        <v>0</v>
      </c>
      <c r="AA35" s="106">
        <v>0</v>
      </c>
      <c r="AB35" s="106">
        <f t="shared" si="39"/>
        <v>17072.260000000002</v>
      </c>
      <c r="AC35" s="110">
        <f t="shared" si="25"/>
        <v>24492.83200000001</v>
      </c>
      <c r="AD35" s="100">
        <f t="shared" si="26"/>
        <v>0</v>
      </c>
      <c r="AE35" s="100">
        <f t="shared" si="27"/>
        <v>0</v>
      </c>
      <c r="AF35" s="100">
        <f>'[5]Т04-10'!$I$47+'[5]Т04-10'!$I$48</f>
        <v>2379.53428</v>
      </c>
      <c r="AG35" s="16">
        <f t="shared" si="28"/>
        <v>1964.9279999999999</v>
      </c>
      <c r="AH35" s="16">
        <f t="shared" si="29"/>
        <v>654.9760000000001</v>
      </c>
      <c r="AI35" s="16">
        <f t="shared" si="30"/>
        <v>3274.88</v>
      </c>
      <c r="AJ35" s="16">
        <v>0</v>
      </c>
      <c r="AK35" s="16">
        <f t="shared" si="31"/>
        <v>3209.3824</v>
      </c>
      <c r="AL35" s="16">
        <v>0</v>
      </c>
      <c r="AM35" s="16">
        <f t="shared" si="32"/>
        <v>7368.4800000000005</v>
      </c>
      <c r="AN35" s="16">
        <v>0</v>
      </c>
      <c r="AO35" s="16"/>
      <c r="AP35" s="16"/>
      <c r="AQ35" s="113"/>
      <c r="AR35" s="113"/>
      <c r="AS35" s="95">
        <v>6638</v>
      </c>
      <c r="AT35" s="95"/>
      <c r="AU35" s="95">
        <f t="shared" si="33"/>
        <v>0</v>
      </c>
      <c r="AV35" s="114">
        <v>233</v>
      </c>
      <c r="AW35" s="130">
        <v>1.75</v>
      </c>
      <c r="AX35" s="16">
        <f t="shared" si="34"/>
        <v>570.8499999999999</v>
      </c>
      <c r="AY35" s="116"/>
      <c r="AZ35" s="117"/>
      <c r="BA35" s="117">
        <f t="shared" si="35"/>
        <v>0</v>
      </c>
      <c r="BB35" s="117">
        <f t="shared" si="38"/>
        <v>23681.4964</v>
      </c>
      <c r="BC35" s="123">
        <f>'[5]Т06-10'!$M$47+'[5]Т06-10'!$M$48</f>
        <v>1132.818</v>
      </c>
      <c r="BD35" s="14">
        <f t="shared" si="36"/>
        <v>2058.051880000009</v>
      </c>
      <c r="BE35" s="30">
        <f t="shared" si="37"/>
        <v>-3834.8799999999974</v>
      </c>
    </row>
    <row r="36" spans="1:57" ht="12.75" hidden="1">
      <c r="A36" s="11" t="s">
        <v>51</v>
      </c>
      <c r="B36" s="102">
        <v>3274.88</v>
      </c>
      <c r="C36" s="122">
        <f t="shared" si="21"/>
        <v>28327.712000000003</v>
      </c>
      <c r="D36" s="121">
        <f t="shared" si="22"/>
        <v>2716.3820000000014</v>
      </c>
      <c r="E36" s="137">
        <v>2955.86</v>
      </c>
      <c r="F36" s="126">
        <v>0</v>
      </c>
      <c r="G36" s="126">
        <v>4004.79</v>
      </c>
      <c r="H36" s="126">
        <v>0</v>
      </c>
      <c r="I36" s="126">
        <v>9620.94</v>
      </c>
      <c r="J36" s="126">
        <v>0</v>
      </c>
      <c r="K36" s="126">
        <v>6665.07</v>
      </c>
      <c r="L36" s="126">
        <v>0</v>
      </c>
      <c r="M36" s="126">
        <v>2364.67</v>
      </c>
      <c r="N36" s="126">
        <v>0</v>
      </c>
      <c r="O36" s="126">
        <v>0</v>
      </c>
      <c r="P36" s="131">
        <v>0</v>
      </c>
      <c r="Q36" s="131"/>
      <c r="R36" s="131"/>
      <c r="S36" s="91">
        <f t="shared" si="23"/>
        <v>25611.33</v>
      </c>
      <c r="T36" s="105">
        <f t="shared" si="24"/>
        <v>0</v>
      </c>
      <c r="U36" s="93">
        <v>2201.48</v>
      </c>
      <c r="V36" s="91">
        <v>3275.51</v>
      </c>
      <c r="W36" s="91">
        <v>9369.12</v>
      </c>
      <c r="X36" s="91">
        <v>5451.45</v>
      </c>
      <c r="Y36" s="133">
        <v>1934.16</v>
      </c>
      <c r="Z36" s="91">
        <v>0</v>
      </c>
      <c r="AA36" s="106">
        <v>0</v>
      </c>
      <c r="AB36" s="106">
        <f t="shared" si="39"/>
        <v>22231.72</v>
      </c>
      <c r="AC36" s="110">
        <f t="shared" si="25"/>
        <v>24948.102000000003</v>
      </c>
      <c r="AD36" s="100">
        <f t="shared" si="26"/>
        <v>0</v>
      </c>
      <c r="AE36" s="100">
        <f t="shared" si="27"/>
        <v>0</v>
      </c>
      <c r="AF36" s="100">
        <f>'[6]Т07-10'!$I$47+'[6]Т07-10'!$I$48</f>
        <v>2379.53428</v>
      </c>
      <c r="AG36" s="16">
        <f t="shared" si="28"/>
        <v>1964.9279999999999</v>
      </c>
      <c r="AH36" s="16">
        <f t="shared" si="29"/>
        <v>654.9760000000001</v>
      </c>
      <c r="AI36" s="16">
        <f t="shared" si="30"/>
        <v>3274.88</v>
      </c>
      <c r="AJ36" s="16">
        <v>0</v>
      </c>
      <c r="AK36" s="16">
        <f t="shared" si="31"/>
        <v>3209.3824</v>
      </c>
      <c r="AL36" s="16">
        <v>0</v>
      </c>
      <c r="AM36" s="16">
        <f t="shared" si="32"/>
        <v>7368.4800000000005</v>
      </c>
      <c r="AN36" s="16">
        <v>0</v>
      </c>
      <c r="AO36" s="16"/>
      <c r="AP36" s="16"/>
      <c r="AQ36" s="113"/>
      <c r="AR36" s="113"/>
      <c r="AS36" s="95"/>
      <c r="AT36" s="95"/>
      <c r="AU36" s="95">
        <f t="shared" si="33"/>
        <v>0</v>
      </c>
      <c r="AV36" s="114">
        <v>248</v>
      </c>
      <c r="AW36" s="130">
        <v>1.75</v>
      </c>
      <c r="AX36" s="16">
        <f t="shared" si="34"/>
        <v>607.5999999999999</v>
      </c>
      <c r="AY36" s="116"/>
      <c r="AZ36" s="117"/>
      <c r="BA36" s="117">
        <f t="shared" si="35"/>
        <v>0</v>
      </c>
      <c r="BB36" s="117">
        <f t="shared" si="38"/>
        <v>17080.2464</v>
      </c>
      <c r="BC36" s="123">
        <f>'[5]Т06-10'!$M$47+'[5]Т06-10'!$M$48</f>
        <v>1132.818</v>
      </c>
      <c r="BD36" s="14">
        <f t="shared" si="36"/>
        <v>9114.571880000003</v>
      </c>
      <c r="BE36" s="30">
        <f t="shared" si="37"/>
        <v>-3379.6100000000006</v>
      </c>
    </row>
    <row r="37" spans="1:57" ht="12.75" hidden="1">
      <c r="A37" s="11" t="s">
        <v>52</v>
      </c>
      <c r="B37" s="102">
        <v>3274.88</v>
      </c>
      <c r="C37" s="122">
        <f t="shared" si="21"/>
        <v>28327.712000000003</v>
      </c>
      <c r="D37" s="121">
        <f t="shared" si="22"/>
        <v>2717.4020000000005</v>
      </c>
      <c r="E37" s="137">
        <v>2955.74</v>
      </c>
      <c r="F37" s="126">
        <v>0</v>
      </c>
      <c r="G37" s="126">
        <v>4004.63</v>
      </c>
      <c r="H37" s="126">
        <v>0</v>
      </c>
      <c r="I37" s="126">
        <v>9620.56</v>
      </c>
      <c r="J37" s="126">
        <v>0</v>
      </c>
      <c r="K37" s="126">
        <v>6664.81</v>
      </c>
      <c r="L37" s="126">
        <v>0</v>
      </c>
      <c r="M37" s="126">
        <v>2364.57</v>
      </c>
      <c r="N37" s="126">
        <v>0</v>
      </c>
      <c r="O37" s="126">
        <v>0</v>
      </c>
      <c r="P37" s="131">
        <v>0</v>
      </c>
      <c r="Q37" s="131"/>
      <c r="R37" s="131"/>
      <c r="S37" s="91">
        <f t="shared" si="23"/>
        <v>25610.31</v>
      </c>
      <c r="T37" s="105">
        <f t="shared" si="24"/>
        <v>0</v>
      </c>
      <c r="U37" s="138">
        <v>2128.38</v>
      </c>
      <c r="V37" s="138">
        <v>2883.49</v>
      </c>
      <c r="W37" s="138">
        <v>6927.41</v>
      </c>
      <c r="X37" s="138">
        <v>4799.13</v>
      </c>
      <c r="Y37" s="139">
        <v>1702.68</v>
      </c>
      <c r="Z37" s="138">
        <v>0</v>
      </c>
      <c r="AA37" s="140">
        <v>0</v>
      </c>
      <c r="AB37" s="106">
        <f t="shared" si="39"/>
        <v>18441.09</v>
      </c>
      <c r="AC37" s="110">
        <f t="shared" si="25"/>
        <v>21158.492000000002</v>
      </c>
      <c r="AD37" s="100">
        <f t="shared" si="26"/>
        <v>0</v>
      </c>
      <c r="AE37" s="100">
        <f t="shared" si="27"/>
        <v>0</v>
      </c>
      <c r="AF37" s="100">
        <f>'[6]Т07-10'!$I$47+'[6]Т07-10'!$I$48</f>
        <v>2379.53428</v>
      </c>
      <c r="AG37" s="16">
        <f t="shared" si="28"/>
        <v>1964.9279999999999</v>
      </c>
      <c r="AH37" s="16">
        <f t="shared" si="29"/>
        <v>654.9760000000001</v>
      </c>
      <c r="AI37" s="16">
        <f t="shared" si="30"/>
        <v>3274.88</v>
      </c>
      <c r="AJ37" s="16">
        <v>0</v>
      </c>
      <c r="AK37" s="16">
        <f t="shared" si="31"/>
        <v>3209.3824</v>
      </c>
      <c r="AL37" s="16">
        <v>0</v>
      </c>
      <c r="AM37" s="16">
        <f t="shared" si="32"/>
        <v>7368.4800000000005</v>
      </c>
      <c r="AN37" s="16">
        <v>0</v>
      </c>
      <c r="AO37" s="16"/>
      <c r="AP37" s="16"/>
      <c r="AQ37" s="113"/>
      <c r="AR37" s="113"/>
      <c r="AS37" s="95"/>
      <c r="AT37" s="95">
        <f>47.8</f>
        <v>47.8</v>
      </c>
      <c r="AU37" s="95"/>
      <c r="AV37" s="114">
        <v>293</v>
      </c>
      <c r="AW37" s="130">
        <v>1.75</v>
      </c>
      <c r="AX37" s="16">
        <f t="shared" si="34"/>
        <v>717.8499999999999</v>
      </c>
      <c r="AY37" s="116"/>
      <c r="AZ37" s="117"/>
      <c r="BA37" s="117">
        <f t="shared" si="35"/>
        <v>0</v>
      </c>
      <c r="BB37" s="117">
        <f t="shared" si="38"/>
        <v>17238.2964</v>
      </c>
      <c r="BC37" s="123">
        <f>'[5]Т06-10'!$M$47+'[5]Т06-10'!$M$48</f>
        <v>1132.818</v>
      </c>
      <c r="BD37" s="14">
        <f t="shared" si="36"/>
        <v>5166.911880000002</v>
      </c>
      <c r="BE37" s="30">
        <f t="shared" si="37"/>
        <v>-7169.220000000001</v>
      </c>
    </row>
    <row r="38" spans="1:57" ht="12.75" hidden="1">
      <c r="A38" s="11" t="s">
        <v>53</v>
      </c>
      <c r="B38" s="102">
        <v>3274.88</v>
      </c>
      <c r="C38" s="122">
        <f t="shared" si="21"/>
        <v>28327.712000000003</v>
      </c>
      <c r="D38" s="121">
        <f t="shared" si="22"/>
        <v>2717.4220000000028</v>
      </c>
      <c r="E38" s="126">
        <v>2955.74</v>
      </c>
      <c r="F38" s="126">
        <v>0</v>
      </c>
      <c r="G38" s="126">
        <v>4004.62</v>
      </c>
      <c r="H38" s="126">
        <v>0</v>
      </c>
      <c r="I38" s="126">
        <v>9620.56</v>
      </c>
      <c r="J38" s="126">
        <v>0</v>
      </c>
      <c r="K38" s="126">
        <v>6664.8</v>
      </c>
      <c r="L38" s="126">
        <v>0</v>
      </c>
      <c r="M38" s="126">
        <v>2364.57</v>
      </c>
      <c r="N38" s="126">
        <v>0</v>
      </c>
      <c r="O38" s="126">
        <v>0</v>
      </c>
      <c r="P38" s="131">
        <v>0</v>
      </c>
      <c r="Q38" s="131"/>
      <c r="R38" s="131"/>
      <c r="S38" s="91">
        <f t="shared" si="23"/>
        <v>25610.289999999997</v>
      </c>
      <c r="T38" s="105">
        <f t="shared" si="24"/>
        <v>0</v>
      </c>
      <c r="U38" s="91">
        <v>2672.08</v>
      </c>
      <c r="V38" s="91">
        <v>3619.95</v>
      </c>
      <c r="W38" s="91">
        <v>8696.9</v>
      </c>
      <c r="X38" s="91">
        <v>6024.74</v>
      </c>
      <c r="Y38" s="133">
        <v>2137.65</v>
      </c>
      <c r="Z38" s="91">
        <v>0</v>
      </c>
      <c r="AA38" s="106">
        <v>0</v>
      </c>
      <c r="AB38" s="106">
        <f t="shared" si="39"/>
        <v>23151.32</v>
      </c>
      <c r="AC38" s="110">
        <f t="shared" si="25"/>
        <v>25868.742000000002</v>
      </c>
      <c r="AD38" s="100">
        <f t="shared" si="26"/>
        <v>0</v>
      </c>
      <c r="AE38" s="100">
        <f t="shared" si="27"/>
        <v>0</v>
      </c>
      <c r="AF38" s="100">
        <f>'[6]Т07-10'!$I$47+'[6]Т07-10'!$I$48</f>
        <v>2379.53428</v>
      </c>
      <c r="AG38" s="16">
        <f t="shared" si="28"/>
        <v>1964.9279999999999</v>
      </c>
      <c r="AH38" s="16">
        <f t="shared" si="29"/>
        <v>654.9760000000001</v>
      </c>
      <c r="AI38" s="16">
        <f t="shared" si="30"/>
        <v>3274.88</v>
      </c>
      <c r="AJ38" s="16">
        <v>0</v>
      </c>
      <c r="AK38" s="16">
        <f t="shared" si="31"/>
        <v>3209.3824</v>
      </c>
      <c r="AL38" s="16">
        <v>0</v>
      </c>
      <c r="AM38" s="16">
        <f t="shared" si="32"/>
        <v>7368.4800000000005</v>
      </c>
      <c r="AN38" s="16">
        <v>0</v>
      </c>
      <c r="AO38" s="16"/>
      <c r="AP38" s="16"/>
      <c r="AQ38" s="113"/>
      <c r="AR38" s="113"/>
      <c r="AS38" s="95">
        <v>1583</v>
      </c>
      <c r="AT38" s="95">
        <f>12000</f>
        <v>12000</v>
      </c>
      <c r="AU38" s="141">
        <f>0*0.18</f>
        <v>0</v>
      </c>
      <c r="AV38" s="114">
        <v>349</v>
      </c>
      <c r="AW38" s="130">
        <v>1.75</v>
      </c>
      <c r="AX38" s="16">
        <f t="shared" si="34"/>
        <v>855.05</v>
      </c>
      <c r="AY38" s="116"/>
      <c r="AZ38" s="117"/>
      <c r="BA38" s="117">
        <f t="shared" si="35"/>
        <v>0</v>
      </c>
      <c r="BB38" s="117">
        <f t="shared" si="38"/>
        <v>30910.6964</v>
      </c>
      <c r="BC38" s="123">
        <f>'[5]Т06-10'!$M$47+'[5]Т06-10'!$M$48</f>
        <v>1132.818</v>
      </c>
      <c r="BD38" s="14">
        <f t="shared" si="36"/>
        <v>-3795.238119999999</v>
      </c>
      <c r="BE38" s="30">
        <f t="shared" si="37"/>
        <v>-2458.9699999999975</v>
      </c>
    </row>
    <row r="39" spans="1:57" ht="12.75" hidden="1">
      <c r="A39" s="11" t="s">
        <v>41</v>
      </c>
      <c r="B39" s="102">
        <v>3274.88</v>
      </c>
      <c r="C39" s="122">
        <f t="shared" si="21"/>
        <v>28327.712000000003</v>
      </c>
      <c r="D39" s="121">
        <f t="shared" si="22"/>
        <v>2717.4020000000005</v>
      </c>
      <c r="E39" s="128">
        <v>2955.74</v>
      </c>
      <c r="F39" s="128">
        <v>0</v>
      </c>
      <c r="G39" s="128">
        <v>4004.63</v>
      </c>
      <c r="H39" s="128">
        <v>0</v>
      </c>
      <c r="I39" s="128">
        <v>9620.56</v>
      </c>
      <c r="J39" s="128">
        <v>0</v>
      </c>
      <c r="K39" s="128">
        <v>6664.81</v>
      </c>
      <c r="L39" s="128">
        <v>0</v>
      </c>
      <c r="M39" s="128">
        <v>2364.57</v>
      </c>
      <c r="N39" s="128">
        <v>0</v>
      </c>
      <c r="O39" s="128">
        <v>0</v>
      </c>
      <c r="P39" s="132">
        <v>0</v>
      </c>
      <c r="Q39" s="132"/>
      <c r="R39" s="132"/>
      <c r="S39" s="91">
        <f t="shared" si="23"/>
        <v>25610.31</v>
      </c>
      <c r="T39" s="105">
        <f t="shared" si="24"/>
        <v>0</v>
      </c>
      <c r="U39" s="91">
        <v>3315.64</v>
      </c>
      <c r="V39" s="91">
        <v>4490.55</v>
      </c>
      <c r="W39" s="91">
        <v>12678.19</v>
      </c>
      <c r="X39" s="91">
        <v>7488.9</v>
      </c>
      <c r="Y39" s="133">
        <v>2653.82</v>
      </c>
      <c r="Z39" s="91">
        <v>0</v>
      </c>
      <c r="AA39" s="106">
        <v>0</v>
      </c>
      <c r="AB39" s="106">
        <f t="shared" si="39"/>
        <v>30627.1</v>
      </c>
      <c r="AC39" s="110">
        <f t="shared" si="25"/>
        <v>33344.502</v>
      </c>
      <c r="AD39" s="100">
        <f t="shared" si="26"/>
        <v>0</v>
      </c>
      <c r="AE39" s="100">
        <f t="shared" si="27"/>
        <v>0</v>
      </c>
      <c r="AF39" s="100">
        <f>'[6]Т10-10'!$I$47+'[6]Т10-10'!$I$48+100</f>
        <v>2479.53428</v>
      </c>
      <c r="AG39" s="16">
        <f t="shared" si="28"/>
        <v>1964.9279999999999</v>
      </c>
      <c r="AH39" s="16">
        <f t="shared" si="29"/>
        <v>654.9760000000001</v>
      </c>
      <c r="AI39" s="16">
        <f t="shared" si="30"/>
        <v>3274.88</v>
      </c>
      <c r="AJ39" s="16">
        <v>0</v>
      </c>
      <c r="AK39" s="16">
        <f t="shared" si="31"/>
        <v>3209.3824</v>
      </c>
      <c r="AL39" s="16">
        <v>0</v>
      </c>
      <c r="AM39" s="16">
        <f t="shared" si="32"/>
        <v>7368.4800000000005</v>
      </c>
      <c r="AN39" s="16">
        <v>0</v>
      </c>
      <c r="AO39" s="16"/>
      <c r="AP39" s="16"/>
      <c r="AQ39" s="113"/>
      <c r="AR39" s="113"/>
      <c r="AS39" s="95">
        <v>4067</v>
      </c>
      <c r="AT39" s="95"/>
      <c r="AU39" s="95">
        <f>AT39*0.18</f>
        <v>0</v>
      </c>
      <c r="AV39" s="114">
        <v>425</v>
      </c>
      <c r="AW39" s="130">
        <v>1.75</v>
      </c>
      <c r="AX39" s="16">
        <f t="shared" si="34"/>
        <v>1041.25</v>
      </c>
      <c r="AY39" s="116"/>
      <c r="AZ39" s="117"/>
      <c r="BA39" s="117">
        <f t="shared" si="35"/>
        <v>0</v>
      </c>
      <c r="BB39" s="117">
        <f t="shared" si="38"/>
        <v>21580.8964</v>
      </c>
      <c r="BC39" s="123">
        <f>'[6]Т10-10'!$M$47+'[6]Т10-10'!$M$48+25</f>
        <v>1157.818</v>
      </c>
      <c r="BD39" s="14">
        <f t="shared" si="36"/>
        <v>13085.32188</v>
      </c>
      <c r="BE39" s="30">
        <f t="shared" si="37"/>
        <v>5016.789999999997</v>
      </c>
    </row>
    <row r="40" spans="1:57" ht="12.75" hidden="1">
      <c r="A40" s="11" t="s">
        <v>42</v>
      </c>
      <c r="B40" s="102">
        <v>3274.88</v>
      </c>
      <c r="C40" s="122">
        <f t="shared" si="21"/>
        <v>28327.712000000003</v>
      </c>
      <c r="D40" s="121">
        <f t="shared" si="22"/>
        <v>2717.372000000001</v>
      </c>
      <c r="E40" s="126">
        <v>2955.74</v>
      </c>
      <c r="F40" s="126">
        <v>0</v>
      </c>
      <c r="G40" s="126">
        <v>4004.63</v>
      </c>
      <c r="H40" s="126">
        <v>0</v>
      </c>
      <c r="I40" s="126">
        <v>9620.57</v>
      </c>
      <c r="J40" s="126">
        <v>0</v>
      </c>
      <c r="K40" s="126">
        <v>6664.82</v>
      </c>
      <c r="L40" s="126">
        <v>0</v>
      </c>
      <c r="M40" s="126">
        <v>2364.58</v>
      </c>
      <c r="N40" s="126">
        <v>0</v>
      </c>
      <c r="O40" s="126">
        <v>0</v>
      </c>
      <c r="P40" s="131">
        <v>0</v>
      </c>
      <c r="Q40" s="131"/>
      <c r="R40" s="131"/>
      <c r="S40" s="91">
        <f t="shared" si="23"/>
        <v>25610.339999999997</v>
      </c>
      <c r="T40" s="105">
        <f t="shared" si="24"/>
        <v>0</v>
      </c>
      <c r="U40" s="93">
        <v>2188.26</v>
      </c>
      <c r="V40" s="91">
        <v>4464.72</v>
      </c>
      <c r="W40" s="91">
        <v>7072.43</v>
      </c>
      <c r="X40" s="91">
        <v>4914.11</v>
      </c>
      <c r="Y40" s="133">
        <v>1750.58</v>
      </c>
      <c r="Z40" s="91">
        <v>0</v>
      </c>
      <c r="AA40" s="106">
        <v>0</v>
      </c>
      <c r="AB40" s="106">
        <f t="shared" si="39"/>
        <v>20390.1</v>
      </c>
      <c r="AC40" s="110">
        <f t="shared" si="25"/>
        <v>23107.472</v>
      </c>
      <c r="AD40" s="100">
        <f t="shared" si="26"/>
        <v>0</v>
      </c>
      <c r="AE40" s="100">
        <f t="shared" si="27"/>
        <v>0</v>
      </c>
      <c r="AF40" s="100">
        <f>'[6]Т10-10'!$I$47+'[6]Т10-10'!$I$48+100</f>
        <v>2479.53428</v>
      </c>
      <c r="AG40" s="16">
        <f t="shared" si="28"/>
        <v>1964.9279999999999</v>
      </c>
      <c r="AH40" s="16">
        <f t="shared" si="29"/>
        <v>654.9760000000001</v>
      </c>
      <c r="AI40" s="16">
        <f t="shared" si="30"/>
        <v>3274.88</v>
      </c>
      <c r="AJ40" s="16">
        <v>0</v>
      </c>
      <c r="AK40" s="16">
        <f t="shared" si="31"/>
        <v>3209.3824</v>
      </c>
      <c r="AL40" s="16">
        <v>0</v>
      </c>
      <c r="AM40" s="16">
        <f t="shared" si="32"/>
        <v>7368.4800000000005</v>
      </c>
      <c r="AN40" s="16">
        <v>0</v>
      </c>
      <c r="AO40" s="16"/>
      <c r="AP40" s="16"/>
      <c r="AQ40" s="113"/>
      <c r="AR40" s="113"/>
      <c r="AS40" s="95">
        <v>303</v>
      </c>
      <c r="AT40" s="95"/>
      <c r="AU40" s="95">
        <f>AT40*0.18</f>
        <v>0</v>
      </c>
      <c r="AV40" s="114">
        <v>470</v>
      </c>
      <c r="AW40" s="130">
        <v>1.75</v>
      </c>
      <c r="AX40" s="16">
        <f t="shared" si="34"/>
        <v>1151.5</v>
      </c>
      <c r="AY40" s="116"/>
      <c r="AZ40" s="117"/>
      <c r="BA40" s="117">
        <f t="shared" si="35"/>
        <v>0</v>
      </c>
      <c r="BB40" s="117">
        <f t="shared" si="38"/>
        <v>17927.1464</v>
      </c>
      <c r="BC40" s="123">
        <f>'[6]Т10-10'!$M$47+'[6]Т10-10'!$M$48+25</f>
        <v>1157.818</v>
      </c>
      <c r="BD40" s="14">
        <f t="shared" si="36"/>
        <v>6502.04188</v>
      </c>
      <c r="BE40" s="30">
        <f t="shared" si="37"/>
        <v>-5220.239999999998</v>
      </c>
    </row>
    <row r="41" spans="1:57" ht="12.75" hidden="1">
      <c r="A41" s="11" t="s">
        <v>43</v>
      </c>
      <c r="B41" s="102">
        <v>3274.88</v>
      </c>
      <c r="C41" s="122">
        <f t="shared" si="21"/>
        <v>28327.712000000003</v>
      </c>
      <c r="D41" s="121">
        <f t="shared" si="22"/>
        <v>2717.4020000000005</v>
      </c>
      <c r="E41" s="126">
        <v>2955.74</v>
      </c>
      <c r="F41" s="126">
        <v>0</v>
      </c>
      <c r="G41" s="126">
        <v>4004.63</v>
      </c>
      <c r="H41" s="126">
        <v>0</v>
      </c>
      <c r="I41" s="126">
        <v>9620.56</v>
      </c>
      <c r="J41" s="126">
        <v>0</v>
      </c>
      <c r="K41" s="126">
        <v>6664.81</v>
      </c>
      <c r="L41" s="126">
        <v>0</v>
      </c>
      <c r="M41" s="126">
        <v>2364.57</v>
      </c>
      <c r="N41" s="126">
        <v>0</v>
      </c>
      <c r="O41" s="126">
        <v>0</v>
      </c>
      <c r="P41" s="131">
        <v>0</v>
      </c>
      <c r="Q41" s="131"/>
      <c r="R41" s="131"/>
      <c r="S41" s="91">
        <f t="shared" si="23"/>
        <v>25610.31</v>
      </c>
      <c r="T41" s="105">
        <f t="shared" si="24"/>
        <v>0</v>
      </c>
      <c r="U41" s="91">
        <v>3312.71</v>
      </c>
      <c r="V41" s="91">
        <v>4486.39</v>
      </c>
      <c r="W41" s="91">
        <v>9847</v>
      </c>
      <c r="X41" s="91">
        <v>7467.18</v>
      </c>
      <c r="Y41" s="133">
        <v>2649.49</v>
      </c>
      <c r="Z41" s="91">
        <v>0</v>
      </c>
      <c r="AA41" s="106">
        <v>0</v>
      </c>
      <c r="AB41" s="106">
        <f t="shared" si="39"/>
        <v>27762.769999999997</v>
      </c>
      <c r="AC41" s="110">
        <f t="shared" si="25"/>
        <v>30480.172</v>
      </c>
      <c r="AD41" s="100">
        <f t="shared" si="26"/>
        <v>0</v>
      </c>
      <c r="AE41" s="100">
        <f t="shared" si="27"/>
        <v>0</v>
      </c>
      <c r="AF41" s="100">
        <f>'[7]Т10-10'!$I$47+'[7]Т10-10'!$I$48+100</f>
        <v>2479.53428</v>
      </c>
      <c r="AG41" s="16">
        <f t="shared" si="28"/>
        <v>1964.9279999999999</v>
      </c>
      <c r="AH41" s="16">
        <f t="shared" si="29"/>
        <v>654.9760000000001</v>
      </c>
      <c r="AI41" s="16">
        <f t="shared" si="30"/>
        <v>3274.88</v>
      </c>
      <c r="AJ41" s="16">
        <v>0</v>
      </c>
      <c r="AK41" s="16">
        <f t="shared" si="31"/>
        <v>3209.3824</v>
      </c>
      <c r="AL41" s="16">
        <v>0</v>
      </c>
      <c r="AM41" s="16">
        <f t="shared" si="32"/>
        <v>7368.4800000000005</v>
      </c>
      <c r="AN41" s="16">
        <v>0</v>
      </c>
      <c r="AO41" s="16"/>
      <c r="AP41" s="16"/>
      <c r="AQ41" s="113"/>
      <c r="AR41" s="113"/>
      <c r="AS41" s="95"/>
      <c r="AT41" s="95">
        <f>1933.79+237.66+1227.17</f>
        <v>3398.62</v>
      </c>
      <c r="AU41" s="95">
        <f>AT41*0.18</f>
        <v>611.7515999999999</v>
      </c>
      <c r="AV41" s="114">
        <v>514</v>
      </c>
      <c r="AW41" s="130">
        <v>1.75</v>
      </c>
      <c r="AX41" s="16">
        <f t="shared" si="34"/>
        <v>1259.3</v>
      </c>
      <c r="AY41" s="116"/>
      <c r="AZ41" s="117"/>
      <c r="BA41" s="117">
        <f t="shared" si="35"/>
        <v>0</v>
      </c>
      <c r="BB41" s="117">
        <f t="shared" si="38"/>
        <v>21742.318</v>
      </c>
      <c r="BC41" s="123">
        <f>'[7]Т10-10'!$M$47+'[7]Т10-10'!$M$48+25</f>
        <v>1157.818</v>
      </c>
      <c r="BD41" s="14">
        <f t="shared" si="36"/>
        <v>10059.57028</v>
      </c>
      <c r="BE41" s="30">
        <f t="shared" si="37"/>
        <v>2152.4599999999955</v>
      </c>
    </row>
    <row r="42" spans="1:57" s="20" customFormat="1" ht="12.75" hidden="1">
      <c r="A42" s="17" t="s">
        <v>5</v>
      </c>
      <c r="B42" s="60"/>
      <c r="C42" s="19">
        <f aca="true" t="shared" si="40" ref="C42:BD42">SUM(C30:C41)</f>
        <v>339870.264</v>
      </c>
      <c r="D42" s="19">
        <f t="shared" si="40"/>
        <v>33182.44400000003</v>
      </c>
      <c r="E42" s="19">
        <f t="shared" si="40"/>
        <v>32137.319999999992</v>
      </c>
      <c r="F42" s="19">
        <f t="shared" si="40"/>
        <v>3260.7300000000005</v>
      </c>
      <c r="G42" s="19">
        <f t="shared" si="40"/>
        <v>43540.189999999995</v>
      </c>
      <c r="H42" s="19">
        <f t="shared" si="40"/>
        <v>4419.98</v>
      </c>
      <c r="I42" s="19">
        <f t="shared" si="40"/>
        <v>104577.66</v>
      </c>
      <c r="J42" s="19">
        <f t="shared" si="40"/>
        <v>10615.31</v>
      </c>
      <c r="K42" s="19">
        <f t="shared" si="40"/>
        <v>72463.66</v>
      </c>
      <c r="L42" s="19">
        <f t="shared" si="40"/>
        <v>7354.89</v>
      </c>
      <c r="M42" s="19">
        <f t="shared" si="40"/>
        <v>25709.57</v>
      </c>
      <c r="N42" s="19">
        <f t="shared" si="40"/>
        <v>2608.51</v>
      </c>
      <c r="O42" s="19">
        <f t="shared" si="40"/>
        <v>0</v>
      </c>
      <c r="P42" s="19">
        <f t="shared" si="40"/>
        <v>0</v>
      </c>
      <c r="Q42" s="19">
        <f t="shared" si="40"/>
        <v>0</v>
      </c>
      <c r="R42" s="19">
        <f t="shared" si="40"/>
        <v>0</v>
      </c>
      <c r="S42" s="19">
        <f t="shared" si="40"/>
        <v>278428.4</v>
      </c>
      <c r="T42" s="19">
        <f t="shared" si="40"/>
        <v>28259.420000000006</v>
      </c>
      <c r="U42" s="19">
        <f t="shared" si="40"/>
        <v>28557.93</v>
      </c>
      <c r="V42" s="19">
        <f t="shared" si="40"/>
        <v>40186.11</v>
      </c>
      <c r="W42" s="19">
        <f t="shared" si="40"/>
        <v>95340.98000000001</v>
      </c>
      <c r="X42" s="19">
        <f t="shared" si="40"/>
        <v>64380.28</v>
      </c>
      <c r="Y42" s="19">
        <f t="shared" si="40"/>
        <v>22857.760000000002</v>
      </c>
      <c r="Z42" s="19">
        <f t="shared" si="40"/>
        <v>0</v>
      </c>
      <c r="AA42" s="19">
        <f t="shared" si="40"/>
        <v>0</v>
      </c>
      <c r="AB42" s="19">
        <f t="shared" si="40"/>
        <v>251323.06</v>
      </c>
      <c r="AC42" s="19">
        <f t="shared" si="40"/>
        <v>312764.92400000006</v>
      </c>
      <c r="AD42" s="19">
        <f t="shared" si="40"/>
        <v>0</v>
      </c>
      <c r="AE42" s="19">
        <f t="shared" si="40"/>
        <v>0</v>
      </c>
      <c r="AF42" s="19">
        <f t="shared" si="40"/>
        <v>28854.41136</v>
      </c>
      <c r="AG42" s="19">
        <f t="shared" si="40"/>
        <v>23574.816</v>
      </c>
      <c r="AH42" s="19">
        <f t="shared" si="40"/>
        <v>7858.272000000003</v>
      </c>
      <c r="AI42" s="19">
        <f t="shared" si="40"/>
        <v>39291.36</v>
      </c>
      <c r="AJ42" s="19">
        <f t="shared" si="40"/>
        <v>0</v>
      </c>
      <c r="AK42" s="19">
        <f t="shared" si="40"/>
        <v>38505.53279999999</v>
      </c>
      <c r="AL42" s="19">
        <f t="shared" si="40"/>
        <v>0</v>
      </c>
      <c r="AM42" s="19">
        <f t="shared" si="40"/>
        <v>88405.56</v>
      </c>
      <c r="AN42" s="19">
        <f t="shared" si="40"/>
        <v>0</v>
      </c>
      <c r="AO42" s="19">
        <f t="shared" si="40"/>
        <v>0</v>
      </c>
      <c r="AP42" s="19">
        <f t="shared" si="40"/>
        <v>0</v>
      </c>
      <c r="AQ42" s="19">
        <f t="shared" si="40"/>
        <v>0</v>
      </c>
      <c r="AR42" s="19">
        <f t="shared" si="40"/>
        <v>0</v>
      </c>
      <c r="AS42" s="19">
        <f t="shared" si="40"/>
        <v>20122</v>
      </c>
      <c r="AT42" s="19">
        <f t="shared" si="40"/>
        <v>15446.419999999998</v>
      </c>
      <c r="AU42" s="19">
        <f t="shared" si="40"/>
        <v>611.7515999999999</v>
      </c>
      <c r="AV42" s="19">
        <f t="shared" si="40"/>
        <v>4400</v>
      </c>
      <c r="AW42" s="19">
        <f t="shared" si="40"/>
        <v>21</v>
      </c>
      <c r="AX42" s="19">
        <f t="shared" si="40"/>
        <v>10780</v>
      </c>
      <c r="AY42" s="19">
        <f t="shared" si="40"/>
        <v>0</v>
      </c>
      <c r="AZ42" s="19">
        <f t="shared" si="40"/>
        <v>0</v>
      </c>
      <c r="BA42" s="19">
        <f t="shared" si="40"/>
        <v>0</v>
      </c>
      <c r="BB42" s="19">
        <f t="shared" si="40"/>
        <v>244595.7124</v>
      </c>
      <c r="BC42" s="19">
        <f t="shared" si="40"/>
        <v>13668.815999999997</v>
      </c>
      <c r="BD42" s="19">
        <f t="shared" si="40"/>
        <v>83354.80696000003</v>
      </c>
      <c r="BE42" s="19">
        <f>SUM(BE30:BE41)</f>
        <v>-27105.340000000007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9"/>
      <c r="AD43" s="99"/>
      <c r="AE43" s="100"/>
      <c r="AF43" s="100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15"/>
      <c r="AT43" s="15"/>
      <c r="AU43" s="16"/>
      <c r="AV43" s="16"/>
      <c r="AW43" s="16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1" ref="C44:AU44">C28+C42</f>
        <v>764613.6359999999</v>
      </c>
      <c r="D44" s="23">
        <f t="shared" si="41"/>
        <v>91751.03916670004</v>
      </c>
      <c r="E44" s="50">
        <f t="shared" si="41"/>
        <v>66120.84999999999</v>
      </c>
      <c r="F44" s="50">
        <f t="shared" si="41"/>
        <v>11281.710000000001</v>
      </c>
      <c r="G44" s="50">
        <f t="shared" si="41"/>
        <v>89434.47</v>
      </c>
      <c r="H44" s="50">
        <f t="shared" si="41"/>
        <v>15272.8</v>
      </c>
      <c r="I44" s="50">
        <f t="shared" si="41"/>
        <v>214362.39</v>
      </c>
      <c r="J44" s="50">
        <f t="shared" si="41"/>
        <v>36707.939999999995</v>
      </c>
      <c r="K44" s="50">
        <f t="shared" si="41"/>
        <v>148762.66</v>
      </c>
      <c r="L44" s="50">
        <f t="shared" si="41"/>
        <v>25526.93</v>
      </c>
      <c r="M44" s="50">
        <f t="shared" si="41"/>
        <v>52936.45</v>
      </c>
      <c r="N44" s="50">
        <f t="shared" si="41"/>
        <v>9025.099999999999</v>
      </c>
      <c r="O44" s="50">
        <f t="shared" si="41"/>
        <v>0</v>
      </c>
      <c r="P44" s="50">
        <f t="shared" si="41"/>
        <v>0</v>
      </c>
      <c r="Q44" s="50">
        <f t="shared" si="41"/>
        <v>0</v>
      </c>
      <c r="R44" s="50">
        <f t="shared" si="41"/>
        <v>0</v>
      </c>
      <c r="S44" s="50">
        <f t="shared" si="41"/>
        <v>571616.8200000001</v>
      </c>
      <c r="T44" s="50">
        <f t="shared" si="41"/>
        <v>97814.48000000001</v>
      </c>
      <c r="U44" s="53">
        <f t="shared" si="41"/>
        <v>59715.58</v>
      </c>
      <c r="V44" s="53">
        <f t="shared" si="41"/>
        <v>82270.76999999999</v>
      </c>
      <c r="W44" s="53">
        <f t="shared" si="41"/>
        <v>196335.09000000003</v>
      </c>
      <c r="X44" s="53">
        <f t="shared" si="41"/>
        <v>134367.62</v>
      </c>
      <c r="Y44" s="53">
        <f t="shared" si="41"/>
        <v>47814.59</v>
      </c>
      <c r="Z44" s="53">
        <f t="shared" si="41"/>
        <v>0</v>
      </c>
      <c r="AA44" s="53">
        <f t="shared" si="41"/>
        <v>0</v>
      </c>
      <c r="AB44" s="53">
        <f t="shared" si="41"/>
        <v>520503.65</v>
      </c>
      <c r="AC44" s="53">
        <f t="shared" si="41"/>
        <v>710069.1691667</v>
      </c>
      <c r="AD44" s="53">
        <f t="shared" si="41"/>
        <v>0</v>
      </c>
      <c r="AE44" s="53">
        <f t="shared" si="41"/>
        <v>0</v>
      </c>
      <c r="AF44" s="53">
        <f t="shared" si="41"/>
        <v>45738.61464</v>
      </c>
      <c r="AG44" s="23">
        <f t="shared" si="41"/>
        <v>52252.079999999994</v>
      </c>
      <c r="AH44" s="23">
        <f t="shared" si="41"/>
        <v>17508.800384200003</v>
      </c>
      <c r="AI44" s="23">
        <f t="shared" si="41"/>
        <v>79502.9445309</v>
      </c>
      <c r="AJ44" s="23">
        <f t="shared" si="41"/>
        <v>7238.085215562001</v>
      </c>
      <c r="AK44" s="23">
        <f t="shared" si="41"/>
        <v>79222.253254524</v>
      </c>
      <c r="AL44" s="23">
        <f t="shared" si="41"/>
        <v>7329.00968181432</v>
      </c>
      <c r="AM44" s="23">
        <f t="shared" si="41"/>
        <v>177568.39196596594</v>
      </c>
      <c r="AN44" s="23">
        <f t="shared" si="41"/>
        <v>16049.309753873873</v>
      </c>
      <c r="AO44" s="23">
        <f t="shared" si="41"/>
        <v>0</v>
      </c>
      <c r="AP44" s="23">
        <f t="shared" si="41"/>
        <v>0</v>
      </c>
      <c r="AQ44" s="23">
        <f t="shared" si="41"/>
        <v>2122.6800000000003</v>
      </c>
      <c r="AR44" s="23">
        <f t="shared" si="41"/>
        <v>382.08240000000006</v>
      </c>
      <c r="AS44" s="23">
        <f t="shared" si="41"/>
        <v>74429.75</v>
      </c>
      <c r="AT44" s="23">
        <f t="shared" si="41"/>
        <v>15904.039999999999</v>
      </c>
      <c r="AU44" s="23">
        <f t="shared" si="41"/>
        <v>10469.528199999999</v>
      </c>
      <c r="AV44" s="23"/>
      <c r="AW44" s="23"/>
      <c r="AX44" s="23">
        <f aca="true" t="shared" si="42" ref="AX44:BE44">AX28+AX42</f>
        <v>20956.32</v>
      </c>
      <c r="AY44" s="23">
        <f t="shared" si="42"/>
        <v>0</v>
      </c>
      <c r="AZ44" s="23">
        <f t="shared" si="42"/>
        <v>86733.28</v>
      </c>
      <c r="BA44" s="23">
        <f t="shared" si="42"/>
        <v>15611.9904</v>
      </c>
      <c r="BB44" s="23">
        <f t="shared" si="42"/>
        <v>663280.5457868401</v>
      </c>
      <c r="BC44" s="23">
        <f t="shared" si="42"/>
        <v>20447.8841693972</v>
      </c>
      <c r="BD44" s="23">
        <f t="shared" si="42"/>
        <v>72079.35385046272</v>
      </c>
      <c r="BE44" s="24">
        <f t="shared" si="42"/>
        <v>-51113.17000000001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3">
      <selection activeCell="B54" sqref="B54"/>
    </sheetView>
  </sheetViews>
  <sheetFormatPr defaultColWidth="9.003906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1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231" t="s">
        <v>55</v>
      </c>
      <c r="C1" s="231"/>
      <c r="D1" s="231"/>
      <c r="E1" s="231"/>
      <c r="F1" s="231"/>
      <c r="G1" s="231"/>
      <c r="H1" s="231"/>
    </row>
    <row r="2" spans="2:8" ht="21" customHeight="1">
      <c r="B2" s="231" t="s">
        <v>56</v>
      </c>
      <c r="C2" s="231"/>
      <c r="D2" s="231"/>
      <c r="E2" s="231"/>
      <c r="F2" s="231"/>
      <c r="G2" s="231"/>
      <c r="H2" s="231"/>
    </row>
    <row r="5" spans="1:17" ht="12.75">
      <c r="A5" s="233" t="s">
        <v>89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1:17" ht="12.75">
      <c r="A6" s="234" t="s">
        <v>92</v>
      </c>
      <c r="B6" s="234"/>
      <c r="C6" s="234"/>
      <c r="D6" s="234"/>
      <c r="E6" s="234"/>
      <c r="F6" s="234"/>
      <c r="G6" s="234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32" t="s">
        <v>57</v>
      </c>
      <c r="B8" s="232"/>
      <c r="C8" s="232"/>
      <c r="D8" s="232"/>
      <c r="E8" s="232">
        <v>8.65</v>
      </c>
      <c r="F8" s="232"/>
    </row>
    <row r="9" spans="1:18" ht="12.75" customHeight="1">
      <c r="A9" s="186" t="s">
        <v>58</v>
      </c>
      <c r="B9" s="235" t="s">
        <v>1</v>
      </c>
      <c r="C9" s="225" t="s">
        <v>59</v>
      </c>
      <c r="D9" s="228" t="s">
        <v>3</v>
      </c>
      <c r="E9" s="217" t="s">
        <v>60</v>
      </c>
      <c r="F9" s="218"/>
      <c r="G9" s="221" t="s">
        <v>61</v>
      </c>
      <c r="H9" s="222"/>
      <c r="I9" s="200" t="str">
        <f>Лист1!AF3</f>
        <v>Доходы по нежил.помещениям</v>
      </c>
      <c r="J9" s="203" t="s">
        <v>10</v>
      </c>
      <c r="K9" s="166"/>
      <c r="L9" s="166"/>
      <c r="M9" s="166"/>
      <c r="N9" s="166"/>
      <c r="O9" s="204"/>
      <c r="P9" s="182" t="s">
        <v>75</v>
      </c>
      <c r="Q9" s="207" t="s">
        <v>62</v>
      </c>
      <c r="R9" s="207" t="s">
        <v>12</v>
      </c>
    </row>
    <row r="10" spans="1:18" ht="12.75">
      <c r="A10" s="187"/>
      <c r="B10" s="236"/>
      <c r="C10" s="226"/>
      <c r="D10" s="229"/>
      <c r="E10" s="219"/>
      <c r="F10" s="220"/>
      <c r="G10" s="223"/>
      <c r="H10" s="224"/>
      <c r="I10" s="201"/>
      <c r="J10" s="205"/>
      <c r="K10" s="155"/>
      <c r="L10" s="155"/>
      <c r="M10" s="155"/>
      <c r="N10" s="155"/>
      <c r="O10" s="206"/>
      <c r="P10" s="183"/>
      <c r="Q10" s="208"/>
      <c r="R10" s="208"/>
    </row>
    <row r="11" spans="1:18" ht="26.25" customHeight="1">
      <c r="A11" s="187"/>
      <c r="B11" s="236"/>
      <c r="C11" s="226"/>
      <c r="D11" s="229"/>
      <c r="E11" s="211" t="s">
        <v>63</v>
      </c>
      <c r="F11" s="212"/>
      <c r="G11" s="89" t="s">
        <v>64</v>
      </c>
      <c r="H11" s="197" t="s">
        <v>7</v>
      </c>
      <c r="I11" s="201"/>
      <c r="J11" s="213" t="s">
        <v>65</v>
      </c>
      <c r="K11" s="215" t="s">
        <v>32</v>
      </c>
      <c r="L11" s="215" t="s">
        <v>66</v>
      </c>
      <c r="M11" s="215" t="s">
        <v>37</v>
      </c>
      <c r="N11" s="215" t="s">
        <v>67</v>
      </c>
      <c r="O11" s="197" t="s">
        <v>39</v>
      </c>
      <c r="P11" s="183"/>
      <c r="Q11" s="208"/>
      <c r="R11" s="208"/>
    </row>
    <row r="12" spans="1:18" ht="66.75" customHeight="1" thickBot="1">
      <c r="A12" s="210"/>
      <c r="B12" s="237"/>
      <c r="C12" s="227"/>
      <c r="D12" s="230"/>
      <c r="E12" s="63" t="s">
        <v>68</v>
      </c>
      <c r="F12" s="67" t="s">
        <v>21</v>
      </c>
      <c r="G12" s="82" t="s">
        <v>69</v>
      </c>
      <c r="H12" s="198"/>
      <c r="I12" s="202"/>
      <c r="J12" s="214"/>
      <c r="K12" s="216"/>
      <c r="L12" s="216"/>
      <c r="M12" s="216"/>
      <c r="N12" s="216"/>
      <c r="O12" s="198"/>
      <c r="P12" s="184"/>
      <c r="Q12" s="209"/>
      <c r="R12" s="209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 hidden="1">
      <c r="A15" s="11" t="s">
        <v>41</v>
      </c>
      <c r="B15" s="84">
        <f>Лист1!B9</f>
        <v>3277.8</v>
      </c>
      <c r="C15" s="27">
        <f>B15*8.65</f>
        <v>28352.97</v>
      </c>
      <c r="D15" s="28">
        <f>Лист1!D9</f>
        <v>6829.6634136</v>
      </c>
      <c r="E15" s="14">
        <f>Лист1!S9</f>
        <v>18976.01</v>
      </c>
      <c r="F15" s="30">
        <f>Лист1!T9</f>
        <v>4390.12</v>
      </c>
      <c r="G15" s="29">
        <f>Лист1!AB9</f>
        <v>0</v>
      </c>
      <c r="H15" s="30">
        <f>Лист1!AC9</f>
        <v>11219.7834136</v>
      </c>
      <c r="I15" s="87">
        <f>Лист1!AD9</f>
        <v>0</v>
      </c>
      <c r="J15" s="29">
        <f>Лист1!AG9</f>
        <v>1966.68</v>
      </c>
      <c r="K15" s="14">
        <f>Лист1!AI9+Лист1!AJ9</f>
        <v>3294.5954472000003</v>
      </c>
      <c r="L15" s="14">
        <f>Лист1!AH9+Лист1!AK9+Лист1!AL9+Лист1!AM9+Лист1!AN9+Лист1!AO9+Лист1!AP9</f>
        <v>11568.64470318</v>
      </c>
      <c r="M15" s="31">
        <f>Лист1!AS9+Лист1!AU9</f>
        <v>3404.2763999999997</v>
      </c>
      <c r="N15" s="31">
        <f>Лист1!AX9</f>
        <v>0</v>
      </c>
      <c r="O15" s="30">
        <f>Лист1!BB9</f>
        <v>20234.19655038</v>
      </c>
      <c r="P15" s="90">
        <f>Лист1!BC9</f>
        <v>0</v>
      </c>
      <c r="Q15" s="75">
        <f>Лист1!BD9</f>
        <v>-9014.413136779998</v>
      </c>
      <c r="R15" s="75">
        <f>Лист1!BE9</f>
        <v>-18976.01</v>
      </c>
    </row>
    <row r="16" spans="1:18" ht="12.75" hidden="1">
      <c r="A16" s="11" t="s">
        <v>42</v>
      </c>
      <c r="B16" s="84">
        <f>Лист1!B10</f>
        <v>3277.8</v>
      </c>
      <c r="C16" s="27">
        <f aca="true" t="shared" si="0" ref="C16:C31">B16*8.65</f>
        <v>28352.97</v>
      </c>
      <c r="D16" s="28">
        <f>Лист1!D10</f>
        <v>6829.6634136</v>
      </c>
      <c r="E16" s="14">
        <f>Лист1!S10</f>
        <v>17092.34</v>
      </c>
      <c r="F16" s="30">
        <f>Лист1!T10</f>
        <v>4438.84</v>
      </c>
      <c r="G16" s="29">
        <f>Лист1!AB10</f>
        <v>10799.7</v>
      </c>
      <c r="H16" s="30">
        <f>Лист1!AC10</f>
        <v>22068.2034136</v>
      </c>
      <c r="I16" s="87">
        <f>Лист1!AD10</f>
        <v>0</v>
      </c>
      <c r="J16" s="29">
        <f>Лист1!AG10</f>
        <v>1966.68</v>
      </c>
      <c r="K16" s="14">
        <f>Лист1!AI10+Лист1!AJ10</f>
        <v>3294.5954472000003</v>
      </c>
      <c r="L16" s="14">
        <f>Лист1!AH10+Лист1!AK10+Лист1!AL10+Лист1!AM10+Лист1!AN10+Лист1!AO10+Лист1!AP10</f>
        <v>11533.729577580001</v>
      </c>
      <c r="M16" s="31">
        <f>Лист1!AS10+Лист1!AU10</f>
        <v>3162.4</v>
      </c>
      <c r="N16" s="31">
        <f>Лист1!AX10</f>
        <v>0</v>
      </c>
      <c r="O16" s="30">
        <f>Лист1!BB10</f>
        <v>19957.40502478</v>
      </c>
      <c r="P16" s="90">
        <f>Лист1!BC10</f>
        <v>0</v>
      </c>
      <c r="Q16" s="75">
        <f>Лист1!BD10</f>
        <v>2110.7983888199997</v>
      </c>
      <c r="R16" s="75">
        <f>Лист1!BE10</f>
        <v>-6292.639999999999</v>
      </c>
    </row>
    <row r="17" spans="1:20" ht="13.5" hidden="1" thickBot="1">
      <c r="A17" s="32" t="s">
        <v>43</v>
      </c>
      <c r="B17" s="84">
        <f>Лист1!B11</f>
        <v>3277.8</v>
      </c>
      <c r="C17" s="33">
        <f t="shared" si="0"/>
        <v>28352.97</v>
      </c>
      <c r="D17" s="28">
        <f>Лист1!D11</f>
        <v>6814.636339500001</v>
      </c>
      <c r="E17" s="14">
        <f>Лист1!S11</f>
        <v>19127.84</v>
      </c>
      <c r="F17" s="30">
        <f>Лист1!T11</f>
        <v>4360.4400000000005</v>
      </c>
      <c r="G17" s="29">
        <f>Лист1!AB11</f>
        <v>16781.72</v>
      </c>
      <c r="H17" s="30">
        <f>Лист1!AC11</f>
        <v>27956.796339500004</v>
      </c>
      <c r="I17" s="87">
        <f>Лист1!AD11</f>
        <v>0</v>
      </c>
      <c r="J17" s="29">
        <f>Лист1!AG11</f>
        <v>1966.68</v>
      </c>
      <c r="K17" s="14">
        <f>Лист1!AI11+Лист1!AJ11</f>
        <v>3285.00329328</v>
      </c>
      <c r="L17" s="14">
        <f>Лист1!AH11+Лист1!AK11+Лист1!AL11+Лист1!AM11+Лист1!AN11+Лист1!AO11+Лист1!AP11</f>
        <v>11515.392351594002</v>
      </c>
      <c r="M17" s="31">
        <f>Лист1!AS11+Лист1!AU11</f>
        <v>455.48</v>
      </c>
      <c r="N17" s="31">
        <f>Лист1!AX11</f>
        <v>0</v>
      </c>
      <c r="O17" s="30">
        <f>Лист1!BB11</f>
        <v>17222.555644874</v>
      </c>
      <c r="P17" s="90">
        <f>Лист1!BC11</f>
        <v>0</v>
      </c>
      <c r="Q17" s="75">
        <f>Лист1!BD11</f>
        <v>10734.240694626005</v>
      </c>
      <c r="R17" s="75">
        <f>Лист1!BE11</f>
        <v>-2346.119999999999</v>
      </c>
      <c r="S17" s="1"/>
      <c r="T17" s="1"/>
    </row>
    <row r="18" spans="1:20" s="20" customFormat="1" ht="13.5" hidden="1" thickBot="1">
      <c r="A18" s="34" t="s">
        <v>5</v>
      </c>
      <c r="B18" s="35"/>
      <c r="C18" s="36">
        <f>SUM(C15:C17)</f>
        <v>85058.91</v>
      </c>
      <c r="D18" s="68">
        <f aca="true" t="shared" si="1" ref="D18:J18">SUM(D15:D17)</f>
        <v>20473.9631667</v>
      </c>
      <c r="E18" s="36">
        <f t="shared" si="1"/>
        <v>55196.19</v>
      </c>
      <c r="F18" s="69">
        <f t="shared" si="1"/>
        <v>13189.4</v>
      </c>
      <c r="G18" s="68">
        <f t="shared" si="1"/>
        <v>27581.420000000002</v>
      </c>
      <c r="H18" s="69">
        <f t="shared" si="1"/>
        <v>61244.78316670001</v>
      </c>
      <c r="I18" s="69">
        <f t="shared" si="1"/>
        <v>0</v>
      </c>
      <c r="J18" s="68">
        <f t="shared" si="1"/>
        <v>5900.04</v>
      </c>
      <c r="K18" s="36">
        <f aca="true" t="shared" si="2" ref="K18:R18">SUM(K15:K17)</f>
        <v>9874.194187680001</v>
      </c>
      <c r="L18" s="36">
        <f t="shared" si="2"/>
        <v>34617.766632354</v>
      </c>
      <c r="M18" s="36">
        <f t="shared" si="2"/>
        <v>7022.1564</v>
      </c>
      <c r="N18" s="36">
        <f t="shared" si="2"/>
        <v>0</v>
      </c>
      <c r="O18" s="69">
        <f t="shared" si="2"/>
        <v>57414.157220034</v>
      </c>
      <c r="P18" s="69">
        <f t="shared" si="2"/>
        <v>0</v>
      </c>
      <c r="Q18" s="76">
        <f t="shared" si="2"/>
        <v>3830.6259466660067</v>
      </c>
      <c r="R18" s="76">
        <f t="shared" si="2"/>
        <v>-27614.769999999997</v>
      </c>
      <c r="S18" s="71"/>
      <c r="T18" s="72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 hidden="1">
      <c r="A20" s="11" t="s">
        <v>45</v>
      </c>
      <c r="B20" s="84">
        <f>Лист1!B14</f>
        <v>3264.5</v>
      </c>
      <c r="C20" s="27">
        <f t="shared" si="0"/>
        <v>28237.925000000003</v>
      </c>
      <c r="D20" s="28">
        <f>Лист1!D14</f>
        <v>3529.7406250000004</v>
      </c>
      <c r="E20" s="14">
        <f>Лист1!S14</f>
        <v>17896.75</v>
      </c>
      <c r="F20" s="30">
        <f>Лист1!T14</f>
        <v>4347.94</v>
      </c>
      <c r="G20" s="29">
        <f>Лист1!AB14</f>
        <v>13459.83</v>
      </c>
      <c r="H20" s="30">
        <f>Лист1!AC14</f>
        <v>21337.510625</v>
      </c>
      <c r="I20" s="87">
        <f>Лист1!AF14</f>
        <v>0</v>
      </c>
      <c r="J20" s="29">
        <f>Лист1!AG14</f>
        <v>1762.83</v>
      </c>
      <c r="K20" s="14">
        <f>Лист1!AI14+Лист1!AJ14</f>
        <v>2838.7888645000003</v>
      </c>
      <c r="L20" s="14">
        <f>Лист1!AH14+Лист1!AK14+Лист1!AL14+Лист1!AM14+Лист1!AN14+Лист1!AO14+Лист1!AP14+Лист1!AQ14+Лист1!AR14</f>
        <v>9749.29729891</v>
      </c>
      <c r="M20" s="31">
        <f>Лист1!AS14+Лист1!AT14+Лист1!AU14+Лист1!AZ14+Лист1!BA14</f>
        <v>7759.6900000000005</v>
      </c>
      <c r="N20" s="31">
        <f>Лист1!AX14</f>
        <v>1174.9024</v>
      </c>
      <c r="O20" s="30">
        <f>Лист1!BB14</f>
        <v>22110.60616341</v>
      </c>
      <c r="P20" s="90">
        <f>Лист1!BC14</f>
        <v>0</v>
      </c>
      <c r="Q20" s="75">
        <f>Лист1!BD14</f>
        <v>-773.0955384100016</v>
      </c>
      <c r="R20" s="75">
        <f>Лист1!BE14</f>
        <v>-4436.92</v>
      </c>
      <c r="S20" s="1"/>
      <c r="T20" s="1"/>
    </row>
    <row r="21" spans="1:20" ht="12.75" hidden="1">
      <c r="A21" s="11" t="s">
        <v>46</v>
      </c>
      <c r="B21" s="84">
        <f>Лист1!B15</f>
        <v>3264.5</v>
      </c>
      <c r="C21" s="27">
        <f t="shared" si="0"/>
        <v>28237.925000000003</v>
      </c>
      <c r="D21" s="28">
        <f>Лист1!D15</f>
        <v>3529.7406250000004</v>
      </c>
      <c r="E21" s="14">
        <f>Лист1!S15</f>
        <v>18459.670000000002</v>
      </c>
      <c r="F21" s="30">
        <f>Лист1!T15</f>
        <v>4508.53</v>
      </c>
      <c r="G21" s="29">
        <f>Лист1!AB15</f>
        <v>14344.83</v>
      </c>
      <c r="H21" s="30">
        <f>Лист1!AC15</f>
        <v>22383.100625</v>
      </c>
      <c r="I21" s="87">
        <f>Лист1!AF15</f>
        <v>0</v>
      </c>
      <c r="J21" s="29">
        <f>Лист1!AG15</f>
        <v>1762.83</v>
      </c>
      <c r="K21" s="14">
        <f>Лист1!AI15+Лист1!AJ15</f>
        <v>2838.8124645</v>
      </c>
      <c r="L21" s="14">
        <f>Лист1!AH15+Лист1!AK15+Лист1!AL15+Лист1!AM15+Лист1!AN15+Лист1!AO15+Лист1!AP15+Лист1!AQ15+Лист1!AR15</f>
        <v>9763.37153776</v>
      </c>
      <c r="M21" s="31">
        <f>Лист1!AS15+Лист1!AT15+Лист1!AU15+Лист1!AZ15+Лист1!BA15</f>
        <v>8761.5</v>
      </c>
      <c r="N21" s="31">
        <f>Лист1!AX15</f>
        <v>941.3095999999999</v>
      </c>
      <c r="O21" s="30">
        <f>Лист1!BB15</f>
        <v>23126.514002260003</v>
      </c>
      <c r="P21" s="90">
        <f>Лист1!BC15</f>
        <v>0</v>
      </c>
      <c r="Q21" s="75">
        <f>Лист1!BD15</f>
        <v>-743.4133772600035</v>
      </c>
      <c r="R21" s="75">
        <f>Лист1!BE15</f>
        <v>-4114.840000000002</v>
      </c>
      <c r="S21" s="1"/>
      <c r="T21" s="1"/>
    </row>
    <row r="22" spans="1:20" ht="12.75" hidden="1">
      <c r="A22" s="11" t="s">
        <v>47</v>
      </c>
      <c r="B22" s="84">
        <f>Лист1!B16</f>
        <v>3274.7</v>
      </c>
      <c r="C22" s="27">
        <f t="shared" si="0"/>
        <v>28326.155</v>
      </c>
      <c r="D22" s="28">
        <f>Лист1!D16</f>
        <v>3540.769375</v>
      </c>
      <c r="E22" s="14">
        <f>Лист1!S16</f>
        <v>18208.12</v>
      </c>
      <c r="F22" s="30">
        <f>Лист1!T16</f>
        <v>4508.53</v>
      </c>
      <c r="G22" s="29">
        <f>Лист1!AB16</f>
        <v>23432.480000000003</v>
      </c>
      <c r="H22" s="30">
        <f>Лист1!AC16</f>
        <v>31481.779375000002</v>
      </c>
      <c r="I22" s="87">
        <f>Лист1!AF16</f>
        <v>0</v>
      </c>
      <c r="J22" s="29">
        <f>Лист1!AG16</f>
        <v>1768.3379999999997</v>
      </c>
      <c r="K22" s="14">
        <f>Лист1!AI16+Лист1!AJ16</f>
        <v>2849.32465675</v>
      </c>
      <c r="L22" s="14">
        <f>Лист1!AH16+Лист1!AK16+Лист1!AL16+Лист1!AM16+Лист1!AN16+Лист1!AO16+Лист1!AP16+Лист1!AQ16+Лист1!AR16</f>
        <v>9468.097473405998</v>
      </c>
      <c r="M22" s="31">
        <f>Лист1!AS16+Лист1!AT16+Лист1!AU16+Лист1!AZ16+Лист1!BA16</f>
        <v>0</v>
      </c>
      <c r="N22" s="31">
        <f>Лист1!AX16</f>
        <v>885.8024</v>
      </c>
      <c r="O22" s="30">
        <f>Лист1!BB16</f>
        <v>14085.760130155999</v>
      </c>
      <c r="P22" s="90">
        <f>Лист1!BC16</f>
        <v>0</v>
      </c>
      <c r="Q22" s="75">
        <f>Лист1!BD16</f>
        <v>17396.019244844003</v>
      </c>
      <c r="R22" s="75">
        <f>Лист1!BE16</f>
        <v>5224.360000000004</v>
      </c>
      <c r="S22" s="1"/>
      <c r="T22" s="1"/>
    </row>
    <row r="23" spans="1:20" ht="12.75" hidden="1">
      <c r="A23" s="11" t="s">
        <v>48</v>
      </c>
      <c r="B23" s="84">
        <f>Лист1!B17</f>
        <v>3274.7</v>
      </c>
      <c r="C23" s="27">
        <f t="shared" si="0"/>
        <v>28326.155</v>
      </c>
      <c r="D23" s="28">
        <f>Лист1!D17</f>
        <v>3540.769375</v>
      </c>
      <c r="E23" s="14">
        <f>Лист1!S17</f>
        <v>19317.13</v>
      </c>
      <c r="F23" s="30">
        <f>Лист1!T17</f>
        <v>4508.53</v>
      </c>
      <c r="G23" s="29">
        <f>Лист1!AB17</f>
        <v>16172.08</v>
      </c>
      <c r="H23" s="30">
        <f>Лист1!AC17</f>
        <v>24221.379375</v>
      </c>
      <c r="I23" s="87">
        <f>Лист1!AF17</f>
        <v>0</v>
      </c>
      <c r="J23" s="29">
        <f>Лист1!AG17</f>
        <v>1768.3379999999997</v>
      </c>
      <c r="K23" s="14">
        <f>Лист1!AI17+Лист1!AJ17</f>
        <v>2934.39383094</v>
      </c>
      <c r="L23" s="14">
        <f>Лист1!AH17+Лист1!AK17+Лист1!AL17+Лист1!AM17+Лист1!AN17+Лист1!AO17+Лист1!AP17+Лист1!AQ17+Лист1!AR17</f>
        <v>9602.250077992</v>
      </c>
      <c r="M23" s="31">
        <f>Лист1!AS17+Лист1!AT17+Лист1!AU17+Лист1!AZ17+Лист1!BA17</f>
        <v>601.8</v>
      </c>
      <c r="N23" s="31">
        <f>Лист1!AX17</f>
        <v>710.0296</v>
      </c>
      <c r="O23" s="30">
        <f>Лист1!BB17</f>
        <v>18618.825908931998</v>
      </c>
      <c r="P23" s="90">
        <f>Лист1!BC17</f>
        <v>0</v>
      </c>
      <c r="Q23" s="75">
        <f>Лист1!BD17</f>
        <v>5602.553466068002</v>
      </c>
      <c r="R23" s="75">
        <f>Лист1!BE17</f>
        <v>-3145.050000000001</v>
      </c>
      <c r="S23" s="1"/>
      <c r="T23" s="1"/>
    </row>
    <row r="24" spans="1:20" ht="12.75" hidden="1">
      <c r="A24" s="11" t="s">
        <v>49</v>
      </c>
      <c r="B24" s="84">
        <f>Лист1!B18</f>
        <v>3274.7</v>
      </c>
      <c r="C24" s="27">
        <f t="shared" si="0"/>
        <v>28326.155</v>
      </c>
      <c r="D24" s="28">
        <f>Лист1!D18</f>
        <v>3431.2350000000006</v>
      </c>
      <c r="E24" s="14">
        <f>Лист1!S18</f>
        <v>20079.800000000003</v>
      </c>
      <c r="F24" s="30">
        <f>Лист1!T18</f>
        <v>4815.120000000001</v>
      </c>
      <c r="G24" s="29">
        <f>Лист1!AB18</f>
        <v>21126.809999999998</v>
      </c>
      <c r="H24" s="30">
        <f>Лист1!AC18</f>
        <v>29373.165</v>
      </c>
      <c r="I24" s="87">
        <f>Лист1!AF18</f>
        <v>0</v>
      </c>
      <c r="J24" s="29">
        <f>Лист1!AG18</f>
        <v>1964.8199999999997</v>
      </c>
      <c r="K24" s="14">
        <f>Лист1!AI18+Лист1!AJ18</f>
        <v>3284.5240999999996</v>
      </c>
      <c r="L24" s="14">
        <f>Лист1!AH18+Лист1!AK18+Лист1!AL18+Лист1!AM18+Лист1!AN18+Лист1!AO18+Лист1!AP18+Лист1!AQ18+Лист1!AR18</f>
        <v>11249.24944</v>
      </c>
      <c r="M24" s="31">
        <f>Лист1!AS18+Лист1!AT18+Лист1!AU18+Лист1!AZ18+Лист1!BA18</f>
        <v>2810.0402</v>
      </c>
      <c r="N24" s="31">
        <f>Лист1!AX18</f>
        <v>608.2664</v>
      </c>
      <c r="O24" s="30">
        <f>Лист1!BB18</f>
        <v>19916.900139999998</v>
      </c>
      <c r="P24" s="90">
        <f>Лист1!BC18</f>
        <v>0</v>
      </c>
      <c r="Q24" s="75">
        <f>Лист1!BD18</f>
        <v>9456.264860000003</v>
      </c>
      <c r="R24" s="75">
        <f>Лист1!BE18</f>
        <v>1047.0099999999948</v>
      </c>
      <c r="S24" s="1"/>
      <c r="T24" s="1"/>
    </row>
    <row r="25" spans="1:20" ht="12.75" hidden="1">
      <c r="A25" s="11" t="s">
        <v>50</v>
      </c>
      <c r="B25" s="84">
        <f>Лист1!B19</f>
        <v>3274.7</v>
      </c>
      <c r="C25" s="27">
        <f t="shared" si="0"/>
        <v>28326.155</v>
      </c>
      <c r="D25" s="28">
        <f>Лист1!D19</f>
        <v>3172.904999999997</v>
      </c>
      <c r="E25" s="14">
        <f>Лист1!S19</f>
        <v>20338.12</v>
      </c>
      <c r="F25" s="30">
        <f>Лист1!T19</f>
        <v>4815.13</v>
      </c>
      <c r="G25" s="29">
        <f>Лист1!AB19</f>
        <v>16416.11</v>
      </c>
      <c r="H25" s="30">
        <f>Лист1!AC19</f>
        <v>24404.144999999997</v>
      </c>
      <c r="I25" s="87">
        <f>Лист1!AF19</f>
        <v>0</v>
      </c>
      <c r="J25" s="29">
        <f>Лист1!AG19</f>
        <v>1964.8199999999997</v>
      </c>
      <c r="K25" s="14">
        <f>Лист1!AI19+Лист1!AJ19</f>
        <v>3284.5240999999996</v>
      </c>
      <c r="L25" s="14">
        <f>Лист1!AH19+Лист1!AK19+Лист1!AL19+Лист1!AM19+Лист1!AN19+Лист1!AO19+Лист1!AP19+Лист1!AQ19+Лист1!AR19</f>
        <v>11249.544162999999</v>
      </c>
      <c r="M25" s="31">
        <f>Лист1!AS19+Лист1!AT19+Лист1!AU19+Лист1!AZ19+Лист1!BA19</f>
        <v>0</v>
      </c>
      <c r="N25" s="31">
        <f>Лист1!AX19</f>
        <v>538.8824000000001</v>
      </c>
      <c r="O25" s="30">
        <f>Лист1!BB19</f>
        <v>17037.770663</v>
      </c>
      <c r="P25" s="90">
        <f>Лист1!BC19</f>
        <v>0</v>
      </c>
      <c r="Q25" s="75">
        <f>Лист1!BD19</f>
        <v>7366.3743369999975</v>
      </c>
      <c r="R25" s="75">
        <f>Лист1!BE19</f>
        <v>-3922.0099999999984</v>
      </c>
      <c r="S25" s="1"/>
      <c r="T25" s="1"/>
    </row>
    <row r="26" spans="1:20" ht="12.75" hidden="1">
      <c r="A26" s="11" t="s">
        <v>51</v>
      </c>
      <c r="B26" s="84">
        <f>Лист1!B20</f>
        <v>3273.68</v>
      </c>
      <c r="C26" s="27">
        <f t="shared" si="0"/>
        <v>28317.332</v>
      </c>
      <c r="D26" s="28">
        <f>Лист1!D20</f>
        <v>2979.4319999999957</v>
      </c>
      <c r="E26" s="14">
        <f>Лист1!S20</f>
        <v>20507.18</v>
      </c>
      <c r="F26" s="30">
        <f>Лист1!T20</f>
        <v>4830.719999999999</v>
      </c>
      <c r="G26" s="29">
        <f>Лист1!AB20</f>
        <v>22696.36</v>
      </c>
      <c r="H26" s="30">
        <f>Лист1!AC20</f>
        <v>30506.511999999995</v>
      </c>
      <c r="I26" s="87">
        <f>Лист1!AF20</f>
        <v>2814.03388</v>
      </c>
      <c r="J26" s="29">
        <f>Лист1!AG20</f>
        <v>1964.2079999999999</v>
      </c>
      <c r="K26" s="14">
        <f>Лист1!AI20+Лист1!AJ20</f>
        <v>3236.5469751279998</v>
      </c>
      <c r="L26" s="14">
        <f>Лист1!AH20+Лист1!AK20+Лист1!AL20+Лист1!AM20+Лист1!AN20+Лист1!AO20+Лист1!AP20+Лист1!AQ20+Лист1!AR20</f>
        <v>11134.143231329599</v>
      </c>
      <c r="M26" s="31">
        <f>Лист1!AS20+Лист1!AT20+Лист1!AU20+Лист1!AZ20+Лист1!BA20</f>
        <v>6089.5316</v>
      </c>
      <c r="N26" s="31">
        <f>Лист1!AX20</f>
        <v>573.5744</v>
      </c>
      <c r="O26" s="30">
        <f>Лист1!BB20</f>
        <v>22998.004206457597</v>
      </c>
      <c r="P26" s="90">
        <f>Лист1!BC20</f>
        <v>1124.4664671599999</v>
      </c>
      <c r="Q26" s="75">
        <f>Лист1!BD20</f>
        <v>9198.0752063824</v>
      </c>
      <c r="R26" s="75">
        <f>Лист1!BE20</f>
        <v>2189.1800000000003</v>
      </c>
      <c r="S26" s="1"/>
      <c r="T26" s="1"/>
    </row>
    <row r="27" spans="1:20" ht="12.75" hidden="1">
      <c r="A27" s="11" t="s">
        <v>52</v>
      </c>
      <c r="B27" s="84">
        <f>Лист1!B21</f>
        <v>3273.68</v>
      </c>
      <c r="C27" s="27">
        <f t="shared" si="0"/>
        <v>28317.332</v>
      </c>
      <c r="D27" s="28">
        <f>Лист1!D21</f>
        <v>2701.992000000002</v>
      </c>
      <c r="E27" s="14">
        <f>Лист1!S21</f>
        <v>20784.11</v>
      </c>
      <c r="F27" s="30">
        <f>Лист1!T21</f>
        <v>4831.2300000000005</v>
      </c>
      <c r="G27" s="29">
        <f>Лист1!AB21</f>
        <v>18065.660000000003</v>
      </c>
      <c r="H27" s="30">
        <f>Лист1!AC21</f>
        <v>25598.882000000005</v>
      </c>
      <c r="I27" s="87">
        <f>Лист1!AF21</f>
        <v>2814.03388</v>
      </c>
      <c r="J27" s="29">
        <f>Лист1!AG21</f>
        <v>1964.2079999999999</v>
      </c>
      <c r="K27" s="14">
        <f>Лист1!AI21+Лист1!AJ21</f>
        <v>3235.1022346704</v>
      </c>
      <c r="L27" s="14">
        <f>Лист1!AH21+Лист1!AK21+Лист1!AL21+Лист1!AM21+Лист1!AN21+Лист1!AO21+Лист1!AP21+Лист1!AQ21+Лист1!AR21</f>
        <v>11238.379756</v>
      </c>
      <c r="M27" s="31">
        <f>Лист1!AS21+Лист1!AT21+Лист1!AU21+Лист1!AZ21+Лист1!BA21</f>
        <v>27010.2</v>
      </c>
      <c r="N27" s="31">
        <f>Лист1!AX21</f>
        <v>677.6504000000001</v>
      </c>
      <c r="O27" s="30">
        <f>Лист1!BB21</f>
        <v>44125.540390670394</v>
      </c>
      <c r="P27" s="90">
        <f>Лист1!BC21</f>
        <v>1129.9230710680001</v>
      </c>
      <c r="Q27" s="75">
        <f>Лист1!BD21</f>
        <v>-16842.54758173839</v>
      </c>
      <c r="R27" s="75">
        <f>Лист1!BE21</f>
        <v>-2718.449999999997</v>
      </c>
      <c r="S27" s="1"/>
      <c r="T27" s="1"/>
    </row>
    <row r="28" spans="1:20" ht="12.75" hidden="1">
      <c r="A28" s="11" t="s">
        <v>53</v>
      </c>
      <c r="B28" s="84">
        <f>Лист1!B22</f>
        <v>3273.68</v>
      </c>
      <c r="C28" s="27">
        <f t="shared" si="0"/>
        <v>28317.332</v>
      </c>
      <c r="D28" s="28">
        <f>Лист1!D22</f>
        <v>3487.012000000001</v>
      </c>
      <c r="E28" s="14">
        <f>Лист1!S22</f>
        <v>19999.11</v>
      </c>
      <c r="F28" s="30">
        <f>Лист1!T22</f>
        <v>4831.209999999999</v>
      </c>
      <c r="G28" s="29">
        <f>Лист1!AB22</f>
        <v>18239.25</v>
      </c>
      <c r="H28" s="30">
        <f>Лист1!AC22</f>
        <v>26557.472</v>
      </c>
      <c r="I28" s="87">
        <f>Лист1!AF22</f>
        <v>2814.03388</v>
      </c>
      <c r="J28" s="29">
        <f>Лист1!AG22</f>
        <v>1964.2079999999999</v>
      </c>
      <c r="K28" s="14">
        <f>Лист1!AI22+Лист1!AJ22</f>
        <v>3234.5440394935995</v>
      </c>
      <c r="L28" s="14">
        <f>Лист1!AH22+Лист1!AK22+Лист1!AL22+Лист1!AM22+Лист1!AN22+Лист1!AO22+Лист1!AP22+Лист1!AQ22+Лист1!AR22</f>
        <v>11131.146085626558</v>
      </c>
      <c r="M28" s="31">
        <f>Лист1!AS22+Лист1!AT22+Лист1!AU22+Лист1!AZ22+Лист1!BA22</f>
        <v>1694.0079999999998</v>
      </c>
      <c r="N28" s="31">
        <f>Лист1!AX22</f>
        <v>807.1672000000001</v>
      </c>
      <c r="O28" s="30">
        <f>Лист1!BB22</f>
        <v>18831.073325120156</v>
      </c>
      <c r="P28" s="90">
        <f>Лист1!BC22</f>
        <v>1123.7855551692</v>
      </c>
      <c r="Q28" s="75">
        <f>Лист1!BD22</f>
        <v>9416.646999710643</v>
      </c>
      <c r="R28" s="75">
        <f>Лист1!BE22</f>
        <v>-1759.8600000000006</v>
      </c>
      <c r="S28" s="1"/>
      <c r="T28" s="1"/>
    </row>
    <row r="29" spans="1:20" ht="12.75" hidden="1">
      <c r="A29" s="11" t="s">
        <v>41</v>
      </c>
      <c r="B29" s="84">
        <f>Лист1!B23</f>
        <v>3273.68</v>
      </c>
      <c r="C29" s="27">
        <f>B29*8.65</f>
        <v>28317.332</v>
      </c>
      <c r="D29" s="28">
        <f>Лист1!D23</f>
        <v>2744.982</v>
      </c>
      <c r="E29" s="14">
        <f>Лист1!S23</f>
        <v>20736.08</v>
      </c>
      <c r="F29" s="30">
        <f>Лист1!T23</f>
        <v>4836.27</v>
      </c>
      <c r="G29" s="29">
        <f>Лист1!AB23</f>
        <v>27697.66</v>
      </c>
      <c r="H29" s="30">
        <f>Лист1!AC23</f>
        <v>35278.912</v>
      </c>
      <c r="I29" s="87">
        <f>Лист1!AF23</f>
        <v>2814.03388</v>
      </c>
      <c r="J29" s="29">
        <f>Лист1!AG23</f>
        <v>1964.2079999999999</v>
      </c>
      <c r="K29" s="14">
        <f>Лист1!AI23+Лист1!AJ23</f>
        <v>3271.9122128</v>
      </c>
      <c r="L29" s="14">
        <f>Лист1!AH23+Лист1!AK23+Лист1!AL23+Лист1!AM23+Лист1!AN23+Лист1!AO23+Лист1!AP23+Лист1!AQ23+Лист1!AR23</f>
        <v>13731.520592</v>
      </c>
      <c r="M29" s="31">
        <f>Лист1!AS23+Лист1!AT23+Лист1!AU23+Лист1!AZ23+Лист1!BA23</f>
        <v>58255.4908</v>
      </c>
      <c r="N29" s="31">
        <f>Лист1!AX23</f>
        <v>982.94</v>
      </c>
      <c r="O29" s="30">
        <f>Лист1!BB23</f>
        <v>78206.07160479999</v>
      </c>
      <c r="P29" s="90">
        <f>Лист1!BC23</f>
        <v>1132.571236</v>
      </c>
      <c r="Q29" s="75">
        <f>Лист1!BD23</f>
        <v>-41245.69696079999</v>
      </c>
      <c r="R29" s="75">
        <f>Лист1!BE23</f>
        <v>6961.579999999998</v>
      </c>
      <c r="S29" s="1"/>
      <c r="T29" s="1"/>
    </row>
    <row r="30" spans="1:20" ht="12.75" hidden="1">
      <c r="A30" s="11" t="s">
        <v>42</v>
      </c>
      <c r="B30" s="84">
        <f>Лист1!B24</f>
        <v>3273.68</v>
      </c>
      <c r="C30" s="27">
        <f t="shared" si="0"/>
        <v>28317.332</v>
      </c>
      <c r="D30" s="28">
        <f>Лист1!D24</f>
        <v>2718.502000000002</v>
      </c>
      <c r="E30" s="14">
        <f>Лист1!S24</f>
        <v>20826.81</v>
      </c>
      <c r="F30" s="30">
        <f>Лист1!T24</f>
        <v>4772.0199999999995</v>
      </c>
      <c r="G30" s="29">
        <f>Лист1!AB24</f>
        <v>28489.629999999997</v>
      </c>
      <c r="H30" s="30">
        <f>Лист1!AC24</f>
        <v>35980.152</v>
      </c>
      <c r="I30" s="87">
        <f>Лист1!AF24</f>
        <v>2814.03388</v>
      </c>
      <c r="J30" s="29">
        <f>Лист1!AG24</f>
        <v>1964.2079999999999</v>
      </c>
      <c r="K30" s="14">
        <f>Лист1!AI24+Лист1!AJ24</f>
        <v>3283.5010399999996</v>
      </c>
      <c r="L30" s="14">
        <f>Лист1!AH24+Лист1!AK24+Лист1!AL24+Лист1!AM24+Лист1!AN24+Лист1!AO24+Лист1!AP24+Лист1!AQ24+Лист1!AR24</f>
        <v>11239.198176</v>
      </c>
      <c r="M30" s="31">
        <f>Лист1!AS24+Лист1!AT24+Лист1!AU24+Лист1!AZ24+Лист1!BA24</f>
        <v>23071.36</v>
      </c>
      <c r="N30" s="31">
        <f>Лист1!AX24</f>
        <v>1087.016</v>
      </c>
      <c r="O30" s="30">
        <f>Лист1!BB24</f>
        <v>40645.283215999996</v>
      </c>
      <c r="P30" s="90">
        <f>Лист1!BC24</f>
        <v>1134.16092</v>
      </c>
      <c r="Q30" s="75">
        <f>Лист1!BD24</f>
        <v>-2985.258255999992</v>
      </c>
      <c r="R30" s="75">
        <f>Лист1!BE24</f>
        <v>7662.819999999996</v>
      </c>
      <c r="S30" s="1"/>
      <c r="T30" s="1"/>
    </row>
    <row r="31" spans="1:20" ht="13.5" hidden="1" thickBot="1">
      <c r="A31" s="32" t="s">
        <v>43</v>
      </c>
      <c r="B31" s="84">
        <f>Лист1!B25</f>
        <v>3273.68</v>
      </c>
      <c r="C31" s="33">
        <f t="shared" si="0"/>
        <v>28317.332</v>
      </c>
      <c r="D31" s="28">
        <f>Лист1!D25</f>
        <v>2717.5519999999997</v>
      </c>
      <c r="E31" s="14">
        <f>Лист1!S25</f>
        <v>20839.35</v>
      </c>
      <c r="F31" s="30">
        <f>Лист1!T25</f>
        <v>4760.429999999999</v>
      </c>
      <c r="G31" s="29">
        <f>Лист1!AB25</f>
        <v>21458.469999999998</v>
      </c>
      <c r="H31" s="30">
        <f>Лист1!AC25</f>
        <v>28936.451999999997</v>
      </c>
      <c r="I31" s="87">
        <f>Лист1!AF25</f>
        <v>2814.0338799999995</v>
      </c>
      <c r="J31" s="29">
        <f>Лист1!AG25</f>
        <v>1964.2079999999999</v>
      </c>
      <c r="K31" s="14">
        <f>Лист1!AI25+Лист1!AJ25</f>
        <v>3283.5010399999996</v>
      </c>
      <c r="L31" s="14">
        <f>Лист1!AH25+Лист1!AK25+Лист1!AL25+Лист1!AM25+Лист1!AN25+Лист1!AO25+Лист1!AP25+Лист1!AQ25+Лист1!AR25</f>
        <v>11239.198176</v>
      </c>
      <c r="M31" s="31">
        <f>Лист1!AS25+Лист1!AT25+Лист1!AU25+Лист1!AZ25+Лист1!BA25</f>
        <v>23892.64</v>
      </c>
      <c r="N31" s="31">
        <f>Лист1!AX25</f>
        <v>1188.7792</v>
      </c>
      <c r="O31" s="30">
        <f>Лист1!BB25</f>
        <v>41568.326415999996</v>
      </c>
      <c r="P31" s="90">
        <f>Лист1!BC25</f>
        <v>1134.16092</v>
      </c>
      <c r="Q31" s="75">
        <f>Лист1!BD25</f>
        <v>-10952.001456</v>
      </c>
      <c r="R31" s="75">
        <f>Лист1!BE25</f>
        <v>619.119999999999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3" ref="C32:R32">SUM(C20:C31)</f>
        <v>339684.462</v>
      </c>
      <c r="D32" s="68">
        <f t="shared" si="3"/>
        <v>38094.632</v>
      </c>
      <c r="E32" s="36">
        <f t="shared" si="3"/>
        <v>237992.23</v>
      </c>
      <c r="F32" s="69">
        <f t="shared" si="3"/>
        <v>56365.66</v>
      </c>
      <c r="G32" s="68">
        <f t="shared" si="3"/>
        <v>241599.17</v>
      </c>
      <c r="H32" s="69">
        <f t="shared" si="3"/>
        <v>336059.462</v>
      </c>
      <c r="I32" s="69">
        <f t="shared" si="3"/>
        <v>16884.203279999998</v>
      </c>
      <c r="J32" s="68">
        <f t="shared" si="3"/>
        <v>22777.223999999995</v>
      </c>
      <c r="K32" s="36">
        <f t="shared" si="3"/>
        <v>37575.475558782004</v>
      </c>
      <c r="L32" s="36">
        <f t="shared" si="3"/>
        <v>130795.39600802417</v>
      </c>
      <c r="M32" s="36">
        <f>SUM(M20:M31)</f>
        <v>159946.26060000004</v>
      </c>
      <c r="N32" s="36">
        <f t="shared" si="3"/>
        <v>10176.32</v>
      </c>
      <c r="O32" s="69">
        <f t="shared" si="3"/>
        <v>361270.67616680614</v>
      </c>
      <c r="P32" s="69">
        <f t="shared" si="3"/>
        <v>6779.0681693972</v>
      </c>
      <c r="Q32" s="76">
        <f>SUM(Q20:Q31)</f>
        <v>-15106.079056203322</v>
      </c>
      <c r="R32" s="76">
        <f t="shared" si="3"/>
        <v>3606.9399999999932</v>
      </c>
      <c r="S32" s="72"/>
      <c r="T32" s="72"/>
    </row>
    <row r="33" spans="1:20" ht="13.5" thickBot="1">
      <c r="A33" s="193" t="s">
        <v>94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424743.372</v>
      </c>
      <c r="D34" s="37">
        <f aca="true" t="shared" si="4" ref="D34:R34">D18+D32</f>
        <v>58568.5951667</v>
      </c>
      <c r="E34" s="38">
        <f t="shared" si="4"/>
        <v>293188.42000000004</v>
      </c>
      <c r="F34" s="39">
        <f t="shared" si="4"/>
        <v>69555.06</v>
      </c>
      <c r="G34" s="37">
        <f t="shared" si="4"/>
        <v>269180.59</v>
      </c>
      <c r="H34" s="39">
        <f t="shared" si="4"/>
        <v>397304.2451667</v>
      </c>
      <c r="I34" s="39">
        <f t="shared" si="4"/>
        <v>16884.203279999998</v>
      </c>
      <c r="J34" s="37">
        <f t="shared" si="4"/>
        <v>28677.263999999996</v>
      </c>
      <c r="K34" s="38">
        <f t="shared" si="4"/>
        <v>47449.66974646201</v>
      </c>
      <c r="L34" s="38">
        <f t="shared" si="4"/>
        <v>165413.16264037817</v>
      </c>
      <c r="M34" s="38">
        <f t="shared" si="4"/>
        <v>166968.41700000004</v>
      </c>
      <c r="N34" s="38">
        <f t="shared" si="4"/>
        <v>10176.32</v>
      </c>
      <c r="O34" s="79">
        <f t="shared" si="4"/>
        <v>418684.8333868401</v>
      </c>
      <c r="P34" s="79">
        <f>P18+P32</f>
        <v>6779.0681693972</v>
      </c>
      <c r="Q34" s="78">
        <f>Q18+Q32</f>
        <v>-11275.453109537315</v>
      </c>
      <c r="R34" s="78">
        <f t="shared" si="4"/>
        <v>-24007.83</v>
      </c>
      <c r="S34" s="73"/>
      <c r="T34" s="72"/>
    </row>
    <row r="35" spans="1:20" ht="12.75">
      <c r="A35" s="7" t="s">
        <v>90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3273.68</v>
      </c>
      <c r="C36" s="27">
        <f aca="true" t="shared" si="5" ref="C36:C47">B36*8.65</f>
        <v>28317.332</v>
      </c>
      <c r="D36" s="28">
        <f>Лист1!D30</f>
        <v>3185.2519999999995</v>
      </c>
      <c r="E36" s="14">
        <f>Лист1!S30</f>
        <v>20392.43</v>
      </c>
      <c r="F36" s="30">
        <f>Лист1!T30</f>
        <v>4739.650000000001</v>
      </c>
      <c r="G36" s="29">
        <f>Лист1!AB30</f>
        <v>12522.029999999999</v>
      </c>
      <c r="H36" s="30">
        <f>Лист1!AC30</f>
        <v>20446.932</v>
      </c>
      <c r="I36" s="87">
        <f>Лист1!AF30</f>
        <v>2379.53428</v>
      </c>
      <c r="J36" s="29">
        <f>Лист1!AG30</f>
        <v>1964.2079999999999</v>
      </c>
      <c r="K36" s="14">
        <f>Лист1!AI30+Лист1!AJ30</f>
        <v>3273.68</v>
      </c>
      <c r="L36" s="14">
        <f>Лист1!AH30+Лист1!AK30+Лист1!AL30+Лист1!AM30+Лист1!AN30+Лист1!AO30+Лист1!AP30+Лист1!AQ30+Лист1!AR30</f>
        <v>11228.722399999999</v>
      </c>
      <c r="M36" s="31">
        <f>Лист1!AS30+Лист1!AT30+Лист1!AU30+Лист1!AZ30+Лист1!BA30</f>
        <v>1572</v>
      </c>
      <c r="N36" s="31">
        <f>Лист1!AX30</f>
        <v>1244.6</v>
      </c>
      <c r="O36" s="30">
        <f>Лист1!BB30</f>
        <v>19283.210399999996</v>
      </c>
      <c r="P36" s="90">
        <f>Лист1!BC30</f>
        <v>1132.818</v>
      </c>
      <c r="Q36" s="75">
        <f>Лист1!BD30</f>
        <v>2410.437880000004</v>
      </c>
      <c r="R36" s="75">
        <f>Лист1!BE30</f>
        <v>-7870.4000000000015</v>
      </c>
      <c r="S36" s="1"/>
      <c r="T36" s="1"/>
    </row>
    <row r="37" spans="1:20" ht="12.75">
      <c r="A37" s="11" t="s">
        <v>46</v>
      </c>
      <c r="B37" s="84">
        <f>Лист1!B31</f>
        <v>3272.88</v>
      </c>
      <c r="C37" s="27">
        <f t="shared" si="5"/>
        <v>28310.412000000004</v>
      </c>
      <c r="D37" s="28">
        <f>Лист1!D31</f>
        <v>2746.6720000000037</v>
      </c>
      <c r="E37" s="14">
        <f>Лист1!S31</f>
        <v>20825.27</v>
      </c>
      <c r="F37" s="30">
        <f>Лист1!T31</f>
        <v>4738.47</v>
      </c>
      <c r="G37" s="29">
        <f>Лист1!AB31</f>
        <v>21116.73</v>
      </c>
      <c r="H37" s="30">
        <f>Лист1!AC31</f>
        <v>28601.872000000003</v>
      </c>
      <c r="I37" s="87">
        <f>Лист1!AF31</f>
        <v>2379.53428</v>
      </c>
      <c r="J37" s="29">
        <f>Лист1!AG31</f>
        <v>1963.728</v>
      </c>
      <c r="K37" s="14">
        <f>Лист1!AI31+Лист1!AJ31</f>
        <v>3272.88</v>
      </c>
      <c r="L37" s="14">
        <f>Лист1!AH31+Лист1!AK31+Лист1!AL31+Лист1!AM31+Лист1!AN31+Лист1!AO31+Лист1!AP31+Лист1!AQ31+Лист1!AR31</f>
        <v>11225.9784</v>
      </c>
      <c r="M37" s="31">
        <f>Лист1!AS31+Лист1!AT31+Лист1!AU31+Лист1!AZ31+Лист1!BA31</f>
        <v>154</v>
      </c>
      <c r="N37" s="31">
        <f>Лист1!AX31</f>
        <v>997.15</v>
      </c>
      <c r="O37" s="30">
        <f>Лист1!BB31</f>
        <v>17613.7364</v>
      </c>
      <c r="P37" s="90">
        <f>Лист1!BC31</f>
        <v>1132.818</v>
      </c>
      <c r="Q37" s="75">
        <f>Лист1!BD31</f>
        <v>12234.851880000002</v>
      </c>
      <c r="R37" s="75">
        <f>Лист1!BE31</f>
        <v>291.4599999999991</v>
      </c>
      <c r="S37" s="1"/>
      <c r="T37" s="1"/>
    </row>
    <row r="38" spans="1:20" ht="12.75">
      <c r="A38" s="11" t="s">
        <v>47</v>
      </c>
      <c r="B38" s="84">
        <f>Лист1!B32</f>
        <v>3272.88</v>
      </c>
      <c r="C38" s="27">
        <f t="shared" si="5"/>
        <v>28310.412000000004</v>
      </c>
      <c r="D38" s="28">
        <f>Лист1!D32</f>
        <v>2726.202000000005</v>
      </c>
      <c r="E38" s="14">
        <f>Лист1!S32</f>
        <v>20864.34</v>
      </c>
      <c r="F38" s="30">
        <f>Лист1!T32</f>
        <v>4719.87</v>
      </c>
      <c r="G38" s="29">
        <f>Лист1!AB32</f>
        <v>19197.91</v>
      </c>
      <c r="H38" s="30">
        <f>Лист1!AC32</f>
        <v>26643.982000000004</v>
      </c>
      <c r="I38" s="87">
        <f>Лист1!AF32</f>
        <v>2379.53428</v>
      </c>
      <c r="J38" s="29">
        <f>Лист1!AG32</f>
        <v>1963.728</v>
      </c>
      <c r="K38" s="14">
        <f>Лист1!AI32+Лист1!AJ32</f>
        <v>3272.88</v>
      </c>
      <c r="L38" s="14">
        <f>Лист1!AH32+Лист1!AK32+Лист1!AL32+Лист1!AM32+Лист1!AN32+Лист1!AO32+Лист1!AP32+Лист1!AQ32+Лист1!AR32</f>
        <v>11225.9784</v>
      </c>
      <c r="M38" s="31">
        <f>Лист1!AS32+Лист1!AT32+Лист1!AU32+Лист1!AZ32+Лист1!BA32</f>
        <v>0</v>
      </c>
      <c r="N38" s="31">
        <f>Лист1!AX32</f>
        <v>938.3499999999999</v>
      </c>
      <c r="O38" s="30">
        <f>Лист1!BB32</f>
        <v>17400.9364</v>
      </c>
      <c r="P38" s="90">
        <f>Лист1!BC32</f>
        <v>1132.818</v>
      </c>
      <c r="Q38" s="75">
        <f>Лист1!BD32</f>
        <v>10489.761880000005</v>
      </c>
      <c r="R38" s="75">
        <f>Лист1!BE32</f>
        <v>-1666.4300000000003</v>
      </c>
      <c r="S38" s="1"/>
      <c r="T38" s="1"/>
    </row>
    <row r="39" spans="1:20" ht="12.75">
      <c r="A39" s="11" t="s">
        <v>48</v>
      </c>
      <c r="B39" s="84">
        <f>Лист1!B33</f>
        <v>3272.88</v>
      </c>
      <c r="C39" s="27">
        <f t="shared" si="5"/>
        <v>28310.412000000004</v>
      </c>
      <c r="D39" s="28">
        <f>Лист1!D33</f>
        <v>2727.6420000000035</v>
      </c>
      <c r="E39" s="14">
        <f>Лист1!S33</f>
        <v>20918.980000000003</v>
      </c>
      <c r="F39" s="30">
        <f>Лист1!T33</f>
        <v>4663.79</v>
      </c>
      <c r="G39" s="29">
        <f>Лист1!AB33</f>
        <v>16172.08</v>
      </c>
      <c r="H39" s="30">
        <f>Лист1!AC33</f>
        <v>23563.512000000002</v>
      </c>
      <c r="I39" s="87">
        <f>Лист1!AF33</f>
        <v>2379.53428</v>
      </c>
      <c r="J39" s="29">
        <f>Лист1!AG33</f>
        <v>1963.728</v>
      </c>
      <c r="K39" s="14">
        <f>Лист1!AI33+Лист1!AJ33</f>
        <v>3272.88</v>
      </c>
      <c r="L39" s="14">
        <f>Лист1!AH33+Лист1!AK33+Лист1!AL33+Лист1!AM33+Лист1!AN33+Лист1!AO33+Лист1!AP33+Лист1!AQ33+Лист1!AR33</f>
        <v>11225.9784</v>
      </c>
      <c r="M39" s="31">
        <f>Лист1!AS33+Лист1!AT33+Лист1!AU33+Лист1!AZ33+Лист1!BA33</f>
        <v>3328</v>
      </c>
      <c r="N39" s="31">
        <f>Лист1!AX33</f>
        <v>752.15</v>
      </c>
      <c r="O39" s="30">
        <f>Лист1!BB33</f>
        <v>20542.7364</v>
      </c>
      <c r="P39" s="90">
        <f>Лист1!BC33</f>
        <v>1132.818</v>
      </c>
      <c r="Q39" s="75">
        <f>Лист1!BD33</f>
        <v>4267.4918800000005</v>
      </c>
      <c r="R39" s="75">
        <f>Лист1!BE33</f>
        <v>-4746.900000000003</v>
      </c>
      <c r="S39" s="1"/>
      <c r="T39" s="1"/>
    </row>
    <row r="40" spans="1:20" ht="12.75">
      <c r="A40" s="11" t="s">
        <v>49</v>
      </c>
      <c r="B40" s="84">
        <f>Лист1!B34</f>
        <v>3274.88</v>
      </c>
      <c r="C40" s="27">
        <f t="shared" si="5"/>
        <v>28327.712000000003</v>
      </c>
      <c r="D40" s="28">
        <f>Лист1!D34</f>
        <v>2748.322000000002</v>
      </c>
      <c r="E40" s="14">
        <f>Лист1!S34</f>
        <v>20857.350000000002</v>
      </c>
      <c r="F40" s="30">
        <f>Лист1!T34</f>
        <v>4722.040000000001</v>
      </c>
      <c r="G40" s="29">
        <f>Лист1!AB34</f>
        <v>22637.95</v>
      </c>
      <c r="H40" s="30">
        <f>Лист1!AC34</f>
        <v>30108.312000000005</v>
      </c>
      <c r="I40" s="87">
        <f>Лист1!AF34</f>
        <v>2379.53428</v>
      </c>
      <c r="J40" s="29">
        <f>Лист1!AG34</f>
        <v>1964.9279999999999</v>
      </c>
      <c r="K40" s="14">
        <f>Лист1!AI34+Лист1!AJ34</f>
        <v>3274.88</v>
      </c>
      <c r="L40" s="14">
        <f>Лист1!AH34+Лист1!AK34+Лист1!AL34+Лист1!AM34+Лист1!AN34+Лист1!AO34+Лист1!AP34+Лист1!AQ34+Лист1!AR34</f>
        <v>11232.8384</v>
      </c>
      <c r="M40" s="31">
        <f>Лист1!AS34+Лист1!AT34+Лист1!AU34+Лист1!AZ34+Лист1!BA34</f>
        <v>2477</v>
      </c>
      <c r="N40" s="31">
        <f>Лист1!AX34</f>
        <v>644.3499999999999</v>
      </c>
      <c r="O40" s="30">
        <f>Лист1!BB34</f>
        <v>19593.9964</v>
      </c>
      <c r="P40" s="90">
        <f>Лист1!BC34</f>
        <v>1132.818</v>
      </c>
      <c r="Q40" s="75">
        <f>Лист1!BD34</f>
        <v>11761.031880000006</v>
      </c>
      <c r="R40" s="75">
        <f>Лист1!BE34</f>
        <v>1780.5999999999985</v>
      </c>
      <c r="S40" s="1"/>
      <c r="T40" s="1"/>
    </row>
    <row r="41" spans="1:20" ht="12.75">
      <c r="A41" s="11" t="s">
        <v>50</v>
      </c>
      <c r="B41" s="84">
        <f>Лист1!B35</f>
        <v>3274.88</v>
      </c>
      <c r="C41" s="27">
        <f t="shared" si="5"/>
        <v>28327.712000000003</v>
      </c>
      <c r="D41" s="28">
        <f>Лист1!D35</f>
        <v>2744.972000000006</v>
      </c>
      <c r="E41" s="14">
        <f>Лист1!S35</f>
        <v>20907.14</v>
      </c>
      <c r="F41" s="30">
        <f>Лист1!T35</f>
        <v>4675.6</v>
      </c>
      <c r="G41" s="29">
        <f>Лист1!AB35</f>
        <v>17072.260000000002</v>
      </c>
      <c r="H41" s="30">
        <f>Лист1!AC35</f>
        <v>24492.83200000001</v>
      </c>
      <c r="I41" s="87">
        <f>Лист1!AF35</f>
        <v>2379.53428</v>
      </c>
      <c r="J41" s="29">
        <f>Лист1!AG35</f>
        <v>1964.9279999999999</v>
      </c>
      <c r="K41" s="14">
        <f>Лист1!AI35+Лист1!AJ35</f>
        <v>3274.88</v>
      </c>
      <c r="L41" s="14">
        <f>Лист1!AH35+Лист1!AK35+Лист1!AL35+Лист1!AM35+Лист1!AN35+Лист1!AO35+Лист1!AP35+Лист1!AQ35+Лист1!AR35</f>
        <v>11232.8384</v>
      </c>
      <c r="M41" s="31">
        <f>Лист1!AS35+Лист1!AT35+Лист1!AU35+Лист1!AZ35+Лист1!BA35</f>
        <v>6638</v>
      </c>
      <c r="N41" s="31">
        <f>Лист1!AX35</f>
        <v>570.8499999999999</v>
      </c>
      <c r="O41" s="30">
        <f>Лист1!BB35</f>
        <v>23681.4964</v>
      </c>
      <c r="P41" s="90">
        <f>Лист1!BC35</f>
        <v>1132.818</v>
      </c>
      <c r="Q41" s="75">
        <f>Лист1!BD35</f>
        <v>2058.051880000009</v>
      </c>
      <c r="R41" s="75">
        <f>Лист1!BE35</f>
        <v>-3834.8799999999974</v>
      </c>
      <c r="S41" s="1"/>
      <c r="T41" s="1"/>
    </row>
    <row r="42" spans="1:20" ht="12.75">
      <c r="A42" s="11" t="s">
        <v>51</v>
      </c>
      <c r="B42" s="84">
        <f>Лист1!B36</f>
        <v>3274.88</v>
      </c>
      <c r="C42" s="27">
        <f t="shared" si="5"/>
        <v>28327.712000000003</v>
      </c>
      <c r="D42" s="28">
        <f>Лист1!D36</f>
        <v>2716.3820000000014</v>
      </c>
      <c r="E42" s="14">
        <f>Лист1!S36</f>
        <v>25611.33</v>
      </c>
      <c r="F42" s="30">
        <f>Лист1!T36</f>
        <v>0</v>
      </c>
      <c r="G42" s="29">
        <f>Лист1!AB36</f>
        <v>22231.72</v>
      </c>
      <c r="H42" s="30">
        <f>Лист1!AC36</f>
        <v>24948.102000000003</v>
      </c>
      <c r="I42" s="87">
        <f>Лист1!AF36</f>
        <v>2379.53428</v>
      </c>
      <c r="J42" s="29">
        <f>Лист1!AG36</f>
        <v>1964.9279999999999</v>
      </c>
      <c r="K42" s="14">
        <f>Лист1!AI36+Лист1!AJ36</f>
        <v>3274.88</v>
      </c>
      <c r="L42" s="14">
        <f>Лист1!AH36+Лист1!AK36+Лист1!AL36+Лист1!AM36+Лист1!AN36+Лист1!AO36+Лист1!AP36+Лист1!AQ36+Лист1!AR36</f>
        <v>11232.8384</v>
      </c>
      <c r="M42" s="31">
        <f>Лист1!AS36+Лист1!AT36+Лист1!AU36+Лист1!AZ36+Лист1!BA36</f>
        <v>0</v>
      </c>
      <c r="N42" s="31">
        <f>Лист1!AX36</f>
        <v>607.5999999999999</v>
      </c>
      <c r="O42" s="30">
        <f>Лист1!BB36</f>
        <v>17080.2464</v>
      </c>
      <c r="P42" s="90">
        <f>Лист1!BC36</f>
        <v>1132.818</v>
      </c>
      <c r="Q42" s="75">
        <f>Лист1!BD36</f>
        <v>9114.571880000003</v>
      </c>
      <c r="R42" s="75">
        <f>Лист1!BE36</f>
        <v>-3379.6100000000006</v>
      </c>
      <c r="S42" s="1"/>
      <c r="T42" s="1"/>
    </row>
    <row r="43" spans="1:20" ht="12.75">
      <c r="A43" s="11" t="s">
        <v>52</v>
      </c>
      <c r="B43" s="84">
        <f>Лист1!B37</f>
        <v>3274.88</v>
      </c>
      <c r="C43" s="27">
        <f t="shared" si="5"/>
        <v>28327.712000000003</v>
      </c>
      <c r="D43" s="28">
        <f>Лист1!D37</f>
        <v>2717.4020000000005</v>
      </c>
      <c r="E43" s="14">
        <f>Лист1!S37</f>
        <v>25610.31</v>
      </c>
      <c r="F43" s="30">
        <f>Лист1!T37</f>
        <v>0</v>
      </c>
      <c r="G43" s="29">
        <f>Лист1!AB37</f>
        <v>18441.09</v>
      </c>
      <c r="H43" s="30">
        <f>Лист1!AC37</f>
        <v>21158.492000000002</v>
      </c>
      <c r="I43" s="87">
        <f>Лист1!AF37</f>
        <v>2379.53428</v>
      </c>
      <c r="J43" s="29">
        <f>Лист1!AG37</f>
        <v>1964.9279999999999</v>
      </c>
      <c r="K43" s="14">
        <f>Лист1!AI37+Лист1!AJ37</f>
        <v>3274.88</v>
      </c>
      <c r="L43" s="14">
        <f>Лист1!AH37+Лист1!AK37+Лист1!AL37+Лист1!AM37+Лист1!AN37+Лист1!AO37+Лист1!AP37+Лист1!AQ37+Лист1!AR37</f>
        <v>11232.8384</v>
      </c>
      <c r="M43" s="31">
        <f>Лист1!AS37+Лист1!AT37+Лист1!AU37+Лист1!AZ37+Лист1!BA37</f>
        <v>47.8</v>
      </c>
      <c r="N43" s="31">
        <f>Лист1!AX37</f>
        <v>717.8499999999999</v>
      </c>
      <c r="O43" s="30">
        <f>Лист1!BB37</f>
        <v>17238.2964</v>
      </c>
      <c r="P43" s="90">
        <f>Лист1!BC37</f>
        <v>1132.818</v>
      </c>
      <c r="Q43" s="75">
        <f>Лист1!BD37</f>
        <v>5166.911880000002</v>
      </c>
      <c r="R43" s="75">
        <f>Лист1!BE37</f>
        <v>-7169.220000000001</v>
      </c>
      <c r="S43" s="1"/>
      <c r="T43" s="1"/>
    </row>
    <row r="44" spans="1:20" ht="12.75">
      <c r="A44" s="11" t="s">
        <v>53</v>
      </c>
      <c r="B44" s="84">
        <f>Лист1!B38</f>
        <v>3274.88</v>
      </c>
      <c r="C44" s="27">
        <f t="shared" si="5"/>
        <v>28327.712000000003</v>
      </c>
      <c r="D44" s="28">
        <f>Лист1!D38</f>
        <v>2717.4220000000028</v>
      </c>
      <c r="E44" s="14">
        <f>Лист1!S38</f>
        <v>25610.289999999997</v>
      </c>
      <c r="F44" s="30">
        <f>Лист1!T38</f>
        <v>0</v>
      </c>
      <c r="G44" s="29">
        <f>Лист1!AB38</f>
        <v>23151.32</v>
      </c>
      <c r="H44" s="30">
        <f>Лист1!AC38</f>
        <v>25868.742000000002</v>
      </c>
      <c r="I44" s="87">
        <f>Лист1!AF38</f>
        <v>2379.53428</v>
      </c>
      <c r="J44" s="29">
        <f>Лист1!AG38</f>
        <v>1964.9279999999999</v>
      </c>
      <c r="K44" s="14">
        <f>Лист1!AI38+Лист1!AJ38</f>
        <v>3274.88</v>
      </c>
      <c r="L44" s="14">
        <f>Лист1!AH38+Лист1!AK38+Лист1!AL38+Лист1!AM38+Лист1!AN38+Лист1!AO38+Лист1!AP38+Лист1!AQ38+Лист1!AR38</f>
        <v>11232.8384</v>
      </c>
      <c r="M44" s="31">
        <f>Лист1!AS38+Лист1!AT38+Лист1!AU38+Лист1!AZ38+Лист1!BA38</f>
        <v>13583</v>
      </c>
      <c r="N44" s="31">
        <f>Лист1!AX38</f>
        <v>855.05</v>
      </c>
      <c r="O44" s="30">
        <f>Лист1!BB38</f>
        <v>30910.6964</v>
      </c>
      <c r="P44" s="90">
        <f>Лист1!BC38</f>
        <v>1132.818</v>
      </c>
      <c r="Q44" s="75">
        <f>Лист1!BD38</f>
        <v>-3795.238119999999</v>
      </c>
      <c r="R44" s="75">
        <f>Лист1!BE38</f>
        <v>-2458.9699999999975</v>
      </c>
      <c r="S44" s="1"/>
      <c r="T44" s="1"/>
    </row>
    <row r="45" spans="1:20" ht="12.75">
      <c r="A45" s="11" t="s">
        <v>41</v>
      </c>
      <c r="B45" s="84">
        <f>Лист1!B39</f>
        <v>3274.88</v>
      </c>
      <c r="C45" s="27">
        <f>B45*8.65</f>
        <v>28327.712000000003</v>
      </c>
      <c r="D45" s="28">
        <f>Лист1!D39</f>
        <v>2717.4020000000005</v>
      </c>
      <c r="E45" s="14">
        <f>Лист1!S39</f>
        <v>25610.31</v>
      </c>
      <c r="F45" s="30">
        <f>Лист1!T39</f>
        <v>0</v>
      </c>
      <c r="G45" s="29">
        <f>Лист1!AB39</f>
        <v>30627.1</v>
      </c>
      <c r="H45" s="30">
        <f>Лист1!AC39</f>
        <v>33344.502</v>
      </c>
      <c r="I45" s="87">
        <f>Лист1!AF39</f>
        <v>2479.53428</v>
      </c>
      <c r="J45" s="29">
        <f>Лист1!AG39</f>
        <v>1964.9279999999999</v>
      </c>
      <c r="K45" s="14">
        <f>Лист1!AI39+Лист1!AJ39</f>
        <v>3274.88</v>
      </c>
      <c r="L45" s="14">
        <f>Лист1!AH39+Лист1!AK39+Лист1!AL39+Лист1!AM39+Лист1!AN39+Лист1!AO39+Лист1!AP39+Лист1!AQ39+Лист1!AR39</f>
        <v>11232.8384</v>
      </c>
      <c r="M45" s="31">
        <f>Лист1!AS39+Лист1!AT39+Лист1!AU39+Лист1!AZ39+Лист1!BA39</f>
        <v>4067</v>
      </c>
      <c r="N45" s="31">
        <f>Лист1!AX39</f>
        <v>1041.25</v>
      </c>
      <c r="O45" s="30">
        <f>Лист1!BB39</f>
        <v>21580.8964</v>
      </c>
      <c r="P45" s="90">
        <f>Лист1!BC39</f>
        <v>1157.818</v>
      </c>
      <c r="Q45" s="75">
        <f>Лист1!BD39</f>
        <v>13085.32188</v>
      </c>
      <c r="R45" s="75">
        <f>Лист1!BE39</f>
        <v>5016.789999999997</v>
      </c>
      <c r="S45" s="1"/>
      <c r="T45" s="1"/>
    </row>
    <row r="46" spans="1:20" ht="12.75">
      <c r="A46" s="11" t="s">
        <v>42</v>
      </c>
      <c r="B46" s="84">
        <f>Лист1!B40</f>
        <v>3274.88</v>
      </c>
      <c r="C46" s="27">
        <f t="shared" si="5"/>
        <v>28327.712000000003</v>
      </c>
      <c r="D46" s="28">
        <f>Лист1!D40</f>
        <v>2717.372000000001</v>
      </c>
      <c r="E46" s="14">
        <f>Лист1!S40</f>
        <v>25610.339999999997</v>
      </c>
      <c r="F46" s="30">
        <f>Лист1!T40</f>
        <v>0</v>
      </c>
      <c r="G46" s="29">
        <f>Лист1!AB40</f>
        <v>20390.1</v>
      </c>
      <c r="H46" s="30">
        <f>Лист1!AC40</f>
        <v>23107.472</v>
      </c>
      <c r="I46" s="87">
        <f>Лист1!AF40</f>
        <v>2479.53428</v>
      </c>
      <c r="J46" s="29">
        <f>Лист1!AG40</f>
        <v>1964.9279999999999</v>
      </c>
      <c r="K46" s="14">
        <f>Лист1!AI40+Лист1!AJ40</f>
        <v>3274.88</v>
      </c>
      <c r="L46" s="14">
        <f>Лист1!AH40+Лист1!AK40+Лист1!AL40+Лист1!AM40+Лист1!AN40+Лист1!AO40+Лист1!AP40+Лист1!AQ40+Лист1!AR40</f>
        <v>11232.8384</v>
      </c>
      <c r="M46" s="31">
        <f>Лист1!AS40+Лист1!AT40+Лист1!AU40+Лист1!AZ40+Лист1!BA40</f>
        <v>303</v>
      </c>
      <c r="N46" s="31">
        <f>Лист1!AX40</f>
        <v>1151.5</v>
      </c>
      <c r="O46" s="30">
        <f>Лист1!BB40</f>
        <v>17927.1464</v>
      </c>
      <c r="P46" s="90">
        <f>Лист1!BC40</f>
        <v>1157.818</v>
      </c>
      <c r="Q46" s="75">
        <f>Лист1!BD40</f>
        <v>6502.04188</v>
      </c>
      <c r="R46" s="75">
        <f>Лист1!BE40</f>
        <v>-5220.239999999998</v>
      </c>
      <c r="S46" s="1"/>
      <c r="T46" s="1"/>
    </row>
    <row r="47" spans="1:20" ht="13.5" thickBot="1">
      <c r="A47" s="32" t="s">
        <v>43</v>
      </c>
      <c r="B47" s="84">
        <f>Лист1!B41</f>
        <v>3274.88</v>
      </c>
      <c r="C47" s="33">
        <f t="shared" si="5"/>
        <v>28327.712000000003</v>
      </c>
      <c r="D47" s="28">
        <f>Лист1!D41</f>
        <v>2717.4020000000005</v>
      </c>
      <c r="E47" s="14">
        <f>Лист1!S41</f>
        <v>25610.31</v>
      </c>
      <c r="F47" s="30">
        <f>Лист1!T41</f>
        <v>0</v>
      </c>
      <c r="G47" s="29">
        <f>Лист1!AB41</f>
        <v>27762.769999999997</v>
      </c>
      <c r="H47" s="30">
        <f>Лист1!AC41</f>
        <v>30480.172</v>
      </c>
      <c r="I47" s="87">
        <f>Лист1!AF41</f>
        <v>2479.53428</v>
      </c>
      <c r="J47" s="29">
        <f>Лист1!AG41</f>
        <v>1964.9279999999999</v>
      </c>
      <c r="K47" s="14">
        <f>Лист1!AI41+Лист1!AJ41</f>
        <v>3274.88</v>
      </c>
      <c r="L47" s="14">
        <f>Лист1!AH41+Лист1!AK41+Лист1!AL41+Лист1!AM41+Лист1!AN41+Лист1!AO41+Лист1!AP41+Лист1!AQ41+Лист1!AR41</f>
        <v>11232.8384</v>
      </c>
      <c r="M47" s="31">
        <f>Лист1!AS41+Лист1!AT41+Лист1!AU41+Лист1!AZ41+Лист1!BA41</f>
        <v>4010.3716</v>
      </c>
      <c r="N47" s="31">
        <f>Лист1!AX41</f>
        <v>1259.3</v>
      </c>
      <c r="O47" s="30">
        <f>Лист1!BB41</f>
        <v>21742.318</v>
      </c>
      <c r="P47" s="90">
        <f>Лист1!BC41</f>
        <v>1157.818</v>
      </c>
      <c r="Q47" s="75">
        <f>Лист1!BD41</f>
        <v>10059.57028</v>
      </c>
      <c r="R47" s="75">
        <f>Лист1!BE41</f>
        <v>2152.4599999999955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339870.264</v>
      </c>
      <c r="D48" s="68">
        <f t="shared" si="6"/>
        <v>33182.44400000003</v>
      </c>
      <c r="E48" s="36">
        <f t="shared" si="6"/>
        <v>278428.4</v>
      </c>
      <c r="F48" s="69">
        <f t="shared" si="6"/>
        <v>28259.420000000006</v>
      </c>
      <c r="G48" s="68">
        <f t="shared" si="6"/>
        <v>251323.06</v>
      </c>
      <c r="H48" s="69">
        <f t="shared" si="6"/>
        <v>312764.92400000006</v>
      </c>
      <c r="I48" s="69">
        <f t="shared" si="6"/>
        <v>28854.41136</v>
      </c>
      <c r="J48" s="68">
        <f t="shared" si="6"/>
        <v>23574.816</v>
      </c>
      <c r="K48" s="36">
        <f t="shared" si="6"/>
        <v>39291.36</v>
      </c>
      <c r="L48" s="36">
        <f t="shared" si="6"/>
        <v>134769.36480000004</v>
      </c>
      <c r="M48" s="36">
        <f t="shared" si="6"/>
        <v>36180.1716</v>
      </c>
      <c r="N48" s="36">
        <f t="shared" si="6"/>
        <v>10780</v>
      </c>
      <c r="O48" s="69">
        <f t="shared" si="6"/>
        <v>244595.7124</v>
      </c>
      <c r="P48" s="69">
        <f t="shared" si="6"/>
        <v>13668.815999999997</v>
      </c>
      <c r="Q48" s="76">
        <f t="shared" si="6"/>
        <v>83354.80696000003</v>
      </c>
      <c r="R48" s="76">
        <f t="shared" si="6"/>
        <v>-27105.340000000007</v>
      </c>
      <c r="S48" s="72"/>
      <c r="T48" s="72"/>
    </row>
    <row r="49" spans="1:20" ht="13.5" thickBot="1">
      <c r="A49" s="193" t="s">
        <v>93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764613.6359999999</v>
      </c>
      <c r="D50" s="37">
        <f aca="true" t="shared" si="7" ref="D50:O50">D34+D48</f>
        <v>91751.03916670004</v>
      </c>
      <c r="E50" s="38">
        <f t="shared" si="7"/>
        <v>571616.8200000001</v>
      </c>
      <c r="F50" s="39">
        <f t="shared" si="7"/>
        <v>97814.48000000001</v>
      </c>
      <c r="G50" s="37">
        <f t="shared" si="7"/>
        <v>520503.65</v>
      </c>
      <c r="H50" s="39">
        <f t="shared" si="7"/>
        <v>710069.1691667</v>
      </c>
      <c r="I50" s="39">
        <f t="shared" si="7"/>
        <v>45738.61464</v>
      </c>
      <c r="J50" s="37">
        <f t="shared" si="7"/>
        <v>52252.079999999994</v>
      </c>
      <c r="K50" s="38">
        <f t="shared" si="7"/>
        <v>86741.02974646201</v>
      </c>
      <c r="L50" s="38">
        <f t="shared" si="7"/>
        <v>300182.5274403782</v>
      </c>
      <c r="M50" s="38">
        <f t="shared" si="7"/>
        <v>203148.58860000005</v>
      </c>
      <c r="N50" s="38">
        <f t="shared" si="7"/>
        <v>20956.32</v>
      </c>
      <c r="O50" s="79">
        <f t="shared" si="7"/>
        <v>663280.5457868401</v>
      </c>
      <c r="P50" s="79">
        <f>P34+P48</f>
        <v>20447.8841693972</v>
      </c>
      <c r="Q50" s="78">
        <f>Q34+Q48</f>
        <v>72079.35385046272</v>
      </c>
      <c r="R50" s="78">
        <f>R34+R48</f>
        <v>-51113.17000000001</v>
      </c>
      <c r="S50" s="73"/>
      <c r="T50" s="72"/>
    </row>
    <row r="52" spans="1:20" ht="12.75">
      <c r="A52" s="20" t="s">
        <v>70</v>
      </c>
      <c r="D52" s="85" t="s">
        <v>91</v>
      </c>
      <c r="S52" s="1"/>
      <c r="T52" s="1"/>
    </row>
    <row r="53" spans="1:20" ht="12.75">
      <c r="A53" s="21" t="s">
        <v>71</v>
      </c>
      <c r="B53" s="21" t="s">
        <v>72</v>
      </c>
      <c r="C53" s="199" t="s">
        <v>73</v>
      </c>
      <c r="D53" s="199"/>
      <c r="S53" s="1"/>
      <c r="T53" s="1"/>
    </row>
    <row r="54" spans="1:20" ht="12.75">
      <c r="A54" s="124">
        <v>175514.09</v>
      </c>
      <c r="B54" s="124">
        <v>0</v>
      </c>
      <c r="C54" s="195">
        <f>A54-B54</f>
        <v>175514.09</v>
      </c>
      <c r="D54" s="196"/>
      <c r="S54" s="1"/>
      <c r="T54" s="1"/>
    </row>
    <row r="55" spans="1:20" ht="12.75">
      <c r="A55" s="46"/>
      <c r="S55" s="1"/>
      <c r="T55" s="1"/>
    </row>
    <row r="56" spans="1:20" ht="12.75">
      <c r="A56" s="2" t="s">
        <v>76</v>
      </c>
      <c r="G56" s="2" t="s">
        <v>77</v>
      </c>
      <c r="S56" s="1"/>
      <c r="T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9">
    <mergeCell ref="C9:C12"/>
    <mergeCell ref="D9:D12"/>
    <mergeCell ref="B1:H1"/>
    <mergeCell ref="B2:H2"/>
    <mergeCell ref="A8:D8"/>
    <mergeCell ref="E8:F8"/>
    <mergeCell ref="A5:Q5"/>
    <mergeCell ref="A6:G6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54:D54"/>
    <mergeCell ref="O11:O12"/>
    <mergeCell ref="A33:Q33"/>
    <mergeCell ref="C53:D53"/>
    <mergeCell ref="I9:I12"/>
    <mergeCell ref="P9:P12"/>
    <mergeCell ref="J9:O10"/>
    <mergeCell ref="Q9:Q12"/>
    <mergeCell ref="A9:A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4"/>
  <sheetViews>
    <sheetView zoomScalePageLayoutView="0" workbookViewId="0" topLeftCell="A1">
      <pane xSplit="2" ySplit="7" topLeftCell="A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39" bestFit="1" customWidth="1"/>
    <col min="2" max="2" width="9.125" style="239" customWidth="1"/>
    <col min="3" max="3" width="11.375" style="239" customWidth="1"/>
    <col min="4" max="4" width="10.375" style="239" customWidth="1"/>
    <col min="5" max="6" width="9.125" style="239" customWidth="1"/>
    <col min="7" max="7" width="10.25390625" style="239" customWidth="1"/>
    <col min="8" max="8" width="9.125" style="239" customWidth="1"/>
    <col min="9" max="9" width="9.875" style="239" customWidth="1"/>
    <col min="10" max="10" width="9.125" style="239" customWidth="1"/>
    <col min="11" max="11" width="10.375" style="239" customWidth="1"/>
    <col min="12" max="12" width="9.125" style="239" customWidth="1"/>
    <col min="13" max="13" width="10.125" style="239" bestFit="1" customWidth="1"/>
    <col min="14" max="14" width="9.125" style="239" customWidth="1"/>
    <col min="15" max="15" width="10.125" style="239" bestFit="1" customWidth="1"/>
    <col min="16" max="18" width="9.125" style="239" customWidth="1"/>
    <col min="19" max="19" width="10.125" style="239" bestFit="1" customWidth="1"/>
    <col min="20" max="20" width="10.125" style="239" customWidth="1"/>
    <col min="21" max="21" width="10.125" style="239" bestFit="1" customWidth="1"/>
    <col min="22" max="22" width="10.25390625" style="239" customWidth="1"/>
    <col min="23" max="23" width="10.625" style="239" customWidth="1"/>
    <col min="24" max="24" width="10.125" style="239" customWidth="1"/>
    <col min="25" max="28" width="10.125" style="239" bestFit="1" customWidth="1"/>
    <col min="29" max="30" width="11.375" style="239" customWidth="1"/>
    <col min="31" max="31" width="9.25390625" style="239" bestFit="1" customWidth="1"/>
    <col min="32" max="32" width="10.125" style="239" bestFit="1" customWidth="1"/>
    <col min="33" max="33" width="11.00390625" style="239" customWidth="1"/>
    <col min="34" max="35" width="9.25390625" style="239" bestFit="1" customWidth="1"/>
    <col min="36" max="36" width="12.625" style="239" customWidth="1"/>
    <col min="37" max="38" width="9.25390625" style="239" bestFit="1" customWidth="1"/>
    <col min="39" max="39" width="10.125" style="239" bestFit="1" customWidth="1"/>
    <col min="40" max="40" width="9.25390625" style="239" bestFit="1" customWidth="1"/>
    <col min="41" max="42" width="10.125" style="239" bestFit="1" customWidth="1"/>
    <col min="43" max="44" width="9.25390625" style="239" customWidth="1"/>
    <col min="45" max="45" width="10.125" style="239" bestFit="1" customWidth="1"/>
    <col min="46" max="46" width="11.625" style="239" customWidth="1"/>
    <col min="47" max="47" width="10.875" style="239" customWidth="1"/>
    <col min="48" max="48" width="10.625" style="239" customWidth="1"/>
    <col min="49" max="49" width="10.25390625" style="239" customWidth="1"/>
    <col min="50" max="50" width="10.625" style="239" customWidth="1"/>
    <col min="51" max="51" width="9.25390625" style="239" bestFit="1" customWidth="1"/>
    <col min="52" max="53" width="10.125" style="239" bestFit="1" customWidth="1"/>
    <col min="54" max="54" width="11.625" style="239" customWidth="1"/>
    <col min="55" max="55" width="11.75390625" style="239" customWidth="1"/>
    <col min="56" max="56" width="12.125" style="239" customWidth="1"/>
    <col min="57" max="57" width="13.625" style="239" customWidth="1"/>
    <col min="58" max="58" width="11.00390625" style="239" customWidth="1"/>
    <col min="59" max="59" width="10.625" style="239" customWidth="1"/>
    <col min="60" max="16384" width="9.125" style="239" customWidth="1"/>
  </cols>
  <sheetData>
    <row r="1" spans="1:18" ht="21" customHeight="1">
      <c r="A1" s="185" t="s">
        <v>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238"/>
      <c r="P1" s="238"/>
      <c r="Q1" s="238"/>
      <c r="R1" s="238"/>
    </row>
    <row r="2" spans="1:18" ht="13.5" thickBot="1">
      <c r="A2" s="238"/>
      <c r="B2" s="240"/>
      <c r="C2" s="241"/>
      <c r="D2" s="241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59" ht="29.25" customHeight="1" thickBot="1">
      <c r="A3" s="242" t="s">
        <v>0</v>
      </c>
      <c r="B3" s="243" t="s">
        <v>1</v>
      </c>
      <c r="C3" s="244" t="s">
        <v>2</v>
      </c>
      <c r="D3" s="245" t="s">
        <v>3</v>
      </c>
      <c r="E3" s="242" t="s">
        <v>96</v>
      </c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18"/>
      <c r="S3" s="242"/>
      <c r="T3" s="246"/>
      <c r="U3" s="242" t="s">
        <v>5</v>
      </c>
      <c r="V3" s="246"/>
      <c r="W3" s="247" t="s">
        <v>6</v>
      </c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9"/>
      <c r="AJ3" s="250" t="s">
        <v>74</v>
      </c>
      <c r="AK3" s="251" t="s">
        <v>10</v>
      </c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  <c r="BF3" s="254" t="s">
        <v>11</v>
      </c>
      <c r="BG3" s="255" t="s">
        <v>12</v>
      </c>
    </row>
    <row r="4" spans="1:59" ht="51.75" customHeight="1" hidden="1" thickBot="1">
      <c r="A4" s="256"/>
      <c r="B4" s="257"/>
      <c r="C4" s="258"/>
      <c r="D4" s="259"/>
      <c r="E4" s="256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12"/>
      <c r="S4" s="261"/>
      <c r="T4" s="262"/>
      <c r="U4" s="261"/>
      <c r="V4" s="262"/>
      <c r="W4" s="263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5"/>
      <c r="AJ4" s="266"/>
      <c r="AK4" s="267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9"/>
      <c r="BF4" s="270"/>
      <c r="BG4" s="271"/>
    </row>
    <row r="5" spans="1:61" ht="19.5" customHeight="1">
      <c r="A5" s="256"/>
      <c r="B5" s="257"/>
      <c r="C5" s="258"/>
      <c r="D5" s="259"/>
      <c r="E5" s="272" t="s">
        <v>13</v>
      </c>
      <c r="F5" s="273"/>
      <c r="G5" s="272" t="s">
        <v>97</v>
      </c>
      <c r="H5" s="273"/>
      <c r="I5" s="272" t="s">
        <v>14</v>
      </c>
      <c r="J5" s="273"/>
      <c r="K5" s="272" t="s">
        <v>16</v>
      </c>
      <c r="L5" s="273"/>
      <c r="M5" s="272" t="s">
        <v>15</v>
      </c>
      <c r="N5" s="273"/>
      <c r="O5" s="274" t="s">
        <v>17</v>
      </c>
      <c r="P5" s="274"/>
      <c r="Q5" s="272" t="s">
        <v>98</v>
      </c>
      <c r="R5" s="273"/>
      <c r="S5" s="274" t="s">
        <v>99</v>
      </c>
      <c r="T5" s="273"/>
      <c r="U5" s="275" t="s">
        <v>20</v>
      </c>
      <c r="V5" s="276" t="s">
        <v>21</v>
      </c>
      <c r="W5" s="277" t="s">
        <v>22</v>
      </c>
      <c r="X5" s="277" t="s">
        <v>100</v>
      </c>
      <c r="Y5" s="277" t="s">
        <v>23</v>
      </c>
      <c r="Z5" s="277" t="s">
        <v>25</v>
      </c>
      <c r="AA5" s="277" t="s">
        <v>24</v>
      </c>
      <c r="AB5" s="277" t="s">
        <v>26</v>
      </c>
      <c r="AC5" s="277" t="s">
        <v>27</v>
      </c>
      <c r="AD5" s="278" t="s">
        <v>28</v>
      </c>
      <c r="AE5" s="278" t="s">
        <v>101</v>
      </c>
      <c r="AF5" s="279" t="s">
        <v>29</v>
      </c>
      <c r="AG5" s="280" t="s">
        <v>86</v>
      </c>
      <c r="AH5" s="281" t="s">
        <v>8</v>
      </c>
      <c r="AI5" s="282" t="s">
        <v>9</v>
      </c>
      <c r="AJ5" s="266"/>
      <c r="AK5" s="283" t="s">
        <v>102</v>
      </c>
      <c r="AL5" s="284" t="s">
        <v>103</v>
      </c>
      <c r="AM5" s="284" t="s">
        <v>104</v>
      </c>
      <c r="AN5" s="285" t="s">
        <v>105</v>
      </c>
      <c r="AO5" s="284" t="s">
        <v>106</v>
      </c>
      <c r="AP5" s="285" t="s">
        <v>107</v>
      </c>
      <c r="AQ5" s="285" t="s">
        <v>108</v>
      </c>
      <c r="AR5" s="285" t="s">
        <v>109</v>
      </c>
      <c r="AS5" s="285" t="s">
        <v>110</v>
      </c>
      <c r="AT5" s="285" t="s">
        <v>36</v>
      </c>
      <c r="AU5" s="180" t="s">
        <v>111</v>
      </c>
      <c r="AV5" s="159" t="s">
        <v>112</v>
      </c>
      <c r="AW5" s="180" t="s">
        <v>113</v>
      </c>
      <c r="AX5" s="161" t="s">
        <v>114</v>
      </c>
      <c r="AY5" s="142"/>
      <c r="AZ5" s="286" t="s">
        <v>19</v>
      </c>
      <c r="BA5" s="285" t="s">
        <v>38</v>
      </c>
      <c r="BB5" s="285" t="s">
        <v>33</v>
      </c>
      <c r="BC5" s="287" t="s">
        <v>39</v>
      </c>
      <c r="BD5" s="288" t="s">
        <v>75</v>
      </c>
      <c r="BE5" s="285" t="s">
        <v>115</v>
      </c>
      <c r="BF5" s="270"/>
      <c r="BG5" s="271"/>
      <c r="BH5" s="289"/>
      <c r="BI5" s="290"/>
    </row>
    <row r="6" spans="1:61" ht="56.25" customHeight="1" thickBot="1">
      <c r="A6" s="256"/>
      <c r="B6" s="257"/>
      <c r="C6" s="258"/>
      <c r="D6" s="259"/>
      <c r="E6" s="291"/>
      <c r="F6" s="292"/>
      <c r="G6" s="291"/>
      <c r="H6" s="292"/>
      <c r="I6" s="291"/>
      <c r="J6" s="292"/>
      <c r="K6" s="291"/>
      <c r="L6" s="292"/>
      <c r="M6" s="291"/>
      <c r="N6" s="292"/>
      <c r="O6" s="293"/>
      <c r="P6" s="293"/>
      <c r="Q6" s="291"/>
      <c r="R6" s="292"/>
      <c r="S6" s="294"/>
      <c r="T6" s="292"/>
      <c r="U6" s="295"/>
      <c r="V6" s="296"/>
      <c r="W6" s="297"/>
      <c r="X6" s="297"/>
      <c r="Y6" s="297"/>
      <c r="Z6" s="297"/>
      <c r="AA6" s="297"/>
      <c r="AB6" s="297"/>
      <c r="AC6" s="297"/>
      <c r="AD6" s="298"/>
      <c r="AE6" s="298"/>
      <c r="AF6" s="299"/>
      <c r="AG6" s="300"/>
      <c r="AH6" s="301"/>
      <c r="AI6" s="302"/>
      <c r="AJ6" s="303"/>
      <c r="AK6" s="304"/>
      <c r="AL6" s="305"/>
      <c r="AM6" s="305"/>
      <c r="AN6" s="306"/>
      <c r="AO6" s="305"/>
      <c r="AP6" s="306"/>
      <c r="AQ6" s="306"/>
      <c r="AR6" s="306"/>
      <c r="AS6" s="306"/>
      <c r="AT6" s="306"/>
      <c r="AU6" s="181"/>
      <c r="AV6" s="160"/>
      <c r="AW6" s="181"/>
      <c r="AX6" s="162"/>
      <c r="AY6" s="143" t="s">
        <v>116</v>
      </c>
      <c r="AZ6" s="307"/>
      <c r="BA6" s="306"/>
      <c r="BB6" s="306"/>
      <c r="BC6" s="308"/>
      <c r="BD6" s="309"/>
      <c r="BE6" s="306"/>
      <c r="BF6" s="310"/>
      <c r="BG6" s="311"/>
      <c r="BH6" s="289"/>
      <c r="BI6" s="290"/>
    </row>
    <row r="7" spans="1:61" ht="19.5" customHeight="1" thickBot="1">
      <c r="A7" s="312">
        <v>1</v>
      </c>
      <c r="B7" s="313">
        <v>2</v>
      </c>
      <c r="C7" s="313">
        <v>3</v>
      </c>
      <c r="D7" s="312">
        <v>4</v>
      </c>
      <c r="E7" s="313">
        <v>5</v>
      </c>
      <c r="F7" s="313">
        <v>6</v>
      </c>
      <c r="G7" s="312">
        <v>7</v>
      </c>
      <c r="H7" s="313">
        <v>8</v>
      </c>
      <c r="I7" s="313">
        <v>9</v>
      </c>
      <c r="J7" s="312">
        <v>10</v>
      </c>
      <c r="K7" s="313">
        <v>11</v>
      </c>
      <c r="L7" s="313">
        <v>12</v>
      </c>
      <c r="M7" s="312">
        <v>13</v>
      </c>
      <c r="N7" s="313">
        <v>14</v>
      </c>
      <c r="O7" s="313">
        <v>15</v>
      </c>
      <c r="P7" s="312">
        <v>16</v>
      </c>
      <c r="Q7" s="313">
        <v>17</v>
      </c>
      <c r="R7" s="313">
        <v>18</v>
      </c>
      <c r="S7" s="312">
        <v>19</v>
      </c>
      <c r="T7" s="313">
        <v>20</v>
      </c>
      <c r="U7" s="313">
        <v>21</v>
      </c>
      <c r="V7" s="312">
        <v>22</v>
      </c>
      <c r="W7" s="313">
        <v>23</v>
      </c>
      <c r="X7" s="312">
        <v>24</v>
      </c>
      <c r="Y7" s="313">
        <v>25</v>
      </c>
      <c r="Z7" s="312">
        <v>26</v>
      </c>
      <c r="AA7" s="313">
        <v>27</v>
      </c>
      <c r="AB7" s="312">
        <v>28</v>
      </c>
      <c r="AC7" s="313">
        <v>29</v>
      </c>
      <c r="AD7" s="312">
        <v>30</v>
      </c>
      <c r="AE7" s="312">
        <v>31</v>
      </c>
      <c r="AF7" s="313">
        <v>32</v>
      </c>
      <c r="AG7" s="312">
        <v>33</v>
      </c>
      <c r="AH7" s="313">
        <v>34</v>
      </c>
      <c r="AI7" s="312">
        <v>35</v>
      </c>
      <c r="AJ7" s="313">
        <v>36</v>
      </c>
      <c r="AK7" s="312">
        <v>37</v>
      </c>
      <c r="AL7" s="313">
        <v>38</v>
      </c>
      <c r="AM7" s="312">
        <v>39</v>
      </c>
      <c r="AN7" s="312">
        <v>40</v>
      </c>
      <c r="AO7" s="313">
        <v>41</v>
      </c>
      <c r="AP7" s="312">
        <v>42</v>
      </c>
      <c r="AQ7" s="313">
        <v>43</v>
      </c>
      <c r="AR7" s="312"/>
      <c r="AS7" s="312">
        <v>44</v>
      </c>
      <c r="AT7" s="313">
        <v>45</v>
      </c>
      <c r="AU7" s="312">
        <v>46</v>
      </c>
      <c r="AV7" s="313">
        <v>47</v>
      </c>
      <c r="AW7" s="312">
        <v>48</v>
      </c>
      <c r="AX7" s="312">
        <v>49</v>
      </c>
      <c r="AY7" s="313"/>
      <c r="AZ7" s="313">
        <v>50</v>
      </c>
      <c r="BA7" s="313">
        <v>51</v>
      </c>
      <c r="BB7" s="313">
        <v>52</v>
      </c>
      <c r="BC7" s="313">
        <v>53</v>
      </c>
      <c r="BD7" s="313">
        <v>54</v>
      </c>
      <c r="BE7" s="313"/>
      <c r="BF7" s="313">
        <v>55</v>
      </c>
      <c r="BG7" s="313">
        <v>56</v>
      </c>
      <c r="BH7" s="290"/>
      <c r="BI7" s="290"/>
    </row>
    <row r="8" spans="1:59" s="20" customFormat="1" ht="13.5" thickBot="1">
      <c r="A8" s="22" t="s">
        <v>54</v>
      </c>
      <c r="B8" s="314"/>
      <c r="C8" s="314">
        <f>Лист1!C44</f>
        <v>764613.6359999999</v>
      </c>
      <c r="D8" s="314">
        <f>Лист1!D44</f>
        <v>91751.03916670004</v>
      </c>
      <c r="E8" s="314">
        <f>Лист1!E44</f>
        <v>66120.84999999999</v>
      </c>
      <c r="F8" s="314">
        <f>Лист1!F44</f>
        <v>11281.710000000001</v>
      </c>
      <c r="G8" s="314">
        <f>0</f>
        <v>0</v>
      </c>
      <c r="H8" s="314">
        <f>0</f>
        <v>0</v>
      </c>
      <c r="I8" s="314">
        <f>Лист1!G44</f>
        <v>89434.47</v>
      </c>
      <c r="J8" s="314">
        <f>Лист1!H44</f>
        <v>15272.8</v>
      </c>
      <c r="K8" s="314">
        <f>Лист1!K44</f>
        <v>148762.66</v>
      </c>
      <c r="L8" s="314">
        <f>Лист1!L44</f>
        <v>25526.93</v>
      </c>
      <c r="M8" s="314">
        <f>Лист1!I44</f>
        <v>214362.39</v>
      </c>
      <c r="N8" s="314">
        <f>Лист1!J44</f>
        <v>36707.939999999995</v>
      </c>
      <c r="O8" s="314">
        <f>Лист1!M44</f>
        <v>52936.45</v>
      </c>
      <c r="P8" s="314">
        <f>Лист1!N44</f>
        <v>9025.099999999999</v>
      </c>
      <c r="Q8" s="314">
        <f>'[9]Лист1'!O44</f>
        <v>0</v>
      </c>
      <c r="R8" s="314">
        <f>'[9]Лист1'!P44</f>
        <v>0</v>
      </c>
      <c r="S8" s="314">
        <f>'[9]Лист1'!Q44</f>
        <v>0</v>
      </c>
      <c r="T8" s="314">
        <f>'[9]Лист1'!R44</f>
        <v>0</v>
      </c>
      <c r="U8" s="314">
        <f>Лист1!S44</f>
        <v>571616.8200000001</v>
      </c>
      <c r="V8" s="314">
        <f>Лист1!T44</f>
        <v>97814.48000000001</v>
      </c>
      <c r="W8" s="314">
        <f>Лист1!U44</f>
        <v>59715.58</v>
      </c>
      <c r="X8" s="314">
        <v>0</v>
      </c>
      <c r="Y8" s="314">
        <f>Лист1!V44</f>
        <v>82270.76999999999</v>
      </c>
      <c r="Z8" s="314">
        <f>Лист1!X44</f>
        <v>134367.62</v>
      </c>
      <c r="AA8" s="314">
        <f>Лист1!W44</f>
        <v>196335.09000000003</v>
      </c>
      <c r="AB8" s="314">
        <f>Лист1!Y44</f>
        <v>47814.59</v>
      </c>
      <c r="AC8" s="314">
        <f>'[10]Лист1'!Z42</f>
        <v>0</v>
      </c>
      <c r="AD8" s="314">
        <f>'[10]Лист1'!AA42</f>
        <v>0</v>
      </c>
      <c r="AE8" s="314">
        <f>'[11]Лист1'!AA44</f>
        <v>0</v>
      </c>
      <c r="AF8" s="314">
        <f>Лист1!AB44</f>
        <v>520503.65</v>
      </c>
      <c r="AG8" s="314">
        <f>Лист1!AC44</f>
        <v>710069.1691667</v>
      </c>
      <c r="AH8" s="314">
        <f>'[12]Лист1 (2)'!AD44</f>
        <v>0</v>
      </c>
      <c r="AI8" s="314">
        <f>'[10]Лист1'!AE42</f>
        <v>0</v>
      </c>
      <c r="AJ8" s="314">
        <f>Лист1!AF44</f>
        <v>45738.61464</v>
      </c>
      <c r="AK8" s="314">
        <f>Лист1!AG44</f>
        <v>52252.079999999994</v>
      </c>
      <c r="AL8" s="314">
        <f>Лист1!AH44</f>
        <v>17508.800384200003</v>
      </c>
      <c r="AM8" s="314">
        <f>Лист1!AI44+Лист1!AJ44</f>
        <v>86741.02974646201</v>
      </c>
      <c r="AN8" s="314">
        <v>0</v>
      </c>
      <c r="AO8" s="314">
        <f>Лист1!AK44+Лист1!AL44</f>
        <v>86551.26293633832</v>
      </c>
      <c r="AP8" s="314">
        <f>Лист1!AM44+Лист1!AN44</f>
        <v>193617.70171983982</v>
      </c>
      <c r="AQ8" s="314">
        <v>0</v>
      </c>
      <c r="AR8" s="314">
        <v>0</v>
      </c>
      <c r="AS8" s="314">
        <v>0</v>
      </c>
      <c r="AT8" s="314">
        <f>Лист1!AO44+Лист1!AP44</f>
        <v>0</v>
      </c>
      <c r="AU8" s="314">
        <f>Лист1!AS44+Лист1!AU44</f>
        <v>84899.2782</v>
      </c>
      <c r="AV8" s="314">
        <f>0</f>
        <v>0</v>
      </c>
      <c r="AW8" s="314">
        <f>Лист1!AT44</f>
        <v>15904.039999999999</v>
      </c>
      <c r="AX8" s="314">
        <f>Лист1!AQ44+Лист1!AR44</f>
        <v>2504.7624000000005</v>
      </c>
      <c r="AY8" s="315">
        <f>Лист1!AX44</f>
        <v>20956.32</v>
      </c>
      <c r="AZ8" s="315">
        <f>'[9]Лист1'!AY44</f>
        <v>0</v>
      </c>
      <c r="BA8" s="315">
        <f>Лист1!AZ44+Лист1!BA44</f>
        <v>102345.2704</v>
      </c>
      <c r="BB8" s="315">
        <v>0</v>
      </c>
      <c r="BC8" s="315">
        <f>Лист1!BB44</f>
        <v>663280.5457868401</v>
      </c>
      <c r="BD8" s="314">
        <f>Лист1!BC44</f>
        <v>20447.8841693972</v>
      </c>
      <c r="BE8" s="316">
        <f>BC8+BD8</f>
        <v>683728.4299562373</v>
      </c>
      <c r="BF8" s="316">
        <f>Лист1!BD44</f>
        <v>72079.35385046272</v>
      </c>
      <c r="BG8" s="316">
        <f>Лист1!BE44</f>
        <v>-51113.17000000001</v>
      </c>
    </row>
    <row r="9" spans="1:63" ht="12.75">
      <c r="A9" s="5" t="s">
        <v>117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8"/>
      <c r="BF9" s="319"/>
      <c r="BG9" s="320"/>
      <c r="BI9" s="238"/>
      <c r="BJ9" s="238"/>
      <c r="BK9" s="238"/>
    </row>
    <row r="10" spans="1:76" ht="12.75">
      <c r="A10" s="321" t="s">
        <v>45</v>
      </c>
      <c r="B10" s="322">
        <v>3274.88</v>
      </c>
      <c r="C10" s="122">
        <f>B10*8.55</f>
        <v>28000.224000000002</v>
      </c>
      <c r="D10" s="104">
        <v>544.52508</v>
      </c>
      <c r="E10" s="323">
        <v>0</v>
      </c>
      <c r="F10" s="324">
        <v>0</v>
      </c>
      <c r="G10" s="323">
        <v>17141.96</v>
      </c>
      <c r="H10" s="323">
        <v>0</v>
      </c>
      <c r="I10" s="323">
        <v>0</v>
      </c>
      <c r="J10" s="323">
        <v>0</v>
      </c>
      <c r="K10" s="323">
        <v>0</v>
      </c>
      <c r="L10" s="323">
        <v>0</v>
      </c>
      <c r="M10" s="323">
        <v>8243.64</v>
      </c>
      <c r="N10" s="323">
        <v>0</v>
      </c>
      <c r="O10" s="323">
        <v>2858.44</v>
      </c>
      <c r="P10" s="324">
        <v>0</v>
      </c>
      <c r="Q10" s="325">
        <v>0</v>
      </c>
      <c r="R10" s="326">
        <v>0</v>
      </c>
      <c r="S10" s="325">
        <v>0</v>
      </c>
      <c r="T10" s="326">
        <v>0</v>
      </c>
      <c r="U10" s="327">
        <f aca="true" t="shared" si="0" ref="U10:V21">E10+G10+I10+K10+M10+O10+Q10+S10</f>
        <v>28244.039999999997</v>
      </c>
      <c r="V10" s="328">
        <f t="shared" si="0"/>
        <v>0</v>
      </c>
      <c r="W10" s="329">
        <v>2683.7</v>
      </c>
      <c r="X10" s="329"/>
      <c r="Y10" s="329">
        <v>3418.09</v>
      </c>
      <c r="Z10" s="329">
        <v>6060</v>
      </c>
      <c r="AA10" s="329">
        <v>8218.26</v>
      </c>
      <c r="AB10" s="441">
        <v>2146.54</v>
      </c>
      <c r="AC10" s="329">
        <v>0</v>
      </c>
      <c r="AD10" s="330">
        <v>0</v>
      </c>
      <c r="AE10" s="331">
        <v>0</v>
      </c>
      <c r="AF10" s="331">
        <f>SUM(W10:AE10)</f>
        <v>22526.590000000004</v>
      </c>
      <c r="AG10" s="332">
        <f>AF10+V10+D10</f>
        <v>23071.115080000003</v>
      </c>
      <c r="AH10" s="333">
        <f aca="true" t="shared" si="1" ref="AH10:AI21">AC10</f>
        <v>0</v>
      </c>
      <c r="AI10" s="333">
        <f t="shared" si="1"/>
        <v>0</v>
      </c>
      <c r="AJ10" s="334">
        <f>'[13]Т01'!$I$47+'[13]Т01'!$I$48+'[13]Т01'!$I$143</f>
        <v>2478.268</v>
      </c>
      <c r="AK10" s="335">
        <f aca="true" t="shared" si="2" ref="AK10:AK21">0.67*B10</f>
        <v>2194.1696</v>
      </c>
      <c r="AL10" s="335">
        <f aca="true" t="shared" si="3" ref="AL10:AL21">B10*0.2</f>
        <v>654.9760000000001</v>
      </c>
      <c r="AM10" s="335">
        <f>B10*1</f>
        <v>3274.88</v>
      </c>
      <c r="AN10" s="335">
        <f>B10*0.21</f>
        <v>687.7248</v>
      </c>
      <c r="AO10" s="335">
        <f>2.02*B10</f>
        <v>6615.2576</v>
      </c>
      <c r="AP10" s="335">
        <f>B10*1.03</f>
        <v>3373.1264</v>
      </c>
      <c r="AQ10" s="335">
        <f>B10*0.75</f>
        <v>2456.16</v>
      </c>
      <c r="AR10" s="335">
        <f>B10*0.75</f>
        <v>2456.16</v>
      </c>
      <c r="AS10" s="335">
        <f>B10*1.15</f>
        <v>3766.1119999999996</v>
      </c>
      <c r="AT10" s="335">
        <f>0.45*491.8</f>
        <v>221.31</v>
      </c>
      <c r="AU10" s="336"/>
      <c r="AV10" s="337"/>
      <c r="AW10" s="336"/>
      <c r="AX10" s="336">
        <f>29.1</f>
        <v>29.1</v>
      </c>
      <c r="AY10" s="336"/>
      <c r="AZ10" s="116"/>
      <c r="BA10" s="338"/>
      <c r="BB10" s="338">
        <f>BA10*0.18</f>
        <v>0</v>
      </c>
      <c r="BC10" s="338">
        <f>SUM(AK10:BB10)</f>
        <v>25728.976400000003</v>
      </c>
      <c r="BD10" s="339">
        <f>'[13]Т01'!$R$47+'[13]Т01'!$R$48+'[13]Т01'!$R$143</f>
        <v>1738.306</v>
      </c>
      <c r="BE10" s="339">
        <f>BC10+BD10</f>
        <v>27467.282400000004</v>
      </c>
      <c r="BF10" s="339">
        <f>AG10+AJ10-BE10</f>
        <v>-1917.8993200000004</v>
      </c>
      <c r="BG10" s="339">
        <f>AF10-U10</f>
        <v>-5717.449999999993</v>
      </c>
      <c r="BH10" s="339"/>
      <c r="BI10" s="339"/>
      <c r="BJ10" s="339"/>
      <c r="BK10" s="339"/>
      <c r="BL10" s="339"/>
      <c r="BM10" s="339"/>
      <c r="BN10" s="340"/>
      <c r="BO10" s="341"/>
      <c r="BP10" s="341"/>
      <c r="BQ10" s="341"/>
      <c r="BR10" s="342"/>
      <c r="BS10" s="315"/>
      <c r="BT10" s="343"/>
      <c r="BU10" s="314"/>
      <c r="BV10" s="344"/>
      <c r="BW10" s="345"/>
      <c r="BX10" s="346"/>
    </row>
    <row r="11" spans="1:74" ht="12.75">
      <c r="A11" s="321" t="s">
        <v>46</v>
      </c>
      <c r="B11" s="322">
        <v>3274.88</v>
      </c>
      <c r="C11" s="122">
        <f>B11*8.55</f>
        <v>28000.224000000002</v>
      </c>
      <c r="D11" s="104">
        <v>544.52508</v>
      </c>
      <c r="E11" s="323">
        <v>0</v>
      </c>
      <c r="F11" s="324">
        <v>0</v>
      </c>
      <c r="G11" s="323">
        <v>16814.91</v>
      </c>
      <c r="H11" s="323">
        <v>0</v>
      </c>
      <c r="I11" s="323">
        <v>0</v>
      </c>
      <c r="J11" s="323">
        <v>0</v>
      </c>
      <c r="K11" s="323">
        <v>0</v>
      </c>
      <c r="L11" s="323">
        <v>0</v>
      </c>
      <c r="M11" s="323">
        <v>8244.59</v>
      </c>
      <c r="N11" s="323">
        <v>0</v>
      </c>
      <c r="O11" s="323">
        <v>2858.79</v>
      </c>
      <c r="P11" s="323">
        <v>0</v>
      </c>
      <c r="Q11" s="324">
        <v>0</v>
      </c>
      <c r="R11" s="324">
        <v>0</v>
      </c>
      <c r="S11" s="330">
        <v>0</v>
      </c>
      <c r="T11" s="329">
        <v>0</v>
      </c>
      <c r="U11" s="347">
        <f t="shared" si="0"/>
        <v>27918.29</v>
      </c>
      <c r="V11" s="328">
        <f t="shared" si="0"/>
        <v>0</v>
      </c>
      <c r="W11" s="329">
        <v>648.8</v>
      </c>
      <c r="X11" s="330">
        <v>12344.84</v>
      </c>
      <c r="Y11" s="329">
        <v>879.27</v>
      </c>
      <c r="Z11" s="329">
        <v>1463.74</v>
      </c>
      <c r="AA11" s="329">
        <v>7234.13</v>
      </c>
      <c r="AB11" s="441">
        <v>2471.55</v>
      </c>
      <c r="AC11" s="329">
        <v>0</v>
      </c>
      <c r="AD11" s="330">
        <v>0</v>
      </c>
      <c r="AE11" s="330">
        <v>0</v>
      </c>
      <c r="AF11" s="331">
        <f>SUM(W11:AE11)</f>
        <v>25042.329999999998</v>
      </c>
      <c r="AG11" s="332">
        <f>AF11+V11+D11</f>
        <v>25586.855079999998</v>
      </c>
      <c r="AH11" s="333">
        <f t="shared" si="1"/>
        <v>0</v>
      </c>
      <c r="AI11" s="333">
        <f t="shared" si="1"/>
        <v>0</v>
      </c>
      <c r="AJ11" s="334">
        <f>'[13]Т02'!$J$47+'[13]Т02'!$J$48+'[13]Т02'!$J$145</f>
        <v>2478.268</v>
      </c>
      <c r="AK11" s="335">
        <f t="shared" si="2"/>
        <v>2194.1696</v>
      </c>
      <c r="AL11" s="335">
        <f t="shared" si="3"/>
        <v>654.9760000000001</v>
      </c>
      <c r="AM11" s="335">
        <f>B11*1</f>
        <v>3274.88</v>
      </c>
      <c r="AN11" s="335">
        <f>B11*0.21</f>
        <v>687.7248</v>
      </c>
      <c r="AO11" s="335">
        <f>2.02*B11</f>
        <v>6615.2576</v>
      </c>
      <c r="AP11" s="335">
        <f>B11*1.03</f>
        <v>3373.1264</v>
      </c>
      <c r="AQ11" s="335">
        <f>B11*0.75</f>
        <v>2456.16</v>
      </c>
      <c r="AR11" s="335">
        <f>B11*0.75</f>
        <v>2456.16</v>
      </c>
      <c r="AS11" s="335">
        <f>B11*1.15</f>
        <v>3766.1119999999996</v>
      </c>
      <c r="AT11" s="335">
        <f>0.45*491.8</f>
        <v>221.31</v>
      </c>
      <c r="AU11" s="336">
        <v>10005</v>
      </c>
      <c r="AV11" s="337"/>
      <c r="AW11" s="336">
        <v>3513</v>
      </c>
      <c r="AX11" s="336">
        <f>108+141+22.56+120+105+350+45+34+16+76</f>
        <v>1017.56</v>
      </c>
      <c r="AY11" s="336"/>
      <c r="AZ11" s="116"/>
      <c r="BA11" s="338"/>
      <c r="BB11" s="338">
        <f>BA11*0.18</f>
        <v>0</v>
      </c>
      <c r="BC11" s="338">
        <f>SUM(AK11:BB11)</f>
        <v>40235.436400000006</v>
      </c>
      <c r="BD11" s="339">
        <f>'[13]Т02'!$S$47+'[13]Т02'!$S$48+'[13]Т02'!$S$144</f>
        <v>1738.306</v>
      </c>
      <c r="BE11" s="339">
        <f aca="true" t="shared" si="4" ref="BE11:BE21">BC11+BD11</f>
        <v>41973.7424</v>
      </c>
      <c r="BF11" s="339">
        <f aca="true" t="shared" si="5" ref="BF11:BF21">AG11+AJ11-BE11</f>
        <v>-13908.619320000005</v>
      </c>
      <c r="BG11" s="339">
        <f aca="true" t="shared" si="6" ref="BG11:BG21">AF11-U11</f>
        <v>-2875.9600000000028</v>
      </c>
      <c r="BH11" s="339"/>
      <c r="BI11" s="339"/>
      <c r="BJ11" s="339"/>
      <c r="BK11" s="339"/>
      <c r="BL11" s="339"/>
      <c r="BM11" s="339"/>
      <c r="BN11" s="340"/>
      <c r="BO11" s="341"/>
      <c r="BP11" s="341"/>
      <c r="BQ11" s="348"/>
      <c r="BR11" s="73"/>
      <c r="BS11" s="346"/>
      <c r="BT11" s="346"/>
      <c r="BU11" s="346"/>
      <c r="BV11" s="238"/>
    </row>
    <row r="12" spans="1:74" ht="12.75">
      <c r="A12" s="321" t="s">
        <v>47</v>
      </c>
      <c r="B12" s="322">
        <v>3274.88</v>
      </c>
      <c r="C12" s="122">
        <f>B12*8.55</f>
        <v>28000.224000000002</v>
      </c>
      <c r="D12" s="104">
        <v>544.52508</v>
      </c>
      <c r="E12" s="323">
        <v>0</v>
      </c>
      <c r="F12" s="324">
        <v>0</v>
      </c>
      <c r="G12" s="323">
        <v>16976.55</v>
      </c>
      <c r="H12" s="323">
        <v>0</v>
      </c>
      <c r="I12" s="323">
        <v>0</v>
      </c>
      <c r="J12" s="323">
        <v>0</v>
      </c>
      <c r="K12" s="323">
        <v>0</v>
      </c>
      <c r="L12" s="323">
        <v>0</v>
      </c>
      <c r="M12" s="323">
        <v>8243.24</v>
      </c>
      <c r="N12" s="323">
        <v>0</v>
      </c>
      <c r="O12" s="323">
        <v>2858.3</v>
      </c>
      <c r="P12" s="323">
        <v>0</v>
      </c>
      <c r="Q12" s="323">
        <v>0</v>
      </c>
      <c r="R12" s="323">
        <v>0</v>
      </c>
      <c r="S12" s="329">
        <v>0</v>
      </c>
      <c r="T12" s="329">
        <v>0</v>
      </c>
      <c r="U12" s="329">
        <f t="shared" si="0"/>
        <v>28078.09</v>
      </c>
      <c r="V12" s="349">
        <f t="shared" si="0"/>
        <v>0</v>
      </c>
      <c r="W12" s="350">
        <v>462.62</v>
      </c>
      <c r="X12" s="330">
        <v>13292.42</v>
      </c>
      <c r="Y12" s="329">
        <v>581.07</v>
      </c>
      <c r="Z12" s="329">
        <v>1098.01</v>
      </c>
      <c r="AA12" s="329">
        <v>8541.98</v>
      </c>
      <c r="AB12" s="441">
        <v>2500.45</v>
      </c>
      <c r="AC12" s="329">
        <v>0</v>
      </c>
      <c r="AD12" s="330">
        <v>0</v>
      </c>
      <c r="AE12" s="329">
        <v>0</v>
      </c>
      <c r="AF12" s="351">
        <f>SUM(W12:AE12)</f>
        <v>26476.55</v>
      </c>
      <c r="AG12" s="332">
        <f>AF12+V12+D12</f>
        <v>27021.07508</v>
      </c>
      <c r="AH12" s="333">
        <f t="shared" si="1"/>
        <v>0</v>
      </c>
      <c r="AI12" s="333">
        <f t="shared" si="1"/>
        <v>0</v>
      </c>
      <c r="AJ12" s="334">
        <f>'[13]Т03'!$J$47+'[13]Т03'!$J$48+'[13]Т03'!$J$145+'[13]Т03'!$J$198</f>
        <v>8407.468</v>
      </c>
      <c r="AK12" s="335">
        <f t="shared" si="2"/>
        <v>2194.1696</v>
      </c>
      <c r="AL12" s="335">
        <f t="shared" si="3"/>
        <v>654.9760000000001</v>
      </c>
      <c r="AM12" s="335">
        <f>B12*1</f>
        <v>3274.88</v>
      </c>
      <c r="AN12" s="335">
        <f>B12*0.21</f>
        <v>687.7248</v>
      </c>
      <c r="AO12" s="335">
        <f>2.02*B12</f>
        <v>6615.2576</v>
      </c>
      <c r="AP12" s="335">
        <f>B12*1.03</f>
        <v>3373.1264</v>
      </c>
      <c r="AQ12" s="335">
        <f>B12*0.75</f>
        <v>2456.16</v>
      </c>
      <c r="AR12" s="335">
        <f>B12*0.75</f>
        <v>2456.16</v>
      </c>
      <c r="AS12" s="335">
        <f>B12*1.15</f>
        <v>3766.1119999999996</v>
      </c>
      <c r="AT12" s="335">
        <f>0.45*491.8</f>
        <v>221.31</v>
      </c>
      <c r="AU12" s="336">
        <v>2028</v>
      </c>
      <c r="AV12" s="337"/>
      <c r="AW12" s="336"/>
      <c r="AX12" s="336">
        <f>256+102+75+170</f>
        <v>603</v>
      </c>
      <c r="AY12" s="336"/>
      <c r="AZ12" s="116"/>
      <c r="BA12" s="338"/>
      <c r="BB12" s="338">
        <f>BA12*0.18</f>
        <v>0</v>
      </c>
      <c r="BC12" s="338">
        <f>SUM(AK12:BB12)</f>
        <v>28330.876400000005</v>
      </c>
      <c r="BD12" s="339">
        <f>'[13]Т03'!$S$47+'[13]Т03'!$S$48+'[13]Т03'!$S$145+'[13]Т03'!$S$198</f>
        <v>1918.306</v>
      </c>
      <c r="BE12" s="339">
        <f t="shared" si="4"/>
        <v>30249.182400000005</v>
      </c>
      <c r="BF12" s="339">
        <f t="shared" si="5"/>
        <v>5179.360679999998</v>
      </c>
      <c r="BG12" s="339">
        <f t="shared" si="6"/>
        <v>-1601.5400000000009</v>
      </c>
      <c r="BH12" s="339"/>
      <c r="BI12" s="339"/>
      <c r="BJ12" s="339"/>
      <c r="BK12" s="339"/>
      <c r="BL12" s="339"/>
      <c r="BM12" s="339"/>
      <c r="BN12" s="340"/>
      <c r="BO12" s="341"/>
      <c r="BP12" s="341"/>
      <c r="BQ12" s="348"/>
      <c r="BR12" s="73"/>
      <c r="BS12" s="346"/>
      <c r="BT12" s="346"/>
      <c r="BU12" s="238"/>
      <c r="BV12" s="238"/>
    </row>
    <row r="13" spans="1:74" ht="12.75">
      <c r="A13" s="321" t="s">
        <v>48</v>
      </c>
      <c r="B13" s="442">
        <v>3267.48</v>
      </c>
      <c r="C13" s="122">
        <f>B13*8.55</f>
        <v>27936.954</v>
      </c>
      <c r="D13" s="352">
        <v>544.52508</v>
      </c>
      <c r="E13" s="325">
        <v>0</v>
      </c>
      <c r="F13" s="324">
        <v>0</v>
      </c>
      <c r="G13" s="353">
        <v>16985.56</v>
      </c>
      <c r="H13" s="323">
        <v>0</v>
      </c>
      <c r="I13" s="323">
        <v>0</v>
      </c>
      <c r="J13" s="323">
        <v>0</v>
      </c>
      <c r="K13" s="323">
        <v>0</v>
      </c>
      <c r="L13" s="323">
        <v>0</v>
      </c>
      <c r="M13" s="323">
        <v>8247.84</v>
      </c>
      <c r="N13" s="323">
        <v>0</v>
      </c>
      <c r="O13" s="323">
        <v>2860.14</v>
      </c>
      <c r="P13" s="323">
        <v>0</v>
      </c>
      <c r="Q13" s="354">
        <v>0</v>
      </c>
      <c r="R13" s="355">
        <v>0</v>
      </c>
      <c r="S13" s="356">
        <v>0</v>
      </c>
      <c r="T13" s="357">
        <v>0</v>
      </c>
      <c r="U13" s="347">
        <f t="shared" si="0"/>
        <v>28093.54</v>
      </c>
      <c r="V13" s="349">
        <f t="shared" si="0"/>
        <v>0</v>
      </c>
      <c r="W13" s="329">
        <v>73.31</v>
      </c>
      <c r="X13" s="330">
        <v>21169.53</v>
      </c>
      <c r="Y13" s="329">
        <v>19.82</v>
      </c>
      <c r="Z13" s="329">
        <v>165.22</v>
      </c>
      <c r="AA13" s="329">
        <v>10118.28</v>
      </c>
      <c r="AB13" s="443">
        <v>3627.02</v>
      </c>
      <c r="AC13" s="329">
        <v>0</v>
      </c>
      <c r="AD13" s="330">
        <v>0</v>
      </c>
      <c r="AE13" s="330">
        <v>0</v>
      </c>
      <c r="AF13" s="331">
        <f>SUM(W13:AD13)</f>
        <v>35173.18</v>
      </c>
      <c r="AG13" s="358">
        <f>AF13+V13+D13</f>
        <v>35717.70508</v>
      </c>
      <c r="AH13" s="359">
        <f t="shared" si="1"/>
        <v>0</v>
      </c>
      <c r="AI13" s="359">
        <f t="shared" si="1"/>
        <v>0</v>
      </c>
      <c r="AJ13" s="360">
        <f>'[14]Т04'!$J$47+'[14]Т04'!$J$48+'[14]Т04'!$J$147</f>
        <v>2478.268</v>
      </c>
      <c r="AK13" s="335">
        <f t="shared" si="2"/>
        <v>2189.2116</v>
      </c>
      <c r="AL13" s="335">
        <f t="shared" si="3"/>
        <v>653.4960000000001</v>
      </c>
      <c r="AM13" s="335">
        <f>B13*1</f>
        <v>3267.48</v>
      </c>
      <c r="AN13" s="335">
        <f>B13*0.21</f>
        <v>686.1708</v>
      </c>
      <c r="AO13" s="335">
        <f>2.02*B13</f>
        <v>6600.3096000000005</v>
      </c>
      <c r="AP13" s="335">
        <f>B13*1.03</f>
        <v>3365.5044000000003</v>
      </c>
      <c r="AQ13" s="335">
        <f>B13*0.75</f>
        <v>2450.61</v>
      </c>
      <c r="AR13" s="335">
        <f>B13*0.75</f>
        <v>2450.61</v>
      </c>
      <c r="AS13" s="335"/>
      <c r="AT13" s="361">
        <f>0.45*491.8</f>
        <v>221.31</v>
      </c>
      <c r="AU13" s="362">
        <v>4676</v>
      </c>
      <c r="AV13" s="362"/>
      <c r="AW13" s="362"/>
      <c r="AX13" s="362">
        <f>53.5+170</f>
        <v>223.5</v>
      </c>
      <c r="AY13" s="362"/>
      <c r="AZ13" s="116"/>
      <c r="BA13" s="361"/>
      <c r="BB13" s="361"/>
      <c r="BC13" s="323">
        <f>SUM(AK13:BB13)</f>
        <v>26784.202400000006</v>
      </c>
      <c r="BD13" s="363">
        <f>'[13]Т04'!$S$47+'[13]Т04'!$S$48+'[13]Т04'!$S$147</f>
        <v>1738.306</v>
      </c>
      <c r="BE13" s="339">
        <f t="shared" si="4"/>
        <v>28522.508400000006</v>
      </c>
      <c r="BF13" s="339">
        <f t="shared" si="5"/>
        <v>9673.46467999999</v>
      </c>
      <c r="BG13" s="339">
        <f t="shared" si="6"/>
        <v>7079.639999999999</v>
      </c>
      <c r="BH13" s="339"/>
      <c r="BI13" s="339"/>
      <c r="BJ13" s="339"/>
      <c r="BK13" s="339"/>
      <c r="BL13" s="339"/>
      <c r="BM13" s="339"/>
      <c r="BN13" s="340"/>
      <c r="BO13" s="341"/>
      <c r="BP13" s="341"/>
      <c r="BQ13" s="348"/>
      <c r="BR13" s="73"/>
      <c r="BS13" s="73"/>
      <c r="BT13" s="346"/>
      <c r="BU13" s="346"/>
      <c r="BV13" s="346"/>
    </row>
    <row r="14" spans="1:74" ht="12.75">
      <c r="A14" s="321" t="s">
        <v>49</v>
      </c>
      <c r="B14" s="364">
        <v>3267.48</v>
      </c>
      <c r="C14" s="122">
        <f>B14*8.55</f>
        <v>27936.954</v>
      </c>
      <c r="D14" s="352">
        <v>544.52508</v>
      </c>
      <c r="E14" s="353">
        <v>0</v>
      </c>
      <c r="F14" s="324">
        <v>0</v>
      </c>
      <c r="G14" s="323">
        <v>16952.09</v>
      </c>
      <c r="H14" s="323">
        <v>0</v>
      </c>
      <c r="I14" s="323">
        <v>0</v>
      </c>
      <c r="J14" s="323">
        <v>0</v>
      </c>
      <c r="K14" s="323">
        <v>0</v>
      </c>
      <c r="L14" s="323">
        <v>0</v>
      </c>
      <c r="M14" s="323">
        <v>8231.39</v>
      </c>
      <c r="N14" s="323">
        <v>0</v>
      </c>
      <c r="O14" s="323">
        <v>2854.27</v>
      </c>
      <c r="P14" s="323">
        <v>0</v>
      </c>
      <c r="Q14" s="323">
        <v>0</v>
      </c>
      <c r="R14" s="324">
        <v>0</v>
      </c>
      <c r="S14" s="329">
        <v>0</v>
      </c>
      <c r="T14" s="330">
        <v>0</v>
      </c>
      <c r="U14" s="356">
        <f t="shared" si="0"/>
        <v>28037.75</v>
      </c>
      <c r="V14" s="365">
        <f>F14+H14+J14+L14+N14++R14+T14</f>
        <v>0</v>
      </c>
      <c r="W14" s="329">
        <v>27.3</v>
      </c>
      <c r="X14" s="330">
        <v>13015.62</v>
      </c>
      <c r="Y14" s="329">
        <v>-13.14</v>
      </c>
      <c r="Z14" s="329">
        <v>61.01</v>
      </c>
      <c r="AA14" s="329">
        <v>6256.48</v>
      </c>
      <c r="AB14" s="441">
        <v>2243.84</v>
      </c>
      <c r="AC14" s="329">
        <v>0</v>
      </c>
      <c r="AD14" s="330">
        <v>0</v>
      </c>
      <c r="AE14" s="331">
        <v>0</v>
      </c>
      <c r="AF14" s="366">
        <f>SUM(W14:AE14)</f>
        <v>21591.11</v>
      </c>
      <c r="AG14" s="358">
        <f aca="true" t="shared" si="7" ref="AG14:AG21">D14+V14+AF14</f>
        <v>22135.63508</v>
      </c>
      <c r="AH14" s="359">
        <f t="shared" si="1"/>
        <v>0</v>
      </c>
      <c r="AI14" s="359">
        <f t="shared" si="1"/>
        <v>0</v>
      </c>
      <c r="AJ14" s="360">
        <f>'[13]Т05'!$J$47+'[13]Т05'!$J$48+'[13]Т05'!$J$145+'[13]Т05'!$J$209</f>
        <v>6431.068</v>
      </c>
      <c r="AK14" s="335">
        <f t="shared" si="2"/>
        <v>2189.2116</v>
      </c>
      <c r="AL14" s="335">
        <f t="shared" si="3"/>
        <v>653.4960000000001</v>
      </c>
      <c r="AM14" s="335">
        <f>B14*1</f>
        <v>3267.48</v>
      </c>
      <c r="AN14" s="335">
        <f>B14*0.21</f>
        <v>686.1708</v>
      </c>
      <c r="AO14" s="335">
        <f>2.02*B14</f>
        <v>6600.3096000000005</v>
      </c>
      <c r="AP14" s="335">
        <f>B14*1.03</f>
        <v>3365.5044000000003</v>
      </c>
      <c r="AQ14" s="335">
        <f>B14*0.75</f>
        <v>2450.61</v>
      </c>
      <c r="AR14" s="335">
        <f>B14*0.75</f>
        <v>2450.61</v>
      </c>
      <c r="AS14" s="335"/>
      <c r="AT14" s="361">
        <f>0.45*491.8</f>
        <v>221.31</v>
      </c>
      <c r="AU14" s="362"/>
      <c r="AV14" s="362"/>
      <c r="AW14" s="362"/>
      <c r="AX14" s="362">
        <v>13</v>
      </c>
      <c r="AY14" s="362"/>
      <c r="AZ14" s="116"/>
      <c r="BA14" s="361"/>
      <c r="BB14" s="361"/>
      <c r="BC14" s="323">
        <f>SUM(AK14:BB14)</f>
        <v>21897.702400000006</v>
      </c>
      <c r="BD14" s="363">
        <f>'[13]Т05'!$S$47+'[13]Т05'!$S$48+'[13]Т05'!$S$145+'[13]Т05'!$S$209</f>
        <v>2971.306</v>
      </c>
      <c r="BE14" s="339">
        <f t="shared" si="4"/>
        <v>24869.008400000006</v>
      </c>
      <c r="BF14" s="339">
        <f t="shared" si="5"/>
        <v>3697.6946799999932</v>
      </c>
      <c r="BG14" s="339">
        <f t="shared" si="6"/>
        <v>-6446.639999999999</v>
      </c>
      <c r="BH14" s="339"/>
      <c r="BI14" s="339"/>
      <c r="BJ14" s="339"/>
      <c r="BK14" s="339"/>
      <c r="BL14" s="339"/>
      <c r="BM14" s="339"/>
      <c r="BN14" s="340"/>
      <c r="BO14" s="341"/>
      <c r="BP14" s="341"/>
      <c r="BQ14" s="348"/>
      <c r="BR14" s="73"/>
      <c r="BS14" s="346"/>
      <c r="BT14" s="346"/>
      <c r="BU14" s="346"/>
      <c r="BV14" s="238"/>
    </row>
    <row r="15" spans="1:74" ht="12.75">
      <c r="A15" s="321" t="s">
        <v>50</v>
      </c>
      <c r="B15" s="322">
        <v>3267.48</v>
      </c>
      <c r="C15" s="122">
        <f>B15*8.55</f>
        <v>27936.954</v>
      </c>
      <c r="D15" s="352">
        <v>544.52508</v>
      </c>
      <c r="E15" s="367">
        <v>0</v>
      </c>
      <c r="F15" s="367"/>
      <c r="G15" s="367">
        <v>16952.08</v>
      </c>
      <c r="H15" s="367"/>
      <c r="I15" s="368">
        <v>0</v>
      </c>
      <c r="J15" s="368"/>
      <c r="K15" s="368">
        <v>0</v>
      </c>
      <c r="L15" s="368"/>
      <c r="M15" s="368">
        <v>8231.4</v>
      </c>
      <c r="N15" s="368"/>
      <c r="O15" s="368">
        <v>2854.25</v>
      </c>
      <c r="P15" s="368"/>
      <c r="Q15" s="368">
        <v>0</v>
      </c>
      <c r="R15" s="369"/>
      <c r="S15" s="369">
        <v>0</v>
      </c>
      <c r="T15" s="368"/>
      <c r="U15" s="370">
        <f t="shared" si="0"/>
        <v>28037.730000000003</v>
      </c>
      <c r="V15" s="371">
        <f t="shared" si="0"/>
        <v>0</v>
      </c>
      <c r="W15" s="372">
        <v>165.58</v>
      </c>
      <c r="X15" s="367">
        <v>14295.59</v>
      </c>
      <c r="Y15" s="367">
        <v>78.77</v>
      </c>
      <c r="Z15" s="367">
        <v>318.33</v>
      </c>
      <c r="AA15" s="367">
        <v>5914.7</v>
      </c>
      <c r="AB15" s="367">
        <v>2485.55</v>
      </c>
      <c r="AC15" s="367">
        <v>0</v>
      </c>
      <c r="AD15" s="367">
        <v>0</v>
      </c>
      <c r="AE15" s="373">
        <v>0</v>
      </c>
      <c r="AF15" s="374">
        <f aca="true" t="shared" si="8" ref="AF15:AF21">SUM(W15:AE15)</f>
        <v>23258.52</v>
      </c>
      <c r="AG15" s="358">
        <f t="shared" si="7"/>
        <v>23803.04508</v>
      </c>
      <c r="AH15" s="359">
        <f t="shared" si="1"/>
        <v>0</v>
      </c>
      <c r="AI15" s="359">
        <f t="shared" si="1"/>
        <v>0</v>
      </c>
      <c r="AJ15" s="360">
        <f>'[13]Т06'!$J$47+'[13]Т06'!$J$48+'[13]Т06'!$J$145+'[13]Т06'!$J$209</f>
        <v>4454.668</v>
      </c>
      <c r="AK15" s="335">
        <f t="shared" si="2"/>
        <v>2189.2116</v>
      </c>
      <c r="AL15" s="335">
        <f t="shared" si="3"/>
        <v>653.4960000000001</v>
      </c>
      <c r="AM15" s="335">
        <f>B15*1</f>
        <v>3267.48</v>
      </c>
      <c r="AN15" s="335">
        <f>B15*0.21</f>
        <v>686.1708</v>
      </c>
      <c r="AO15" s="335">
        <f>2.02*B15</f>
        <v>6600.3096000000005</v>
      </c>
      <c r="AP15" s="335">
        <f>B15*1.03</f>
        <v>3365.5044000000003</v>
      </c>
      <c r="AQ15" s="335">
        <f>B15*0.75</f>
        <v>2450.61</v>
      </c>
      <c r="AR15" s="335">
        <f>B15*0.75</f>
        <v>2450.61</v>
      </c>
      <c r="AS15" s="335"/>
      <c r="AT15" s="361">
        <f>0.45*491.8</f>
        <v>221.31</v>
      </c>
      <c r="AU15" s="362"/>
      <c r="AV15" s="362"/>
      <c r="AW15" s="362"/>
      <c r="AX15" s="362">
        <f>17</f>
        <v>17</v>
      </c>
      <c r="AY15" s="362"/>
      <c r="AZ15" s="335"/>
      <c r="BA15" s="361"/>
      <c r="BB15" s="361"/>
      <c r="BC15" s="375">
        <f>SUM(AK15:BB15)</f>
        <v>21901.702400000006</v>
      </c>
      <c r="BD15" s="363">
        <f>'[13]Т06'!$S$47+'[13]Т06'!$S$48+'[13]Т06'!$S$145+'[13]Т06'!$S$209</f>
        <v>3476.206</v>
      </c>
      <c r="BE15" s="339">
        <f t="shared" si="4"/>
        <v>25377.908400000008</v>
      </c>
      <c r="BF15" s="339">
        <f t="shared" si="5"/>
        <v>2879.804679999994</v>
      </c>
      <c r="BG15" s="339">
        <f t="shared" si="6"/>
        <v>-4779.210000000003</v>
      </c>
      <c r="BH15" s="339"/>
      <c r="BI15" s="339"/>
      <c r="BJ15" s="339"/>
      <c r="BK15" s="339"/>
      <c r="BL15" s="339"/>
      <c r="BM15" s="339"/>
      <c r="BN15" s="340"/>
      <c r="BO15" s="341"/>
      <c r="BP15" s="341"/>
      <c r="BQ15" s="348"/>
      <c r="BR15" s="73"/>
      <c r="BS15" s="346"/>
      <c r="BT15" s="346"/>
      <c r="BU15" s="346"/>
      <c r="BV15" s="238"/>
    </row>
    <row r="16" spans="1:74" ht="12.75">
      <c r="A16" s="321" t="s">
        <v>51</v>
      </c>
      <c r="B16" s="322">
        <v>3267.48</v>
      </c>
      <c r="C16" s="122">
        <f>B16*8.55</f>
        <v>27936.954</v>
      </c>
      <c r="D16" s="352">
        <v>544.52508</v>
      </c>
      <c r="E16" s="376"/>
      <c r="F16" s="376"/>
      <c r="G16" s="376">
        <v>16947.03</v>
      </c>
      <c r="H16" s="376"/>
      <c r="I16" s="376"/>
      <c r="J16" s="376"/>
      <c r="K16" s="376"/>
      <c r="L16" s="376"/>
      <c r="M16" s="376">
        <v>8228.92</v>
      </c>
      <c r="N16" s="376"/>
      <c r="O16" s="376">
        <v>2853.4</v>
      </c>
      <c r="P16" s="376"/>
      <c r="Q16" s="376"/>
      <c r="R16" s="376"/>
      <c r="S16" s="377"/>
      <c r="T16" s="372"/>
      <c r="U16" s="378">
        <f t="shared" si="0"/>
        <v>28029.35</v>
      </c>
      <c r="V16" s="379">
        <f t="shared" si="0"/>
        <v>0</v>
      </c>
      <c r="W16" s="380">
        <v>92.91</v>
      </c>
      <c r="X16" s="376">
        <v>13053.11</v>
      </c>
      <c r="Y16" s="376">
        <v>127.26</v>
      </c>
      <c r="Z16" s="376">
        <v>209.6</v>
      </c>
      <c r="AA16" s="376">
        <v>6600.24</v>
      </c>
      <c r="AB16" s="376">
        <v>2282.42</v>
      </c>
      <c r="AC16" s="367"/>
      <c r="AD16" s="376"/>
      <c r="AE16" s="377"/>
      <c r="AF16" s="374">
        <f t="shared" si="8"/>
        <v>22365.54</v>
      </c>
      <c r="AG16" s="381">
        <f t="shared" si="7"/>
        <v>22910.06508</v>
      </c>
      <c r="AH16" s="359">
        <f t="shared" si="1"/>
        <v>0</v>
      </c>
      <c r="AI16" s="359">
        <f t="shared" si="1"/>
        <v>0</v>
      </c>
      <c r="AJ16" s="360">
        <f>'[13]Т07'!$J$47+'[13]Т07'!$J$48+'[13]Т07'!$J$140+'[13]Т07'!$J$150</f>
        <v>4454.668</v>
      </c>
      <c r="AK16" s="335">
        <f t="shared" si="2"/>
        <v>2189.2116</v>
      </c>
      <c r="AL16" s="335">
        <f t="shared" si="3"/>
        <v>653.4960000000001</v>
      </c>
      <c r="AM16" s="335">
        <f>B16*1</f>
        <v>3267.48</v>
      </c>
      <c r="AN16" s="335">
        <f>B16*0.21</f>
        <v>686.1708</v>
      </c>
      <c r="AO16" s="335">
        <f>2.02*B16</f>
        <v>6600.3096000000005</v>
      </c>
      <c r="AP16" s="335">
        <f>B16*1.03</f>
        <v>3365.5044000000003</v>
      </c>
      <c r="AQ16" s="335">
        <f>B16*0.75</f>
        <v>2450.61</v>
      </c>
      <c r="AR16" s="335">
        <f>B16*0.75</f>
        <v>2450.61</v>
      </c>
      <c r="AS16" s="335"/>
      <c r="AT16" s="361">
        <f>0.45*491.8</f>
        <v>221.31</v>
      </c>
      <c r="AU16" s="362"/>
      <c r="AV16" s="362"/>
      <c r="AW16" s="362"/>
      <c r="AX16" s="362">
        <f>96.43+9.43+8.14</f>
        <v>114.00000000000001</v>
      </c>
      <c r="AY16" s="362"/>
      <c r="AZ16" s="116"/>
      <c r="BA16" s="361">
        <v>26024.39</v>
      </c>
      <c r="BB16" s="361"/>
      <c r="BC16" s="323">
        <f>SUM(AK16:BB16)</f>
        <v>48023.09240000001</v>
      </c>
      <c r="BD16" s="363">
        <f>'[13]Т07'!$S$47+'[13]Т07'!$S$48+'[13]Т07'!$S$140+'[13]Т07'!$S$150</f>
        <v>3476.206</v>
      </c>
      <c r="BE16" s="339">
        <f t="shared" si="4"/>
        <v>51499.29840000001</v>
      </c>
      <c r="BF16" s="339">
        <f t="shared" si="5"/>
        <v>-24134.56532000001</v>
      </c>
      <c r="BG16" s="339">
        <f t="shared" si="6"/>
        <v>-5663.809999999998</v>
      </c>
      <c r="BH16" s="339"/>
      <c r="BI16" s="339"/>
      <c r="BJ16" s="339"/>
      <c r="BK16" s="339"/>
      <c r="BL16" s="339"/>
      <c r="BM16" s="339"/>
      <c r="BN16" s="340"/>
      <c r="BO16" s="341"/>
      <c r="BP16" s="341"/>
      <c r="BQ16" s="348"/>
      <c r="BR16" s="73"/>
      <c r="BS16" s="238"/>
      <c r="BT16" s="238"/>
      <c r="BU16" s="238"/>
      <c r="BV16" s="238"/>
    </row>
    <row r="17" spans="1:74" ht="12.75">
      <c r="A17" s="321" t="s">
        <v>52</v>
      </c>
      <c r="B17" s="322">
        <v>3267.48</v>
      </c>
      <c r="C17" s="122">
        <f>B17*8.55</f>
        <v>27936.954</v>
      </c>
      <c r="D17" s="352">
        <v>544.52508</v>
      </c>
      <c r="E17" s="376"/>
      <c r="F17" s="376"/>
      <c r="G17" s="376">
        <v>16943.38</v>
      </c>
      <c r="H17" s="376"/>
      <c r="I17" s="376"/>
      <c r="J17" s="376"/>
      <c r="K17" s="376"/>
      <c r="L17" s="376"/>
      <c r="M17" s="376">
        <v>8227.1</v>
      </c>
      <c r="N17" s="376"/>
      <c r="O17" s="376">
        <v>2852.76</v>
      </c>
      <c r="P17" s="376"/>
      <c r="Q17" s="376"/>
      <c r="R17" s="376"/>
      <c r="S17" s="377"/>
      <c r="T17" s="373"/>
      <c r="U17" s="382">
        <f t="shared" si="0"/>
        <v>28023.240000000005</v>
      </c>
      <c r="V17" s="383">
        <f t="shared" si="0"/>
        <v>0</v>
      </c>
      <c r="W17" s="376">
        <v>40.28</v>
      </c>
      <c r="X17" s="376">
        <v>14745.22</v>
      </c>
      <c r="Y17" s="376">
        <v>53.27</v>
      </c>
      <c r="Z17" s="376">
        <v>90.81</v>
      </c>
      <c r="AA17" s="376">
        <v>7016.45</v>
      </c>
      <c r="AB17" s="376">
        <v>2479.69</v>
      </c>
      <c r="AC17" s="376"/>
      <c r="AD17" s="376"/>
      <c r="AE17" s="377"/>
      <c r="AF17" s="374">
        <f t="shared" si="8"/>
        <v>24425.719999999998</v>
      </c>
      <c r="AG17" s="381">
        <f t="shared" si="7"/>
        <v>24970.245079999997</v>
      </c>
      <c r="AH17" s="359">
        <f t="shared" si="1"/>
        <v>0</v>
      </c>
      <c r="AI17" s="359">
        <f t="shared" si="1"/>
        <v>0</v>
      </c>
      <c r="AJ17" s="360">
        <f>'[13]Т08'!$J$47+'[13]Т08'!$J$48+'[13]Т08'!$J$140+'[13]Т08'!$J$153+'[13]Т08'!$J$218</f>
        <v>4568.668</v>
      </c>
      <c r="AK17" s="335">
        <f t="shared" si="2"/>
        <v>2189.2116</v>
      </c>
      <c r="AL17" s="335">
        <f t="shared" si="3"/>
        <v>653.4960000000001</v>
      </c>
      <c r="AM17" s="335">
        <f>B17*1</f>
        <v>3267.48</v>
      </c>
      <c r="AN17" s="335">
        <f>B17*0.21</f>
        <v>686.1708</v>
      </c>
      <c r="AO17" s="335">
        <f>2.02*B17</f>
        <v>6600.3096000000005</v>
      </c>
      <c r="AP17" s="335">
        <f>B17*1.03</f>
        <v>3365.5044000000003</v>
      </c>
      <c r="AQ17" s="335">
        <f>B17*0.75</f>
        <v>2450.61</v>
      </c>
      <c r="AR17" s="335">
        <f>B17*0.75</f>
        <v>2450.61</v>
      </c>
      <c r="AS17" s="335"/>
      <c r="AT17" s="361">
        <f>0.45*491.8</f>
        <v>221.31</v>
      </c>
      <c r="AU17" s="362"/>
      <c r="AV17" s="362"/>
      <c r="AW17" s="362"/>
      <c r="AX17" s="362">
        <f>16+7.6</f>
        <v>23.6</v>
      </c>
      <c r="AY17" s="362"/>
      <c r="AZ17" s="116"/>
      <c r="BA17" s="361"/>
      <c r="BB17" s="361"/>
      <c r="BC17" s="323">
        <f>SUM(AK17:BB17)</f>
        <v>21908.302400000004</v>
      </c>
      <c r="BD17" s="363">
        <f>'[13]Т08'!$S$47+'[13]Т08'!$S$48+'[13]Т08'!$S$140+'[13]Т08'!$S$153+'[13]Т08'!$S$218</f>
        <v>3190.606</v>
      </c>
      <c r="BE17" s="339">
        <f t="shared" si="4"/>
        <v>25098.908400000004</v>
      </c>
      <c r="BF17" s="339">
        <f t="shared" si="5"/>
        <v>4440.004679999995</v>
      </c>
      <c r="BG17" s="339">
        <f t="shared" si="6"/>
        <v>-3597.5200000000077</v>
      </c>
      <c r="BH17" s="339"/>
      <c r="BI17" s="339"/>
      <c r="BJ17" s="339"/>
      <c r="BK17" s="339"/>
      <c r="BL17" s="339"/>
      <c r="BM17" s="339"/>
      <c r="BN17" s="340"/>
      <c r="BO17" s="341"/>
      <c r="BP17" s="341"/>
      <c r="BQ17" s="348"/>
      <c r="BR17" s="73"/>
      <c r="BS17" s="238"/>
      <c r="BT17" s="238"/>
      <c r="BU17" s="238"/>
      <c r="BV17" s="238"/>
    </row>
    <row r="18" spans="1:74" ht="12.75">
      <c r="A18" s="321" t="s">
        <v>53</v>
      </c>
      <c r="B18" s="322">
        <v>3267.48</v>
      </c>
      <c r="C18" s="122">
        <f>B18*8.55</f>
        <v>27936.954</v>
      </c>
      <c r="D18" s="352">
        <v>544.52508</v>
      </c>
      <c r="E18" s="376"/>
      <c r="F18" s="376"/>
      <c r="G18" s="376">
        <v>17098.16</v>
      </c>
      <c r="H18" s="376"/>
      <c r="I18" s="376"/>
      <c r="J18" s="376"/>
      <c r="K18" s="376"/>
      <c r="L18" s="376"/>
      <c r="M18" s="376">
        <v>8302.21</v>
      </c>
      <c r="N18" s="376"/>
      <c r="O18" s="376">
        <v>2878.76</v>
      </c>
      <c r="P18" s="376"/>
      <c r="Q18" s="376"/>
      <c r="R18" s="376"/>
      <c r="S18" s="377"/>
      <c r="T18" s="384"/>
      <c r="U18" s="384">
        <f t="shared" si="0"/>
        <v>28279.129999999997</v>
      </c>
      <c r="V18" s="385">
        <f t="shared" si="0"/>
        <v>0</v>
      </c>
      <c r="W18" s="376">
        <v>36.45</v>
      </c>
      <c r="X18" s="376">
        <v>15733.93</v>
      </c>
      <c r="Y18" s="376">
        <v>-909</v>
      </c>
      <c r="Z18" s="376">
        <v>82.21</v>
      </c>
      <c r="AA18" s="376">
        <v>7609.52</v>
      </c>
      <c r="AB18" s="376">
        <v>2713.95</v>
      </c>
      <c r="AC18" s="376"/>
      <c r="AD18" s="376"/>
      <c r="AE18" s="377"/>
      <c r="AF18" s="374">
        <f t="shared" si="8"/>
        <v>25267.06</v>
      </c>
      <c r="AG18" s="381">
        <f t="shared" si="7"/>
        <v>25811.58508</v>
      </c>
      <c r="AH18" s="359">
        <f t="shared" si="1"/>
        <v>0</v>
      </c>
      <c r="AI18" s="359">
        <f t="shared" si="1"/>
        <v>0</v>
      </c>
      <c r="AJ18" s="360">
        <f>'[13]Т09'!$J$47+'[13]Т09'!$J$48+'[13]Т09'!$J$140+'[13]Т09'!$J$153+'[13]Т09'!$J$218</f>
        <v>4568.668</v>
      </c>
      <c r="AK18" s="335">
        <f t="shared" si="2"/>
        <v>2189.2116</v>
      </c>
      <c r="AL18" s="335">
        <f t="shared" si="3"/>
        <v>653.4960000000001</v>
      </c>
      <c r="AM18" s="335">
        <f>B18*1</f>
        <v>3267.48</v>
      </c>
      <c r="AN18" s="335">
        <f>B18*0.21</f>
        <v>686.1708</v>
      </c>
      <c r="AO18" s="335">
        <f>2.02*B18</f>
        <v>6600.3096000000005</v>
      </c>
      <c r="AP18" s="335">
        <f>B18*1.03</f>
        <v>3365.5044000000003</v>
      </c>
      <c r="AQ18" s="335">
        <f>B18*0.75</f>
        <v>2450.61</v>
      </c>
      <c r="AR18" s="335">
        <f>B18*0.75</f>
        <v>2450.61</v>
      </c>
      <c r="AS18" s="335"/>
      <c r="AT18" s="361"/>
      <c r="AU18" s="362"/>
      <c r="AV18" s="362"/>
      <c r="AW18" s="362"/>
      <c r="AX18" s="362"/>
      <c r="AY18" s="362"/>
      <c r="AZ18" s="116"/>
      <c r="BA18" s="361"/>
      <c r="BB18" s="361"/>
      <c r="BC18" s="323">
        <f>SUM(AK18:BB18)</f>
        <v>21663.392400000004</v>
      </c>
      <c r="BD18" s="363">
        <f>'[13]Т08'!$S$47+'[13]Т08'!$S$48+'[13]Т08'!$S$140+'[13]Т08'!$S$153+'[13]Т08'!$S$218</f>
        <v>3190.606</v>
      </c>
      <c r="BE18" s="339">
        <f t="shared" si="4"/>
        <v>24853.998400000004</v>
      </c>
      <c r="BF18" s="339">
        <f t="shared" si="5"/>
        <v>5526.254679999998</v>
      </c>
      <c r="BG18" s="339">
        <f t="shared" si="6"/>
        <v>-3012.069999999996</v>
      </c>
      <c r="BH18" s="339"/>
      <c r="BI18" s="339"/>
      <c r="BJ18" s="339"/>
      <c r="BK18" s="339"/>
      <c r="BL18" s="339"/>
      <c r="BM18" s="339"/>
      <c r="BN18" s="340"/>
      <c r="BO18" s="341"/>
      <c r="BP18" s="341"/>
      <c r="BQ18" s="341"/>
      <c r="BR18" s="73"/>
      <c r="BS18" s="73"/>
      <c r="BT18" s="238"/>
      <c r="BU18" s="238"/>
      <c r="BV18" s="238"/>
    </row>
    <row r="19" spans="1:74" ht="12.75">
      <c r="A19" s="321" t="s">
        <v>41</v>
      </c>
      <c r="B19" s="322">
        <v>3267.48</v>
      </c>
      <c r="C19" s="122">
        <f>B19*8.55</f>
        <v>27936.954</v>
      </c>
      <c r="D19" s="386">
        <v>544.52508</v>
      </c>
      <c r="E19" s="367"/>
      <c r="F19" s="367"/>
      <c r="G19" s="367">
        <v>17102.37</v>
      </c>
      <c r="H19" s="367"/>
      <c r="I19" s="367"/>
      <c r="J19" s="367"/>
      <c r="K19" s="367"/>
      <c r="L19" s="367"/>
      <c r="M19" s="367">
        <v>8304.29</v>
      </c>
      <c r="N19" s="367"/>
      <c r="O19" s="367">
        <v>2879.5</v>
      </c>
      <c r="P19" s="367"/>
      <c r="Q19" s="367"/>
      <c r="R19" s="367"/>
      <c r="S19" s="373"/>
      <c r="T19" s="387"/>
      <c r="U19" s="388">
        <f t="shared" si="0"/>
        <v>28286.16</v>
      </c>
      <c r="V19" s="389">
        <f t="shared" si="0"/>
        <v>0</v>
      </c>
      <c r="W19" s="367">
        <v>0</v>
      </c>
      <c r="X19" s="367">
        <v>18139.21</v>
      </c>
      <c r="Y19" s="367">
        <v>0</v>
      </c>
      <c r="Z19" s="367">
        <v>0</v>
      </c>
      <c r="AA19" s="367">
        <v>8808.41</v>
      </c>
      <c r="AB19" s="367">
        <v>3055.44</v>
      </c>
      <c r="AC19" s="367"/>
      <c r="AD19" s="367"/>
      <c r="AE19" s="373"/>
      <c r="AF19" s="374">
        <f t="shared" si="8"/>
        <v>30003.059999999998</v>
      </c>
      <c r="AG19" s="381">
        <f t="shared" si="7"/>
        <v>30547.585079999997</v>
      </c>
      <c r="AH19" s="359">
        <f t="shared" si="1"/>
        <v>0</v>
      </c>
      <c r="AI19" s="359">
        <f t="shared" si="1"/>
        <v>0</v>
      </c>
      <c r="AJ19" s="360">
        <f>'[15]Т10'!$J$47+'[15]Т10'!$J$48+'[15]Т10'!$J$140+'[15]Т10'!$J$153+'[15]Т10'!$J$218</f>
        <v>4568.668</v>
      </c>
      <c r="AK19" s="335">
        <f t="shared" si="2"/>
        <v>2189.2116</v>
      </c>
      <c r="AL19" s="335">
        <f t="shared" si="3"/>
        <v>653.4960000000001</v>
      </c>
      <c r="AM19" s="335">
        <f>B19*1</f>
        <v>3267.48</v>
      </c>
      <c r="AN19" s="335">
        <f>B19*0.21</f>
        <v>686.1708</v>
      </c>
      <c r="AO19" s="335">
        <f>2.02*B19</f>
        <v>6600.3096000000005</v>
      </c>
      <c r="AP19" s="335">
        <f>B19*1.03</f>
        <v>3365.5044000000003</v>
      </c>
      <c r="AQ19" s="335">
        <f>B19*0.75</f>
        <v>2450.61</v>
      </c>
      <c r="AR19" s="335">
        <f>B19*0.75</f>
        <v>2450.61</v>
      </c>
      <c r="AS19" s="390">
        <f>B19*1.15</f>
        <v>3757.602</v>
      </c>
      <c r="AT19" s="361">
        <f>0.45*491.8</f>
        <v>221.31</v>
      </c>
      <c r="AU19" s="362">
        <v>6801</v>
      </c>
      <c r="AV19" s="362"/>
      <c r="AW19" s="362">
        <v>206</v>
      </c>
      <c r="AX19" s="362">
        <f>209+744</f>
        <v>953</v>
      </c>
      <c r="AY19" s="362"/>
      <c r="AZ19" s="116"/>
      <c r="BA19" s="361"/>
      <c r="BB19" s="361"/>
      <c r="BC19" s="323">
        <f>SUM(AK19:BB19)</f>
        <v>33602.30440000001</v>
      </c>
      <c r="BD19" s="363">
        <f>'[16]Т10'!$S$47+'[16]Т10'!$S$48+'[16]Т10'!$S$140+'[16]Т10'!$S$153+'[16]Т10'!$S$218</f>
        <v>3190.606</v>
      </c>
      <c r="BE19" s="339">
        <f t="shared" si="4"/>
        <v>36792.91040000001</v>
      </c>
      <c r="BF19" s="339">
        <f t="shared" si="5"/>
        <v>-1676.657320000013</v>
      </c>
      <c r="BG19" s="339">
        <f t="shared" si="6"/>
        <v>1716.8999999999978</v>
      </c>
      <c r="BH19" s="339"/>
      <c r="BI19" s="339"/>
      <c r="BJ19" s="339"/>
      <c r="BK19" s="339"/>
      <c r="BL19" s="339"/>
      <c r="BM19" s="339"/>
      <c r="BN19" s="340"/>
      <c r="BO19" s="341"/>
      <c r="BP19" s="341"/>
      <c r="BQ19" s="341"/>
      <c r="BR19" s="73"/>
      <c r="BS19" s="73"/>
      <c r="BT19" s="238"/>
      <c r="BU19" s="238"/>
      <c r="BV19" s="238"/>
    </row>
    <row r="20" spans="1:74" ht="12.75">
      <c r="A20" s="321" t="s">
        <v>42</v>
      </c>
      <c r="B20" s="322">
        <v>3267.48</v>
      </c>
      <c r="C20" s="122">
        <f>B20*8.55</f>
        <v>27936.954</v>
      </c>
      <c r="D20" s="391">
        <v>544.52508</v>
      </c>
      <c r="E20" s="367"/>
      <c r="F20" s="367"/>
      <c r="G20" s="367">
        <v>17102.67</v>
      </c>
      <c r="H20" s="367"/>
      <c r="I20" s="367"/>
      <c r="J20" s="367"/>
      <c r="K20" s="367"/>
      <c r="L20" s="367"/>
      <c r="M20" s="367">
        <v>8304.43</v>
      </c>
      <c r="N20" s="367"/>
      <c r="O20" s="367">
        <v>2879.55</v>
      </c>
      <c r="P20" s="367"/>
      <c r="Q20" s="367"/>
      <c r="R20" s="367"/>
      <c r="S20" s="373"/>
      <c r="T20" s="387"/>
      <c r="U20" s="388">
        <f t="shared" si="0"/>
        <v>28286.649999999998</v>
      </c>
      <c r="V20" s="389">
        <f t="shared" si="0"/>
        <v>0</v>
      </c>
      <c r="W20" s="367">
        <v>0</v>
      </c>
      <c r="X20" s="367">
        <v>17951.26</v>
      </c>
      <c r="Y20" s="367">
        <v>0</v>
      </c>
      <c r="Z20" s="367">
        <v>0</v>
      </c>
      <c r="AA20" s="367">
        <v>8715.73</v>
      </c>
      <c r="AB20" s="367">
        <v>3021.12</v>
      </c>
      <c r="AC20" s="367"/>
      <c r="AD20" s="367"/>
      <c r="AE20" s="373"/>
      <c r="AF20" s="374">
        <f t="shared" si="8"/>
        <v>29688.109999999997</v>
      </c>
      <c r="AG20" s="381">
        <f t="shared" si="7"/>
        <v>30232.635079999996</v>
      </c>
      <c r="AH20" s="359">
        <f t="shared" si="1"/>
        <v>0</v>
      </c>
      <c r="AI20" s="359">
        <f t="shared" si="1"/>
        <v>0</v>
      </c>
      <c r="AJ20" s="360">
        <f>'[16]Т11'!$J$47+'[16]Т11'!$J$48+'[16]Т11'!$J$140+'[16]Т11'!$J$153+'[16]Т11'!$J$218</f>
        <v>4568.668</v>
      </c>
      <c r="AK20" s="335">
        <f t="shared" si="2"/>
        <v>2189.2116</v>
      </c>
      <c r="AL20" s="335">
        <f t="shared" si="3"/>
        <v>653.4960000000001</v>
      </c>
      <c r="AM20" s="335">
        <f>B20*1</f>
        <v>3267.48</v>
      </c>
      <c r="AN20" s="335">
        <f>B20*0.21</f>
        <v>686.1708</v>
      </c>
      <c r="AO20" s="335">
        <f>2.02*B20</f>
        <v>6600.3096000000005</v>
      </c>
      <c r="AP20" s="335">
        <f>B20*1.03</f>
        <v>3365.5044000000003</v>
      </c>
      <c r="AQ20" s="335">
        <f>B20*0.75</f>
        <v>2450.61</v>
      </c>
      <c r="AR20" s="335">
        <f>B20*0.75</f>
        <v>2450.61</v>
      </c>
      <c r="AS20" s="390">
        <f>B20*1.15</f>
        <v>3757.602</v>
      </c>
      <c r="AT20" s="361">
        <f>0.45*491.8</f>
        <v>221.31</v>
      </c>
      <c r="AU20" s="362"/>
      <c r="AV20" s="362"/>
      <c r="AW20" s="362"/>
      <c r="AX20" s="362">
        <f>35.12</f>
        <v>35.12</v>
      </c>
      <c r="AY20" s="362"/>
      <c r="AZ20" s="116"/>
      <c r="BA20" s="361"/>
      <c r="BB20" s="361"/>
      <c r="BC20" s="323">
        <f>SUM(AK20:BB20)</f>
        <v>25677.424400000004</v>
      </c>
      <c r="BD20" s="363">
        <f>'[16]Т11'!$S$47+'[16]Т11'!$S$48+'[16]Т11'!$S$140+'[16]Т11'!$S$153+'[16]Т11'!$S$218</f>
        <v>3190.606</v>
      </c>
      <c r="BE20" s="339">
        <f t="shared" si="4"/>
        <v>28868.030400000003</v>
      </c>
      <c r="BF20" s="339">
        <f t="shared" si="5"/>
        <v>5933.272679999995</v>
      </c>
      <c r="BG20" s="339">
        <f t="shared" si="6"/>
        <v>1401.4599999999991</v>
      </c>
      <c r="BH20" s="339"/>
      <c r="BI20" s="339"/>
      <c r="BJ20" s="339"/>
      <c r="BK20" s="339"/>
      <c r="BL20" s="339"/>
      <c r="BM20" s="339"/>
      <c r="BN20" s="340"/>
      <c r="BO20" s="341"/>
      <c r="BP20" s="341"/>
      <c r="BQ20" s="341"/>
      <c r="BR20" s="73"/>
      <c r="BS20" s="73"/>
      <c r="BT20" s="238"/>
      <c r="BU20" s="238"/>
      <c r="BV20" s="238"/>
    </row>
    <row r="21" spans="1:74" ht="13.5" thickBot="1">
      <c r="A21" s="321" t="s">
        <v>43</v>
      </c>
      <c r="B21" s="322">
        <v>3267.48</v>
      </c>
      <c r="C21" s="122">
        <f>B21*8.55</f>
        <v>27936.954</v>
      </c>
      <c r="D21" s="391">
        <v>544.52508</v>
      </c>
      <c r="E21" s="392"/>
      <c r="F21" s="392"/>
      <c r="G21" s="392">
        <v>17111.37</v>
      </c>
      <c r="H21" s="392"/>
      <c r="I21" s="392"/>
      <c r="J21" s="392"/>
      <c r="K21" s="392"/>
      <c r="L21" s="392"/>
      <c r="M21" s="392">
        <v>8308.7</v>
      </c>
      <c r="N21" s="392"/>
      <c r="O21" s="392">
        <v>2881.07</v>
      </c>
      <c r="P21" s="392"/>
      <c r="Q21" s="392"/>
      <c r="R21" s="392"/>
      <c r="S21" s="393"/>
      <c r="T21" s="394"/>
      <c r="U21" s="388">
        <f t="shared" si="0"/>
        <v>28301.14</v>
      </c>
      <c r="V21" s="389">
        <f t="shared" si="0"/>
        <v>0</v>
      </c>
      <c r="W21" s="367">
        <v>0</v>
      </c>
      <c r="X21" s="367">
        <v>21538.18</v>
      </c>
      <c r="Y21" s="367">
        <v>0</v>
      </c>
      <c r="Z21" s="367">
        <v>0</v>
      </c>
      <c r="AA21" s="367">
        <v>10538.06</v>
      </c>
      <c r="AB21" s="367">
        <v>3469.07</v>
      </c>
      <c r="AC21" s="367"/>
      <c r="AD21" s="367"/>
      <c r="AE21" s="373"/>
      <c r="AF21" s="374">
        <f t="shared" si="8"/>
        <v>35545.31</v>
      </c>
      <c r="AG21" s="381">
        <f t="shared" si="7"/>
        <v>36089.83508</v>
      </c>
      <c r="AH21" s="359">
        <f t="shared" si="1"/>
        <v>0</v>
      </c>
      <c r="AI21" s="359">
        <f t="shared" si="1"/>
        <v>0</v>
      </c>
      <c r="AJ21" s="360">
        <f>'[16]Т12'!$J$164+'[16]Т12'!$J$47+'[16]Т12'!$J$48+'[16]Т12'!$J$140+'[16]Т12'!$J$177+'[16]Т12'!$J$242</f>
        <v>10178.668</v>
      </c>
      <c r="AK21" s="335">
        <f t="shared" si="2"/>
        <v>2189.2116</v>
      </c>
      <c r="AL21" s="335">
        <f t="shared" si="3"/>
        <v>653.4960000000001</v>
      </c>
      <c r="AM21" s="335">
        <f>B21*1</f>
        <v>3267.48</v>
      </c>
      <c r="AN21" s="335">
        <f>B21*0.21</f>
        <v>686.1708</v>
      </c>
      <c r="AO21" s="335">
        <f>2.02*B21</f>
        <v>6600.3096000000005</v>
      </c>
      <c r="AP21" s="335">
        <f>B21*1.03</f>
        <v>3365.5044000000003</v>
      </c>
      <c r="AQ21" s="335">
        <f>B21*0.75</f>
        <v>2450.61</v>
      </c>
      <c r="AR21" s="335">
        <f>B21*0.75</f>
        <v>2450.61</v>
      </c>
      <c r="AS21" s="390">
        <f>B21*1.15</f>
        <v>3757.602</v>
      </c>
      <c r="AT21" s="361">
        <f>0.45*491.8</f>
        <v>221.31</v>
      </c>
      <c r="AU21" s="362">
        <v>2014</v>
      </c>
      <c r="AV21" s="362"/>
      <c r="AW21" s="362"/>
      <c r="AX21" s="362">
        <f>571+1800</f>
        <v>2371</v>
      </c>
      <c r="AY21" s="362"/>
      <c r="AZ21" s="116"/>
      <c r="BA21" s="361"/>
      <c r="BB21" s="361"/>
      <c r="BC21" s="323">
        <f>SUM(AK21:BB21)</f>
        <v>30027.304400000005</v>
      </c>
      <c r="BD21" s="363">
        <f>'[16]Т12'!$S$164+'[16]Т12'!$S$47+'[16]Т12'!$S$48+'[16]Т12'!$S$140+'[16]Т12'!$S$177+'[16]Т12'!$S$242</f>
        <v>4593.106</v>
      </c>
      <c r="BE21" s="339">
        <f t="shared" si="4"/>
        <v>34620.41040000001</v>
      </c>
      <c r="BF21" s="339">
        <f t="shared" si="5"/>
        <v>11648.092679999987</v>
      </c>
      <c r="BG21" s="339">
        <f t="shared" si="6"/>
        <v>7244.169999999998</v>
      </c>
      <c r="BH21" s="339"/>
      <c r="BI21" s="339"/>
      <c r="BJ21" s="339"/>
      <c r="BK21" s="339"/>
      <c r="BL21" s="339"/>
      <c r="BM21" s="339"/>
      <c r="BN21" s="340"/>
      <c r="BO21" s="341"/>
      <c r="BP21" s="341"/>
      <c r="BQ21" s="341"/>
      <c r="BR21" s="73"/>
      <c r="BS21" s="73"/>
      <c r="BT21" s="238"/>
      <c r="BU21" s="238"/>
      <c r="BV21" s="238"/>
    </row>
    <row r="22" spans="1:63" s="20" customFormat="1" ht="13.5" thickBot="1">
      <c r="A22" s="395" t="s">
        <v>5</v>
      </c>
      <c r="B22" s="396"/>
      <c r="C22" s="397">
        <f aca="true" t="shared" si="9" ref="C22:BF22">SUM(C10:C21)</f>
        <v>335433.2580000001</v>
      </c>
      <c r="D22" s="397">
        <f t="shared" si="9"/>
        <v>6534.300960000001</v>
      </c>
      <c r="E22" s="397">
        <f t="shared" si="9"/>
        <v>0</v>
      </c>
      <c r="F22" s="397">
        <f t="shared" si="9"/>
        <v>0</v>
      </c>
      <c r="G22" s="397">
        <f t="shared" si="9"/>
        <v>204128.13</v>
      </c>
      <c r="H22" s="397">
        <f t="shared" si="9"/>
        <v>0</v>
      </c>
      <c r="I22" s="397">
        <f t="shared" si="9"/>
        <v>0</v>
      </c>
      <c r="J22" s="397">
        <f t="shared" si="9"/>
        <v>0</v>
      </c>
      <c r="K22" s="397">
        <f t="shared" si="9"/>
        <v>0</v>
      </c>
      <c r="L22" s="397">
        <f t="shared" si="9"/>
        <v>0</v>
      </c>
      <c r="M22" s="397">
        <f t="shared" si="9"/>
        <v>99117.74999999999</v>
      </c>
      <c r="N22" s="397">
        <f t="shared" si="9"/>
        <v>0</v>
      </c>
      <c r="O22" s="397">
        <f t="shared" si="9"/>
        <v>34369.23</v>
      </c>
      <c r="P22" s="397">
        <f t="shared" si="9"/>
        <v>0</v>
      </c>
      <c r="Q22" s="397">
        <f t="shared" si="9"/>
        <v>0</v>
      </c>
      <c r="R22" s="397">
        <f t="shared" si="9"/>
        <v>0</v>
      </c>
      <c r="S22" s="397">
        <f t="shared" si="9"/>
        <v>0</v>
      </c>
      <c r="T22" s="397">
        <f t="shared" si="9"/>
        <v>0</v>
      </c>
      <c r="U22" s="397">
        <f t="shared" si="9"/>
        <v>337615.11000000004</v>
      </c>
      <c r="V22" s="397">
        <f t="shared" si="9"/>
        <v>0</v>
      </c>
      <c r="W22" s="397">
        <f t="shared" si="9"/>
        <v>4230.95</v>
      </c>
      <c r="X22" s="397">
        <f t="shared" si="9"/>
        <v>175278.91</v>
      </c>
      <c r="Y22" s="397">
        <f t="shared" si="9"/>
        <v>4235.410000000001</v>
      </c>
      <c r="Z22" s="397">
        <f t="shared" si="9"/>
        <v>9548.929999999998</v>
      </c>
      <c r="AA22" s="397">
        <f t="shared" si="9"/>
        <v>95572.23999999999</v>
      </c>
      <c r="AB22" s="397">
        <f t="shared" si="9"/>
        <v>32496.64</v>
      </c>
      <c r="AC22" s="397">
        <f t="shared" si="9"/>
        <v>0</v>
      </c>
      <c r="AD22" s="397">
        <f t="shared" si="9"/>
        <v>0</v>
      </c>
      <c r="AE22" s="397">
        <f t="shared" si="9"/>
        <v>0</v>
      </c>
      <c r="AF22" s="397">
        <f t="shared" si="9"/>
        <v>321363.08</v>
      </c>
      <c r="AG22" s="397">
        <f t="shared" si="9"/>
        <v>327897.38096</v>
      </c>
      <c r="AH22" s="397">
        <f t="shared" si="9"/>
        <v>0</v>
      </c>
      <c r="AI22" s="397">
        <f t="shared" si="9"/>
        <v>0</v>
      </c>
      <c r="AJ22" s="397">
        <f t="shared" si="9"/>
        <v>59636.01599999999</v>
      </c>
      <c r="AK22" s="397">
        <f t="shared" si="9"/>
        <v>26285.413199999995</v>
      </c>
      <c r="AL22" s="397">
        <f t="shared" si="9"/>
        <v>7846.392000000001</v>
      </c>
      <c r="AM22" s="397">
        <f t="shared" si="9"/>
        <v>39231.96</v>
      </c>
      <c r="AN22" s="397">
        <f t="shared" si="9"/>
        <v>8238.711599999999</v>
      </c>
      <c r="AO22" s="397">
        <f t="shared" si="9"/>
        <v>79248.55920000002</v>
      </c>
      <c r="AP22" s="397">
        <f t="shared" si="9"/>
        <v>40408.9188</v>
      </c>
      <c r="AQ22" s="397">
        <f t="shared" si="9"/>
        <v>29423.970000000005</v>
      </c>
      <c r="AR22" s="397">
        <f t="shared" si="9"/>
        <v>29423.970000000005</v>
      </c>
      <c r="AS22" s="397">
        <f t="shared" si="9"/>
        <v>22571.141999999996</v>
      </c>
      <c r="AT22" s="397">
        <f t="shared" si="9"/>
        <v>2434.41</v>
      </c>
      <c r="AU22" s="397">
        <f t="shared" si="9"/>
        <v>25524</v>
      </c>
      <c r="AV22" s="397">
        <f t="shared" si="9"/>
        <v>0</v>
      </c>
      <c r="AW22" s="397">
        <f t="shared" si="9"/>
        <v>3719</v>
      </c>
      <c r="AX22" s="397">
        <f t="shared" si="9"/>
        <v>5399.879999999999</v>
      </c>
      <c r="AY22" s="397">
        <f t="shared" si="9"/>
        <v>0</v>
      </c>
      <c r="AZ22" s="397">
        <f t="shared" si="9"/>
        <v>0</v>
      </c>
      <c r="BA22" s="397">
        <f t="shared" si="9"/>
        <v>26024.39</v>
      </c>
      <c r="BB22" s="397">
        <f t="shared" si="9"/>
        <v>0</v>
      </c>
      <c r="BC22" s="397">
        <f t="shared" si="9"/>
        <v>345780.7168000001</v>
      </c>
      <c r="BD22" s="397">
        <f t="shared" si="9"/>
        <v>34412.472</v>
      </c>
      <c r="BE22" s="397">
        <f t="shared" si="9"/>
        <v>380193.18880000006</v>
      </c>
      <c r="BF22" s="397">
        <f t="shared" si="9"/>
        <v>7340.208159999922</v>
      </c>
      <c r="BG22" s="397">
        <f>SUM(BG10:BG21)</f>
        <v>-16252.030000000006</v>
      </c>
      <c r="BH22" s="398"/>
      <c r="BI22" s="399"/>
      <c r="BJ22" s="72"/>
      <c r="BK22" s="72"/>
    </row>
    <row r="23" spans="1:63" s="20" customFormat="1" ht="13.5" thickBot="1">
      <c r="A23" s="400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2"/>
      <c r="BF23" s="401"/>
      <c r="BG23" s="403"/>
      <c r="BI23" s="72"/>
      <c r="BJ23" s="72"/>
      <c r="BK23" s="72"/>
    </row>
    <row r="24" spans="1:59" s="20" customFormat="1" ht="13.5" thickBot="1">
      <c r="A24" s="22" t="s">
        <v>54</v>
      </c>
      <c r="B24" s="401"/>
      <c r="C24" s="404">
        <f aca="true" t="shared" si="10" ref="C24:L24">C22+C8</f>
        <v>1100046.894</v>
      </c>
      <c r="D24" s="404">
        <f t="shared" si="10"/>
        <v>98285.34012670004</v>
      </c>
      <c r="E24" s="404">
        <f t="shared" si="10"/>
        <v>66120.84999999999</v>
      </c>
      <c r="F24" s="404">
        <f t="shared" si="10"/>
        <v>11281.710000000001</v>
      </c>
      <c r="G24" s="404">
        <f t="shared" si="10"/>
        <v>204128.13</v>
      </c>
      <c r="H24" s="404">
        <f t="shared" si="10"/>
        <v>0</v>
      </c>
      <c r="I24" s="404">
        <f t="shared" si="10"/>
        <v>89434.47</v>
      </c>
      <c r="J24" s="404">
        <f t="shared" si="10"/>
        <v>15272.8</v>
      </c>
      <c r="K24" s="404">
        <f t="shared" si="10"/>
        <v>148762.66</v>
      </c>
      <c r="L24" s="404">
        <f t="shared" si="10"/>
        <v>25526.93</v>
      </c>
      <c r="M24" s="404" t="e">
        <f>#REF!</f>
        <v>#REF!</v>
      </c>
      <c r="N24" s="404">
        <f aca="true" t="shared" si="11" ref="N24:BG24">N22+N8</f>
        <v>36707.939999999995</v>
      </c>
      <c r="O24" s="404">
        <f t="shared" si="11"/>
        <v>87305.68</v>
      </c>
      <c r="P24" s="404">
        <f t="shared" si="11"/>
        <v>9025.099999999999</v>
      </c>
      <c r="Q24" s="404">
        <f t="shared" si="11"/>
        <v>0</v>
      </c>
      <c r="R24" s="404">
        <f t="shared" si="11"/>
        <v>0</v>
      </c>
      <c r="S24" s="404">
        <f t="shared" si="11"/>
        <v>0</v>
      </c>
      <c r="T24" s="404">
        <f t="shared" si="11"/>
        <v>0</v>
      </c>
      <c r="U24" s="404">
        <f t="shared" si="11"/>
        <v>909231.9300000002</v>
      </c>
      <c r="V24" s="404">
        <f t="shared" si="11"/>
        <v>97814.48000000001</v>
      </c>
      <c r="W24" s="404">
        <f t="shared" si="11"/>
        <v>63946.53</v>
      </c>
      <c r="X24" s="404">
        <f t="shared" si="11"/>
        <v>175278.91</v>
      </c>
      <c r="Y24" s="404">
        <f t="shared" si="11"/>
        <v>86506.18</v>
      </c>
      <c r="Z24" s="404">
        <f t="shared" si="11"/>
        <v>143916.55</v>
      </c>
      <c r="AA24" s="404">
        <f t="shared" si="11"/>
        <v>291907.33</v>
      </c>
      <c r="AB24" s="404">
        <f t="shared" si="11"/>
        <v>80311.23</v>
      </c>
      <c r="AC24" s="404">
        <f t="shared" si="11"/>
        <v>0</v>
      </c>
      <c r="AD24" s="404">
        <f t="shared" si="11"/>
        <v>0</v>
      </c>
      <c r="AE24" s="404">
        <f t="shared" si="11"/>
        <v>0</v>
      </c>
      <c r="AF24" s="404">
        <f t="shared" si="11"/>
        <v>841866.73</v>
      </c>
      <c r="AG24" s="404">
        <f t="shared" si="11"/>
        <v>1037966.5501267</v>
      </c>
      <c r="AH24" s="404">
        <f t="shared" si="11"/>
        <v>0</v>
      </c>
      <c r="AI24" s="404">
        <f t="shared" si="11"/>
        <v>0</v>
      </c>
      <c r="AJ24" s="404">
        <f t="shared" si="11"/>
        <v>105374.63063999999</v>
      </c>
      <c r="AK24" s="404">
        <f t="shared" si="11"/>
        <v>78537.4932</v>
      </c>
      <c r="AL24" s="404">
        <f t="shared" si="11"/>
        <v>25355.192384200003</v>
      </c>
      <c r="AM24" s="404">
        <f t="shared" si="11"/>
        <v>125972.989746462</v>
      </c>
      <c r="AN24" s="404">
        <f t="shared" si="11"/>
        <v>8238.711599999999</v>
      </c>
      <c r="AO24" s="404">
        <f t="shared" si="11"/>
        <v>165799.82213633833</v>
      </c>
      <c r="AP24" s="404">
        <f t="shared" si="11"/>
        <v>234026.6205198398</v>
      </c>
      <c r="AQ24" s="404">
        <f t="shared" si="11"/>
        <v>29423.970000000005</v>
      </c>
      <c r="AR24" s="404">
        <f t="shared" si="11"/>
        <v>29423.970000000005</v>
      </c>
      <c r="AS24" s="404">
        <f t="shared" si="11"/>
        <v>22571.141999999996</v>
      </c>
      <c r="AT24" s="404">
        <f t="shared" si="11"/>
        <v>2434.41</v>
      </c>
      <c r="AU24" s="404">
        <f t="shared" si="11"/>
        <v>110423.2782</v>
      </c>
      <c r="AV24" s="404">
        <f t="shared" si="11"/>
        <v>0</v>
      </c>
      <c r="AW24" s="405">
        <f t="shared" si="11"/>
        <v>19623.04</v>
      </c>
      <c r="AX24" s="405">
        <f t="shared" si="11"/>
        <v>7904.6424</v>
      </c>
      <c r="AY24" s="405">
        <f t="shared" si="11"/>
        <v>20956.32</v>
      </c>
      <c r="AZ24" s="405">
        <f t="shared" si="11"/>
        <v>0</v>
      </c>
      <c r="BA24" s="405">
        <f t="shared" si="11"/>
        <v>128369.6604</v>
      </c>
      <c r="BB24" s="405">
        <f t="shared" si="11"/>
        <v>0</v>
      </c>
      <c r="BC24" s="405">
        <f t="shared" si="11"/>
        <v>1009061.2625868402</v>
      </c>
      <c r="BD24" s="405">
        <f t="shared" si="11"/>
        <v>54860.3561693972</v>
      </c>
      <c r="BE24" s="405">
        <f t="shared" si="11"/>
        <v>1063921.6187562374</v>
      </c>
      <c r="BF24" s="405">
        <f t="shared" si="11"/>
        <v>79419.56201046264</v>
      </c>
      <c r="BG24" s="405">
        <f t="shared" si="11"/>
        <v>-67365.20000000001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3">
      <selection activeCell="J14" sqref="J14:N14"/>
    </sheetView>
  </sheetViews>
  <sheetFormatPr defaultColWidth="9.00390625" defaultRowHeight="12.75"/>
  <cols>
    <col min="1" max="1" width="10.00390625" style="239" customWidth="1"/>
    <col min="2" max="2" width="10.375" style="239" customWidth="1"/>
    <col min="3" max="3" width="12.75390625" style="239" customWidth="1"/>
    <col min="4" max="4" width="10.75390625" style="239" customWidth="1"/>
    <col min="5" max="5" width="11.625" style="239" customWidth="1"/>
    <col min="6" max="6" width="9.875" style="239" customWidth="1"/>
    <col min="7" max="7" width="11.00390625" style="239" customWidth="1"/>
    <col min="8" max="8" width="11.375" style="239" customWidth="1"/>
    <col min="9" max="9" width="9.875" style="239" customWidth="1"/>
    <col min="10" max="10" width="9.25390625" style="239" customWidth="1"/>
    <col min="11" max="11" width="9.125" style="239" customWidth="1"/>
    <col min="12" max="12" width="10.375" style="239" customWidth="1"/>
    <col min="13" max="13" width="10.125" style="239" customWidth="1"/>
    <col min="14" max="14" width="9.125" style="239" customWidth="1"/>
    <col min="15" max="15" width="13.125" style="239" customWidth="1"/>
    <col min="16" max="16" width="9.875" style="239" customWidth="1"/>
    <col min="17" max="17" width="10.00390625" style="239" customWidth="1"/>
    <col min="18" max="16384" width="9.125" style="239" customWidth="1"/>
  </cols>
  <sheetData>
    <row r="1" spans="2:9" ht="20.25" customHeight="1">
      <c r="B1" s="231" t="s">
        <v>55</v>
      </c>
      <c r="C1" s="231"/>
      <c r="D1" s="231"/>
      <c r="E1" s="231"/>
      <c r="F1" s="231"/>
      <c r="G1" s="231"/>
      <c r="H1" s="231"/>
      <c r="I1" s="144"/>
    </row>
    <row r="2" spans="2:12" ht="21" customHeight="1">
      <c r="B2" s="231" t="s">
        <v>56</v>
      </c>
      <c r="C2" s="231"/>
      <c r="D2" s="231"/>
      <c r="E2" s="231"/>
      <c r="F2" s="231"/>
      <c r="G2" s="231"/>
      <c r="H2" s="231"/>
      <c r="I2" s="144"/>
      <c r="K2" s="238"/>
      <c r="L2" s="238"/>
    </row>
    <row r="5" spans="1:14" ht="12.75">
      <c r="A5" s="233" t="s">
        <v>125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1:14" ht="12.75">
      <c r="A6" s="234" t="s">
        <v>118</v>
      </c>
      <c r="B6" s="234"/>
      <c r="C6" s="234"/>
      <c r="D6" s="234"/>
      <c r="E6" s="234"/>
      <c r="F6" s="234"/>
      <c r="G6" s="234"/>
      <c r="H6" s="101"/>
      <c r="I6" s="101"/>
      <c r="J6" s="101"/>
      <c r="K6" s="101"/>
      <c r="L6" s="101"/>
      <c r="M6" s="101"/>
      <c r="N6" s="101"/>
    </row>
    <row r="7" spans="1:15" ht="13.5" thickBot="1">
      <c r="A7" s="406" t="s">
        <v>57</v>
      </c>
      <c r="B7" s="406"/>
      <c r="C7" s="406"/>
      <c r="D7" s="406"/>
      <c r="E7" s="406">
        <v>8.55</v>
      </c>
      <c r="F7" s="406"/>
      <c r="I7" s="407"/>
      <c r="J7" s="407"/>
      <c r="K7" s="407"/>
      <c r="L7" s="407"/>
      <c r="M7" s="407"/>
      <c r="N7" s="407"/>
      <c r="O7" s="407"/>
    </row>
    <row r="8" spans="1:17" ht="12.75" customHeight="1">
      <c r="A8" s="186" t="s">
        <v>58</v>
      </c>
      <c r="B8" s="235" t="s">
        <v>1</v>
      </c>
      <c r="C8" s="225" t="s">
        <v>59</v>
      </c>
      <c r="D8" s="228" t="s">
        <v>3</v>
      </c>
      <c r="E8" s="217" t="s">
        <v>60</v>
      </c>
      <c r="F8" s="218"/>
      <c r="G8" s="221" t="s">
        <v>61</v>
      </c>
      <c r="H8" s="222"/>
      <c r="I8" s="408"/>
      <c r="J8" s="409" t="s">
        <v>10</v>
      </c>
      <c r="K8" s="410"/>
      <c r="L8" s="410"/>
      <c r="M8" s="410"/>
      <c r="N8" s="410"/>
      <c r="O8" s="411"/>
      <c r="P8" s="412" t="s">
        <v>62</v>
      </c>
      <c r="Q8" s="412" t="s">
        <v>12</v>
      </c>
    </row>
    <row r="9" spans="1:17" ht="12.75">
      <c r="A9" s="187"/>
      <c r="B9" s="236"/>
      <c r="C9" s="226"/>
      <c r="D9" s="229"/>
      <c r="E9" s="219"/>
      <c r="F9" s="220"/>
      <c r="G9" s="223"/>
      <c r="H9" s="224"/>
      <c r="I9" s="413"/>
      <c r="J9" s="414"/>
      <c r="K9" s="415"/>
      <c r="L9" s="415"/>
      <c r="M9" s="415"/>
      <c r="N9" s="415"/>
      <c r="O9" s="416"/>
      <c r="P9" s="417"/>
      <c r="Q9" s="417"/>
    </row>
    <row r="10" spans="1:17" ht="26.25" customHeight="1">
      <c r="A10" s="187"/>
      <c r="B10" s="236"/>
      <c r="C10" s="226"/>
      <c r="D10" s="229"/>
      <c r="E10" s="211" t="s">
        <v>63</v>
      </c>
      <c r="F10" s="212"/>
      <c r="G10" s="89" t="s">
        <v>64</v>
      </c>
      <c r="H10" s="197" t="s">
        <v>7</v>
      </c>
      <c r="I10" s="418" t="s">
        <v>119</v>
      </c>
      <c r="J10" s="213" t="s">
        <v>65</v>
      </c>
      <c r="K10" s="215" t="s">
        <v>120</v>
      </c>
      <c r="L10" s="215" t="s">
        <v>66</v>
      </c>
      <c r="M10" s="215" t="s">
        <v>37</v>
      </c>
      <c r="N10" s="216" t="s">
        <v>121</v>
      </c>
      <c r="O10" s="198" t="s">
        <v>39</v>
      </c>
      <c r="P10" s="417"/>
      <c r="Q10" s="417"/>
    </row>
    <row r="11" spans="1:17" ht="66.75" customHeight="1" thickBot="1">
      <c r="A11" s="210"/>
      <c r="B11" s="237"/>
      <c r="C11" s="227"/>
      <c r="D11" s="230"/>
      <c r="E11" s="63" t="s">
        <v>68</v>
      </c>
      <c r="F11" s="67" t="s">
        <v>21</v>
      </c>
      <c r="G11" s="82" t="s">
        <v>69</v>
      </c>
      <c r="H11" s="198"/>
      <c r="I11" s="419"/>
      <c r="J11" s="214"/>
      <c r="K11" s="216"/>
      <c r="L11" s="216"/>
      <c r="M11" s="216"/>
      <c r="N11" s="420"/>
      <c r="O11" s="421"/>
      <c r="P11" s="422"/>
      <c r="Q11" s="422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4">
        <v>16</v>
      </c>
      <c r="Q12" s="65">
        <v>17</v>
      </c>
    </row>
    <row r="13" spans="1:17" ht="13.5" thickBot="1">
      <c r="A13" s="193" t="s">
        <v>93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423"/>
      <c r="P13" s="424"/>
      <c r="Q13" s="424"/>
    </row>
    <row r="14" spans="1:19" s="20" customFormat="1" ht="13.5" thickBot="1">
      <c r="A14" s="81" t="s">
        <v>54</v>
      </c>
      <c r="B14" s="38"/>
      <c r="C14" s="39">
        <f>'2011 полн'!C8</f>
        <v>764613.6359999999</v>
      </c>
      <c r="D14" s="39">
        <f>'2011 полн'!D8</f>
        <v>91751.03916670004</v>
      </c>
      <c r="E14" s="39">
        <f>'2011 полн'!U8</f>
        <v>571616.8200000001</v>
      </c>
      <c r="F14" s="39">
        <f>'2011 полн'!V8</f>
        <v>97814.48000000001</v>
      </c>
      <c r="G14" s="39">
        <f>'2011 полн'!AF8</f>
        <v>520503.65</v>
      </c>
      <c r="H14" s="39">
        <f>'2011 полн'!AG8</f>
        <v>710069.1691667</v>
      </c>
      <c r="I14" s="39">
        <f>'2011 полн'!AJ8</f>
        <v>45738.61464</v>
      </c>
      <c r="J14" s="39">
        <f>'2011 полн'!AK8</f>
        <v>52252.079999999994</v>
      </c>
      <c r="K14" s="39">
        <f>'2011 полн'!AL8</f>
        <v>17508.800384200003</v>
      </c>
      <c r="L14" s="39">
        <f>'2011 полн'!AM8+'2011 полн'!AN8+'2011 полн'!AO8+'2011 полн'!AP8+'2011 полн'!AX8+'2011 полн'!AY8+'2011 полн'!BA8+'2011 полн'!BA16</f>
        <v>518740.73720264016</v>
      </c>
      <c r="M14" s="39">
        <f>'2011 полн'!AU8+'2011 полн'!AV8+'2011 полн'!AW8</f>
        <v>100803.3182</v>
      </c>
      <c r="N14" s="39">
        <f>'2011 полн'!BD8</f>
        <v>20447.8841693972</v>
      </c>
      <c r="O14" s="39">
        <f>SUM(J14:N14)</f>
        <v>709752.8199562373</v>
      </c>
      <c r="P14" s="39">
        <f>H14+I14-O14</f>
        <v>46054.96385046269</v>
      </c>
      <c r="Q14" s="39">
        <f>'2011 полн'!BG8</f>
        <v>-51113.17000000001</v>
      </c>
      <c r="R14" s="73"/>
      <c r="S14" s="72"/>
    </row>
    <row r="15" spans="1:19" ht="12.75">
      <c r="A15" s="7" t="s">
        <v>117</v>
      </c>
      <c r="B15" s="425"/>
      <c r="C15" s="41"/>
      <c r="D15" s="42"/>
      <c r="E15" s="426"/>
      <c r="F15" s="427"/>
      <c r="G15" s="428"/>
      <c r="H15" s="427"/>
      <c r="I15" s="429"/>
      <c r="J15" s="428"/>
      <c r="K15" s="430"/>
      <c r="L15" s="430"/>
      <c r="M15" s="431"/>
      <c r="N15" s="432"/>
      <c r="O15" s="433"/>
      <c r="P15" s="434"/>
      <c r="Q15" s="434"/>
      <c r="R15" s="238"/>
      <c r="S15" s="238"/>
    </row>
    <row r="16" spans="1:19" ht="12.75">
      <c r="A16" s="321" t="s">
        <v>45</v>
      </c>
      <c r="B16" s="84">
        <f>'2011 полн'!B10</f>
        <v>3274.88</v>
      </c>
      <c r="C16" s="84">
        <f>'2011 полн'!C10</f>
        <v>28000.224000000002</v>
      </c>
      <c r="D16" s="27">
        <f>'2011 полн'!D10</f>
        <v>544.52508</v>
      </c>
      <c r="E16" s="430">
        <f>'2011 полн'!U10</f>
        <v>28244.039999999997</v>
      </c>
      <c r="F16" s="430">
        <f>'2011 полн'!V10</f>
        <v>0</v>
      </c>
      <c r="G16" s="435">
        <f>'2011 полн'!AF10</f>
        <v>22526.590000000004</v>
      </c>
      <c r="H16" s="435">
        <f>'2011 полн'!AG10</f>
        <v>23071.115080000003</v>
      </c>
      <c r="I16" s="435">
        <f>'2011 полн'!AJ10</f>
        <v>2478.268</v>
      </c>
      <c r="J16" s="435">
        <f>'2011 полн'!AK10</f>
        <v>2194.1696</v>
      </c>
      <c r="K16" s="435">
        <f>'2011 полн'!AL10</f>
        <v>654.9760000000001</v>
      </c>
      <c r="L16" s="430">
        <f>'2011 полн'!AM10+'2011 полн'!AN10+'2011 полн'!AO10+'2011 полн'!AP10+'2011 полн'!AQ10+'2011 полн'!AR10+'2011 полн'!AS10+'2011 полн'!AT10+'2011 полн'!AX10</f>
        <v>22879.8308</v>
      </c>
      <c r="M16" s="431">
        <f>'2011 полн'!AU10+'2011 полн'!AV10+'2011 полн'!AW10</f>
        <v>0</v>
      </c>
      <c r="N16" s="436">
        <f>'2011 полн'!BD10</f>
        <v>1738.306</v>
      </c>
      <c r="O16" s="436">
        <f>SUM(J16:N16)</f>
        <v>27467.2824</v>
      </c>
      <c r="P16" s="434">
        <f>I16+H16-O16</f>
        <v>-1917.8993199999968</v>
      </c>
      <c r="Q16" s="434">
        <f>'2011 полн'!BG10</f>
        <v>-5717.449999999993</v>
      </c>
      <c r="R16" s="238"/>
      <c r="S16" s="238"/>
    </row>
    <row r="17" spans="1:19" ht="12.75">
      <c r="A17" s="321" t="s">
        <v>46</v>
      </c>
      <c r="B17" s="84">
        <f>'2011 полн'!B11</f>
        <v>3274.88</v>
      </c>
      <c r="C17" s="84">
        <f>'2011 полн'!C11</f>
        <v>28000.224000000002</v>
      </c>
      <c r="D17" s="27">
        <f>'2011 полн'!D11</f>
        <v>544.52508</v>
      </c>
      <c r="E17" s="430">
        <f>'2011 полн'!U11</f>
        <v>27918.29</v>
      </c>
      <c r="F17" s="430">
        <f>'2011 полн'!V11</f>
        <v>0</v>
      </c>
      <c r="G17" s="435">
        <f>'2011 полн'!AF11</f>
        <v>25042.329999999998</v>
      </c>
      <c r="H17" s="435">
        <f>'2011 полн'!AG11</f>
        <v>25586.855079999998</v>
      </c>
      <c r="I17" s="435">
        <f>'2011 полн'!AJ11</f>
        <v>2478.268</v>
      </c>
      <c r="J17" s="435">
        <f>'2011 полн'!AK11</f>
        <v>2194.1696</v>
      </c>
      <c r="K17" s="435">
        <f>'2011 полн'!AL11</f>
        <v>654.9760000000001</v>
      </c>
      <c r="L17" s="430">
        <f>'2011 полн'!AM11+'2011 полн'!AN11+'2011 полн'!AO11+'2011 полн'!AP11+'2011 полн'!AQ11+'2011 полн'!AR11+'2011 полн'!AS11+'2011 полн'!AT11+'2011 полн'!AX11</f>
        <v>23868.290800000002</v>
      </c>
      <c r="M17" s="431">
        <f>'2011 полн'!AU11+'2011 полн'!AV11+'2011 полн'!AW11</f>
        <v>13518</v>
      </c>
      <c r="N17" s="436">
        <f>'2011 полн'!BD11</f>
        <v>1738.306</v>
      </c>
      <c r="O17" s="436">
        <f aca="true" t="shared" si="0" ref="O17:O27">SUM(J17:N17)</f>
        <v>41973.7424</v>
      </c>
      <c r="P17" s="434">
        <f aca="true" t="shared" si="1" ref="P17:P27">I17+H17-O17</f>
        <v>-13908.619320000005</v>
      </c>
      <c r="Q17" s="434">
        <f>'2011 полн'!BG11</f>
        <v>-2875.9600000000028</v>
      </c>
      <c r="R17" s="238"/>
      <c r="S17" s="238"/>
    </row>
    <row r="18" spans="1:19" ht="12.75">
      <c r="A18" s="321" t="s">
        <v>47</v>
      </c>
      <c r="B18" s="84">
        <f>'2011 полн'!B12</f>
        <v>3274.88</v>
      </c>
      <c r="C18" s="84">
        <f>'2011 полн'!C12</f>
        <v>28000.224000000002</v>
      </c>
      <c r="D18" s="27">
        <f>'2011 полн'!D12</f>
        <v>544.52508</v>
      </c>
      <c r="E18" s="430">
        <f>'2011 полн'!U12</f>
        <v>28078.09</v>
      </c>
      <c r="F18" s="430">
        <f>'2011 полн'!V12</f>
        <v>0</v>
      </c>
      <c r="G18" s="435">
        <f>'2011 полн'!AF12</f>
        <v>26476.55</v>
      </c>
      <c r="H18" s="435">
        <f>'2011 полн'!AG12</f>
        <v>27021.07508</v>
      </c>
      <c r="I18" s="435">
        <f>'2011 полн'!AJ12</f>
        <v>8407.468</v>
      </c>
      <c r="J18" s="435">
        <f>'2011 полн'!AK12</f>
        <v>2194.1696</v>
      </c>
      <c r="K18" s="435">
        <f>'2011 полн'!AL12</f>
        <v>654.9760000000001</v>
      </c>
      <c r="L18" s="430">
        <f>'2011 полн'!AM12+'2011 полн'!AN12+'2011 полн'!AO12+'2011 полн'!AP12+'2011 полн'!AQ12+'2011 полн'!AR12+'2011 полн'!AS12+'2011 полн'!AT12+'2011 полн'!AX12</f>
        <v>23453.7308</v>
      </c>
      <c r="M18" s="431">
        <f>'2011 полн'!AU12+'2011 полн'!AV12+'2011 полн'!AW12</f>
        <v>2028</v>
      </c>
      <c r="N18" s="436">
        <f>'2011 полн'!BD12</f>
        <v>1918.306</v>
      </c>
      <c r="O18" s="436">
        <f t="shared" si="0"/>
        <v>30249.1824</v>
      </c>
      <c r="P18" s="434">
        <f t="shared" si="1"/>
        <v>5179.360680000002</v>
      </c>
      <c r="Q18" s="434">
        <f>'2011 полн'!BG12</f>
        <v>-1601.5400000000009</v>
      </c>
      <c r="R18" s="238"/>
      <c r="S18" s="238"/>
    </row>
    <row r="19" spans="1:19" ht="12.75">
      <c r="A19" s="321" t="s">
        <v>48</v>
      </c>
      <c r="B19" s="84">
        <f>'2011 полн'!B13</f>
        <v>3267.48</v>
      </c>
      <c r="C19" s="84">
        <f>'2011 полн'!C13</f>
        <v>27936.954</v>
      </c>
      <c r="D19" s="27">
        <f>'2011 полн'!D13</f>
        <v>544.52508</v>
      </c>
      <c r="E19" s="430">
        <f>'2011 полн'!U13</f>
        <v>28093.54</v>
      </c>
      <c r="F19" s="430">
        <f>'2011 полн'!V13</f>
        <v>0</v>
      </c>
      <c r="G19" s="435">
        <f>'2011 полн'!AF13</f>
        <v>35173.18</v>
      </c>
      <c r="H19" s="435">
        <f>'2011 полн'!AG13</f>
        <v>35717.70508</v>
      </c>
      <c r="I19" s="435">
        <f>'2011 полн'!AJ13</f>
        <v>2478.268</v>
      </c>
      <c r="J19" s="435">
        <f>'2011 полн'!AK13</f>
        <v>2189.2116</v>
      </c>
      <c r="K19" s="435">
        <f>'2011 полн'!AL13</f>
        <v>653.4960000000001</v>
      </c>
      <c r="L19" s="430">
        <f>'2011 полн'!AM13+'2011 полн'!AN13+'2011 полн'!AO13+'2011 полн'!AP13+'2011 полн'!AQ13+'2011 полн'!AR13+'2011 полн'!AS13+'2011 полн'!AT13+'2011 полн'!AX13</f>
        <v>19265.4948</v>
      </c>
      <c r="M19" s="431">
        <f>'2011 полн'!AU13+'2011 полн'!AV13+'2011 полн'!AW13</f>
        <v>4676</v>
      </c>
      <c r="N19" s="436">
        <f>'2011 полн'!BD13</f>
        <v>1738.306</v>
      </c>
      <c r="O19" s="436">
        <f t="shared" si="0"/>
        <v>28522.508400000002</v>
      </c>
      <c r="P19" s="434">
        <f t="shared" si="1"/>
        <v>9673.464679999994</v>
      </c>
      <c r="Q19" s="434">
        <f>'2011 полн'!BG13</f>
        <v>7079.639999999999</v>
      </c>
      <c r="R19" s="238"/>
      <c r="S19" s="238"/>
    </row>
    <row r="20" spans="1:19" ht="12.75">
      <c r="A20" s="321" t="s">
        <v>49</v>
      </c>
      <c r="B20" s="84">
        <f>'2011 полн'!B14</f>
        <v>3267.48</v>
      </c>
      <c r="C20" s="84">
        <f>'2011 полн'!C14</f>
        <v>27936.954</v>
      </c>
      <c r="D20" s="27">
        <f>'2011 полн'!D14</f>
        <v>544.52508</v>
      </c>
      <c r="E20" s="430">
        <f>'2011 полн'!U14</f>
        <v>28037.75</v>
      </c>
      <c r="F20" s="430">
        <f>'2011 полн'!V14</f>
        <v>0</v>
      </c>
      <c r="G20" s="435">
        <f>'2011 полн'!AF14</f>
        <v>21591.11</v>
      </c>
      <c r="H20" s="435">
        <f>'2011 полн'!AG14</f>
        <v>22135.63508</v>
      </c>
      <c r="I20" s="435">
        <f>'2011 полн'!AJ14</f>
        <v>6431.068</v>
      </c>
      <c r="J20" s="435">
        <f>'2011 полн'!AK14</f>
        <v>2189.2116</v>
      </c>
      <c r="K20" s="435">
        <f>'2011 полн'!AL14</f>
        <v>653.4960000000001</v>
      </c>
      <c r="L20" s="430">
        <f>'2011 полн'!AM14+'2011 полн'!AN14+'2011 полн'!AO14+'2011 полн'!AP14+'2011 полн'!AQ14+'2011 полн'!AR14+'2011 полн'!AS14+'2011 полн'!AT14+'2011 полн'!AX14</f>
        <v>19054.9948</v>
      </c>
      <c r="M20" s="431">
        <f>'2011 полн'!AU14+'2011 полн'!AV14+'2011 полн'!AW14</f>
        <v>0</v>
      </c>
      <c r="N20" s="436">
        <f>'2011 полн'!BD14</f>
        <v>2971.306</v>
      </c>
      <c r="O20" s="436">
        <f t="shared" si="0"/>
        <v>24869.008400000002</v>
      </c>
      <c r="P20" s="434">
        <f t="shared" si="1"/>
        <v>3697.694679999997</v>
      </c>
      <c r="Q20" s="434">
        <f>'2011 полн'!BG14</f>
        <v>-6446.639999999999</v>
      </c>
      <c r="R20" s="238"/>
      <c r="S20" s="238"/>
    </row>
    <row r="21" spans="1:19" ht="12.75">
      <c r="A21" s="321" t="s">
        <v>50</v>
      </c>
      <c r="B21" s="84">
        <f>'2011 полн'!B15</f>
        <v>3267.48</v>
      </c>
      <c r="C21" s="84">
        <f>'2011 полн'!C15</f>
        <v>27936.954</v>
      </c>
      <c r="D21" s="27">
        <f>'2011 полн'!D15</f>
        <v>544.52508</v>
      </c>
      <c r="E21" s="430">
        <f>'2011 полн'!U15</f>
        <v>28037.730000000003</v>
      </c>
      <c r="F21" s="430">
        <f>'2011 полн'!V15</f>
        <v>0</v>
      </c>
      <c r="G21" s="435">
        <f>'2011 полн'!AF15</f>
        <v>23258.52</v>
      </c>
      <c r="H21" s="435">
        <f>'2011 полн'!AG15</f>
        <v>23803.04508</v>
      </c>
      <c r="I21" s="435">
        <f>'2011 полн'!AJ15</f>
        <v>4454.668</v>
      </c>
      <c r="J21" s="435">
        <f>'2011 полн'!AK15</f>
        <v>2189.2116</v>
      </c>
      <c r="K21" s="435">
        <f>'2011 полн'!AL15</f>
        <v>653.4960000000001</v>
      </c>
      <c r="L21" s="430">
        <f>'2011 полн'!AM15+'2011 полн'!AN15+'2011 полн'!AO15+'2011 полн'!AP15+'2011 полн'!AQ15+'2011 полн'!AR15+'2011 полн'!AS15+'2011 полн'!AT15+'2011 полн'!AX15</f>
        <v>19058.9948</v>
      </c>
      <c r="M21" s="431">
        <f>'2011 полн'!AU15+'2011 полн'!AV15+'2011 полн'!AW15</f>
        <v>0</v>
      </c>
      <c r="N21" s="436">
        <f>'2011 полн'!BD15</f>
        <v>3476.206</v>
      </c>
      <c r="O21" s="436">
        <f t="shared" si="0"/>
        <v>25377.9084</v>
      </c>
      <c r="P21" s="434">
        <f t="shared" si="1"/>
        <v>2879.804680000001</v>
      </c>
      <c r="Q21" s="434">
        <f>'2011 полн'!BG15</f>
        <v>-4779.210000000003</v>
      </c>
      <c r="R21" s="238"/>
      <c r="S21" s="238"/>
    </row>
    <row r="22" spans="1:17" ht="12.75">
      <c r="A22" s="321" t="s">
        <v>51</v>
      </c>
      <c r="B22" s="84">
        <f>'2011 полн'!B16</f>
        <v>3267.48</v>
      </c>
      <c r="C22" s="84">
        <f>'2011 полн'!C16</f>
        <v>27936.954</v>
      </c>
      <c r="D22" s="27">
        <f>'2011 полн'!D16</f>
        <v>544.52508</v>
      </c>
      <c r="E22" s="430">
        <f>'2011 полн'!U16</f>
        <v>28029.35</v>
      </c>
      <c r="F22" s="430">
        <f>'2011 полн'!V16</f>
        <v>0</v>
      </c>
      <c r="G22" s="435">
        <f>'2011 полн'!AF16</f>
        <v>22365.54</v>
      </c>
      <c r="H22" s="435">
        <f>'2011 полн'!AG16</f>
        <v>22910.06508</v>
      </c>
      <c r="I22" s="435">
        <f>'2011 полн'!AJ16</f>
        <v>4454.668</v>
      </c>
      <c r="J22" s="435">
        <f>'2011 полн'!AK16</f>
        <v>2189.2116</v>
      </c>
      <c r="K22" s="435">
        <f>'2011 полн'!AL16</f>
        <v>653.4960000000001</v>
      </c>
      <c r="L22" s="430">
        <f>'2011 полн'!AM16+'2011 полн'!AN16+'2011 полн'!AO16+'2011 полн'!AP16+'2011 полн'!AQ16+'2011 полн'!AR16+'2011 полн'!AS16+'2011 полн'!AT16+'2011 полн'!AX16</f>
        <v>19155.9948</v>
      </c>
      <c r="M22" s="431">
        <f>'2011 полн'!AU16+'2011 полн'!AV16+'2011 полн'!AW16</f>
        <v>0</v>
      </c>
      <c r="N22" s="436">
        <f>'2011 полн'!BD16</f>
        <v>3476.206</v>
      </c>
      <c r="O22" s="436">
        <f t="shared" si="0"/>
        <v>25474.9084</v>
      </c>
      <c r="P22" s="434">
        <f t="shared" si="1"/>
        <v>1889.824679999998</v>
      </c>
      <c r="Q22" s="434">
        <f>'2011 полн'!BG16</f>
        <v>-5663.809999999998</v>
      </c>
    </row>
    <row r="23" spans="1:17" ht="12.75">
      <c r="A23" s="321" t="s">
        <v>52</v>
      </c>
      <c r="B23" s="84">
        <f>'2011 полн'!B17</f>
        <v>3267.48</v>
      </c>
      <c r="C23" s="84">
        <f>'2011 полн'!C17</f>
        <v>27936.954</v>
      </c>
      <c r="D23" s="27">
        <f>'2011 полн'!D17</f>
        <v>544.52508</v>
      </c>
      <c r="E23" s="430">
        <f>'2011 полн'!U17</f>
        <v>28023.240000000005</v>
      </c>
      <c r="F23" s="430">
        <f>'2011 полн'!V17</f>
        <v>0</v>
      </c>
      <c r="G23" s="435">
        <f>'2011 полн'!AF17</f>
        <v>24425.719999999998</v>
      </c>
      <c r="H23" s="435">
        <f>'2011 полн'!AG17</f>
        <v>24970.245079999997</v>
      </c>
      <c r="I23" s="435">
        <f>'2011 полн'!AJ17</f>
        <v>4568.668</v>
      </c>
      <c r="J23" s="435">
        <f>'2011 полн'!AK17</f>
        <v>2189.2116</v>
      </c>
      <c r="K23" s="435">
        <f>'2011 полн'!AL17</f>
        <v>653.4960000000001</v>
      </c>
      <c r="L23" s="430">
        <f>'2011 полн'!AM17+'2011 полн'!AN17+'2011 полн'!AO17+'2011 полн'!AP17+'2011 полн'!AQ17+'2011 полн'!AR17+'2011 полн'!AS17+'2011 полн'!AT17+'2011 полн'!AX17</f>
        <v>19065.5948</v>
      </c>
      <c r="M23" s="431">
        <f>'2011 полн'!AU17+'2011 полн'!AV17+'2011 полн'!AW17</f>
        <v>0</v>
      </c>
      <c r="N23" s="436">
        <f>'2011 полн'!BD17</f>
        <v>3190.606</v>
      </c>
      <c r="O23" s="436">
        <f t="shared" si="0"/>
        <v>25098.9084</v>
      </c>
      <c r="P23" s="434">
        <f t="shared" si="1"/>
        <v>4440.004679999998</v>
      </c>
      <c r="Q23" s="434">
        <f>'2011 полн'!BG17</f>
        <v>-3597.5200000000077</v>
      </c>
    </row>
    <row r="24" spans="1:17" ht="12.75">
      <c r="A24" s="321" t="s">
        <v>53</v>
      </c>
      <c r="B24" s="84">
        <f>'2011 полн'!B18</f>
        <v>3267.48</v>
      </c>
      <c r="C24" s="84">
        <f>'2011 полн'!C18</f>
        <v>27936.954</v>
      </c>
      <c r="D24" s="27">
        <f>'2011 полн'!D18</f>
        <v>544.52508</v>
      </c>
      <c r="E24" s="430">
        <f>'2011 полн'!U18</f>
        <v>28279.129999999997</v>
      </c>
      <c r="F24" s="430">
        <f>'2011 полн'!V18</f>
        <v>0</v>
      </c>
      <c r="G24" s="435">
        <f>'2011 полн'!AF18</f>
        <v>25267.06</v>
      </c>
      <c r="H24" s="435">
        <f>'2011 полн'!AG18</f>
        <v>25811.58508</v>
      </c>
      <c r="I24" s="435">
        <f>'2011 полн'!AJ18</f>
        <v>4568.668</v>
      </c>
      <c r="J24" s="435">
        <f>'2011 полн'!AK18</f>
        <v>2189.2116</v>
      </c>
      <c r="K24" s="435">
        <f>'2011 полн'!AL18</f>
        <v>653.4960000000001</v>
      </c>
      <c r="L24" s="430">
        <f>'2011 полн'!AM18+'2011 полн'!AN18+'2011 полн'!AO18+'2011 полн'!AP18+'2011 полн'!AQ18+'2011 полн'!AR18+'2011 полн'!AS18+'2011 полн'!AT18+'2011 полн'!AX18</f>
        <v>18820.6848</v>
      </c>
      <c r="M24" s="431">
        <f>'2011 полн'!AU18+'2011 полн'!AV18+'2011 полн'!AW18</f>
        <v>0</v>
      </c>
      <c r="N24" s="436">
        <f>'2011 полн'!BD18</f>
        <v>3190.606</v>
      </c>
      <c r="O24" s="436">
        <f t="shared" si="0"/>
        <v>24853.9984</v>
      </c>
      <c r="P24" s="434">
        <f t="shared" si="1"/>
        <v>5526.254680000002</v>
      </c>
      <c r="Q24" s="434">
        <f>'2011 полн'!BG18</f>
        <v>-3012.069999999996</v>
      </c>
    </row>
    <row r="25" spans="1:17" ht="12.75">
      <c r="A25" s="321" t="s">
        <v>41</v>
      </c>
      <c r="B25" s="84">
        <f>'2011 полн'!B19</f>
        <v>3267.48</v>
      </c>
      <c r="C25" s="84">
        <f>'2011 полн'!C19</f>
        <v>27936.954</v>
      </c>
      <c r="D25" s="27">
        <f>'2011 полн'!D19</f>
        <v>544.52508</v>
      </c>
      <c r="E25" s="430">
        <f>'2011 полн'!U19</f>
        <v>28286.16</v>
      </c>
      <c r="F25" s="430">
        <f>'2011 полн'!V19</f>
        <v>0</v>
      </c>
      <c r="G25" s="435">
        <f>'2011 полн'!AF19</f>
        <v>30003.059999999998</v>
      </c>
      <c r="H25" s="435">
        <f>'2011 полн'!AG19</f>
        <v>30547.585079999997</v>
      </c>
      <c r="I25" s="435">
        <f>'2011 полн'!AJ19</f>
        <v>4568.668</v>
      </c>
      <c r="J25" s="435">
        <f>'2011 полн'!AK19</f>
        <v>2189.2116</v>
      </c>
      <c r="K25" s="435">
        <f>'2011 полн'!AL19</f>
        <v>653.4960000000001</v>
      </c>
      <c r="L25" s="430">
        <f>'2011 полн'!AM19+'2011 полн'!AN19+'2011 полн'!AO19+'2011 полн'!AP19+'2011 полн'!AQ19+'2011 полн'!AR19+'2011 полн'!AS19+'2011 полн'!AT19+'2011 полн'!AX19</f>
        <v>23752.5968</v>
      </c>
      <c r="M25" s="431">
        <f>'2011 полн'!AU19+'2011 полн'!AV19+'2011 полн'!AW19</f>
        <v>7007</v>
      </c>
      <c r="N25" s="436">
        <f>'2011 полн'!BD19</f>
        <v>3190.606</v>
      </c>
      <c r="O25" s="436">
        <f t="shared" si="0"/>
        <v>36792.9104</v>
      </c>
      <c r="P25" s="434">
        <f t="shared" si="1"/>
        <v>-1676.6573200000057</v>
      </c>
      <c r="Q25" s="434">
        <f>'2011 полн'!BG19</f>
        <v>1716.8999999999978</v>
      </c>
    </row>
    <row r="26" spans="1:17" ht="12.75">
      <c r="A26" s="321" t="s">
        <v>42</v>
      </c>
      <c r="B26" s="84">
        <f>'2011 полн'!B20</f>
        <v>3267.48</v>
      </c>
      <c r="C26" s="84">
        <f>'2011 полн'!C20</f>
        <v>27936.954</v>
      </c>
      <c r="D26" s="27">
        <f>'2011 полн'!D20</f>
        <v>544.52508</v>
      </c>
      <c r="E26" s="430">
        <f>'2011 полн'!U20</f>
        <v>28286.649999999998</v>
      </c>
      <c r="F26" s="430">
        <f>'2011 полн'!V20</f>
        <v>0</v>
      </c>
      <c r="G26" s="435">
        <f>'2011 полн'!AF20</f>
        <v>29688.109999999997</v>
      </c>
      <c r="H26" s="435">
        <f>'2011 полн'!AG20</f>
        <v>30232.635079999996</v>
      </c>
      <c r="I26" s="435">
        <f>'2011 полн'!AJ20</f>
        <v>4568.668</v>
      </c>
      <c r="J26" s="435">
        <f>'2011 полн'!AK20</f>
        <v>2189.2116</v>
      </c>
      <c r="K26" s="435">
        <f>'2011 полн'!AL20</f>
        <v>653.4960000000001</v>
      </c>
      <c r="L26" s="430">
        <f>'2011 полн'!AM20+'2011 полн'!AN20+'2011 полн'!AO20+'2011 полн'!AP20+'2011 полн'!AQ20+'2011 полн'!AR20+'2011 полн'!AS20+'2011 полн'!AT20+'2011 полн'!AX20</f>
        <v>22834.7168</v>
      </c>
      <c r="M26" s="431">
        <f>'2011 полн'!AU20+'2011 полн'!AV20+'2011 полн'!AW20</f>
        <v>0</v>
      </c>
      <c r="N26" s="436">
        <f>'2011 полн'!BD20</f>
        <v>3190.606</v>
      </c>
      <c r="O26" s="436">
        <f t="shared" si="0"/>
        <v>28868.0304</v>
      </c>
      <c r="P26" s="434">
        <f t="shared" si="1"/>
        <v>5933.272679999998</v>
      </c>
      <c r="Q26" s="434">
        <f>'2011 полн'!BG20</f>
        <v>1401.4599999999991</v>
      </c>
    </row>
    <row r="27" spans="1:17" ht="13.5" thickBot="1">
      <c r="A27" s="437" t="s">
        <v>43</v>
      </c>
      <c r="B27" s="84">
        <f>'2011 полн'!B21</f>
        <v>3267.48</v>
      </c>
      <c r="C27" s="84">
        <f>'2011 полн'!C21</f>
        <v>27936.954</v>
      </c>
      <c r="D27" s="27">
        <f>'2011 полн'!D21</f>
        <v>544.52508</v>
      </c>
      <c r="E27" s="430">
        <f>'2011 полн'!U21</f>
        <v>28301.14</v>
      </c>
      <c r="F27" s="430">
        <f>'2011 полн'!V21</f>
        <v>0</v>
      </c>
      <c r="G27" s="435">
        <f>'2011 полн'!AF21</f>
        <v>35545.31</v>
      </c>
      <c r="H27" s="435">
        <f>'2011 полн'!AG21</f>
        <v>36089.83508</v>
      </c>
      <c r="I27" s="435">
        <f>'2011 полн'!AJ21</f>
        <v>10178.668</v>
      </c>
      <c r="J27" s="435">
        <f>'2011 полн'!AK21</f>
        <v>2189.2116</v>
      </c>
      <c r="K27" s="435">
        <f>'2011 полн'!AL21</f>
        <v>653.4960000000001</v>
      </c>
      <c r="L27" s="430">
        <f>'2011 полн'!AM21+'2011 полн'!AN21+'2011 полн'!AO21+'2011 полн'!AP21+'2011 полн'!AQ21+'2011 полн'!AR21+'2011 полн'!AS21+'2011 полн'!AT21+'2011 полн'!AX21</f>
        <v>25170.5968</v>
      </c>
      <c r="M27" s="431">
        <f>'2011 полн'!AU21+'2011 полн'!AV21+'2011 полн'!AW21</f>
        <v>2014</v>
      </c>
      <c r="N27" s="436">
        <f>'2011 полн'!BD21</f>
        <v>4593.106</v>
      </c>
      <c r="O27" s="436">
        <f t="shared" si="0"/>
        <v>34620.4104</v>
      </c>
      <c r="P27" s="434">
        <f t="shared" si="1"/>
        <v>11648.092679999994</v>
      </c>
      <c r="Q27" s="434">
        <f>'2011 полн'!BG21</f>
        <v>7244.169999999998</v>
      </c>
    </row>
    <row r="28" spans="1:19" s="20" customFormat="1" ht="13.5" thickBot="1">
      <c r="A28" s="34" t="s">
        <v>5</v>
      </c>
      <c r="B28" s="35"/>
      <c r="C28" s="76">
        <f aca="true" t="shared" si="2" ref="C28:P28">SUM(C16:C27)</f>
        <v>335433.2580000001</v>
      </c>
      <c r="D28" s="76">
        <f t="shared" si="2"/>
        <v>6534.300960000001</v>
      </c>
      <c r="E28" s="76">
        <f t="shared" si="2"/>
        <v>337615.11000000004</v>
      </c>
      <c r="F28" s="76">
        <f t="shared" si="2"/>
        <v>0</v>
      </c>
      <c r="G28" s="76">
        <f t="shared" si="2"/>
        <v>321363.08</v>
      </c>
      <c r="H28" s="76">
        <f t="shared" si="2"/>
        <v>327897.38096</v>
      </c>
      <c r="I28" s="76">
        <f t="shared" si="2"/>
        <v>59636.01599999999</v>
      </c>
      <c r="J28" s="76">
        <f t="shared" si="2"/>
        <v>26285.413199999995</v>
      </c>
      <c r="K28" s="76">
        <f t="shared" si="2"/>
        <v>7846.392000000001</v>
      </c>
      <c r="L28" s="76">
        <f t="shared" si="2"/>
        <v>256381.52159999998</v>
      </c>
      <c r="M28" s="76">
        <f t="shared" si="2"/>
        <v>29243</v>
      </c>
      <c r="N28" s="76">
        <f t="shared" si="2"/>
        <v>34412.472</v>
      </c>
      <c r="O28" s="76">
        <f t="shared" si="2"/>
        <v>354168.79880000005</v>
      </c>
      <c r="P28" s="76">
        <f t="shared" si="2"/>
        <v>33364.59815999998</v>
      </c>
      <c r="Q28" s="76">
        <f>SUM(Q16:Q27)</f>
        <v>-16252.030000000006</v>
      </c>
      <c r="R28" s="72"/>
      <c r="S28" s="72"/>
    </row>
    <row r="29" spans="1:17" ht="13.5" thickBot="1">
      <c r="A29" s="193" t="s">
        <v>122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423"/>
      <c r="P29" s="424"/>
      <c r="Q29" s="424"/>
    </row>
    <row r="30" spans="1:19" s="20" customFormat="1" ht="13.5" thickBot="1">
      <c r="A30" s="81" t="s">
        <v>54</v>
      </c>
      <c r="B30" s="38"/>
      <c r="C30" s="39">
        <f aca="true" t="shared" si="3" ref="C30:Q30">C28+C14</f>
        <v>1100046.894</v>
      </c>
      <c r="D30" s="39">
        <f t="shared" si="3"/>
        <v>98285.34012670004</v>
      </c>
      <c r="E30" s="39">
        <f t="shared" si="3"/>
        <v>909231.9300000002</v>
      </c>
      <c r="F30" s="39">
        <f t="shared" si="3"/>
        <v>97814.48000000001</v>
      </c>
      <c r="G30" s="39">
        <f>G28+G14</f>
        <v>841866.73</v>
      </c>
      <c r="H30" s="39">
        <f t="shared" si="3"/>
        <v>1037966.5501267</v>
      </c>
      <c r="I30" s="39">
        <f t="shared" si="3"/>
        <v>105374.63063999999</v>
      </c>
      <c r="J30" s="39">
        <f t="shared" si="3"/>
        <v>78537.4932</v>
      </c>
      <c r="K30" s="39">
        <f t="shared" si="3"/>
        <v>25355.192384200003</v>
      </c>
      <c r="L30" s="39">
        <f t="shared" si="3"/>
        <v>775122.2588026401</v>
      </c>
      <c r="M30" s="39">
        <f t="shared" si="3"/>
        <v>130046.3182</v>
      </c>
      <c r="N30" s="39">
        <f t="shared" si="3"/>
        <v>54860.3561693972</v>
      </c>
      <c r="O30" s="39">
        <f t="shared" si="3"/>
        <v>1063921.6187562374</v>
      </c>
      <c r="P30" s="39">
        <f t="shared" si="3"/>
        <v>79419.56201046267</v>
      </c>
      <c r="Q30" s="39">
        <f t="shared" si="3"/>
        <v>-67365.20000000001</v>
      </c>
      <c r="R30" s="73"/>
      <c r="S30" s="72"/>
    </row>
    <row r="32" spans="1:4" ht="12.75">
      <c r="A32" s="20" t="s">
        <v>70</v>
      </c>
      <c r="D32" s="85" t="s">
        <v>123</v>
      </c>
    </row>
    <row r="33" spans="1:4" ht="12.75">
      <c r="A33" s="317" t="s">
        <v>71</v>
      </c>
      <c r="B33" s="317" t="s">
        <v>72</v>
      </c>
      <c r="C33" s="438" t="s">
        <v>73</v>
      </c>
      <c r="D33" s="439"/>
    </row>
    <row r="34" spans="1:4" ht="12.75">
      <c r="A34" s="124">
        <v>240145.04</v>
      </c>
      <c r="B34" s="124">
        <v>221547.24</v>
      </c>
      <c r="C34" s="355">
        <f>A34-B34</f>
        <v>18597.800000000017</v>
      </c>
      <c r="D34" s="440"/>
    </row>
    <row r="35" ht="12.75">
      <c r="A35" s="46"/>
    </row>
    <row r="36" spans="1:7" ht="12.75">
      <c r="A36" s="239" t="s">
        <v>76</v>
      </c>
      <c r="G36" s="239" t="s">
        <v>77</v>
      </c>
    </row>
    <row r="37" ht="12.75">
      <c r="A37" s="238"/>
    </row>
    <row r="38" ht="12.75">
      <c r="A38" s="238"/>
    </row>
    <row r="39" ht="12.75">
      <c r="A39" s="239" t="s">
        <v>124</v>
      </c>
    </row>
    <row r="40" ht="12.75">
      <c r="A40" s="239" t="s">
        <v>78</v>
      </c>
    </row>
  </sheetData>
  <sheetProtection/>
  <mergeCells count="27">
    <mergeCell ref="N10:N11"/>
    <mergeCell ref="O10:O11"/>
    <mergeCell ref="A13:N13"/>
    <mergeCell ref="A29:N29"/>
    <mergeCell ref="C33:D33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2012-05-25T04:03:16Z</dcterms:modified>
  <cp:category/>
  <cp:version/>
  <cp:contentType/>
  <cp:contentStatus/>
</cp:coreProperties>
</file>