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<sst xmlns="http://schemas.openxmlformats.org/spreadsheetml/2006/main" count="303" uniqueCount="125">
  <si>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</si>
  <si>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</si>
  <si>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</si>
  <si>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</si>
  <si>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</si>
  <si>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</si>
  <si>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</si>
  <si>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</si>
  <si>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</si>
  <si>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</si>
  <si>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</si>
  <si>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</si>
  <si>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</si>
  <si>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</si>
  <si>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</si>
  <si>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</si>
  <si>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</si>
  <si>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</si>
  <si>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</si>
  <si>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</si>
  <si>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</si>
  <si>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</si>
  <si>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</si>
  <si>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</si>
  <si>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</si>
  <si>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</si>
  <si>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</si>
  <si>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</si>
  <si>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</si>
  <si>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</si>
  <si>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</si>
  <si>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</si>
  <si>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</si>
  <si>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</si>
  <si>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</si>
  <si>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</si>
  <si>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</si>
  <si>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</si>
  <si>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</si>
  <si>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</si>
  <si>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</si>
  <si>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</si>
  <si>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</si>
  <si>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</si>
  <si>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</si>
  <si>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</si>
  <si>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</si>
  <si>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</si>
  <si>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</si>
  <si>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</si>
  <si>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</si>
  <si>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</si>
  <si>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</si>
  <si>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</si>
  <si>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</si>
  <si>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</si>
  <si>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</si>
  <si>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</si>
  <si>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</si>
  <si>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</si>
  <si>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</si>
  <si>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</si>
  <si>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</si>
  <si>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</si>
  <si>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</si>
  <si>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</si>
  <si>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</si>
  <si>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</si>
  <si>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</si>
  <si>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</si>
  <si>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</si>
  <si>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</si>
  <si>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</si>
  <si>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</si>
  <si>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</si>
  <si>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</si>
  <si>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</si>
  <si>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</si>
  <si>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</si>
  <si>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</si>
  <si>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</si>
  <si>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</si>
  <si>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</si>
  <si>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</si>
  <si>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</si>
  <si>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</si>
  <si>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</si>
  <si>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</si>
  <si>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</si>
  <si>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Мира, д.33</t>
  </si>
  <si>
    <t>Выписка по лицевому счету по адресу г. Таштагол ул. Мира, д.33</t>
  </si>
  <si>
    <t>2010 год</t>
  </si>
  <si>
    <t>*по состоянию на 01.01.2011 г.</t>
  </si>
  <si>
    <t>на 01.01.2011 г.</t>
  </si>
  <si>
    <t>на начало отчетного периода</t>
  </si>
  <si>
    <t>Лицевой счет по адресу г. Таштагол, ул. 18 партсъезд, д.19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</si>
  <si>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</si>
  <si>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</si>
  <si>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</si>
  <si>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</si>
  <si>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</si>
  <si>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</si>
  <si>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</si>
  <si>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</si>
  <si>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</si>
  <si>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</si>
  <si>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</si>
  <si>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</si>
  <si>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</si>
  <si>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</si>
  <si>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</si>
  <si>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</si>
  <si>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</si>
  <si>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</si>
  <si>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</si>
  <si>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</si>
  <si>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</si>
  <si>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</si>
  <si>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</si>
  <si>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Доходы по нежилым помещениям</t>
  </si>
  <si>
    <t>Услуга начисления</t>
  </si>
  <si>
    <t>Расходы по нежилым помещениям</t>
  </si>
  <si>
    <t>*по состоянию на 01.01.2012 г.</t>
  </si>
  <si>
    <t>Исп. В.В. Колмогорова</t>
  </si>
  <si>
    <t>Выписка по лицевому счету по адресу г. Таштагол ул. Мира, д. 33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</si>
</sst>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4" fontId="0" fillId="35" borderId="34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1" fillId="38" borderId="57" xfId="0" applyFont="1" applyFill="1" applyBorder="1" applyAlignment="1">
      <alignment horizontal="center" vertical="center" wrapText="1"/>
    </xf>
    <xf numFmtId="0" fontId="1" fillId="38" borderId="5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34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35" borderId="37" xfId="0" applyFont="1" applyFill="1" applyBorder="1" applyAlignment="1">
      <alignment horizontal="center" textRotation="90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27" fillId="0" borderId="37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27" fillId="0" borderId="36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0" fontId="1" fillId="38" borderId="62" xfId="0" applyFont="1" applyFill="1" applyBorder="1" applyAlignment="1">
      <alignment horizontal="center" vertical="center" wrapText="1"/>
    </xf>
    <xf numFmtId="0" fontId="1" fillId="38" borderId="5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1" fillId="0" borderId="54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9" borderId="20" xfId="0" applyNumberFormat="1" applyFon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4" fontId="1" fillId="0" borderId="67" xfId="0" applyNumberFormat="1" applyFont="1" applyFill="1" applyBorder="1" applyAlignment="1">
      <alignment horizontal="right"/>
    </xf>
    <xf numFmtId="4" fontId="1" fillId="0" borderId="68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61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69" xfId="0" applyNumberFormat="1" applyFont="1" applyFill="1" applyBorder="1" applyAlignment="1">
      <alignment horizontal="center"/>
    </xf>
    <xf numFmtId="4" fontId="1" fillId="39" borderId="0" xfId="0" applyNumberFormat="1" applyFont="1" applyFill="1" applyBorder="1" applyAlignment="1">
      <alignment horizontal="right"/>
    </xf>
    <xf numFmtId="4" fontId="0" fillId="35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7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35" borderId="31" xfId="0" applyNumberFormat="1" applyFont="1" applyFill="1" applyBorder="1" applyAlignment="1">
      <alignment horizontal="center"/>
    </xf>
    <xf numFmtId="4" fontId="0" fillId="0" borderId="7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28" fillId="0" borderId="11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" fillId="0" borderId="69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28" fillId="0" borderId="34" xfId="0" applyFont="1" applyBorder="1" applyAlignment="1">
      <alignment wrapText="1"/>
    </xf>
    <xf numFmtId="2" fontId="29" fillId="34" borderId="13" xfId="0" applyNumberFormat="1" applyFont="1" applyFill="1" applyBorder="1" applyAlignment="1">
      <alignment horizontal="center"/>
    </xf>
    <xf numFmtId="0" fontId="2" fillId="0" borderId="58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4" fontId="0" fillId="34" borderId="71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29" fillId="0" borderId="13" xfId="0" applyNumberFormat="1" applyFont="1" applyFill="1" applyBorder="1" applyAlignment="1">
      <alignment/>
    </xf>
    <xf numFmtId="4" fontId="2" fillId="34" borderId="7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72" xfId="0" applyNumberFormat="1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0" fontId="1" fillId="0" borderId="37" xfId="0" applyFont="1" applyFill="1" applyBorder="1" applyAlignment="1">
      <alignment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2" fontId="1" fillId="0" borderId="36" xfId="0" applyNumberFormat="1" applyFont="1" applyFill="1" applyBorder="1" applyAlignment="1">
      <alignment horizontal="center" vertical="center" textRotation="90" wrapText="1"/>
    </xf>
    <xf numFmtId="2" fontId="1" fillId="0" borderId="45" xfId="0" applyNumberFormat="1" applyFont="1" applyFill="1" applyBorder="1" applyAlignment="1">
      <alignment horizontal="center" vertical="center" textRotation="90" wrapText="1"/>
    </xf>
    <xf numFmtId="2" fontId="1" fillId="0" borderId="72" xfId="0" applyNumberFormat="1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69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2" fontId="0" fillId="0" borderId="34" xfId="0" applyNumberFormat="1" applyFont="1" applyFill="1" applyBorder="1" applyAlignment="1">
      <alignment horizontal="center"/>
    </xf>
    <xf numFmtId="4" fontId="0" fillId="37" borderId="15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2;&#1080;&#1088;&#1072;,%2031%20&#1089;%202011%20&#1075;&#1086;&#1076;&#1086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2;&#1072;&#1082;&#1072;&#1088;&#1077;&#1085;&#1082;&#1086;,%202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2;&#1072;&#1082;&#1072;&#1088;&#1077;&#1085;&#1082;&#1086;,%2014%20%20&#1089;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2">
        <row r="10">
          <cell r="BG10">
            <v>-11983.349999999999</v>
          </cell>
        </row>
        <row r="11">
          <cell r="BG11">
            <v>-847.1800000000003</v>
          </cell>
        </row>
        <row r="12">
          <cell r="BG12">
            <v>2144.1100000000006</v>
          </cell>
        </row>
        <row r="13">
          <cell r="BG13">
            <v>271.92999999999665</v>
          </cell>
        </row>
        <row r="14">
          <cell r="BG14">
            <v>-9396.169999999995</v>
          </cell>
        </row>
        <row r="15">
          <cell r="BG15">
            <v>-913.8899999999958</v>
          </cell>
        </row>
        <row r="16">
          <cell r="BG16">
            <v>-5327.059999999998</v>
          </cell>
        </row>
        <row r="17">
          <cell r="BG17">
            <v>3788.619999999999</v>
          </cell>
        </row>
        <row r="18">
          <cell r="BG18">
            <v>-9979.420000000002</v>
          </cell>
        </row>
        <row r="19">
          <cell r="BG19">
            <v>2209.0000000000036</v>
          </cell>
        </row>
        <row r="20">
          <cell r="BG20">
            <v>2388.7299999999996</v>
          </cell>
        </row>
        <row r="21">
          <cell r="BG21">
            <v>2740.5599999999977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A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2 (2)"/>
      <sheetName val="2011 полн"/>
      <sheetName val="2011 печать"/>
    </sheetNames>
    <sheetDataSet>
      <sheetData sheetId="0">
        <row r="44">
          <cell r="AD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41">
          <cell r="I141">
            <v>100</v>
          </cell>
          <cell r="R141">
            <v>25</v>
          </cell>
        </row>
      </sheetData>
      <sheetData sheetId="1">
        <row r="142">
          <cell r="J142">
            <v>100</v>
          </cell>
          <cell r="S142">
            <v>25</v>
          </cell>
        </row>
      </sheetData>
      <sheetData sheetId="2">
        <row r="138">
          <cell r="J138">
            <v>2177.92</v>
          </cell>
          <cell r="S138">
            <v>399.455</v>
          </cell>
        </row>
        <row r="143">
          <cell r="J143">
            <v>100</v>
          </cell>
          <cell r="S143">
            <v>25</v>
          </cell>
        </row>
      </sheetData>
      <sheetData sheetId="3">
        <row r="139">
          <cell r="S139">
            <v>399.455</v>
          </cell>
        </row>
        <row r="145">
          <cell r="S145">
            <v>25</v>
          </cell>
        </row>
      </sheetData>
      <sheetData sheetId="4">
        <row r="137">
          <cell r="J137">
            <v>655.49</v>
          </cell>
          <cell r="S137">
            <v>399.455</v>
          </cell>
        </row>
        <row r="143">
          <cell r="J143">
            <v>100</v>
          </cell>
          <cell r="S143">
            <v>25</v>
          </cell>
        </row>
      </sheetData>
      <sheetData sheetId="5">
        <row r="137">
          <cell r="J137">
            <v>655.49</v>
          </cell>
          <cell r="S137">
            <v>399.455</v>
          </cell>
        </row>
        <row r="143">
          <cell r="J143">
            <v>100</v>
          </cell>
          <cell r="S143">
            <v>25</v>
          </cell>
        </row>
      </sheetData>
      <sheetData sheetId="6">
        <row r="137">
          <cell r="J137">
            <v>655.49</v>
          </cell>
          <cell r="S137">
            <v>399.455</v>
          </cell>
        </row>
        <row r="148">
          <cell r="J148">
            <v>100</v>
          </cell>
          <cell r="S148">
            <v>25</v>
          </cell>
        </row>
      </sheetData>
      <sheetData sheetId="7">
        <row r="137">
          <cell r="J137">
            <v>655.49</v>
          </cell>
          <cell r="S137">
            <v>399.455</v>
          </cell>
        </row>
        <row r="151">
          <cell r="J151">
            <v>100</v>
          </cell>
          <cell r="S151">
            <v>25</v>
          </cell>
        </row>
        <row r="220">
          <cell r="J220">
            <v>114</v>
          </cell>
          <cell r="S220">
            <v>28.5</v>
          </cell>
        </row>
      </sheetData>
      <sheetData sheetId="8">
        <row r="137">
          <cell r="J137">
            <v>655.49</v>
          </cell>
        </row>
        <row r="151">
          <cell r="J151">
            <v>100</v>
          </cell>
        </row>
        <row r="220">
          <cell r="J220">
            <v>114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39">
          <cell r="J139">
            <v>655.49</v>
          </cell>
        </row>
        <row r="145">
          <cell r="J145">
            <v>100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37">
          <cell r="J137">
            <v>655.49</v>
          </cell>
        </row>
        <row r="151">
          <cell r="J151">
            <v>100</v>
          </cell>
        </row>
        <row r="220">
          <cell r="J220">
            <v>114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137">
          <cell r="S137">
            <v>399.455</v>
          </cell>
        </row>
        <row r="151">
          <cell r="S151">
            <v>25</v>
          </cell>
        </row>
        <row r="220">
          <cell r="S220">
            <v>28.5</v>
          </cell>
        </row>
      </sheetData>
      <sheetData sheetId="10">
        <row r="151">
          <cell r="J151">
            <v>100</v>
          </cell>
          <cell r="S151">
            <v>25</v>
          </cell>
        </row>
        <row r="220">
          <cell r="J220">
            <v>114</v>
          </cell>
          <cell r="S220">
            <v>28.5</v>
          </cell>
        </row>
      </sheetData>
      <sheetData sheetId="11">
        <row r="175">
          <cell r="J175">
            <v>100</v>
          </cell>
          <cell r="S175">
            <v>25</v>
          </cell>
        </row>
        <row r="244">
          <cell r="J244">
            <v>114</v>
          </cell>
          <cell r="S244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O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3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39" t="s">
        <v>89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40" t="s">
        <v>0</v>
      </c>
      <c r="B3" s="143" t="s">
        <v>1</v>
      </c>
      <c r="C3" s="143" t="s">
        <v>2</v>
      </c>
      <c r="D3" s="143" t="s">
        <v>3</v>
      </c>
      <c r="E3" s="146" t="s">
        <v>4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63" t="s">
        <v>5</v>
      </c>
      <c r="T3" s="163"/>
      <c r="U3" s="164" t="s">
        <v>6</v>
      </c>
      <c r="V3" s="164"/>
      <c r="W3" s="164"/>
      <c r="X3" s="164"/>
      <c r="Y3" s="164"/>
      <c r="Z3" s="164"/>
      <c r="AA3" s="164"/>
      <c r="AB3" s="164"/>
      <c r="AC3" s="166" t="s">
        <v>87</v>
      </c>
      <c r="AD3" s="166" t="s">
        <v>8</v>
      </c>
      <c r="AE3" s="169" t="s">
        <v>9</v>
      </c>
      <c r="AF3" s="176" t="s">
        <v>75</v>
      </c>
      <c r="AG3" s="179" t="s">
        <v>10</v>
      </c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55" t="s">
        <v>76</v>
      </c>
      <c r="BD3" s="160" t="s">
        <v>11</v>
      </c>
      <c r="BE3" s="148" t="s">
        <v>12</v>
      </c>
    </row>
    <row r="4" spans="1:57" ht="36" customHeight="1" thickBot="1">
      <c r="A4" s="141"/>
      <c r="B4" s="144"/>
      <c r="C4" s="144"/>
      <c r="D4" s="144"/>
      <c r="E4" s="147" t="s">
        <v>13</v>
      </c>
      <c r="F4" s="147"/>
      <c r="G4" s="147" t="s">
        <v>14</v>
      </c>
      <c r="H4" s="147"/>
      <c r="I4" s="147" t="s">
        <v>15</v>
      </c>
      <c r="J4" s="147"/>
      <c r="K4" s="147" t="s">
        <v>16</v>
      </c>
      <c r="L4" s="147"/>
      <c r="M4" s="147" t="s">
        <v>17</v>
      </c>
      <c r="N4" s="147"/>
      <c r="O4" s="147" t="s">
        <v>18</v>
      </c>
      <c r="P4" s="147"/>
      <c r="Q4" s="147" t="s">
        <v>19</v>
      </c>
      <c r="R4" s="147"/>
      <c r="S4" s="147"/>
      <c r="T4" s="147"/>
      <c r="U4" s="165"/>
      <c r="V4" s="165"/>
      <c r="W4" s="165"/>
      <c r="X4" s="165"/>
      <c r="Y4" s="165"/>
      <c r="Z4" s="165"/>
      <c r="AA4" s="165"/>
      <c r="AB4" s="165"/>
      <c r="AC4" s="167"/>
      <c r="AD4" s="167"/>
      <c r="AE4" s="170"/>
      <c r="AF4" s="177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6"/>
      <c r="BD4" s="161"/>
      <c r="BE4" s="149"/>
    </row>
    <row r="5" spans="1:57" ht="29.25" customHeight="1" thickBot="1">
      <c r="A5" s="141"/>
      <c r="B5" s="144"/>
      <c r="C5" s="144"/>
      <c r="D5" s="144"/>
      <c r="E5" s="158" t="s">
        <v>20</v>
      </c>
      <c r="F5" s="158" t="s">
        <v>21</v>
      </c>
      <c r="G5" s="158" t="s">
        <v>20</v>
      </c>
      <c r="H5" s="158" t="s">
        <v>21</v>
      </c>
      <c r="I5" s="158" t="s">
        <v>20</v>
      </c>
      <c r="J5" s="158" t="s">
        <v>21</v>
      </c>
      <c r="K5" s="158" t="s">
        <v>20</v>
      </c>
      <c r="L5" s="158" t="s">
        <v>21</v>
      </c>
      <c r="M5" s="158" t="s">
        <v>20</v>
      </c>
      <c r="N5" s="158" t="s">
        <v>21</v>
      </c>
      <c r="O5" s="158" t="s">
        <v>20</v>
      </c>
      <c r="P5" s="158" t="s">
        <v>21</v>
      </c>
      <c r="Q5" s="158" t="s">
        <v>20</v>
      </c>
      <c r="R5" s="158" t="s">
        <v>21</v>
      </c>
      <c r="S5" s="158" t="s">
        <v>20</v>
      </c>
      <c r="T5" s="158" t="s">
        <v>21</v>
      </c>
      <c r="U5" s="172" t="s">
        <v>22</v>
      </c>
      <c r="V5" s="172" t="s">
        <v>23</v>
      </c>
      <c r="W5" s="172" t="s">
        <v>24</v>
      </c>
      <c r="X5" s="172" t="s">
        <v>25</v>
      </c>
      <c r="Y5" s="172" t="s">
        <v>26</v>
      </c>
      <c r="Z5" s="172" t="s">
        <v>27</v>
      </c>
      <c r="AA5" s="172" t="s">
        <v>28</v>
      </c>
      <c r="AB5" s="172" t="s">
        <v>29</v>
      </c>
      <c r="AC5" s="167"/>
      <c r="AD5" s="167"/>
      <c r="AE5" s="170"/>
      <c r="AF5" s="177"/>
      <c r="AG5" s="151" t="s">
        <v>30</v>
      </c>
      <c r="AH5" s="151" t="s">
        <v>31</v>
      </c>
      <c r="AI5" s="151" t="s">
        <v>32</v>
      </c>
      <c r="AJ5" s="151" t="s">
        <v>33</v>
      </c>
      <c r="AK5" s="151" t="s">
        <v>34</v>
      </c>
      <c r="AL5" s="151" t="s">
        <v>33</v>
      </c>
      <c r="AM5" s="151" t="s">
        <v>35</v>
      </c>
      <c r="AN5" s="151" t="s">
        <v>33</v>
      </c>
      <c r="AO5" s="151" t="s">
        <v>36</v>
      </c>
      <c r="AP5" s="151" t="s">
        <v>33</v>
      </c>
      <c r="AQ5" s="183" t="s">
        <v>80</v>
      </c>
      <c r="AR5" s="185" t="s">
        <v>33</v>
      </c>
      <c r="AS5" s="153" t="s">
        <v>81</v>
      </c>
      <c r="AT5" s="174" t="s">
        <v>82</v>
      </c>
      <c r="AU5" s="174" t="s">
        <v>33</v>
      </c>
      <c r="AV5" s="180" t="s">
        <v>83</v>
      </c>
      <c r="AW5" s="181"/>
      <c r="AX5" s="182"/>
      <c r="AY5" s="151" t="s">
        <v>19</v>
      </c>
      <c r="AZ5" s="151" t="s">
        <v>38</v>
      </c>
      <c r="BA5" s="151" t="s">
        <v>33</v>
      </c>
      <c r="BB5" s="151" t="s">
        <v>39</v>
      </c>
      <c r="BC5" s="156"/>
      <c r="BD5" s="161"/>
      <c r="BE5" s="149"/>
    </row>
    <row r="6" spans="1:57" ht="54" customHeight="1" thickBot="1">
      <c r="A6" s="142"/>
      <c r="B6" s="145"/>
      <c r="C6" s="145"/>
      <c r="D6" s="145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73"/>
      <c r="V6" s="173"/>
      <c r="W6" s="173"/>
      <c r="X6" s="173"/>
      <c r="Y6" s="173"/>
      <c r="Z6" s="173"/>
      <c r="AA6" s="173"/>
      <c r="AB6" s="173"/>
      <c r="AC6" s="168"/>
      <c r="AD6" s="168"/>
      <c r="AE6" s="171"/>
      <c r="AF6" s="178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84"/>
      <c r="AR6" s="186"/>
      <c r="AS6" s="154"/>
      <c r="AT6" s="175"/>
      <c r="AU6" s="175"/>
      <c r="AV6" s="113" t="s">
        <v>84</v>
      </c>
      <c r="AW6" s="113" t="s">
        <v>85</v>
      </c>
      <c r="AX6" s="113" t="s">
        <v>86</v>
      </c>
      <c r="AY6" s="152"/>
      <c r="AZ6" s="152"/>
      <c r="BA6" s="152"/>
      <c r="BB6" s="152"/>
      <c r="BC6" s="157"/>
      <c r="BD6" s="162"/>
      <c r="BE6" s="150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98">
        <v>3228</v>
      </c>
      <c r="C9" s="99">
        <f>B9*8.65</f>
        <v>27922.2</v>
      </c>
      <c r="D9" s="100">
        <f>C9*0.24088</f>
        <v>6725.899536000001</v>
      </c>
      <c r="E9" s="101">
        <v>2243.83</v>
      </c>
      <c r="F9" s="101">
        <v>459.52</v>
      </c>
      <c r="G9" s="101">
        <v>3029.25</v>
      </c>
      <c r="H9" s="101">
        <v>620.36</v>
      </c>
      <c r="I9" s="101">
        <v>7292.48</v>
      </c>
      <c r="J9" s="101">
        <v>1493.45</v>
      </c>
      <c r="K9" s="101">
        <v>5048.66</v>
      </c>
      <c r="L9" s="101">
        <v>1033.93</v>
      </c>
      <c r="M9" s="101">
        <v>1795.05</v>
      </c>
      <c r="N9" s="101">
        <v>367.6</v>
      </c>
      <c r="O9" s="101">
        <v>0</v>
      </c>
      <c r="P9" s="101">
        <v>0</v>
      </c>
      <c r="Q9" s="101">
        <v>0</v>
      </c>
      <c r="R9" s="101">
        <v>0</v>
      </c>
      <c r="S9" s="85">
        <f>E9+G9+I9+K9+M9+O9+Q9</f>
        <v>19409.27</v>
      </c>
      <c r="T9" s="102">
        <f>P9+N9+L9+J9+H9+F9+R9</f>
        <v>3974.8600000000006</v>
      </c>
      <c r="U9" s="85">
        <v>22.42</v>
      </c>
      <c r="V9" s="85">
        <v>30.26</v>
      </c>
      <c r="W9" s="85">
        <v>72.85</v>
      </c>
      <c r="X9" s="85">
        <v>50.44</v>
      </c>
      <c r="Y9" s="85">
        <v>17.93</v>
      </c>
      <c r="Z9" s="103">
        <v>0</v>
      </c>
      <c r="AA9" s="103">
        <v>0</v>
      </c>
      <c r="AB9" s="103">
        <f>SUM(U9:AA9)</f>
        <v>193.9</v>
      </c>
      <c r="AC9" s="104">
        <f>D9+T9+AB9</f>
        <v>10894.659536000001</v>
      </c>
      <c r="AD9" s="105">
        <f>P9+Z9</f>
        <v>0</v>
      </c>
      <c r="AE9" s="96">
        <f>R9+AA9</f>
        <v>0</v>
      </c>
      <c r="AF9" s="96"/>
      <c r="AG9" s="16">
        <f>0.6*B9</f>
        <v>1936.8</v>
      </c>
      <c r="AH9" s="16">
        <f>B9*0.2*1.05826</f>
        <v>683.212656</v>
      </c>
      <c r="AI9" s="16">
        <f>0.8518*B9</f>
        <v>2749.6104</v>
      </c>
      <c r="AJ9" s="16">
        <f>AI9*0.18</f>
        <v>494.929872</v>
      </c>
      <c r="AK9" s="16">
        <f>1.04*B9*0.9531</f>
        <v>3199.6710719999996</v>
      </c>
      <c r="AL9" s="16">
        <f>AK9*0.18</f>
        <v>575.94079296</v>
      </c>
      <c r="AM9" s="16">
        <f>(1.91)*B9*0.9531</f>
        <v>5876.318987999999</v>
      </c>
      <c r="AN9" s="16">
        <f>AM9*0.18</f>
        <v>1057.7374178399998</v>
      </c>
      <c r="AO9" s="16"/>
      <c r="AP9" s="16">
        <f>AO9*0.18</f>
        <v>0</v>
      </c>
      <c r="AQ9" s="111"/>
      <c r="AR9" s="111"/>
      <c r="AS9" s="91">
        <v>5668.56</v>
      </c>
      <c r="AT9" s="91"/>
      <c r="AU9" s="91">
        <f>(AS9+AT9)*0.18</f>
        <v>1020.3408000000001</v>
      </c>
      <c r="AV9" s="112"/>
      <c r="AW9" s="127"/>
      <c r="AX9" s="16">
        <f>AV9*AW9*1.12*1.18</f>
        <v>0</v>
      </c>
      <c r="AY9" s="114"/>
      <c r="AZ9" s="115"/>
      <c r="BA9" s="115">
        <f>AZ9*0.18</f>
        <v>0</v>
      </c>
      <c r="BB9" s="115">
        <f>SUM(AG9:BA9)-AV9-AW9</f>
        <v>23263.1219988</v>
      </c>
      <c r="BC9" s="125"/>
      <c r="BD9" s="14">
        <f>AC9-BB9</f>
        <v>-12368.4624628</v>
      </c>
      <c r="BE9" s="30">
        <f>AB9-S9</f>
        <v>-19215.37</v>
      </c>
    </row>
    <row r="10" spans="1:57" ht="12.75" hidden="1">
      <c r="A10" s="11" t="s">
        <v>42</v>
      </c>
      <c r="B10" s="98">
        <v>3228</v>
      </c>
      <c r="C10" s="99">
        <f>B10*8.65</f>
        <v>27922.2</v>
      </c>
      <c r="D10" s="100">
        <f>C10*0.24088</f>
        <v>6725.899536000001</v>
      </c>
      <c r="E10" s="101">
        <v>2213.66</v>
      </c>
      <c r="F10" s="101">
        <v>454.68</v>
      </c>
      <c r="G10" s="101">
        <v>2988.51</v>
      </c>
      <c r="H10" s="101">
        <v>613.84</v>
      </c>
      <c r="I10" s="101">
        <v>7194.37</v>
      </c>
      <c r="J10" s="101">
        <v>1477.73</v>
      </c>
      <c r="K10" s="101">
        <v>4980.75</v>
      </c>
      <c r="L10" s="101">
        <v>1023.03</v>
      </c>
      <c r="M10" s="101">
        <v>1770.89</v>
      </c>
      <c r="N10" s="101">
        <v>363.74</v>
      </c>
      <c r="O10" s="101">
        <v>0</v>
      </c>
      <c r="P10" s="101">
        <v>0</v>
      </c>
      <c r="Q10" s="85">
        <v>0</v>
      </c>
      <c r="R10" s="85">
        <v>0</v>
      </c>
      <c r="S10" s="85">
        <f>E10+G10+I10+K10+M10+O10+Q10</f>
        <v>19148.18</v>
      </c>
      <c r="T10" s="102">
        <f>P10+N10+L10+J10+H10+F10+R10</f>
        <v>3933.02</v>
      </c>
      <c r="U10" s="85">
        <v>1351.32</v>
      </c>
      <c r="V10" s="85">
        <v>1824.28</v>
      </c>
      <c r="W10" s="85">
        <v>4654.09</v>
      </c>
      <c r="X10" s="85">
        <v>3040.41</v>
      </c>
      <c r="Y10" s="85">
        <v>1081.02</v>
      </c>
      <c r="Z10" s="85">
        <v>0</v>
      </c>
      <c r="AA10" s="103">
        <v>0</v>
      </c>
      <c r="AB10" s="106">
        <f>SUM(U10:AA10)</f>
        <v>11951.12</v>
      </c>
      <c r="AC10" s="107">
        <f>D10+T10+AB10</f>
        <v>22610.039536000004</v>
      </c>
      <c r="AD10" s="96">
        <f>P10+Z10</f>
        <v>0</v>
      </c>
      <c r="AE10" s="96">
        <f>R10+AA10</f>
        <v>0</v>
      </c>
      <c r="AF10" s="96"/>
      <c r="AG10" s="16">
        <f>0.6*B10</f>
        <v>1936.8</v>
      </c>
      <c r="AH10" s="16">
        <f>B10*0.201</f>
        <v>648.8280000000001</v>
      </c>
      <c r="AI10" s="16">
        <f>0.8518*B10</f>
        <v>2749.6104</v>
      </c>
      <c r="AJ10" s="16">
        <f>AI10*0.18</f>
        <v>494.929872</v>
      </c>
      <c r="AK10" s="16">
        <f>1.04*B10*0.9531</f>
        <v>3199.6710719999996</v>
      </c>
      <c r="AL10" s="16">
        <f>AK10*0.18</f>
        <v>575.94079296</v>
      </c>
      <c r="AM10" s="16">
        <f>(1.91)*B10*0.9531</f>
        <v>5876.318987999999</v>
      </c>
      <c r="AN10" s="16">
        <f>AM10*0.18</f>
        <v>1057.7374178399998</v>
      </c>
      <c r="AO10" s="16"/>
      <c r="AP10" s="16">
        <f>AO10*0.18</f>
        <v>0</v>
      </c>
      <c r="AQ10" s="111"/>
      <c r="AR10" s="111"/>
      <c r="AS10" s="91">
        <v>1880</v>
      </c>
      <c r="AT10" s="91"/>
      <c r="AU10" s="91">
        <f>(AS10+AT10)*0.18</f>
        <v>338.4</v>
      </c>
      <c r="AV10" s="112"/>
      <c r="AW10" s="127"/>
      <c r="AX10" s="16">
        <f>AV10*AW10*1.12*1.18</f>
        <v>0</v>
      </c>
      <c r="AY10" s="114"/>
      <c r="AZ10" s="115"/>
      <c r="BA10" s="115">
        <f>AZ10*0.18</f>
        <v>0</v>
      </c>
      <c r="BB10" s="115">
        <f>SUM(AG10:BA10)-AV10-AW10</f>
        <v>18758.2365428</v>
      </c>
      <c r="BC10" s="125"/>
      <c r="BD10" s="14">
        <f>AC10-BB10</f>
        <v>3851.8029932000027</v>
      </c>
      <c r="BE10" s="30">
        <f>AB10-S10</f>
        <v>-7197.0599999999995</v>
      </c>
    </row>
    <row r="11" spans="1:57" ht="12.75" hidden="1">
      <c r="A11" s="11" t="s">
        <v>43</v>
      </c>
      <c r="B11" s="98">
        <v>3228</v>
      </c>
      <c r="C11" s="99">
        <f>B11*8.65</f>
        <v>27922.2</v>
      </c>
      <c r="D11" s="100">
        <f>C11*0.24035</f>
        <v>6711.10077</v>
      </c>
      <c r="E11" s="101">
        <v>2286.81</v>
      </c>
      <c r="F11" s="101">
        <v>448.45</v>
      </c>
      <c r="G11" s="101">
        <v>3087.26</v>
      </c>
      <c r="H11" s="101">
        <v>605.43</v>
      </c>
      <c r="I11" s="101">
        <v>7432.12</v>
      </c>
      <c r="J11" s="101">
        <v>1457.48</v>
      </c>
      <c r="K11" s="101">
        <v>5145.35</v>
      </c>
      <c r="L11" s="101">
        <v>1009.02</v>
      </c>
      <c r="M11" s="101">
        <v>1829.43</v>
      </c>
      <c r="N11" s="101">
        <v>358.75</v>
      </c>
      <c r="O11" s="101">
        <v>0</v>
      </c>
      <c r="P11" s="108">
        <v>0</v>
      </c>
      <c r="Q11" s="101">
        <v>0</v>
      </c>
      <c r="R11" s="108">
        <v>0</v>
      </c>
      <c r="S11" s="85">
        <f>E11+G11+I11+K11+M11+O11+Q11</f>
        <v>19780.97</v>
      </c>
      <c r="T11" s="102">
        <f>P11+N11+L11+J11+H11+F11+R11</f>
        <v>3879.1299999999997</v>
      </c>
      <c r="U11" s="85">
        <v>2548.7</v>
      </c>
      <c r="V11" s="85">
        <v>3440.94</v>
      </c>
      <c r="W11" s="85">
        <v>8049.03</v>
      </c>
      <c r="X11" s="85">
        <v>5734.71</v>
      </c>
      <c r="Y11" s="85">
        <v>2038.97</v>
      </c>
      <c r="Z11" s="85">
        <v>0</v>
      </c>
      <c r="AA11" s="103">
        <v>0</v>
      </c>
      <c r="AB11" s="106">
        <f>SUM(U11:AA11)</f>
        <v>21812.35</v>
      </c>
      <c r="AC11" s="107">
        <f>D11+T11+AB11</f>
        <v>32402.58077</v>
      </c>
      <c r="AD11" s="96">
        <f>P11+Z11</f>
        <v>0</v>
      </c>
      <c r="AE11" s="96">
        <f>R11+AA11</f>
        <v>0</v>
      </c>
      <c r="AF11" s="96"/>
      <c r="AG11" s="16">
        <f>0.6*B11</f>
        <v>1936.8</v>
      </c>
      <c r="AH11" s="16">
        <f>B11*0.2*1.02524</f>
        <v>661.894944</v>
      </c>
      <c r="AI11" s="16">
        <f>0.84932*B11</f>
        <v>2741.6049599999997</v>
      </c>
      <c r="AJ11" s="16">
        <f>AI11*0.18</f>
        <v>493.4888927999999</v>
      </c>
      <c r="AK11" s="16">
        <f>1.04*B11*0.95033</f>
        <v>3190.3718496</v>
      </c>
      <c r="AL11" s="16">
        <f>AK11*0.18</f>
        <v>574.266932928</v>
      </c>
      <c r="AM11" s="16">
        <f>(1.91)*B11*0.95033</f>
        <v>5859.2406083999995</v>
      </c>
      <c r="AN11" s="16">
        <f>AM11*0.18</f>
        <v>1054.6633095119998</v>
      </c>
      <c r="AO11" s="16"/>
      <c r="AP11" s="16">
        <f>AO11*0.18</f>
        <v>0</v>
      </c>
      <c r="AQ11" s="111"/>
      <c r="AR11" s="111"/>
      <c r="AS11" s="91"/>
      <c r="AT11" s="91"/>
      <c r="AU11" s="91">
        <f>(AS11+AT11)*0.18</f>
        <v>0</v>
      </c>
      <c r="AV11" s="112"/>
      <c r="AW11" s="127"/>
      <c r="AX11" s="16">
        <f>AV11*AW11*1.12*1.18</f>
        <v>0</v>
      </c>
      <c r="AY11" s="114"/>
      <c r="AZ11" s="115"/>
      <c r="BA11" s="115">
        <f>AZ11*0.18</f>
        <v>0</v>
      </c>
      <c r="BB11" s="115">
        <f>SUM(AG11:BA11)-AV11-AW11</f>
        <v>16512.33149724</v>
      </c>
      <c r="BC11" s="125"/>
      <c r="BD11" s="14">
        <f>AC11-BB11</f>
        <v>15890.24927276</v>
      </c>
      <c r="BE11" s="30">
        <f>AB11-S11</f>
        <v>2031.3799999999974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83766.6</v>
      </c>
      <c r="D12" s="60">
        <f t="shared" si="0"/>
        <v>20162.899842000003</v>
      </c>
      <c r="E12" s="57">
        <f>SUM(E9:E11)</f>
        <v>6744.299999999999</v>
      </c>
      <c r="F12" s="57">
        <f t="shared" si="0"/>
        <v>1362.65</v>
      </c>
      <c r="G12" s="57">
        <f t="shared" si="0"/>
        <v>9105.02</v>
      </c>
      <c r="H12" s="57">
        <f t="shared" si="0"/>
        <v>1839.63</v>
      </c>
      <c r="I12" s="57">
        <f t="shared" si="0"/>
        <v>21918.969999999998</v>
      </c>
      <c r="J12" s="57">
        <f t="shared" si="0"/>
        <v>4428.66</v>
      </c>
      <c r="K12" s="57">
        <f t="shared" si="0"/>
        <v>15174.76</v>
      </c>
      <c r="L12" s="57">
        <f t="shared" si="0"/>
        <v>3065.98</v>
      </c>
      <c r="M12" s="57">
        <f t="shared" si="0"/>
        <v>5395.37</v>
      </c>
      <c r="N12" s="57">
        <f t="shared" si="0"/>
        <v>1090.0900000000001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58338.42</v>
      </c>
      <c r="T12" s="57">
        <f t="shared" si="0"/>
        <v>11787.01</v>
      </c>
      <c r="U12" s="61">
        <f t="shared" si="0"/>
        <v>3922.4399999999996</v>
      </c>
      <c r="V12" s="61">
        <f t="shared" si="0"/>
        <v>5295.48</v>
      </c>
      <c r="W12" s="61">
        <f t="shared" si="0"/>
        <v>12775.970000000001</v>
      </c>
      <c r="X12" s="61">
        <f t="shared" si="0"/>
        <v>8825.56</v>
      </c>
      <c r="Y12" s="61">
        <f t="shared" si="0"/>
        <v>3137.92</v>
      </c>
      <c r="Z12" s="61">
        <f t="shared" si="0"/>
        <v>0</v>
      </c>
      <c r="AA12" s="61">
        <f t="shared" si="0"/>
        <v>0</v>
      </c>
      <c r="AB12" s="61">
        <f t="shared" si="0"/>
        <v>33957.369999999995</v>
      </c>
      <c r="AC12" s="61">
        <f t="shared" si="0"/>
        <v>65907.279842</v>
      </c>
      <c r="AD12" s="61">
        <f>SUM(AD9:AD11)</f>
        <v>0</v>
      </c>
      <c r="AE12" s="94">
        <f t="shared" si="0"/>
        <v>0</v>
      </c>
      <c r="AF12" s="94">
        <f t="shared" si="0"/>
        <v>0</v>
      </c>
      <c r="AG12" s="18">
        <f t="shared" si="0"/>
        <v>5810.4</v>
      </c>
      <c r="AH12" s="18">
        <f t="shared" si="0"/>
        <v>1993.9356000000002</v>
      </c>
      <c r="AI12" s="18">
        <f t="shared" si="0"/>
        <v>8240.82576</v>
      </c>
      <c r="AJ12" s="18">
        <f t="shared" si="0"/>
        <v>1483.3486368</v>
      </c>
      <c r="AK12" s="18">
        <f t="shared" si="0"/>
        <v>9589.713993599999</v>
      </c>
      <c r="AL12" s="18">
        <f t="shared" si="0"/>
        <v>1726.1485188479999</v>
      </c>
      <c r="AM12" s="18">
        <f>SUM(AM9:AM11)</f>
        <v>17611.878584399998</v>
      </c>
      <c r="AN12" s="18">
        <f>SUM(AN9:AN11)</f>
        <v>3170.1381451919997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7548.56</v>
      </c>
      <c r="AT12" s="18">
        <f>SUM(AT9:AT11)</f>
        <v>0</v>
      </c>
      <c r="AU12" s="18">
        <f>SUM(AU9:AU11)</f>
        <v>1358.7408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58533.690038839995</v>
      </c>
      <c r="BC12" s="18">
        <f t="shared" si="0"/>
        <v>0</v>
      </c>
      <c r="BD12" s="18">
        <f t="shared" si="0"/>
        <v>7373.589803160003</v>
      </c>
      <c r="BE12" s="19">
        <f t="shared" si="0"/>
        <v>-24381.050000000003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2"/>
      <c r="AD13" s="92"/>
      <c r="AE13" s="93"/>
      <c r="AF13" s="93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89"/>
      <c r="AT13" s="89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09">
        <v>3286.5</v>
      </c>
      <c r="C14" s="99">
        <f aca="true" t="shared" si="1" ref="C14:C25">B14*8.65</f>
        <v>28428.225000000002</v>
      </c>
      <c r="D14" s="100">
        <f>C14*0.125</f>
        <v>3553.5281250000003</v>
      </c>
      <c r="E14" s="101">
        <v>2275.75</v>
      </c>
      <c r="F14" s="101">
        <v>448.45</v>
      </c>
      <c r="G14" s="101">
        <v>3072.33</v>
      </c>
      <c r="H14" s="101">
        <v>605.43</v>
      </c>
      <c r="I14" s="101">
        <v>7396.2</v>
      </c>
      <c r="J14" s="101">
        <v>1457.48</v>
      </c>
      <c r="K14" s="101">
        <v>5120.47</v>
      </c>
      <c r="L14" s="101">
        <v>1009.02</v>
      </c>
      <c r="M14" s="101">
        <v>1820.58</v>
      </c>
      <c r="N14" s="101">
        <v>358.75</v>
      </c>
      <c r="O14" s="101">
        <v>0</v>
      </c>
      <c r="P14" s="108">
        <v>0</v>
      </c>
      <c r="Q14" s="101">
        <v>0</v>
      </c>
      <c r="R14" s="108">
        <v>0</v>
      </c>
      <c r="S14" s="85">
        <f aca="true" t="shared" si="2" ref="S14:S25">E14+G14+I14+K14+M14+O14+Q14</f>
        <v>19685.33</v>
      </c>
      <c r="T14" s="102">
        <f aca="true" t="shared" si="3" ref="T14:T25">P14+N14+L14+J14+H14+F14+R14</f>
        <v>3879.1299999999997</v>
      </c>
      <c r="U14" s="85">
        <v>1603</v>
      </c>
      <c r="V14" s="85">
        <v>2164.06</v>
      </c>
      <c r="W14" s="85">
        <v>5182.21</v>
      </c>
      <c r="X14" s="85">
        <v>3606.71</v>
      </c>
      <c r="Y14" s="85">
        <v>1282.38</v>
      </c>
      <c r="Z14" s="85">
        <v>0</v>
      </c>
      <c r="AA14" s="103">
        <v>0</v>
      </c>
      <c r="AB14" s="110">
        <f aca="true" t="shared" si="4" ref="AB14:AB22">SUM(U14:AA14)</f>
        <v>13838.36</v>
      </c>
      <c r="AC14" s="107">
        <f aca="true" t="shared" si="5" ref="AC14:AC22">D14+T14+AB14</f>
        <v>21271.018125000002</v>
      </c>
      <c r="AD14" s="96">
        <f aca="true" t="shared" si="6" ref="AD14:AD25">P14+Z14</f>
        <v>0</v>
      </c>
      <c r="AE14" s="96">
        <f aca="true" t="shared" si="7" ref="AE14:AE25">R14+AA14</f>
        <v>0</v>
      </c>
      <c r="AF14" s="96"/>
      <c r="AG14" s="16">
        <f>0.6*B14*0.9</f>
        <v>1774.7099999999998</v>
      </c>
      <c r="AH14" s="16">
        <f>B14*0.2*0.891</f>
        <v>585.6543</v>
      </c>
      <c r="AI14" s="16">
        <f>0.85*B14*0.867-0.02</f>
        <v>2421.966175</v>
      </c>
      <c r="AJ14" s="16">
        <f aca="true" t="shared" si="8" ref="AJ14:AJ25">AI14*0.18</f>
        <v>435.9539115</v>
      </c>
      <c r="AK14" s="16">
        <f>0.83*B14*0.8685</f>
        <v>2369.0899575000003</v>
      </c>
      <c r="AL14" s="16">
        <f aca="true" t="shared" si="9" ref="AL14:AL25">AK14*0.18</f>
        <v>426.43619235000006</v>
      </c>
      <c r="AM14" s="16">
        <f>1.91*B14*0.8686</f>
        <v>5452.388949</v>
      </c>
      <c r="AN14" s="16">
        <f aca="true" t="shared" si="10" ref="AN14:AN25">AM14*0.18</f>
        <v>981.43001082</v>
      </c>
      <c r="AO14" s="16"/>
      <c r="AP14" s="16">
        <f aca="true" t="shared" si="11" ref="AP14:AR25">AO14*0.18</f>
        <v>0</v>
      </c>
      <c r="AQ14" s="111"/>
      <c r="AR14" s="111">
        <f>AQ14*0.18</f>
        <v>0</v>
      </c>
      <c r="AS14" s="91">
        <v>1180</v>
      </c>
      <c r="AT14" s="91"/>
      <c r="AU14" s="91">
        <f>(AS14+AT14)*0.18+0.01</f>
        <v>212.41</v>
      </c>
      <c r="AV14" s="112">
        <v>508</v>
      </c>
      <c r="AW14" s="128">
        <v>1.75</v>
      </c>
      <c r="AX14" s="16">
        <f aca="true" t="shared" si="12" ref="AX14:AX25">AV14*AW14*1.12*1.18</f>
        <v>1174.9024</v>
      </c>
      <c r="AY14" s="114"/>
      <c r="AZ14" s="115"/>
      <c r="BA14" s="115">
        <f>AZ14*0.18</f>
        <v>0</v>
      </c>
      <c r="BB14" s="115">
        <f>SUM(AG14:AU14)</f>
        <v>15840.03949617</v>
      </c>
      <c r="BC14" s="125"/>
      <c r="BD14" s="14">
        <f>AC14+AF14-BB14-BC14</f>
        <v>5430.978628830002</v>
      </c>
      <c r="BE14" s="30">
        <f>AB14-S14</f>
        <v>-5846.970000000001</v>
      </c>
    </row>
    <row r="15" spans="1:57" ht="12.75" hidden="1">
      <c r="A15" s="11" t="s">
        <v>46</v>
      </c>
      <c r="B15" s="109">
        <v>3286.5</v>
      </c>
      <c r="C15" s="99">
        <f t="shared" si="1"/>
        <v>28428.225000000002</v>
      </c>
      <c r="D15" s="100">
        <f>C15*0.125</f>
        <v>3553.5281250000003</v>
      </c>
      <c r="E15" s="101">
        <v>2238.48</v>
      </c>
      <c r="F15" s="101">
        <v>452.05</v>
      </c>
      <c r="G15" s="101">
        <v>3022.03</v>
      </c>
      <c r="H15" s="101">
        <v>610.29</v>
      </c>
      <c r="I15" s="101">
        <v>7275.08</v>
      </c>
      <c r="J15" s="101">
        <v>1469.18</v>
      </c>
      <c r="K15" s="101">
        <v>5036.63</v>
      </c>
      <c r="L15" s="101">
        <v>1017.12</v>
      </c>
      <c r="M15" s="101">
        <v>1790.77</v>
      </c>
      <c r="N15" s="101">
        <v>361.63</v>
      </c>
      <c r="O15" s="101">
        <v>0</v>
      </c>
      <c r="P15" s="108">
        <v>0</v>
      </c>
      <c r="Q15" s="101">
        <v>0</v>
      </c>
      <c r="R15" s="108">
        <v>0</v>
      </c>
      <c r="S15" s="85">
        <f t="shared" si="2"/>
        <v>19362.99</v>
      </c>
      <c r="T15" s="102">
        <f t="shared" si="3"/>
        <v>3910.2700000000004</v>
      </c>
      <c r="U15" s="85">
        <v>1399.05</v>
      </c>
      <c r="V15" s="85">
        <v>1888.7</v>
      </c>
      <c r="W15" s="85">
        <v>4546.26</v>
      </c>
      <c r="X15" s="85">
        <v>3147.84</v>
      </c>
      <c r="Y15" s="85">
        <v>1119.19</v>
      </c>
      <c r="Z15" s="85">
        <v>0</v>
      </c>
      <c r="AA15" s="103">
        <v>0</v>
      </c>
      <c r="AB15" s="106">
        <f t="shared" si="4"/>
        <v>12101.04</v>
      </c>
      <c r="AC15" s="107">
        <f t="shared" si="5"/>
        <v>19564.838125000002</v>
      </c>
      <c r="AD15" s="96">
        <f t="shared" si="6"/>
        <v>0</v>
      </c>
      <c r="AE15" s="96">
        <f t="shared" si="7"/>
        <v>0</v>
      </c>
      <c r="AF15" s="96"/>
      <c r="AG15" s="16">
        <f>0.6*B15*0.9</f>
        <v>1774.7099999999998</v>
      </c>
      <c r="AH15" s="16">
        <f>B15*0.2*0.9153</f>
        <v>601.62669</v>
      </c>
      <c r="AI15" s="16">
        <f>0.85*B15*0.867</f>
        <v>2421.986175</v>
      </c>
      <c r="AJ15" s="16">
        <f t="shared" si="8"/>
        <v>435.9575115</v>
      </c>
      <c r="AK15" s="16">
        <f>0.83*B15*0.8684</f>
        <v>2368.817178</v>
      </c>
      <c r="AL15" s="16">
        <f t="shared" si="9"/>
        <v>426.38709203999997</v>
      </c>
      <c r="AM15" s="16">
        <f>(1.91)*B15*0.8684</f>
        <v>5451.133506</v>
      </c>
      <c r="AN15" s="16">
        <f t="shared" si="10"/>
        <v>981.2040310799999</v>
      </c>
      <c r="AO15" s="16"/>
      <c r="AP15" s="16">
        <f t="shared" si="11"/>
        <v>0</v>
      </c>
      <c r="AQ15" s="111"/>
      <c r="AR15" s="111">
        <f>AQ15*0.18</f>
        <v>0</v>
      </c>
      <c r="AS15" s="91">
        <v>15456</v>
      </c>
      <c r="AT15" s="91"/>
      <c r="AU15" s="91">
        <f aca="true" t="shared" si="13" ref="AU15:AU25">(AS15+AT15)*0.18</f>
        <v>2782.08</v>
      </c>
      <c r="AV15" s="112">
        <v>407</v>
      </c>
      <c r="AW15" s="128">
        <v>1.75</v>
      </c>
      <c r="AX15" s="16">
        <f t="shared" si="12"/>
        <v>941.3095999999999</v>
      </c>
      <c r="AY15" s="114"/>
      <c r="AZ15" s="115"/>
      <c r="BA15" s="115">
        <f>AZ15*0.18</f>
        <v>0</v>
      </c>
      <c r="BB15" s="115">
        <f>SUM(AG15:AU15)+AY15</f>
        <v>32699.902183620005</v>
      </c>
      <c r="BC15" s="121"/>
      <c r="BD15" s="14">
        <f aca="true" t="shared" si="14" ref="BD15:BD22">AC15+AF15-BB15-BC15</f>
        <v>-13135.064058620002</v>
      </c>
      <c r="BE15" s="30">
        <f aca="true" t="shared" si="15" ref="BE15:BE20">AB15-S15</f>
        <v>-7261.950000000001</v>
      </c>
    </row>
    <row r="16" spans="1:57" ht="12.75" hidden="1">
      <c r="A16" s="11" t="s">
        <v>47</v>
      </c>
      <c r="B16" s="122">
        <v>3286.5</v>
      </c>
      <c r="C16" s="99">
        <f t="shared" si="1"/>
        <v>28428.225000000002</v>
      </c>
      <c r="D16" s="100">
        <f>C16*0.125</f>
        <v>3553.5281250000003</v>
      </c>
      <c r="E16" s="101">
        <v>2243.11</v>
      </c>
      <c r="F16" s="101">
        <v>452.05</v>
      </c>
      <c r="G16" s="101">
        <v>3028.24</v>
      </c>
      <c r="H16" s="101">
        <v>610.29</v>
      </c>
      <c r="I16" s="101">
        <v>7290.07</v>
      </c>
      <c r="J16" s="101">
        <v>1469.18</v>
      </c>
      <c r="K16" s="101">
        <v>5047</v>
      </c>
      <c r="L16" s="101">
        <v>1017.12</v>
      </c>
      <c r="M16" s="101">
        <v>1794.48</v>
      </c>
      <c r="N16" s="101">
        <v>361.63</v>
      </c>
      <c r="O16" s="101">
        <v>0</v>
      </c>
      <c r="P16" s="108">
        <v>0</v>
      </c>
      <c r="Q16" s="101">
        <v>0</v>
      </c>
      <c r="R16" s="108">
        <v>0</v>
      </c>
      <c r="S16" s="85">
        <f t="shared" si="2"/>
        <v>19402.899999999998</v>
      </c>
      <c r="T16" s="102">
        <f t="shared" si="3"/>
        <v>3910.2700000000004</v>
      </c>
      <c r="U16" s="86">
        <v>2445.45</v>
      </c>
      <c r="V16" s="86">
        <v>3301.44</v>
      </c>
      <c r="W16" s="86">
        <v>7802.29</v>
      </c>
      <c r="X16" s="86">
        <v>5502.35</v>
      </c>
      <c r="Y16" s="86">
        <v>1920.57</v>
      </c>
      <c r="Z16" s="86">
        <v>0</v>
      </c>
      <c r="AA16" s="116">
        <v>0</v>
      </c>
      <c r="AB16" s="110">
        <f t="shared" si="4"/>
        <v>20972.1</v>
      </c>
      <c r="AC16" s="107">
        <f t="shared" si="5"/>
        <v>28435.898125</v>
      </c>
      <c r="AD16" s="96">
        <f t="shared" si="6"/>
        <v>0</v>
      </c>
      <c r="AE16" s="96">
        <f t="shared" si="7"/>
        <v>0</v>
      </c>
      <c r="AF16" s="96"/>
      <c r="AG16" s="16">
        <f>0.6*B16*0.9</f>
        <v>1774.7099999999998</v>
      </c>
      <c r="AH16" s="117">
        <f>B16*0.2*0.9082</f>
        <v>596.95986</v>
      </c>
      <c r="AI16" s="16">
        <f>0.85*B16*0.8675</f>
        <v>2423.3829375</v>
      </c>
      <c r="AJ16" s="16">
        <f t="shared" si="8"/>
        <v>436.20892875</v>
      </c>
      <c r="AK16" s="117">
        <f>0.83*B16*0.838</f>
        <v>2285.89221</v>
      </c>
      <c r="AL16" s="16">
        <f t="shared" si="9"/>
        <v>411.46059779999996</v>
      </c>
      <c r="AM16" s="16">
        <f>1.91*B16*0.8381</f>
        <v>5260.9338915</v>
      </c>
      <c r="AN16" s="16">
        <f t="shared" si="10"/>
        <v>946.96810047</v>
      </c>
      <c r="AO16" s="16"/>
      <c r="AP16" s="16">
        <f t="shared" si="11"/>
        <v>0</v>
      </c>
      <c r="AQ16" s="111"/>
      <c r="AR16" s="111">
        <f>AQ16*0.18</f>
        <v>0</v>
      </c>
      <c r="AS16" s="91">
        <v>10568</v>
      </c>
      <c r="AT16" s="91"/>
      <c r="AU16" s="91">
        <f t="shared" si="13"/>
        <v>1902.24</v>
      </c>
      <c r="AV16" s="112">
        <v>383</v>
      </c>
      <c r="AW16" s="128">
        <v>1.75</v>
      </c>
      <c r="AX16" s="16">
        <f t="shared" si="12"/>
        <v>885.8024</v>
      </c>
      <c r="AY16" s="114"/>
      <c r="AZ16" s="115"/>
      <c r="BA16" s="115">
        <f>AZ16*0.18</f>
        <v>0</v>
      </c>
      <c r="BB16" s="115">
        <f>SUM(AG16:AU16)</f>
        <v>26606.756526020003</v>
      </c>
      <c r="BC16" s="121"/>
      <c r="BD16" s="14">
        <f t="shared" si="14"/>
        <v>1829.141598979997</v>
      </c>
      <c r="BE16" s="30">
        <f t="shared" si="15"/>
        <v>1569.2000000000007</v>
      </c>
    </row>
    <row r="17" spans="1:57" ht="12.75" hidden="1">
      <c r="A17" s="11" t="s">
        <v>48</v>
      </c>
      <c r="B17" s="118">
        <v>3286.5</v>
      </c>
      <c r="C17" s="99">
        <f t="shared" si="1"/>
        <v>28428.225000000002</v>
      </c>
      <c r="D17" s="100">
        <f>C17*0.125</f>
        <v>3553.5281250000003</v>
      </c>
      <c r="E17" s="119">
        <v>2382.33</v>
      </c>
      <c r="F17" s="119">
        <v>452.05</v>
      </c>
      <c r="G17" s="119">
        <v>3216.21</v>
      </c>
      <c r="H17" s="119">
        <v>610.29</v>
      </c>
      <c r="I17" s="119">
        <v>7742.61</v>
      </c>
      <c r="J17" s="119">
        <v>1469.18</v>
      </c>
      <c r="K17" s="119">
        <v>5360.3</v>
      </c>
      <c r="L17" s="119">
        <v>1017.12</v>
      </c>
      <c r="M17" s="119">
        <v>1905.87</v>
      </c>
      <c r="N17" s="119">
        <v>361.63</v>
      </c>
      <c r="O17" s="119">
        <v>0</v>
      </c>
      <c r="P17" s="120">
        <v>0</v>
      </c>
      <c r="Q17" s="119">
        <v>0</v>
      </c>
      <c r="R17" s="120">
        <v>0</v>
      </c>
      <c r="S17" s="85">
        <f t="shared" si="2"/>
        <v>20607.32</v>
      </c>
      <c r="T17" s="102">
        <f t="shared" si="3"/>
        <v>3910.2700000000004</v>
      </c>
      <c r="U17" s="85">
        <v>2208.4</v>
      </c>
      <c r="V17" s="85">
        <v>2981.48</v>
      </c>
      <c r="W17" s="85">
        <v>7104.55</v>
      </c>
      <c r="X17" s="85">
        <v>4968.95</v>
      </c>
      <c r="Y17" s="85">
        <v>1802.54</v>
      </c>
      <c r="Z17" s="85">
        <v>0</v>
      </c>
      <c r="AA17" s="85">
        <v>0</v>
      </c>
      <c r="AB17" s="110">
        <f t="shared" si="4"/>
        <v>19065.920000000002</v>
      </c>
      <c r="AC17" s="107">
        <f t="shared" si="5"/>
        <v>26529.718125000003</v>
      </c>
      <c r="AD17" s="96">
        <f t="shared" si="6"/>
        <v>0</v>
      </c>
      <c r="AE17" s="96">
        <f t="shared" si="7"/>
        <v>0</v>
      </c>
      <c r="AF17" s="96"/>
      <c r="AG17" s="16">
        <f>0.6*B17*0.9</f>
        <v>1774.7099999999998</v>
      </c>
      <c r="AH17" s="117">
        <f>B17*0.2*0.9234</f>
        <v>606.95082</v>
      </c>
      <c r="AI17" s="16">
        <f>0.85*B17*0.8934</f>
        <v>2495.735235</v>
      </c>
      <c r="AJ17" s="16">
        <f t="shared" si="8"/>
        <v>449.2323423</v>
      </c>
      <c r="AK17" s="16">
        <f>0.83*B17*0.8498</f>
        <v>2318.080191</v>
      </c>
      <c r="AL17" s="16">
        <f t="shared" si="9"/>
        <v>417.25443437999996</v>
      </c>
      <c r="AM17" s="16">
        <f>(1.91)*B17*0.8498</f>
        <v>5334.377307</v>
      </c>
      <c r="AN17" s="16">
        <f t="shared" si="10"/>
        <v>960.18791526</v>
      </c>
      <c r="AO17" s="16"/>
      <c r="AP17" s="16">
        <f t="shared" si="11"/>
        <v>0</v>
      </c>
      <c r="AQ17" s="111"/>
      <c r="AR17" s="111">
        <f t="shared" si="11"/>
        <v>0</v>
      </c>
      <c r="AS17" s="91">
        <v>510</v>
      </c>
      <c r="AT17" s="91"/>
      <c r="AU17" s="91">
        <f t="shared" si="13"/>
        <v>91.8</v>
      </c>
      <c r="AV17" s="112">
        <v>307</v>
      </c>
      <c r="AW17" s="128">
        <v>1.75</v>
      </c>
      <c r="AX17" s="16">
        <f t="shared" si="12"/>
        <v>710.0296</v>
      </c>
      <c r="AY17"/>
      <c r="AZ17" s="115"/>
      <c r="BA17" s="115">
        <f>AZ17*0.18</f>
        <v>0</v>
      </c>
      <c r="BB17" s="115">
        <f>SUM(AG17:BA17)-AV17-AW17+AX14+AX15+AX16</f>
        <v>18670.372244939997</v>
      </c>
      <c r="BC17" s="121"/>
      <c r="BD17" s="14">
        <f t="shared" si="14"/>
        <v>7859.345880060006</v>
      </c>
      <c r="BE17" s="30">
        <f t="shared" si="15"/>
        <v>-1541.3999999999978</v>
      </c>
    </row>
    <row r="18" spans="1:57" ht="12.75" hidden="1">
      <c r="A18" s="11" t="s">
        <v>49</v>
      </c>
      <c r="B18" s="122">
        <v>3286.5</v>
      </c>
      <c r="C18" s="99">
        <f t="shared" si="1"/>
        <v>28428.225000000002</v>
      </c>
      <c r="D18" s="123">
        <f aca="true" t="shared" si="16" ref="D18:D25">C18-E18-F18-G18-H18-I18-J18-K18-L18-M18-N18</f>
        <v>2758.2750000000024</v>
      </c>
      <c r="E18" s="119">
        <v>2433.54</v>
      </c>
      <c r="F18" s="119">
        <v>529.41</v>
      </c>
      <c r="G18" s="119">
        <v>3295.8</v>
      </c>
      <c r="H18" s="119">
        <v>717.64</v>
      </c>
      <c r="I18" s="119">
        <v>7919.58</v>
      </c>
      <c r="J18" s="119">
        <v>1723.5</v>
      </c>
      <c r="K18" s="119">
        <v>5486.02</v>
      </c>
      <c r="L18" s="119">
        <v>1194.12</v>
      </c>
      <c r="M18" s="119">
        <v>1946.83</v>
      </c>
      <c r="N18" s="119">
        <v>423.51</v>
      </c>
      <c r="O18" s="119">
        <v>0</v>
      </c>
      <c r="P18" s="120">
        <v>0</v>
      </c>
      <c r="Q18" s="119">
        <v>0</v>
      </c>
      <c r="R18" s="120">
        <v>0</v>
      </c>
      <c r="S18" s="85">
        <f t="shared" si="2"/>
        <v>21081.770000000004</v>
      </c>
      <c r="T18" s="102">
        <f t="shared" si="3"/>
        <v>4588.18</v>
      </c>
      <c r="U18" s="86">
        <v>2153.75</v>
      </c>
      <c r="V18" s="86">
        <v>2907.61</v>
      </c>
      <c r="W18" s="86">
        <v>7218.09</v>
      </c>
      <c r="X18" s="86">
        <v>4846.01</v>
      </c>
      <c r="Y18" s="86">
        <v>1723.02</v>
      </c>
      <c r="Z18" s="86">
        <v>0</v>
      </c>
      <c r="AA18" s="116">
        <v>0</v>
      </c>
      <c r="AB18" s="110">
        <f t="shared" si="4"/>
        <v>18848.48</v>
      </c>
      <c r="AC18" s="107">
        <f t="shared" si="5"/>
        <v>26194.935</v>
      </c>
      <c r="AD18" s="96">
        <f t="shared" si="6"/>
        <v>0</v>
      </c>
      <c r="AE18" s="96">
        <f t="shared" si="7"/>
        <v>0</v>
      </c>
      <c r="AF18" s="96"/>
      <c r="AG18" s="16">
        <f aca="true" t="shared" si="17" ref="AG18:AG25">0.6*B18</f>
        <v>1971.8999999999999</v>
      </c>
      <c r="AH18" s="16">
        <f>B18*0.2*1.01</f>
        <v>663.873</v>
      </c>
      <c r="AI18" s="16">
        <f>0.85*B18</f>
        <v>2793.525</v>
      </c>
      <c r="AJ18" s="16">
        <f t="shared" si="8"/>
        <v>502.8345</v>
      </c>
      <c r="AK18" s="16">
        <f>0.83*B18</f>
        <v>2727.795</v>
      </c>
      <c r="AL18" s="16">
        <f t="shared" si="9"/>
        <v>491.0031</v>
      </c>
      <c r="AM18" s="16">
        <f>(1.91)*B18</f>
        <v>6277.215</v>
      </c>
      <c r="AN18" s="16">
        <f t="shared" si="10"/>
        <v>1129.8987</v>
      </c>
      <c r="AO18" s="16"/>
      <c r="AP18" s="16">
        <f t="shared" si="11"/>
        <v>0</v>
      </c>
      <c r="AQ18" s="111"/>
      <c r="AR18" s="111">
        <f t="shared" si="11"/>
        <v>0</v>
      </c>
      <c r="AS18" s="91"/>
      <c r="AT18" s="91"/>
      <c r="AU18" s="91">
        <f t="shared" si="13"/>
        <v>0</v>
      </c>
      <c r="AV18" s="112">
        <v>263</v>
      </c>
      <c r="AW18" s="128">
        <v>1.75</v>
      </c>
      <c r="AX18" s="16">
        <f t="shared" si="12"/>
        <v>608.2664</v>
      </c>
      <c r="AY18" s="114"/>
      <c r="AZ18" s="115"/>
      <c r="BA18" s="115">
        <f aca="true" t="shared" si="18" ref="BA18:BA25">AZ18*0.18</f>
        <v>0</v>
      </c>
      <c r="BB18" s="115">
        <f>SUM(AG18:BA18)-AV18-AW18</f>
        <v>17166.3107</v>
      </c>
      <c r="BC18" s="121"/>
      <c r="BD18" s="14">
        <f t="shared" si="14"/>
        <v>9028.6243</v>
      </c>
      <c r="BE18" s="30">
        <f t="shared" si="15"/>
        <v>-2233.2900000000045</v>
      </c>
    </row>
    <row r="19" spans="1:57" ht="12.75" hidden="1">
      <c r="A19" s="11" t="s">
        <v>50</v>
      </c>
      <c r="B19" s="122">
        <v>3286.5</v>
      </c>
      <c r="C19" s="99">
        <f t="shared" si="1"/>
        <v>28428.225000000002</v>
      </c>
      <c r="D19" s="123">
        <f t="shared" si="16"/>
        <v>2413.225000000002</v>
      </c>
      <c r="E19" s="119">
        <v>2473.41</v>
      </c>
      <c r="F19" s="119">
        <v>529.41</v>
      </c>
      <c r="G19" s="119">
        <v>3349.7</v>
      </c>
      <c r="H19" s="119">
        <v>717.64</v>
      </c>
      <c r="I19" s="119">
        <v>8049.2</v>
      </c>
      <c r="J19" s="119">
        <v>1723.5</v>
      </c>
      <c r="K19" s="119">
        <v>5575.78</v>
      </c>
      <c r="L19" s="119">
        <v>1194.12</v>
      </c>
      <c r="M19" s="119">
        <v>1978.73</v>
      </c>
      <c r="N19" s="119">
        <v>423.51</v>
      </c>
      <c r="O19" s="119">
        <v>0</v>
      </c>
      <c r="P19" s="120">
        <v>0</v>
      </c>
      <c r="Q19" s="119">
        <v>0</v>
      </c>
      <c r="R19" s="120">
        <v>0</v>
      </c>
      <c r="S19" s="85">
        <f t="shared" si="2"/>
        <v>21426.82</v>
      </c>
      <c r="T19" s="102">
        <f t="shared" si="3"/>
        <v>4588.18</v>
      </c>
      <c r="U19" s="86">
        <v>2034.2</v>
      </c>
      <c r="V19" s="86">
        <v>2754.3</v>
      </c>
      <c r="W19" s="86">
        <v>6619.41</v>
      </c>
      <c r="X19" s="86">
        <v>4585</v>
      </c>
      <c r="Y19" s="86">
        <v>1627.36</v>
      </c>
      <c r="Z19" s="86">
        <v>0</v>
      </c>
      <c r="AA19" s="116">
        <v>0</v>
      </c>
      <c r="AB19" s="110">
        <f t="shared" si="4"/>
        <v>17620.27</v>
      </c>
      <c r="AC19" s="107">
        <f t="shared" si="5"/>
        <v>24621.675000000003</v>
      </c>
      <c r="AD19" s="96">
        <f t="shared" si="6"/>
        <v>0</v>
      </c>
      <c r="AE19" s="96">
        <f t="shared" si="7"/>
        <v>0</v>
      </c>
      <c r="AF19" s="96"/>
      <c r="AG19" s="16">
        <f t="shared" si="17"/>
        <v>1971.8999999999999</v>
      </c>
      <c r="AH19" s="16">
        <f>B19*0.2*1.01045</f>
        <v>664.1687850000001</v>
      </c>
      <c r="AI19" s="16">
        <f>0.85*B19</f>
        <v>2793.525</v>
      </c>
      <c r="AJ19" s="16">
        <f t="shared" si="8"/>
        <v>502.8345</v>
      </c>
      <c r="AK19" s="16">
        <f>0.83*B19</f>
        <v>2727.795</v>
      </c>
      <c r="AL19" s="16">
        <f t="shared" si="9"/>
        <v>491.0031</v>
      </c>
      <c r="AM19" s="16">
        <f>(1.91)*B19</f>
        <v>6277.215</v>
      </c>
      <c r="AN19" s="16">
        <f t="shared" si="10"/>
        <v>1129.8987</v>
      </c>
      <c r="AO19" s="16"/>
      <c r="AP19" s="16">
        <f t="shared" si="11"/>
        <v>0</v>
      </c>
      <c r="AQ19" s="111"/>
      <c r="AR19" s="111">
        <f t="shared" si="11"/>
        <v>0</v>
      </c>
      <c r="AS19" s="91">
        <v>339.75</v>
      </c>
      <c r="AT19" s="91"/>
      <c r="AU19" s="91">
        <f t="shared" si="13"/>
        <v>61.155</v>
      </c>
      <c r="AV19" s="112">
        <v>233</v>
      </c>
      <c r="AW19" s="128">
        <v>1.75</v>
      </c>
      <c r="AX19" s="16">
        <f t="shared" si="12"/>
        <v>538.8824000000001</v>
      </c>
      <c r="AY19" s="114"/>
      <c r="AZ19" s="115"/>
      <c r="BA19" s="115">
        <f t="shared" si="18"/>
        <v>0</v>
      </c>
      <c r="BB19" s="115">
        <f>SUM(AG19:BA19)-AV19-AW19</f>
        <v>17498.127484999997</v>
      </c>
      <c r="BC19" s="121"/>
      <c r="BD19" s="14">
        <f t="shared" si="14"/>
        <v>7123.547515000006</v>
      </c>
      <c r="BE19" s="30">
        <f t="shared" si="15"/>
        <v>-3806.5499999999993</v>
      </c>
    </row>
    <row r="20" spans="1:57" ht="12.75" hidden="1">
      <c r="A20" s="11" t="s">
        <v>51</v>
      </c>
      <c r="B20" s="109">
        <v>3241.6</v>
      </c>
      <c r="C20" s="99">
        <f t="shared" si="1"/>
        <v>28039.84</v>
      </c>
      <c r="D20" s="123">
        <f t="shared" si="16"/>
        <v>5590.230000000001</v>
      </c>
      <c r="E20" s="119">
        <v>2060.21</v>
      </c>
      <c r="F20" s="119">
        <v>530.4</v>
      </c>
      <c r="G20" s="119">
        <v>2791.94</v>
      </c>
      <c r="H20" s="119">
        <v>718.98</v>
      </c>
      <c r="I20" s="119">
        <v>6706.41</v>
      </c>
      <c r="J20" s="119">
        <v>1726.72</v>
      </c>
      <c r="K20" s="119">
        <v>4646.17</v>
      </c>
      <c r="L20" s="119">
        <v>1196.34</v>
      </c>
      <c r="M20" s="119">
        <v>1648.14</v>
      </c>
      <c r="N20" s="119">
        <v>424.3</v>
      </c>
      <c r="O20" s="119">
        <v>0</v>
      </c>
      <c r="P20" s="120">
        <v>0</v>
      </c>
      <c r="Q20" s="119">
        <v>0</v>
      </c>
      <c r="R20" s="120">
        <v>0</v>
      </c>
      <c r="S20" s="85">
        <f t="shared" si="2"/>
        <v>17852.87</v>
      </c>
      <c r="T20" s="102">
        <f t="shared" si="3"/>
        <v>4596.74</v>
      </c>
      <c r="U20" s="86">
        <v>2517.93</v>
      </c>
      <c r="V20" s="86">
        <v>3408.94</v>
      </c>
      <c r="W20" s="86">
        <v>8193.01</v>
      </c>
      <c r="X20" s="86">
        <v>5674.96</v>
      </c>
      <c r="Y20" s="86">
        <v>2014.34</v>
      </c>
      <c r="Z20" s="86">
        <v>0</v>
      </c>
      <c r="AA20" s="116">
        <v>0</v>
      </c>
      <c r="AB20" s="110">
        <f t="shared" si="4"/>
        <v>21809.18</v>
      </c>
      <c r="AC20" s="107">
        <f t="shared" si="5"/>
        <v>31996.15</v>
      </c>
      <c r="AD20" s="96">
        <f t="shared" si="6"/>
        <v>0</v>
      </c>
      <c r="AE20" s="96">
        <f t="shared" si="7"/>
        <v>0</v>
      </c>
      <c r="AF20" s="96"/>
      <c r="AG20" s="16">
        <f t="shared" si="17"/>
        <v>1944.9599999999998</v>
      </c>
      <c r="AH20" s="16">
        <f>B20*0.2*0.99425</f>
        <v>644.59216</v>
      </c>
      <c r="AI20" s="16">
        <f>0.85*B20*0.9857</f>
        <v>2715.9583519999996</v>
      </c>
      <c r="AJ20" s="16">
        <f t="shared" si="8"/>
        <v>488.87250335999994</v>
      </c>
      <c r="AK20" s="16">
        <f>0.83*B20*0.9905</f>
        <v>2664.967984</v>
      </c>
      <c r="AL20" s="16">
        <f t="shared" si="9"/>
        <v>479.69423711999997</v>
      </c>
      <c r="AM20" s="16">
        <f>(1.91)*B20*0.9904</f>
        <v>6132.018022399999</v>
      </c>
      <c r="AN20" s="16">
        <f t="shared" si="10"/>
        <v>1103.7632440319996</v>
      </c>
      <c r="AO20" s="16"/>
      <c r="AP20" s="16">
        <f t="shared" si="11"/>
        <v>0</v>
      </c>
      <c r="AQ20" s="111"/>
      <c r="AR20" s="111">
        <f t="shared" si="11"/>
        <v>0</v>
      </c>
      <c r="AS20" s="91">
        <v>3667</v>
      </c>
      <c r="AT20" s="91"/>
      <c r="AU20" s="91">
        <f t="shared" si="13"/>
        <v>660.06</v>
      </c>
      <c r="AV20" s="112">
        <v>248</v>
      </c>
      <c r="AW20" s="128">
        <v>1.75</v>
      </c>
      <c r="AX20" s="16">
        <f t="shared" si="12"/>
        <v>573.5744</v>
      </c>
      <c r="AY20" s="114"/>
      <c r="AZ20" s="115"/>
      <c r="BA20" s="115">
        <f t="shared" si="18"/>
        <v>0</v>
      </c>
      <c r="BB20" s="115">
        <f>SUM(AG20:BA20)-AV20-AW20</f>
        <v>21075.460902911997</v>
      </c>
      <c r="BC20" s="121"/>
      <c r="BD20" s="14">
        <f t="shared" si="14"/>
        <v>10920.689097088005</v>
      </c>
      <c r="BE20" s="30">
        <f t="shared" si="15"/>
        <v>3956.3100000000013</v>
      </c>
    </row>
    <row r="21" spans="1:57" ht="12.75" hidden="1">
      <c r="A21" s="11" t="s">
        <v>52</v>
      </c>
      <c r="B21" s="98">
        <v>3241.6</v>
      </c>
      <c r="C21" s="99">
        <f t="shared" si="1"/>
        <v>28039.84</v>
      </c>
      <c r="D21" s="123">
        <f t="shared" si="16"/>
        <v>2831.6099999999983</v>
      </c>
      <c r="E21" s="119">
        <v>2379.2</v>
      </c>
      <c r="F21" s="119">
        <v>530.4</v>
      </c>
      <c r="G21" s="119">
        <v>3222.38</v>
      </c>
      <c r="H21" s="119">
        <v>718.98</v>
      </c>
      <c r="I21" s="119">
        <v>7742.9</v>
      </c>
      <c r="J21" s="119">
        <v>1726.72</v>
      </c>
      <c r="K21" s="119">
        <v>5363.66</v>
      </c>
      <c r="L21" s="119">
        <v>1196.34</v>
      </c>
      <c r="M21" s="119">
        <v>1903.35</v>
      </c>
      <c r="N21" s="119">
        <v>424.3</v>
      </c>
      <c r="O21" s="119">
        <v>0</v>
      </c>
      <c r="P21" s="120">
        <v>0</v>
      </c>
      <c r="Q21" s="86">
        <v>0</v>
      </c>
      <c r="R21" s="86">
        <v>0</v>
      </c>
      <c r="S21" s="85">
        <f t="shared" si="2"/>
        <v>20611.489999999998</v>
      </c>
      <c r="T21" s="102">
        <f t="shared" si="3"/>
        <v>4596.74</v>
      </c>
      <c r="U21" s="86">
        <v>2364.21</v>
      </c>
      <c r="V21" s="86">
        <v>3201.35</v>
      </c>
      <c r="W21" s="86">
        <v>7693.47</v>
      </c>
      <c r="X21" s="86">
        <v>5329.18</v>
      </c>
      <c r="Y21" s="86">
        <v>1891.38</v>
      </c>
      <c r="Z21" s="86">
        <v>0</v>
      </c>
      <c r="AA21" s="116">
        <v>0</v>
      </c>
      <c r="AB21" s="110">
        <f t="shared" si="4"/>
        <v>20479.59</v>
      </c>
      <c r="AC21" s="107">
        <f t="shared" si="5"/>
        <v>27907.94</v>
      </c>
      <c r="AD21" s="96">
        <f t="shared" si="6"/>
        <v>0</v>
      </c>
      <c r="AE21" s="96">
        <f t="shared" si="7"/>
        <v>0</v>
      </c>
      <c r="AF21" s="96"/>
      <c r="AG21" s="16">
        <f t="shared" si="17"/>
        <v>1944.9599999999998</v>
      </c>
      <c r="AH21" s="16">
        <f>B21*0.2*0.99875</f>
        <v>647.5096000000001</v>
      </c>
      <c r="AI21" s="16">
        <f>0.85*B21*0.98526</f>
        <v>2714.7459935999996</v>
      </c>
      <c r="AJ21" s="16">
        <f t="shared" si="8"/>
        <v>488.6542788479999</v>
      </c>
      <c r="AK21" s="16">
        <f>0.83*B21*0.99</f>
        <v>2663.62272</v>
      </c>
      <c r="AL21" s="16">
        <f t="shared" si="9"/>
        <v>479.45208959999997</v>
      </c>
      <c r="AM21" s="16">
        <f>(1.91)*B21*0.99</f>
        <v>6129.541439999999</v>
      </c>
      <c r="AN21" s="16">
        <f t="shared" si="10"/>
        <v>1103.3174591999998</v>
      </c>
      <c r="AO21" s="16"/>
      <c r="AP21" s="16">
        <f t="shared" si="11"/>
        <v>0</v>
      </c>
      <c r="AQ21" s="111"/>
      <c r="AR21" s="111">
        <f t="shared" si="11"/>
        <v>0</v>
      </c>
      <c r="AS21" s="91">
        <v>7503.87</v>
      </c>
      <c r="AT21" s="91"/>
      <c r="AU21" s="91">
        <f t="shared" si="13"/>
        <v>1350.6966</v>
      </c>
      <c r="AV21" s="112">
        <v>293</v>
      </c>
      <c r="AW21" s="128">
        <v>1.75</v>
      </c>
      <c r="AX21" s="16">
        <f t="shared" si="12"/>
        <v>677.6504000000001</v>
      </c>
      <c r="AY21" s="114"/>
      <c r="AZ21" s="115"/>
      <c r="BA21" s="115">
        <f t="shared" si="18"/>
        <v>0</v>
      </c>
      <c r="BB21" s="115">
        <f>SUM(AG21:BA21)-AV21-AW21</f>
        <v>25704.020581247994</v>
      </c>
      <c r="BC21" s="121"/>
      <c r="BD21" s="14">
        <f t="shared" si="14"/>
        <v>2203.9194187520043</v>
      </c>
      <c r="BE21" s="30">
        <f>AB21-S21</f>
        <v>-131.89999999999782</v>
      </c>
    </row>
    <row r="22" spans="1:57" ht="12.75" hidden="1">
      <c r="A22" s="11" t="s">
        <v>53</v>
      </c>
      <c r="B22" s="98">
        <v>3241.6</v>
      </c>
      <c r="C22" s="99">
        <f t="shared" si="1"/>
        <v>28039.84</v>
      </c>
      <c r="D22" s="123">
        <f t="shared" si="16"/>
        <v>2423.1699999999964</v>
      </c>
      <c r="E22" s="101">
        <v>2427.37</v>
      </c>
      <c r="F22" s="101">
        <v>529.36</v>
      </c>
      <c r="G22" s="101">
        <v>3287.65</v>
      </c>
      <c r="H22" s="101">
        <v>717.58</v>
      </c>
      <c r="I22" s="101">
        <v>7899.68</v>
      </c>
      <c r="J22" s="101">
        <v>1723.36</v>
      </c>
      <c r="K22" s="101">
        <v>5472.28</v>
      </c>
      <c r="L22" s="101">
        <v>1194.03</v>
      </c>
      <c r="M22" s="101">
        <v>1941.89</v>
      </c>
      <c r="N22" s="101">
        <v>423.47</v>
      </c>
      <c r="O22" s="101">
        <v>0</v>
      </c>
      <c r="P22" s="108">
        <v>0</v>
      </c>
      <c r="Q22" s="101">
        <v>0</v>
      </c>
      <c r="R22" s="108">
        <v>0</v>
      </c>
      <c r="S22" s="85">
        <f t="shared" si="2"/>
        <v>21028.87</v>
      </c>
      <c r="T22" s="102">
        <f t="shared" si="3"/>
        <v>4587.799999999999</v>
      </c>
      <c r="U22" s="85">
        <v>2063.76</v>
      </c>
      <c r="V22" s="85">
        <v>2795.25</v>
      </c>
      <c r="W22" s="85">
        <v>6716.36</v>
      </c>
      <c r="X22" s="85">
        <v>4652.58</v>
      </c>
      <c r="Y22" s="85">
        <v>1650.94</v>
      </c>
      <c r="Z22" s="85">
        <v>0</v>
      </c>
      <c r="AA22" s="103">
        <v>0</v>
      </c>
      <c r="AB22" s="110">
        <f t="shared" si="4"/>
        <v>17878.89</v>
      </c>
      <c r="AC22" s="107">
        <f t="shared" si="5"/>
        <v>24889.859999999993</v>
      </c>
      <c r="AD22" s="96">
        <f t="shared" si="6"/>
        <v>0</v>
      </c>
      <c r="AE22" s="96">
        <f t="shared" si="7"/>
        <v>0</v>
      </c>
      <c r="AF22" s="96"/>
      <c r="AG22" s="16">
        <f t="shared" si="17"/>
        <v>1944.9599999999998</v>
      </c>
      <c r="AH22" s="16">
        <f>B22*0.2*0.9997</f>
        <v>648.1255040000001</v>
      </c>
      <c r="AI22" s="16">
        <f>0.85*B22*0.98509</f>
        <v>2714.2775823999996</v>
      </c>
      <c r="AJ22" s="16">
        <f t="shared" si="8"/>
        <v>488.5699648319999</v>
      </c>
      <c r="AK22" s="16">
        <f>0.83*B22*0.98981</f>
        <v>2663.1115196799997</v>
      </c>
      <c r="AL22" s="16">
        <f t="shared" si="9"/>
        <v>479.3600735423999</v>
      </c>
      <c r="AM22" s="16">
        <f>(1.91)*B22*0.9898+0.01</f>
        <v>6128.3131488</v>
      </c>
      <c r="AN22" s="16">
        <f t="shared" si="10"/>
        <v>1103.0963667839999</v>
      </c>
      <c r="AO22" s="16"/>
      <c r="AP22" s="16">
        <f t="shared" si="11"/>
        <v>0</v>
      </c>
      <c r="AQ22" s="111"/>
      <c r="AR22" s="111">
        <f t="shared" si="11"/>
        <v>0</v>
      </c>
      <c r="AS22" s="91"/>
      <c r="AT22" s="91"/>
      <c r="AU22" s="91">
        <f t="shared" si="13"/>
        <v>0</v>
      </c>
      <c r="AV22" s="112">
        <v>349</v>
      </c>
      <c r="AW22" s="128">
        <v>1.75</v>
      </c>
      <c r="AX22" s="16">
        <f t="shared" si="12"/>
        <v>807.1672000000001</v>
      </c>
      <c r="AY22" s="114"/>
      <c r="AZ22" s="115"/>
      <c r="BA22" s="115">
        <f t="shared" si="18"/>
        <v>0</v>
      </c>
      <c r="BB22" s="115">
        <f>SUM(AG22:BA22)-AV22-AW22</f>
        <v>16976.981360038397</v>
      </c>
      <c r="BC22" s="121"/>
      <c r="BD22" s="14">
        <f t="shared" si="14"/>
        <v>7912.8786399615965</v>
      </c>
      <c r="BE22" s="30">
        <f>AB22-S22</f>
        <v>-3149.9799999999996</v>
      </c>
    </row>
    <row r="23" spans="1:57" ht="12.75" hidden="1">
      <c r="A23" s="11" t="s">
        <v>41</v>
      </c>
      <c r="B23" s="98">
        <v>3242.9</v>
      </c>
      <c r="C23" s="124">
        <f t="shared" si="1"/>
        <v>28051.085000000003</v>
      </c>
      <c r="D23" s="123">
        <f t="shared" si="16"/>
        <v>2421.235</v>
      </c>
      <c r="E23" s="87">
        <v>2427.59</v>
      </c>
      <c r="F23" s="85">
        <v>530.68</v>
      </c>
      <c r="G23" s="85">
        <v>3287.9</v>
      </c>
      <c r="H23" s="85">
        <v>719.38</v>
      </c>
      <c r="I23" s="85">
        <v>7900.33</v>
      </c>
      <c r="J23" s="85">
        <v>1727.66</v>
      </c>
      <c r="K23" s="85">
        <v>5472.72</v>
      </c>
      <c r="L23" s="85">
        <v>1197</v>
      </c>
      <c r="M23" s="85">
        <v>1942.07</v>
      </c>
      <c r="N23" s="85">
        <v>424.52</v>
      </c>
      <c r="O23" s="85">
        <v>0</v>
      </c>
      <c r="P23" s="103">
        <v>0</v>
      </c>
      <c r="Q23" s="85">
        <v>0</v>
      </c>
      <c r="R23" s="85">
        <v>0</v>
      </c>
      <c r="S23" s="85">
        <f t="shared" si="2"/>
        <v>21030.61</v>
      </c>
      <c r="T23" s="102">
        <f t="shared" si="3"/>
        <v>4599.240000000001</v>
      </c>
      <c r="U23" s="88">
        <f>1658.45+989.73</f>
        <v>2648.1800000000003</v>
      </c>
      <c r="V23" s="85">
        <f>2245.85+1339.82</f>
        <v>3585.67</v>
      </c>
      <c r="W23" s="85">
        <f>5396.97+3220.25</f>
        <v>8617.220000000001</v>
      </c>
      <c r="X23" s="85">
        <f>3738.57+2230.52</f>
        <v>5969.09</v>
      </c>
      <c r="Y23" s="85">
        <f>1326.75+791.76</f>
        <v>2118.51</v>
      </c>
      <c r="Z23" s="103">
        <v>0</v>
      </c>
      <c r="AA23" s="103">
        <v>0</v>
      </c>
      <c r="AB23" s="103">
        <f>SUM(U23:AA23)</f>
        <v>22938.670000000006</v>
      </c>
      <c r="AC23" s="107">
        <f>AB23+T23+D23</f>
        <v>29959.145000000008</v>
      </c>
      <c r="AD23" s="96">
        <f t="shared" si="6"/>
        <v>0</v>
      </c>
      <c r="AE23" s="96">
        <f t="shared" si="7"/>
        <v>0</v>
      </c>
      <c r="AF23" s="96"/>
      <c r="AG23" s="16">
        <f t="shared" si="17"/>
        <v>1945.74</v>
      </c>
      <c r="AH23" s="16">
        <f>B23*0.2</f>
        <v>648.58</v>
      </c>
      <c r="AI23" s="16">
        <f>0.847*B23</f>
        <v>2746.7363</v>
      </c>
      <c r="AJ23" s="16">
        <f t="shared" si="8"/>
        <v>494.412534</v>
      </c>
      <c r="AK23" s="16">
        <f>0.83*B23</f>
        <v>2691.607</v>
      </c>
      <c r="AL23" s="16">
        <f t="shared" si="9"/>
        <v>484.48926</v>
      </c>
      <c r="AM23" s="16">
        <f>(2.25/1.18)*B23</f>
        <v>6183.495762711865</v>
      </c>
      <c r="AN23" s="16">
        <f t="shared" si="10"/>
        <v>1113.0292372881356</v>
      </c>
      <c r="AO23" s="16"/>
      <c r="AP23" s="16">
        <f t="shared" si="11"/>
        <v>0</v>
      </c>
      <c r="AQ23" s="111">
        <f>3686.4+888.26</f>
        <v>4574.66</v>
      </c>
      <c r="AR23" s="111">
        <f t="shared" si="11"/>
        <v>823.4387999999999</v>
      </c>
      <c r="AS23" s="91">
        <v>865.46</v>
      </c>
      <c r="AT23" s="91"/>
      <c r="AU23" s="91">
        <f t="shared" si="13"/>
        <v>155.7828</v>
      </c>
      <c r="AV23" s="112">
        <v>425</v>
      </c>
      <c r="AW23" s="127">
        <v>1.75</v>
      </c>
      <c r="AX23" s="16">
        <f t="shared" si="12"/>
        <v>982.94</v>
      </c>
      <c r="AY23" s="114"/>
      <c r="AZ23" s="115"/>
      <c r="BA23" s="115">
        <f t="shared" si="18"/>
        <v>0</v>
      </c>
      <c r="BB23" s="115">
        <f>SUM(AG23:AU23)+AX23+AY23+AZ23+BA23</f>
        <v>23710.371694</v>
      </c>
      <c r="BC23" s="121"/>
      <c r="BD23" s="14">
        <f>AC23+AF23-BB23-BC23</f>
        <v>6248.773306000006</v>
      </c>
      <c r="BE23" s="30">
        <f>AB23-S23</f>
        <v>1908.060000000005</v>
      </c>
    </row>
    <row r="24" spans="1:57" ht="12.75" hidden="1">
      <c r="A24" s="11" t="s">
        <v>42</v>
      </c>
      <c r="B24" s="109">
        <v>3242.9</v>
      </c>
      <c r="C24" s="124">
        <f t="shared" si="1"/>
        <v>28051.085000000003</v>
      </c>
      <c r="D24" s="123">
        <f t="shared" si="16"/>
        <v>2405.955000000003</v>
      </c>
      <c r="E24" s="101">
        <v>2425.87</v>
      </c>
      <c r="F24" s="101">
        <v>534.19</v>
      </c>
      <c r="G24" s="101">
        <v>3285.49</v>
      </c>
      <c r="H24" s="101">
        <v>724.13</v>
      </c>
      <c r="I24" s="101">
        <v>7894.67</v>
      </c>
      <c r="J24" s="101">
        <v>1739.07</v>
      </c>
      <c r="K24" s="101">
        <v>5468.78</v>
      </c>
      <c r="L24" s="101">
        <v>1204.91</v>
      </c>
      <c r="M24" s="101">
        <v>1940.69</v>
      </c>
      <c r="N24" s="101">
        <v>427.33</v>
      </c>
      <c r="O24" s="101">
        <v>0</v>
      </c>
      <c r="P24" s="108">
        <v>0</v>
      </c>
      <c r="Q24" s="103">
        <v>0</v>
      </c>
      <c r="R24" s="103">
        <v>0</v>
      </c>
      <c r="S24" s="85">
        <f t="shared" si="2"/>
        <v>21015.499999999996</v>
      </c>
      <c r="T24" s="102">
        <f t="shared" si="3"/>
        <v>4629.63</v>
      </c>
      <c r="U24" s="85">
        <v>2306.64</v>
      </c>
      <c r="V24" s="85">
        <v>3123.91</v>
      </c>
      <c r="W24" s="85">
        <v>7506.48</v>
      </c>
      <c r="X24" s="85">
        <v>5199.71</v>
      </c>
      <c r="Y24" s="85">
        <v>1845.29</v>
      </c>
      <c r="Z24" s="85">
        <v>0</v>
      </c>
      <c r="AA24" s="103">
        <v>0</v>
      </c>
      <c r="AB24" s="103">
        <f>SUM(U24:AA24)</f>
        <v>19982.03</v>
      </c>
      <c r="AC24" s="107">
        <f>D24+T24+AB24</f>
        <v>27017.615</v>
      </c>
      <c r="AD24" s="96">
        <f t="shared" si="6"/>
        <v>0</v>
      </c>
      <c r="AE24" s="96">
        <f t="shared" si="7"/>
        <v>0</v>
      </c>
      <c r="AF24" s="96"/>
      <c r="AG24" s="16">
        <f t="shared" si="17"/>
        <v>1945.74</v>
      </c>
      <c r="AH24" s="16">
        <f>B24*0.2</f>
        <v>648.58</v>
      </c>
      <c r="AI24" s="16">
        <f>0.85*B24</f>
        <v>2756.465</v>
      </c>
      <c r="AJ24" s="16">
        <f t="shared" si="8"/>
        <v>496.1637</v>
      </c>
      <c r="AK24" s="16">
        <f>0.83*B24</f>
        <v>2691.607</v>
      </c>
      <c r="AL24" s="16">
        <f t="shared" si="9"/>
        <v>484.48926</v>
      </c>
      <c r="AM24" s="16">
        <f>(1.91)*B24</f>
        <v>6193.939</v>
      </c>
      <c r="AN24" s="16">
        <f t="shared" si="10"/>
        <v>1114.90902</v>
      </c>
      <c r="AO24" s="16"/>
      <c r="AP24" s="16">
        <f t="shared" si="11"/>
        <v>0</v>
      </c>
      <c r="AQ24" s="111"/>
      <c r="AR24" s="111">
        <f t="shared" si="11"/>
        <v>0</v>
      </c>
      <c r="AS24" s="91">
        <v>1484</v>
      </c>
      <c r="AT24" s="91"/>
      <c r="AU24" s="91">
        <f t="shared" si="13"/>
        <v>267.12</v>
      </c>
      <c r="AV24" s="112">
        <v>470</v>
      </c>
      <c r="AW24" s="127">
        <v>1.75</v>
      </c>
      <c r="AX24" s="16">
        <f t="shared" si="12"/>
        <v>1087.016</v>
      </c>
      <c r="AY24" s="114"/>
      <c r="AZ24" s="115"/>
      <c r="BA24" s="115">
        <f t="shared" si="18"/>
        <v>0</v>
      </c>
      <c r="BB24" s="115">
        <f>SUM(AG24:AU24)+AX24+AY24+AZ24+BA24</f>
        <v>19170.02898</v>
      </c>
      <c r="BC24" s="125"/>
      <c r="BD24" s="14">
        <f>AC24+AF24-BB24-BC24</f>
        <v>7847.5860200000025</v>
      </c>
      <c r="BE24" s="30">
        <f>AB24-S24</f>
        <v>-1033.4699999999975</v>
      </c>
    </row>
    <row r="25" spans="1:57" ht="12.75" hidden="1">
      <c r="A25" s="11" t="s">
        <v>43</v>
      </c>
      <c r="B25" s="98">
        <v>3242.9</v>
      </c>
      <c r="C25" s="124">
        <f t="shared" si="1"/>
        <v>28051.085000000003</v>
      </c>
      <c r="D25" s="123">
        <f t="shared" si="16"/>
        <v>3398.145000000006</v>
      </c>
      <c r="E25" s="101">
        <v>2330.46</v>
      </c>
      <c r="F25" s="101">
        <v>534.19</v>
      </c>
      <c r="G25" s="101">
        <v>3156.28</v>
      </c>
      <c r="H25" s="101">
        <v>724.13</v>
      </c>
      <c r="I25" s="101">
        <v>7418.51</v>
      </c>
      <c r="J25" s="101">
        <v>1739.07</v>
      </c>
      <c r="K25" s="101">
        <v>5253.69</v>
      </c>
      <c r="L25" s="101">
        <v>1204.91</v>
      </c>
      <c r="M25" s="101">
        <v>1864.37</v>
      </c>
      <c r="N25" s="101">
        <v>427.33</v>
      </c>
      <c r="O25" s="101">
        <v>0</v>
      </c>
      <c r="P25" s="108">
        <v>0</v>
      </c>
      <c r="Q25" s="108"/>
      <c r="R25" s="108"/>
      <c r="S25" s="85">
        <f t="shared" si="2"/>
        <v>20023.309999999998</v>
      </c>
      <c r="T25" s="102">
        <f t="shared" si="3"/>
        <v>4629.63</v>
      </c>
      <c r="U25" s="85">
        <v>2600.28</v>
      </c>
      <c r="V25" s="85">
        <v>3521.69</v>
      </c>
      <c r="W25" s="85">
        <v>8305.94</v>
      </c>
      <c r="X25" s="85">
        <v>5862.12</v>
      </c>
      <c r="Y25" s="85">
        <v>2080.21</v>
      </c>
      <c r="Z25" s="85">
        <v>0</v>
      </c>
      <c r="AA25" s="103">
        <v>0</v>
      </c>
      <c r="AB25" s="103">
        <f>SUM(U25:AA25)</f>
        <v>22370.239999999998</v>
      </c>
      <c r="AC25" s="107">
        <f>D25+T25+AB25</f>
        <v>30398.015000000003</v>
      </c>
      <c r="AD25" s="96">
        <f t="shared" si="6"/>
        <v>0</v>
      </c>
      <c r="AE25" s="96">
        <f t="shared" si="7"/>
        <v>0</v>
      </c>
      <c r="AF25" s="96"/>
      <c r="AG25" s="16">
        <f t="shared" si="17"/>
        <v>1945.74</v>
      </c>
      <c r="AH25" s="16">
        <f>B25*0.2</f>
        <v>648.58</v>
      </c>
      <c r="AI25" s="16">
        <f>0.85*B25</f>
        <v>2756.465</v>
      </c>
      <c r="AJ25" s="16">
        <f t="shared" si="8"/>
        <v>496.1637</v>
      </c>
      <c r="AK25" s="16">
        <f>0.83*B25</f>
        <v>2691.607</v>
      </c>
      <c r="AL25" s="16">
        <f t="shared" si="9"/>
        <v>484.48926</v>
      </c>
      <c r="AM25" s="16">
        <f>(1.91)*B25</f>
        <v>6193.939</v>
      </c>
      <c r="AN25" s="16">
        <f t="shared" si="10"/>
        <v>1114.90902</v>
      </c>
      <c r="AO25" s="16"/>
      <c r="AP25" s="16">
        <f t="shared" si="11"/>
        <v>0</v>
      </c>
      <c r="AQ25" s="111"/>
      <c r="AR25" s="111">
        <f t="shared" si="11"/>
        <v>0</v>
      </c>
      <c r="AS25" s="91">
        <v>913</v>
      </c>
      <c r="AT25" s="91"/>
      <c r="AU25" s="91">
        <f t="shared" si="13"/>
        <v>164.34</v>
      </c>
      <c r="AV25" s="112">
        <v>514</v>
      </c>
      <c r="AW25" s="127">
        <v>1.75</v>
      </c>
      <c r="AX25" s="16">
        <f t="shared" si="12"/>
        <v>1188.7792</v>
      </c>
      <c r="AY25" s="114"/>
      <c r="AZ25" s="115"/>
      <c r="BA25" s="115">
        <f t="shared" si="18"/>
        <v>0</v>
      </c>
      <c r="BB25" s="115">
        <f>SUM(AG25:BA25)-AV25-AW25</f>
        <v>18598.01218</v>
      </c>
      <c r="BC25" s="125"/>
      <c r="BD25" s="14">
        <f>AC25+AF25-BB25-BC25</f>
        <v>11800.002820000002</v>
      </c>
      <c r="BE25" s="30">
        <f>AB25-S25</f>
        <v>2346.9300000000003</v>
      </c>
    </row>
    <row r="26" spans="1:57" s="20" customFormat="1" ht="12.75" hidden="1">
      <c r="A26" s="17" t="s">
        <v>5</v>
      </c>
      <c r="B26" s="60"/>
      <c r="C26" s="60">
        <f aca="true" t="shared" si="19" ref="C26:BC26">SUM(C14:C25)</f>
        <v>338842.12500000006</v>
      </c>
      <c r="D26" s="60">
        <f t="shared" si="19"/>
        <v>38455.957500000004</v>
      </c>
      <c r="E26" s="57">
        <f t="shared" si="19"/>
        <v>28097.319999999996</v>
      </c>
      <c r="F26" s="57">
        <f t="shared" si="19"/>
        <v>6052.640000000001</v>
      </c>
      <c r="G26" s="57">
        <f t="shared" si="19"/>
        <v>38015.950000000004</v>
      </c>
      <c r="H26" s="57">
        <f t="shared" si="19"/>
        <v>8194.759999999998</v>
      </c>
      <c r="I26" s="57">
        <f t="shared" si="19"/>
        <v>91235.23999999999</v>
      </c>
      <c r="J26" s="57">
        <f t="shared" si="19"/>
        <v>19694.62</v>
      </c>
      <c r="K26" s="57">
        <f t="shared" si="19"/>
        <v>63303.5</v>
      </c>
      <c r="L26" s="57">
        <f t="shared" si="19"/>
        <v>13642.15</v>
      </c>
      <c r="M26" s="57">
        <f t="shared" si="19"/>
        <v>22477.769999999997</v>
      </c>
      <c r="N26" s="57">
        <f t="shared" si="19"/>
        <v>4841.910000000001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243129.77999999997</v>
      </c>
      <c r="T26" s="57">
        <f t="shared" si="19"/>
        <v>52426.079999999994</v>
      </c>
      <c r="U26" s="61">
        <f t="shared" si="19"/>
        <v>26344.85</v>
      </c>
      <c r="V26" s="61">
        <f t="shared" si="19"/>
        <v>35634.399999999994</v>
      </c>
      <c r="W26" s="61">
        <f t="shared" si="19"/>
        <v>85505.29</v>
      </c>
      <c r="X26" s="61">
        <f t="shared" si="19"/>
        <v>59344.5</v>
      </c>
      <c r="Y26" s="61">
        <f t="shared" si="19"/>
        <v>21075.730000000003</v>
      </c>
      <c r="Z26" s="61">
        <f t="shared" si="19"/>
        <v>0</v>
      </c>
      <c r="AA26" s="61">
        <f t="shared" si="19"/>
        <v>0</v>
      </c>
      <c r="AB26" s="61">
        <f t="shared" si="19"/>
        <v>227904.77000000002</v>
      </c>
      <c r="AC26" s="61">
        <f t="shared" si="19"/>
        <v>318786.80750000005</v>
      </c>
      <c r="AD26" s="61">
        <f t="shared" si="19"/>
        <v>0</v>
      </c>
      <c r="AE26" s="94">
        <f t="shared" si="19"/>
        <v>0</v>
      </c>
      <c r="AF26" s="94">
        <f t="shared" si="19"/>
        <v>0</v>
      </c>
      <c r="AG26" s="18">
        <f t="shared" si="19"/>
        <v>22714.74</v>
      </c>
      <c r="AH26" s="18">
        <f t="shared" si="19"/>
        <v>7605.200719</v>
      </c>
      <c r="AI26" s="18">
        <f t="shared" si="19"/>
        <v>31754.768750499996</v>
      </c>
      <c r="AJ26" s="18">
        <f t="shared" si="19"/>
        <v>5715.85837509</v>
      </c>
      <c r="AK26" s="18">
        <f t="shared" si="19"/>
        <v>30863.992760179997</v>
      </c>
      <c r="AL26" s="18">
        <f t="shared" si="19"/>
        <v>5555.518696832401</v>
      </c>
      <c r="AM26" s="18">
        <f t="shared" si="19"/>
        <v>71014.51002741186</v>
      </c>
      <c r="AN26" s="18">
        <f t="shared" si="19"/>
        <v>12782.611804934135</v>
      </c>
      <c r="AO26" s="18">
        <f t="shared" si="19"/>
        <v>0</v>
      </c>
      <c r="AP26" s="18">
        <f t="shared" si="19"/>
        <v>0</v>
      </c>
      <c r="AQ26" s="18">
        <f>SUM(AQ14:AQ25)</f>
        <v>4574.66</v>
      </c>
      <c r="AR26" s="18">
        <f>SUM(AR14:AR25)</f>
        <v>823.4387999999999</v>
      </c>
      <c r="AS26" s="18">
        <f>SUM(AS14:AS25)</f>
        <v>42487.08</v>
      </c>
      <c r="AT26" s="18">
        <f>SUM(AT14:AT25)</f>
        <v>0</v>
      </c>
      <c r="AU26" s="18">
        <f>SUM(AU14:AU25)</f>
        <v>7647.684399999999</v>
      </c>
      <c r="AV26" s="18"/>
      <c r="AW26" s="18"/>
      <c r="AX26" s="18">
        <f t="shared" si="19"/>
        <v>10176.32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253716.38433394837</v>
      </c>
      <c r="BC26" s="18">
        <f t="shared" si="19"/>
        <v>0</v>
      </c>
      <c r="BD26" s="18">
        <f>SUM(BD14:BD25)</f>
        <v>65070.423166051616</v>
      </c>
      <c r="BE26" s="19">
        <f>SUM(BE14:BE25)</f>
        <v>-15225.009999999991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5"/>
      <c r="AD27" s="95"/>
      <c r="AE27" s="96"/>
      <c r="AF27" s="96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0"/>
      <c r="AT27" s="90"/>
      <c r="AU27" s="91"/>
      <c r="AV27" s="91"/>
      <c r="AW27" s="91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422608.7250000001</v>
      </c>
      <c r="D28" s="23">
        <f>D12+D26</f>
        <v>58618.857342</v>
      </c>
      <c r="E28" s="50">
        <f aca="true" t="shared" si="20" ref="E28:BC28">E12+E26</f>
        <v>34841.619999999995</v>
      </c>
      <c r="F28" s="50">
        <f t="shared" si="20"/>
        <v>7415.290000000001</v>
      </c>
      <c r="G28" s="50">
        <f t="shared" si="20"/>
        <v>47120.97</v>
      </c>
      <c r="H28" s="50">
        <f t="shared" si="20"/>
        <v>10034.39</v>
      </c>
      <c r="I28" s="50">
        <f t="shared" si="20"/>
        <v>113154.20999999999</v>
      </c>
      <c r="J28" s="50">
        <f t="shared" si="20"/>
        <v>24123.28</v>
      </c>
      <c r="K28" s="50">
        <f t="shared" si="20"/>
        <v>78478.26</v>
      </c>
      <c r="L28" s="50">
        <f t="shared" si="20"/>
        <v>16708.13</v>
      </c>
      <c r="M28" s="50">
        <f t="shared" si="20"/>
        <v>27873.139999999996</v>
      </c>
      <c r="N28" s="50">
        <f>N12+N26</f>
        <v>5932.000000000001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301468.19999999995</v>
      </c>
      <c r="T28" s="50">
        <f t="shared" si="20"/>
        <v>64213.09</v>
      </c>
      <c r="U28" s="53">
        <f t="shared" si="20"/>
        <v>30267.289999999997</v>
      </c>
      <c r="V28" s="53">
        <f t="shared" si="20"/>
        <v>40929.87999999999</v>
      </c>
      <c r="W28" s="53">
        <f t="shared" si="20"/>
        <v>98281.26</v>
      </c>
      <c r="X28" s="53">
        <f t="shared" si="20"/>
        <v>68170.06</v>
      </c>
      <c r="Y28" s="53">
        <f t="shared" si="20"/>
        <v>24213.65</v>
      </c>
      <c r="Z28" s="53">
        <f t="shared" si="20"/>
        <v>0</v>
      </c>
      <c r="AA28" s="53">
        <f t="shared" si="20"/>
        <v>0</v>
      </c>
      <c r="AB28" s="53">
        <f t="shared" si="20"/>
        <v>261862.14</v>
      </c>
      <c r="AC28" s="53">
        <f t="shared" si="20"/>
        <v>384694.08734200004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28525.14</v>
      </c>
      <c r="AH28" s="23">
        <f t="shared" si="20"/>
        <v>9599.136319000001</v>
      </c>
      <c r="AI28" s="23">
        <f t="shared" si="20"/>
        <v>39995.5945105</v>
      </c>
      <c r="AJ28" s="23">
        <f t="shared" si="20"/>
        <v>7199.207011889999</v>
      </c>
      <c r="AK28" s="23">
        <f t="shared" si="20"/>
        <v>40453.706753779996</v>
      </c>
      <c r="AL28" s="23">
        <f t="shared" si="20"/>
        <v>7281.667215680401</v>
      </c>
      <c r="AM28" s="23">
        <f t="shared" si="20"/>
        <v>88626.38861181185</v>
      </c>
      <c r="AN28" s="23">
        <f t="shared" si="20"/>
        <v>15952.749950126134</v>
      </c>
      <c r="AO28" s="23">
        <f t="shared" si="20"/>
        <v>0</v>
      </c>
      <c r="AP28" s="23">
        <f t="shared" si="20"/>
        <v>0</v>
      </c>
      <c r="AQ28" s="23">
        <f t="shared" si="20"/>
        <v>4574.66</v>
      </c>
      <c r="AR28" s="23">
        <f t="shared" si="20"/>
        <v>823.4387999999999</v>
      </c>
      <c r="AS28" s="23">
        <f t="shared" si="20"/>
        <v>50035.64</v>
      </c>
      <c r="AT28" s="23">
        <f t="shared" si="20"/>
        <v>0</v>
      </c>
      <c r="AU28" s="23">
        <f t="shared" si="20"/>
        <v>9006.4252</v>
      </c>
      <c r="AV28" s="23"/>
      <c r="AW28" s="23"/>
      <c r="AX28" s="23">
        <f t="shared" si="20"/>
        <v>10176.32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312250.07437278837</v>
      </c>
      <c r="BC28" s="23">
        <f t="shared" si="20"/>
        <v>0</v>
      </c>
      <c r="BD28" s="23">
        <f>BD12+BD26</f>
        <v>72444.01296921162</v>
      </c>
      <c r="BE28" s="24">
        <f>BE12+BE26</f>
        <v>-39606.06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2"/>
      <c r="AD29" s="92"/>
      <c r="AE29" s="93"/>
      <c r="AF29" s="93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89"/>
      <c r="AT29" s="89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98">
        <v>3242.9</v>
      </c>
      <c r="C30" s="124">
        <f aca="true" t="shared" si="21" ref="C30:C41">B30*8.65</f>
        <v>28051.085000000003</v>
      </c>
      <c r="D30" s="123">
        <f aca="true" t="shared" si="22" ref="D30:D41">C30-E30-F30-G30-H30-I30-J30-K30-L30-M30-N30</f>
        <v>2395.805000000003</v>
      </c>
      <c r="E30" s="101">
        <v>2427.06</v>
      </c>
      <c r="F30" s="101">
        <v>534.19</v>
      </c>
      <c r="G30" s="101">
        <v>3287.05</v>
      </c>
      <c r="H30" s="101">
        <v>724.13</v>
      </c>
      <c r="I30" s="101">
        <v>7898.49</v>
      </c>
      <c r="J30" s="101">
        <v>1739.07</v>
      </c>
      <c r="K30" s="101">
        <v>5471.41</v>
      </c>
      <c r="L30" s="101">
        <v>1204.91</v>
      </c>
      <c r="M30" s="101">
        <v>1941.64</v>
      </c>
      <c r="N30" s="101">
        <v>427.33</v>
      </c>
      <c r="O30" s="101">
        <v>0</v>
      </c>
      <c r="P30" s="108">
        <v>0</v>
      </c>
      <c r="Q30" s="108"/>
      <c r="R30" s="108"/>
      <c r="S30" s="85">
        <f aca="true" t="shared" si="23" ref="S30:S41">E30+G30+I30+K30+M30+O30+Q30</f>
        <v>21025.65</v>
      </c>
      <c r="T30" s="102">
        <f aca="true" t="shared" si="24" ref="T30:T41">P30+N30+L30+J30+H30+F30+R30</f>
        <v>4629.63</v>
      </c>
      <c r="U30" s="85">
        <v>1704.34</v>
      </c>
      <c r="V30" s="85">
        <v>2308.21</v>
      </c>
      <c r="W30" s="85">
        <v>5537.03</v>
      </c>
      <c r="X30" s="85">
        <v>3841.91</v>
      </c>
      <c r="Y30" s="85">
        <v>1363.47</v>
      </c>
      <c r="Z30" s="85">
        <v>0</v>
      </c>
      <c r="AA30" s="103">
        <v>0</v>
      </c>
      <c r="AB30" s="103">
        <f>SUM(U30:AA30)</f>
        <v>14754.96</v>
      </c>
      <c r="AC30" s="107">
        <f aca="true" t="shared" si="25" ref="AC30:AC41">D30+T30+AB30</f>
        <v>21780.395000000004</v>
      </c>
      <c r="AD30" s="96">
        <f aca="true" t="shared" si="26" ref="AD30:AD41">P30+Z30</f>
        <v>0</v>
      </c>
      <c r="AE30" s="96">
        <f aca="true" t="shared" si="27" ref="AE30:AE41">R30+AA30</f>
        <v>0</v>
      </c>
      <c r="AF30" s="96"/>
      <c r="AG30" s="16">
        <f aca="true" t="shared" si="28" ref="AG30:AG41">0.6*B30</f>
        <v>1945.74</v>
      </c>
      <c r="AH30" s="16">
        <f aca="true" t="shared" si="29" ref="AH30:AH41">B30*0.2</f>
        <v>648.58</v>
      </c>
      <c r="AI30" s="16">
        <f aca="true" t="shared" si="30" ref="AI30:AI41">1*B30</f>
        <v>3242.9</v>
      </c>
      <c r="AJ30" s="16">
        <v>0</v>
      </c>
      <c r="AK30" s="16">
        <f aca="true" t="shared" si="31" ref="AK30:AK41">0.98*B30</f>
        <v>3178.042</v>
      </c>
      <c r="AL30" s="16">
        <v>0</v>
      </c>
      <c r="AM30" s="16">
        <f aca="true" t="shared" si="32" ref="AM30:AM41">2.25*B30</f>
        <v>7296.525000000001</v>
      </c>
      <c r="AN30" s="16">
        <v>0</v>
      </c>
      <c r="AO30" s="16"/>
      <c r="AP30" s="16">
        <v>0</v>
      </c>
      <c r="AQ30" s="111"/>
      <c r="AR30" s="111"/>
      <c r="AS30" s="91">
        <v>1696</v>
      </c>
      <c r="AT30" s="91"/>
      <c r="AU30" s="91">
        <f aca="true" t="shared" si="33" ref="AU30:AU41">AT30*0.18</f>
        <v>0</v>
      </c>
      <c r="AV30" s="112">
        <v>508</v>
      </c>
      <c r="AW30" s="127">
        <v>1.75</v>
      </c>
      <c r="AX30" s="16">
        <f aca="true" t="shared" si="34" ref="AX30:AX41">AV30*AW30*1.4</f>
        <v>1244.6</v>
      </c>
      <c r="AY30" s="114"/>
      <c r="AZ30" s="115"/>
      <c r="BA30" s="115">
        <f aca="true" t="shared" si="35" ref="BA30:BA41">AZ30*0.18</f>
        <v>0</v>
      </c>
      <c r="BB30" s="115">
        <f>SUM(AG30:BA30)-AV30-AW30</f>
        <v>19252.387</v>
      </c>
      <c r="BC30" s="125"/>
      <c r="BD30" s="14">
        <f>AC30+AF30-BB30-BC30</f>
        <v>2528.0080000000053</v>
      </c>
      <c r="BE30" s="30">
        <f>AB30-S30</f>
        <v>-6270.690000000002</v>
      </c>
    </row>
    <row r="31" spans="1:57" ht="12.75" hidden="1">
      <c r="A31" s="11" t="s">
        <v>46</v>
      </c>
      <c r="B31" s="109">
        <v>3300.7</v>
      </c>
      <c r="C31" s="124">
        <f t="shared" si="21"/>
        <v>28551.055</v>
      </c>
      <c r="D31" s="123">
        <f t="shared" si="22"/>
        <v>2395.805000000002</v>
      </c>
      <c r="E31" s="129">
        <v>2484.86</v>
      </c>
      <c r="F31" s="130">
        <v>534.19</v>
      </c>
      <c r="G31" s="130">
        <v>3365.08</v>
      </c>
      <c r="H31" s="130">
        <v>724.13</v>
      </c>
      <c r="I31" s="130">
        <v>8086.34</v>
      </c>
      <c r="J31" s="130">
        <v>1739.07</v>
      </c>
      <c r="K31" s="130">
        <v>5601.46</v>
      </c>
      <c r="L31" s="130">
        <v>1204.91</v>
      </c>
      <c r="M31" s="130">
        <v>1987.88</v>
      </c>
      <c r="N31" s="130">
        <v>427.33</v>
      </c>
      <c r="O31" s="130">
        <v>0</v>
      </c>
      <c r="P31" s="131">
        <v>0</v>
      </c>
      <c r="Q31" s="131">
        <v>0</v>
      </c>
      <c r="R31" s="131">
        <v>0</v>
      </c>
      <c r="S31" s="85">
        <f t="shared" si="23"/>
        <v>21525.620000000003</v>
      </c>
      <c r="T31" s="102">
        <f t="shared" si="24"/>
        <v>4629.63</v>
      </c>
      <c r="U31" s="85">
        <v>2058.71</v>
      </c>
      <c r="V31" s="85">
        <v>2789.14</v>
      </c>
      <c r="W31" s="85">
        <v>6700.73</v>
      </c>
      <c r="X31" s="85">
        <v>4641.96</v>
      </c>
      <c r="Y31" s="85">
        <v>1647.03</v>
      </c>
      <c r="Z31" s="85">
        <v>0</v>
      </c>
      <c r="AA31" s="103">
        <v>0</v>
      </c>
      <c r="AB31" s="103">
        <f>SUM(U31:AA31)</f>
        <v>17837.57</v>
      </c>
      <c r="AC31" s="107">
        <f t="shared" si="25"/>
        <v>24863.005</v>
      </c>
      <c r="AD31" s="96">
        <f t="shared" si="26"/>
        <v>0</v>
      </c>
      <c r="AE31" s="96">
        <f t="shared" si="27"/>
        <v>0</v>
      </c>
      <c r="AF31" s="96"/>
      <c r="AG31" s="16">
        <f t="shared" si="28"/>
        <v>1980.4199999999998</v>
      </c>
      <c r="AH31" s="16">
        <f t="shared" si="29"/>
        <v>660.14</v>
      </c>
      <c r="AI31" s="16">
        <f t="shared" si="30"/>
        <v>3300.7</v>
      </c>
      <c r="AJ31" s="16">
        <v>0</v>
      </c>
      <c r="AK31" s="16">
        <f t="shared" si="31"/>
        <v>3234.6859999999997</v>
      </c>
      <c r="AL31" s="16">
        <v>0</v>
      </c>
      <c r="AM31" s="16">
        <f t="shared" si="32"/>
        <v>7426.575</v>
      </c>
      <c r="AN31" s="16">
        <v>0</v>
      </c>
      <c r="AO31" s="16"/>
      <c r="AP31" s="16"/>
      <c r="AQ31" s="111"/>
      <c r="AR31" s="111"/>
      <c r="AS31" s="91">
        <v>124</v>
      </c>
      <c r="AT31" s="91"/>
      <c r="AU31" s="91">
        <f t="shared" si="33"/>
        <v>0</v>
      </c>
      <c r="AV31" s="112">
        <v>407</v>
      </c>
      <c r="AW31" s="127">
        <v>1.75</v>
      </c>
      <c r="AX31" s="16">
        <f t="shared" si="34"/>
        <v>997.15</v>
      </c>
      <c r="AY31" s="114"/>
      <c r="AZ31" s="115"/>
      <c r="BA31" s="115">
        <f t="shared" si="35"/>
        <v>0</v>
      </c>
      <c r="BB31" s="115">
        <f>SUM(AG31:BA31)-AV31-AW31</f>
        <v>17723.671000000002</v>
      </c>
      <c r="BC31" s="125"/>
      <c r="BD31" s="14">
        <f aca="true" t="shared" si="36" ref="BD31:BD41">AC31+AF31-BB31-BC31</f>
        <v>7139.333999999999</v>
      </c>
      <c r="BE31" s="30">
        <f aca="true" t="shared" si="37" ref="BE31:BE41">AB31-S31</f>
        <v>-3688.050000000003</v>
      </c>
    </row>
    <row r="32" spans="1:57" ht="12.75" hidden="1">
      <c r="A32" s="11" t="s">
        <v>47</v>
      </c>
      <c r="B32" s="98">
        <v>3300.7</v>
      </c>
      <c r="C32" s="124">
        <f t="shared" si="21"/>
        <v>28551.055</v>
      </c>
      <c r="D32" s="123">
        <f t="shared" si="22"/>
        <v>2395.805000000002</v>
      </c>
      <c r="E32" s="101">
        <v>2484.86</v>
      </c>
      <c r="F32" s="101">
        <v>534.19</v>
      </c>
      <c r="G32" s="101">
        <v>3365.08</v>
      </c>
      <c r="H32" s="101">
        <v>724.13</v>
      </c>
      <c r="I32" s="101">
        <v>8086.34</v>
      </c>
      <c r="J32" s="101">
        <v>1739.07</v>
      </c>
      <c r="K32" s="101">
        <v>5601.46</v>
      </c>
      <c r="L32" s="101">
        <v>1204.91</v>
      </c>
      <c r="M32" s="101">
        <v>1987.88</v>
      </c>
      <c r="N32" s="101">
        <v>427.33</v>
      </c>
      <c r="O32" s="101">
        <v>0</v>
      </c>
      <c r="P32" s="108">
        <v>0</v>
      </c>
      <c r="Q32" s="108">
        <v>0</v>
      </c>
      <c r="R32" s="108">
        <v>0</v>
      </c>
      <c r="S32" s="85">
        <f t="shared" si="23"/>
        <v>21525.620000000003</v>
      </c>
      <c r="T32" s="102">
        <f t="shared" si="24"/>
        <v>4629.63</v>
      </c>
      <c r="U32" s="85">
        <v>2435.87</v>
      </c>
      <c r="V32" s="85">
        <v>3298.25</v>
      </c>
      <c r="W32" s="85">
        <v>7961.86</v>
      </c>
      <c r="X32" s="85">
        <v>5490.56</v>
      </c>
      <c r="Y32" s="85">
        <v>1948.7</v>
      </c>
      <c r="Z32" s="85">
        <v>0</v>
      </c>
      <c r="AA32" s="103">
        <v>0</v>
      </c>
      <c r="AB32" s="103">
        <f>SUM(U32:AA32)</f>
        <v>21135.24</v>
      </c>
      <c r="AC32" s="107">
        <f t="shared" si="25"/>
        <v>28160.675000000003</v>
      </c>
      <c r="AD32" s="96">
        <f t="shared" si="26"/>
        <v>0</v>
      </c>
      <c r="AE32" s="96">
        <f t="shared" si="27"/>
        <v>0</v>
      </c>
      <c r="AF32" s="96"/>
      <c r="AG32" s="16">
        <f t="shared" si="28"/>
        <v>1980.4199999999998</v>
      </c>
      <c r="AH32" s="16">
        <f t="shared" si="29"/>
        <v>660.14</v>
      </c>
      <c r="AI32" s="16">
        <f t="shared" si="30"/>
        <v>3300.7</v>
      </c>
      <c r="AJ32" s="16">
        <v>0</v>
      </c>
      <c r="AK32" s="16">
        <f t="shared" si="31"/>
        <v>3234.6859999999997</v>
      </c>
      <c r="AL32" s="16">
        <v>0</v>
      </c>
      <c r="AM32" s="16">
        <f t="shared" si="32"/>
        <v>7426.575</v>
      </c>
      <c r="AN32" s="16">
        <v>0</v>
      </c>
      <c r="AO32" s="16"/>
      <c r="AP32" s="16"/>
      <c r="AQ32" s="111">
        <v>6984</v>
      </c>
      <c r="AR32" s="111"/>
      <c r="AS32" s="91">
        <v>20194</v>
      </c>
      <c r="AT32" s="91"/>
      <c r="AU32" s="91">
        <f t="shared" si="33"/>
        <v>0</v>
      </c>
      <c r="AV32" s="112">
        <v>383</v>
      </c>
      <c r="AW32" s="127">
        <v>1.75</v>
      </c>
      <c r="AX32" s="16">
        <f t="shared" si="34"/>
        <v>938.3499999999999</v>
      </c>
      <c r="AY32" s="114"/>
      <c r="AZ32" s="115"/>
      <c r="BA32" s="115">
        <f t="shared" si="35"/>
        <v>0</v>
      </c>
      <c r="BB32" s="115">
        <f>SUM(AG32:BA32)-AV32-AW32</f>
        <v>44718.871</v>
      </c>
      <c r="BC32" s="125"/>
      <c r="BD32" s="14">
        <f t="shared" si="36"/>
        <v>-16558.195999999996</v>
      </c>
      <c r="BE32" s="30">
        <f t="shared" si="37"/>
        <v>-390.380000000001</v>
      </c>
    </row>
    <row r="33" spans="1:57" ht="12.75" hidden="1">
      <c r="A33" s="11" t="s">
        <v>48</v>
      </c>
      <c r="B33" s="98">
        <v>3300.7</v>
      </c>
      <c r="C33" s="124">
        <f t="shared" si="21"/>
        <v>28551.055</v>
      </c>
      <c r="D33" s="123">
        <f t="shared" si="22"/>
        <v>2395.795000000002</v>
      </c>
      <c r="E33" s="101">
        <v>2484.86</v>
      </c>
      <c r="F33" s="101">
        <v>534.19</v>
      </c>
      <c r="G33" s="101">
        <v>3365.08</v>
      </c>
      <c r="H33" s="101">
        <v>724.13</v>
      </c>
      <c r="I33" s="101">
        <v>8086.34</v>
      </c>
      <c r="J33" s="101">
        <v>1739.07</v>
      </c>
      <c r="K33" s="101">
        <v>5601.47</v>
      </c>
      <c r="L33" s="101">
        <v>1204.91</v>
      </c>
      <c r="M33" s="101">
        <v>1987.88</v>
      </c>
      <c r="N33" s="101">
        <v>427.33</v>
      </c>
      <c r="O33" s="101">
        <v>0</v>
      </c>
      <c r="P33" s="108">
        <v>0</v>
      </c>
      <c r="Q33" s="108"/>
      <c r="R33" s="108"/>
      <c r="S33" s="85">
        <f t="shared" si="23"/>
        <v>21525.63</v>
      </c>
      <c r="T33" s="102">
        <f t="shared" si="24"/>
        <v>4629.63</v>
      </c>
      <c r="U33" s="85">
        <v>2208.4</v>
      </c>
      <c r="V33" s="85">
        <v>2981.48</v>
      </c>
      <c r="W33" s="85">
        <v>7104.55</v>
      </c>
      <c r="X33" s="85">
        <v>4968.95</v>
      </c>
      <c r="Y33" s="85">
        <v>1802.54</v>
      </c>
      <c r="Z33" s="85">
        <v>0</v>
      </c>
      <c r="AA33" s="103">
        <v>0</v>
      </c>
      <c r="AB33" s="103">
        <f>SUM(U33:AA33)</f>
        <v>19065.920000000002</v>
      </c>
      <c r="AC33" s="107">
        <f t="shared" si="25"/>
        <v>26091.345000000005</v>
      </c>
      <c r="AD33" s="96">
        <f t="shared" si="26"/>
        <v>0</v>
      </c>
      <c r="AE33" s="96">
        <f t="shared" si="27"/>
        <v>0</v>
      </c>
      <c r="AF33" s="96"/>
      <c r="AG33" s="16">
        <f t="shared" si="28"/>
        <v>1980.4199999999998</v>
      </c>
      <c r="AH33" s="16">
        <f t="shared" si="29"/>
        <v>660.14</v>
      </c>
      <c r="AI33" s="16">
        <f t="shared" si="30"/>
        <v>3300.7</v>
      </c>
      <c r="AJ33" s="16">
        <v>0</v>
      </c>
      <c r="AK33" s="16">
        <f t="shared" si="31"/>
        <v>3234.6859999999997</v>
      </c>
      <c r="AL33" s="16">
        <v>0</v>
      </c>
      <c r="AM33" s="16">
        <f t="shared" si="32"/>
        <v>7426.575</v>
      </c>
      <c r="AN33" s="16">
        <v>0</v>
      </c>
      <c r="AO33" s="16"/>
      <c r="AP33" s="16"/>
      <c r="AQ33" s="111"/>
      <c r="AR33" s="111"/>
      <c r="AS33" s="91">
        <v>2150</v>
      </c>
      <c r="AT33" s="91"/>
      <c r="AU33" s="91">
        <f t="shared" si="33"/>
        <v>0</v>
      </c>
      <c r="AV33" s="112">
        <v>307</v>
      </c>
      <c r="AW33" s="127">
        <v>1.75</v>
      </c>
      <c r="AX33" s="16">
        <f t="shared" si="34"/>
        <v>752.15</v>
      </c>
      <c r="AY33" s="114"/>
      <c r="AZ33" s="115"/>
      <c r="BA33" s="115">
        <f t="shared" si="35"/>
        <v>0</v>
      </c>
      <c r="BB33" s="115">
        <f aca="true" t="shared" si="38" ref="BB33:BB41">SUM(AG33:BA33)-AV33-AW33</f>
        <v>19504.671000000002</v>
      </c>
      <c r="BC33" s="125"/>
      <c r="BD33" s="14">
        <f t="shared" si="36"/>
        <v>6586.674000000003</v>
      </c>
      <c r="BE33" s="30">
        <f t="shared" si="37"/>
        <v>-2459.709999999999</v>
      </c>
    </row>
    <row r="34" spans="1:57" ht="12.75" hidden="1">
      <c r="A34" s="11" t="s">
        <v>49</v>
      </c>
      <c r="B34" s="98">
        <v>3304.9</v>
      </c>
      <c r="C34" s="124">
        <f t="shared" si="21"/>
        <v>28587.385000000002</v>
      </c>
      <c r="D34" s="123">
        <f t="shared" si="22"/>
        <v>2396.055000000002</v>
      </c>
      <c r="E34" s="101">
        <v>2489.04</v>
      </c>
      <c r="F34" s="101">
        <v>534.19</v>
      </c>
      <c r="G34" s="101">
        <v>3370.71</v>
      </c>
      <c r="H34" s="101">
        <v>724.13</v>
      </c>
      <c r="I34" s="101">
        <v>8099.88</v>
      </c>
      <c r="J34" s="101">
        <v>1739.07</v>
      </c>
      <c r="K34" s="101">
        <v>5610.83</v>
      </c>
      <c r="L34" s="101">
        <v>1204.91</v>
      </c>
      <c r="M34" s="101">
        <v>1991.24</v>
      </c>
      <c r="N34" s="101">
        <v>427.33</v>
      </c>
      <c r="O34" s="101">
        <v>0</v>
      </c>
      <c r="P34" s="108">
        <v>0</v>
      </c>
      <c r="Q34" s="108"/>
      <c r="R34" s="108"/>
      <c r="S34" s="85">
        <f t="shared" si="23"/>
        <v>21561.7</v>
      </c>
      <c r="T34" s="102">
        <f t="shared" si="24"/>
        <v>4629.63</v>
      </c>
      <c r="U34" s="132">
        <v>2192.67</v>
      </c>
      <c r="V34" s="132">
        <v>2969.82</v>
      </c>
      <c r="W34" s="132">
        <v>7136.03</v>
      </c>
      <c r="X34" s="132">
        <v>4943.31</v>
      </c>
      <c r="Y34" s="132">
        <v>1754.16</v>
      </c>
      <c r="Z34" s="132">
        <v>0</v>
      </c>
      <c r="AA34" s="133">
        <v>0</v>
      </c>
      <c r="AB34" s="103">
        <f aca="true" t="shared" si="39" ref="AB34:AB41">SUM(U34:AA34)</f>
        <v>18995.99</v>
      </c>
      <c r="AC34" s="107">
        <f t="shared" si="25"/>
        <v>26021.675000000003</v>
      </c>
      <c r="AD34" s="96">
        <f t="shared" si="26"/>
        <v>0</v>
      </c>
      <c r="AE34" s="96">
        <f t="shared" si="27"/>
        <v>0</v>
      </c>
      <c r="AF34" s="96"/>
      <c r="AG34" s="16">
        <f t="shared" si="28"/>
        <v>1982.94</v>
      </c>
      <c r="AH34" s="16">
        <f t="shared" si="29"/>
        <v>660.98</v>
      </c>
      <c r="AI34" s="16">
        <f t="shared" si="30"/>
        <v>3304.9</v>
      </c>
      <c r="AJ34" s="16">
        <v>0</v>
      </c>
      <c r="AK34" s="16">
        <f t="shared" si="31"/>
        <v>3238.802</v>
      </c>
      <c r="AL34" s="16">
        <v>0</v>
      </c>
      <c r="AM34" s="16">
        <f t="shared" si="32"/>
        <v>7436.025000000001</v>
      </c>
      <c r="AN34" s="16">
        <v>0</v>
      </c>
      <c r="AO34" s="16"/>
      <c r="AP34" s="16"/>
      <c r="AQ34" s="111"/>
      <c r="AR34" s="111"/>
      <c r="AS34" s="91">
        <v>6927</v>
      </c>
      <c r="AT34" s="91"/>
      <c r="AU34" s="91">
        <f t="shared" si="33"/>
        <v>0</v>
      </c>
      <c r="AV34" s="112">
        <v>263</v>
      </c>
      <c r="AW34" s="127">
        <v>1.75</v>
      </c>
      <c r="AX34" s="16">
        <f t="shared" si="34"/>
        <v>644.3499999999999</v>
      </c>
      <c r="AY34" s="114"/>
      <c r="AZ34" s="115"/>
      <c r="BA34" s="115">
        <f t="shared" si="35"/>
        <v>0</v>
      </c>
      <c r="BB34" s="115">
        <f t="shared" si="38"/>
        <v>24194.997</v>
      </c>
      <c r="BC34" s="125"/>
      <c r="BD34" s="14">
        <f t="shared" si="36"/>
        <v>1826.6780000000035</v>
      </c>
      <c r="BE34" s="30">
        <f t="shared" si="37"/>
        <v>-2565.709999999999</v>
      </c>
    </row>
    <row r="35" spans="1:57" ht="12.75" hidden="1">
      <c r="A35" s="11" t="s">
        <v>50</v>
      </c>
      <c r="B35" s="98">
        <v>3304.9</v>
      </c>
      <c r="C35" s="124">
        <f t="shared" si="21"/>
        <v>28587.385000000002</v>
      </c>
      <c r="D35" s="123">
        <f t="shared" si="22"/>
        <v>2396.0250000000033</v>
      </c>
      <c r="E35" s="101">
        <v>2489.04</v>
      </c>
      <c r="F35" s="101">
        <v>534.19</v>
      </c>
      <c r="G35" s="101">
        <v>3370.73</v>
      </c>
      <c r="H35" s="101">
        <v>724.11</v>
      </c>
      <c r="I35" s="101">
        <v>8099.9</v>
      </c>
      <c r="J35" s="101">
        <v>1739.06</v>
      </c>
      <c r="K35" s="101">
        <v>5610.86</v>
      </c>
      <c r="L35" s="101">
        <v>1204.9</v>
      </c>
      <c r="M35" s="101">
        <v>1991.24</v>
      </c>
      <c r="N35" s="101">
        <v>427.33</v>
      </c>
      <c r="O35" s="101">
        <v>0</v>
      </c>
      <c r="P35" s="108">
        <v>0</v>
      </c>
      <c r="Q35" s="101">
        <v>0</v>
      </c>
      <c r="R35" s="108">
        <v>0</v>
      </c>
      <c r="S35" s="85">
        <f t="shared" si="23"/>
        <v>21561.77</v>
      </c>
      <c r="T35" s="102">
        <f t="shared" si="24"/>
        <v>4629.59</v>
      </c>
      <c r="U35" s="85">
        <v>2302.85</v>
      </c>
      <c r="V35" s="85">
        <v>3119.42</v>
      </c>
      <c r="W35" s="85">
        <v>7494.76</v>
      </c>
      <c r="X35" s="85">
        <v>5191.87</v>
      </c>
      <c r="Y35" s="85">
        <v>1842.24</v>
      </c>
      <c r="Z35" s="85">
        <v>0</v>
      </c>
      <c r="AA35" s="103">
        <v>0</v>
      </c>
      <c r="AB35" s="103">
        <f t="shared" si="39"/>
        <v>19951.140000000003</v>
      </c>
      <c r="AC35" s="107">
        <f t="shared" si="25"/>
        <v>26976.755000000005</v>
      </c>
      <c r="AD35" s="96">
        <f t="shared" si="26"/>
        <v>0</v>
      </c>
      <c r="AE35" s="96">
        <f t="shared" si="27"/>
        <v>0</v>
      </c>
      <c r="AF35" s="96"/>
      <c r="AG35" s="16">
        <f t="shared" si="28"/>
        <v>1982.94</v>
      </c>
      <c r="AH35" s="16">
        <f t="shared" si="29"/>
        <v>660.98</v>
      </c>
      <c r="AI35" s="16">
        <f t="shared" si="30"/>
        <v>3304.9</v>
      </c>
      <c r="AJ35" s="16">
        <v>0</v>
      </c>
      <c r="AK35" s="16">
        <f t="shared" si="31"/>
        <v>3238.802</v>
      </c>
      <c r="AL35" s="16">
        <v>0</v>
      </c>
      <c r="AM35" s="16">
        <f t="shared" si="32"/>
        <v>7436.025000000001</v>
      </c>
      <c r="AN35" s="16">
        <v>0</v>
      </c>
      <c r="AO35" s="16"/>
      <c r="AP35" s="16"/>
      <c r="AQ35" s="111">
        <v>12000</v>
      </c>
      <c r="AR35" s="111"/>
      <c r="AS35" s="91"/>
      <c r="AT35" s="91"/>
      <c r="AU35" s="91">
        <f t="shared" si="33"/>
        <v>0</v>
      </c>
      <c r="AV35" s="112">
        <v>233</v>
      </c>
      <c r="AW35" s="127">
        <v>1.75</v>
      </c>
      <c r="AX35" s="16">
        <f t="shared" si="34"/>
        <v>570.8499999999999</v>
      </c>
      <c r="AY35" s="114"/>
      <c r="AZ35" s="115"/>
      <c r="BA35" s="115">
        <f t="shared" si="35"/>
        <v>0</v>
      </c>
      <c r="BB35" s="115">
        <f t="shared" si="38"/>
        <v>29194.497</v>
      </c>
      <c r="BC35" s="125"/>
      <c r="BD35" s="14">
        <f t="shared" si="36"/>
        <v>-2217.7419999999947</v>
      </c>
      <c r="BE35" s="30">
        <f t="shared" si="37"/>
        <v>-1610.6299999999974</v>
      </c>
    </row>
    <row r="36" spans="1:57" ht="12.75" hidden="1">
      <c r="A36" s="11" t="s">
        <v>51</v>
      </c>
      <c r="B36" s="98">
        <v>3304.9</v>
      </c>
      <c r="C36" s="124">
        <f t="shared" si="21"/>
        <v>28587.385000000002</v>
      </c>
      <c r="D36" s="123">
        <f t="shared" si="22"/>
        <v>2369.9650000000024</v>
      </c>
      <c r="E36" s="134">
        <v>3026.3</v>
      </c>
      <c r="F36" s="101">
        <v>0</v>
      </c>
      <c r="G36" s="101">
        <v>4098.84</v>
      </c>
      <c r="H36" s="101">
        <v>0</v>
      </c>
      <c r="I36" s="101">
        <v>9848.77</v>
      </c>
      <c r="J36" s="101">
        <v>0</v>
      </c>
      <c r="K36" s="101">
        <v>6822.49</v>
      </c>
      <c r="L36" s="101">
        <v>0</v>
      </c>
      <c r="M36" s="101">
        <v>2421.02</v>
      </c>
      <c r="N36" s="101">
        <v>0</v>
      </c>
      <c r="O36" s="101">
        <v>0</v>
      </c>
      <c r="P36" s="108">
        <v>0</v>
      </c>
      <c r="Q36" s="108"/>
      <c r="R36" s="108"/>
      <c r="S36" s="85">
        <f t="shared" si="23"/>
        <v>26217.420000000002</v>
      </c>
      <c r="T36" s="102">
        <f t="shared" si="24"/>
        <v>0</v>
      </c>
      <c r="U36" s="87">
        <v>1349.9</v>
      </c>
      <c r="V36" s="85">
        <v>1827.88</v>
      </c>
      <c r="W36" s="85">
        <v>4392.66</v>
      </c>
      <c r="X36" s="85">
        <v>3042.82</v>
      </c>
      <c r="Y36" s="85">
        <v>1079.99</v>
      </c>
      <c r="Z36" s="85">
        <v>0</v>
      </c>
      <c r="AA36" s="103">
        <v>0</v>
      </c>
      <c r="AB36" s="103">
        <f t="shared" si="39"/>
        <v>11693.25</v>
      </c>
      <c r="AC36" s="107">
        <f t="shared" si="25"/>
        <v>14063.215000000002</v>
      </c>
      <c r="AD36" s="96">
        <f t="shared" si="26"/>
        <v>0</v>
      </c>
      <c r="AE36" s="96">
        <f t="shared" si="27"/>
        <v>0</v>
      </c>
      <c r="AF36" s="96"/>
      <c r="AG36" s="16">
        <f t="shared" si="28"/>
        <v>1982.94</v>
      </c>
      <c r="AH36" s="16">
        <f t="shared" si="29"/>
        <v>660.98</v>
      </c>
      <c r="AI36" s="16">
        <f t="shared" si="30"/>
        <v>3304.9</v>
      </c>
      <c r="AJ36" s="16">
        <v>0</v>
      </c>
      <c r="AK36" s="16">
        <f t="shared" si="31"/>
        <v>3238.802</v>
      </c>
      <c r="AL36" s="16">
        <v>0</v>
      </c>
      <c r="AM36" s="16">
        <f t="shared" si="32"/>
        <v>7436.025000000001</v>
      </c>
      <c r="AN36" s="16">
        <v>0</v>
      </c>
      <c r="AO36" s="16">
        <v>3870.72</v>
      </c>
      <c r="AP36" s="16"/>
      <c r="AQ36" s="111"/>
      <c r="AR36" s="111"/>
      <c r="AS36" s="91"/>
      <c r="AT36" s="91"/>
      <c r="AU36" s="91">
        <f t="shared" si="33"/>
        <v>0</v>
      </c>
      <c r="AV36" s="112">
        <v>248</v>
      </c>
      <c r="AW36" s="127">
        <v>1.75</v>
      </c>
      <c r="AX36" s="16">
        <f t="shared" si="34"/>
        <v>607.5999999999999</v>
      </c>
      <c r="AY36" s="114"/>
      <c r="AZ36" s="115"/>
      <c r="BA36" s="115">
        <f t="shared" si="35"/>
        <v>0</v>
      </c>
      <c r="BB36" s="115">
        <f t="shared" si="38"/>
        <v>21101.967</v>
      </c>
      <c r="BC36" s="125"/>
      <c r="BD36" s="14">
        <f t="shared" si="36"/>
        <v>-7038.751999999999</v>
      </c>
      <c r="BE36" s="30">
        <f t="shared" si="37"/>
        <v>-14524.170000000002</v>
      </c>
    </row>
    <row r="37" spans="1:57" ht="12.75" hidden="1">
      <c r="A37" s="11" t="s">
        <v>52</v>
      </c>
      <c r="B37" s="98">
        <v>3304.9</v>
      </c>
      <c r="C37" s="124">
        <f t="shared" si="21"/>
        <v>28587.385000000002</v>
      </c>
      <c r="D37" s="123">
        <f t="shared" si="22"/>
        <v>2361.4750000000026</v>
      </c>
      <c r="E37" s="134">
        <v>3027.31</v>
      </c>
      <c r="F37" s="101">
        <v>0</v>
      </c>
      <c r="G37" s="101">
        <v>4100.12</v>
      </c>
      <c r="H37" s="101">
        <v>0</v>
      </c>
      <c r="I37" s="101">
        <v>9851.97</v>
      </c>
      <c r="J37" s="101">
        <v>0</v>
      </c>
      <c r="K37" s="101">
        <v>6824.69</v>
      </c>
      <c r="L37" s="101">
        <v>0</v>
      </c>
      <c r="M37" s="101">
        <v>2421.82</v>
      </c>
      <c r="N37" s="101">
        <v>0</v>
      </c>
      <c r="O37" s="101">
        <v>0</v>
      </c>
      <c r="P37" s="108">
        <v>0</v>
      </c>
      <c r="Q37" s="108"/>
      <c r="R37" s="108"/>
      <c r="S37" s="85">
        <f t="shared" si="23"/>
        <v>26225.91</v>
      </c>
      <c r="T37" s="102">
        <f t="shared" si="24"/>
        <v>0</v>
      </c>
      <c r="U37" s="132">
        <v>4838.82</v>
      </c>
      <c r="V37" s="132">
        <v>6556.5</v>
      </c>
      <c r="W37" s="132">
        <v>15750.16</v>
      </c>
      <c r="X37" s="132">
        <v>12711.25</v>
      </c>
      <c r="Y37" s="132">
        <v>3870.87</v>
      </c>
      <c r="Z37" s="132">
        <v>0</v>
      </c>
      <c r="AA37" s="133">
        <v>0</v>
      </c>
      <c r="AB37" s="103">
        <f t="shared" si="39"/>
        <v>43727.6</v>
      </c>
      <c r="AC37" s="107">
        <f t="shared" si="25"/>
        <v>46089.075000000004</v>
      </c>
      <c r="AD37" s="96">
        <f t="shared" si="26"/>
        <v>0</v>
      </c>
      <c r="AE37" s="96">
        <f t="shared" si="27"/>
        <v>0</v>
      </c>
      <c r="AF37" s="96"/>
      <c r="AG37" s="16">
        <f t="shared" si="28"/>
        <v>1982.94</v>
      </c>
      <c r="AH37" s="16">
        <f t="shared" si="29"/>
        <v>660.98</v>
      </c>
      <c r="AI37" s="16">
        <f t="shared" si="30"/>
        <v>3304.9</v>
      </c>
      <c r="AJ37" s="16">
        <v>0</v>
      </c>
      <c r="AK37" s="16">
        <f t="shared" si="31"/>
        <v>3238.802</v>
      </c>
      <c r="AL37" s="16">
        <v>0</v>
      </c>
      <c r="AM37" s="16">
        <f t="shared" si="32"/>
        <v>7436.025000000001</v>
      </c>
      <c r="AN37" s="16">
        <v>0</v>
      </c>
      <c r="AO37" s="16"/>
      <c r="AP37" s="16"/>
      <c r="AQ37" s="111"/>
      <c r="AR37" s="111"/>
      <c r="AS37" s="91">
        <v>2093</v>
      </c>
      <c r="AT37" s="91">
        <f>47.8+84</f>
        <v>131.8</v>
      </c>
      <c r="AU37" s="91"/>
      <c r="AV37" s="112">
        <v>293</v>
      </c>
      <c r="AW37" s="127">
        <v>1.75</v>
      </c>
      <c r="AX37" s="16">
        <f t="shared" si="34"/>
        <v>717.8499999999999</v>
      </c>
      <c r="AY37" s="114"/>
      <c r="AZ37" s="115"/>
      <c r="BA37" s="115">
        <f t="shared" si="35"/>
        <v>0</v>
      </c>
      <c r="BB37" s="115">
        <f t="shared" si="38"/>
        <v>19566.297</v>
      </c>
      <c r="BC37" s="125"/>
      <c r="BD37" s="14">
        <f t="shared" si="36"/>
        <v>26522.778000000006</v>
      </c>
      <c r="BE37" s="30">
        <f t="shared" si="37"/>
        <v>17501.69</v>
      </c>
    </row>
    <row r="38" spans="1:57" ht="12.75" hidden="1">
      <c r="A38" s="11" t="s">
        <v>53</v>
      </c>
      <c r="B38" s="98">
        <v>3304.9</v>
      </c>
      <c r="C38" s="124">
        <f t="shared" si="21"/>
        <v>28587.385000000002</v>
      </c>
      <c r="D38" s="123">
        <f t="shared" si="22"/>
        <v>2361.4850000000047</v>
      </c>
      <c r="E38" s="101">
        <v>3027.3</v>
      </c>
      <c r="F38" s="101">
        <v>0</v>
      </c>
      <c r="G38" s="101">
        <v>4100.12</v>
      </c>
      <c r="H38" s="101">
        <v>0</v>
      </c>
      <c r="I38" s="101">
        <v>9851.97</v>
      </c>
      <c r="J38" s="101">
        <v>0</v>
      </c>
      <c r="K38" s="101">
        <v>6824.69</v>
      </c>
      <c r="L38" s="101">
        <v>0</v>
      </c>
      <c r="M38" s="101">
        <v>2421.82</v>
      </c>
      <c r="N38" s="101">
        <v>0</v>
      </c>
      <c r="O38" s="101">
        <v>0</v>
      </c>
      <c r="P38" s="108">
        <v>0</v>
      </c>
      <c r="Q38" s="108"/>
      <c r="R38" s="108"/>
      <c r="S38" s="85">
        <f t="shared" si="23"/>
        <v>26225.899999999998</v>
      </c>
      <c r="T38" s="102">
        <f t="shared" si="24"/>
        <v>0</v>
      </c>
      <c r="U38" s="85">
        <v>2253.8</v>
      </c>
      <c r="V38" s="85">
        <v>3053.21</v>
      </c>
      <c r="W38" s="85">
        <v>7335.49</v>
      </c>
      <c r="X38" s="85">
        <v>4924.79</v>
      </c>
      <c r="Y38" s="85">
        <v>1803.08</v>
      </c>
      <c r="Z38" s="85">
        <v>0</v>
      </c>
      <c r="AA38" s="103">
        <v>0</v>
      </c>
      <c r="AB38" s="103">
        <f t="shared" si="39"/>
        <v>19370.370000000003</v>
      </c>
      <c r="AC38" s="107">
        <f t="shared" si="25"/>
        <v>21731.855000000007</v>
      </c>
      <c r="AD38" s="96">
        <f t="shared" si="26"/>
        <v>0</v>
      </c>
      <c r="AE38" s="96">
        <f t="shared" si="27"/>
        <v>0</v>
      </c>
      <c r="AF38" s="96"/>
      <c r="AG38" s="16">
        <f t="shared" si="28"/>
        <v>1982.94</v>
      </c>
      <c r="AH38" s="16">
        <f t="shared" si="29"/>
        <v>660.98</v>
      </c>
      <c r="AI38" s="16">
        <f t="shared" si="30"/>
        <v>3304.9</v>
      </c>
      <c r="AJ38" s="16">
        <v>0</v>
      </c>
      <c r="AK38" s="16">
        <f t="shared" si="31"/>
        <v>3238.802</v>
      </c>
      <c r="AL38" s="16">
        <v>0</v>
      </c>
      <c r="AM38" s="16">
        <f t="shared" si="32"/>
        <v>7436.025000000001</v>
      </c>
      <c r="AN38" s="16">
        <v>0</v>
      </c>
      <c r="AO38" s="16"/>
      <c r="AP38" s="16"/>
      <c r="AQ38" s="111"/>
      <c r="AR38" s="111"/>
      <c r="AS38" s="91"/>
      <c r="AT38" s="91"/>
      <c r="AU38" s="135">
        <f t="shared" si="33"/>
        <v>0</v>
      </c>
      <c r="AV38" s="112">
        <v>349</v>
      </c>
      <c r="AW38" s="127">
        <v>1.75</v>
      </c>
      <c r="AX38" s="16">
        <f t="shared" si="34"/>
        <v>855.05</v>
      </c>
      <c r="AY38" s="114"/>
      <c r="AZ38" s="115"/>
      <c r="BA38" s="115">
        <f t="shared" si="35"/>
        <v>0</v>
      </c>
      <c r="BB38" s="115">
        <f t="shared" si="38"/>
        <v>17478.697</v>
      </c>
      <c r="BC38" s="125"/>
      <c r="BD38" s="14">
        <f t="shared" si="36"/>
        <v>4253.158000000007</v>
      </c>
      <c r="BE38" s="30">
        <f t="shared" si="37"/>
        <v>-6855.529999999995</v>
      </c>
    </row>
    <row r="39" spans="1:57" ht="12.75" hidden="1">
      <c r="A39" s="11" t="s">
        <v>41</v>
      </c>
      <c r="B39" s="98">
        <v>3304.9</v>
      </c>
      <c r="C39" s="124">
        <f t="shared" si="21"/>
        <v>28587.385000000002</v>
      </c>
      <c r="D39" s="123">
        <f t="shared" si="22"/>
        <v>2361.4850000000047</v>
      </c>
      <c r="E39" s="119">
        <v>3027.3</v>
      </c>
      <c r="F39" s="119">
        <v>0</v>
      </c>
      <c r="G39" s="119">
        <v>4100.12</v>
      </c>
      <c r="H39" s="119">
        <v>0</v>
      </c>
      <c r="I39" s="119">
        <v>9851.97</v>
      </c>
      <c r="J39" s="119">
        <v>0</v>
      </c>
      <c r="K39" s="119">
        <v>6824.69</v>
      </c>
      <c r="L39" s="119">
        <v>0</v>
      </c>
      <c r="M39" s="119">
        <v>2421.82</v>
      </c>
      <c r="N39" s="119">
        <v>0</v>
      </c>
      <c r="O39" s="119">
        <v>0</v>
      </c>
      <c r="P39" s="120">
        <v>0</v>
      </c>
      <c r="Q39" s="120"/>
      <c r="R39" s="120"/>
      <c r="S39" s="85">
        <f t="shared" si="23"/>
        <v>26225.899999999998</v>
      </c>
      <c r="T39" s="102">
        <f t="shared" si="24"/>
        <v>0</v>
      </c>
      <c r="U39" s="85">
        <v>3168.04</v>
      </c>
      <c r="V39" s="85">
        <v>4253.16</v>
      </c>
      <c r="W39" s="85">
        <v>10219.83</v>
      </c>
      <c r="X39" s="85">
        <v>6960.19</v>
      </c>
      <c r="Y39" s="85">
        <v>2512.25</v>
      </c>
      <c r="Z39" s="85">
        <v>0</v>
      </c>
      <c r="AA39" s="103">
        <v>0</v>
      </c>
      <c r="AB39" s="103">
        <f t="shared" si="39"/>
        <v>27113.469999999998</v>
      </c>
      <c r="AC39" s="107">
        <f t="shared" si="25"/>
        <v>29474.955</v>
      </c>
      <c r="AD39" s="96">
        <f t="shared" si="26"/>
        <v>0</v>
      </c>
      <c r="AE39" s="96">
        <f t="shared" si="27"/>
        <v>0</v>
      </c>
      <c r="AF39" s="96">
        <f>100</f>
        <v>100</v>
      </c>
      <c r="AG39" s="16">
        <f t="shared" si="28"/>
        <v>1982.94</v>
      </c>
      <c r="AH39" s="16">
        <f t="shared" si="29"/>
        <v>660.98</v>
      </c>
      <c r="AI39" s="16">
        <f t="shared" si="30"/>
        <v>3304.9</v>
      </c>
      <c r="AJ39" s="16">
        <v>0</v>
      </c>
      <c r="AK39" s="16">
        <f t="shared" si="31"/>
        <v>3238.802</v>
      </c>
      <c r="AL39" s="16">
        <v>0</v>
      </c>
      <c r="AM39" s="16">
        <f t="shared" si="32"/>
        <v>7436.025000000001</v>
      </c>
      <c r="AN39" s="16">
        <v>0</v>
      </c>
      <c r="AO39" s="16"/>
      <c r="AP39" s="16"/>
      <c r="AQ39" s="111"/>
      <c r="AR39" s="111"/>
      <c r="AS39" s="91">
        <v>579</v>
      </c>
      <c r="AT39" s="91">
        <v>60</v>
      </c>
      <c r="AU39" s="91"/>
      <c r="AV39" s="112">
        <v>425</v>
      </c>
      <c r="AW39" s="127">
        <v>1.75</v>
      </c>
      <c r="AX39" s="16">
        <f t="shared" si="34"/>
        <v>1041.25</v>
      </c>
      <c r="AY39" s="114"/>
      <c r="AZ39" s="115"/>
      <c r="BA39" s="115">
        <f t="shared" si="35"/>
        <v>0</v>
      </c>
      <c r="BB39" s="115">
        <f t="shared" si="38"/>
        <v>18303.897</v>
      </c>
      <c r="BC39" s="125">
        <v>25</v>
      </c>
      <c r="BD39" s="14">
        <f t="shared" si="36"/>
        <v>11246.058</v>
      </c>
      <c r="BE39" s="30">
        <f t="shared" si="37"/>
        <v>887.5699999999997</v>
      </c>
    </row>
    <row r="40" spans="1:57" ht="12.75" hidden="1">
      <c r="A40" s="11" t="s">
        <v>42</v>
      </c>
      <c r="B40" s="98">
        <v>3304.9</v>
      </c>
      <c r="C40" s="124">
        <f t="shared" si="21"/>
        <v>28587.385000000002</v>
      </c>
      <c r="D40" s="123">
        <f t="shared" si="22"/>
        <v>2361.4550000000027</v>
      </c>
      <c r="E40" s="101">
        <v>3027.3</v>
      </c>
      <c r="F40" s="101">
        <v>0</v>
      </c>
      <c r="G40" s="101">
        <v>4100.13</v>
      </c>
      <c r="H40" s="101">
        <v>0</v>
      </c>
      <c r="I40" s="101">
        <v>9851.98</v>
      </c>
      <c r="J40" s="101">
        <v>0</v>
      </c>
      <c r="K40" s="101">
        <v>6824.69</v>
      </c>
      <c r="L40" s="101">
        <v>0</v>
      </c>
      <c r="M40" s="101">
        <v>2421.83</v>
      </c>
      <c r="N40" s="101">
        <v>0</v>
      </c>
      <c r="O40" s="101">
        <v>0</v>
      </c>
      <c r="P40" s="108">
        <v>0</v>
      </c>
      <c r="Q40" s="108"/>
      <c r="R40" s="108"/>
      <c r="S40" s="85">
        <f t="shared" si="23"/>
        <v>26225.93</v>
      </c>
      <c r="T40" s="102">
        <f t="shared" si="24"/>
        <v>0</v>
      </c>
      <c r="U40" s="87">
        <v>3563.24</v>
      </c>
      <c r="V40" s="85">
        <v>4826.46</v>
      </c>
      <c r="W40" s="85">
        <v>11596.65</v>
      </c>
      <c r="X40" s="85">
        <v>8033.39</v>
      </c>
      <c r="Y40" s="85">
        <v>2850.63</v>
      </c>
      <c r="Z40" s="85">
        <v>0</v>
      </c>
      <c r="AA40" s="103">
        <v>0</v>
      </c>
      <c r="AB40" s="103">
        <f t="shared" si="39"/>
        <v>30870.37</v>
      </c>
      <c r="AC40" s="107">
        <f t="shared" si="25"/>
        <v>33231.825000000004</v>
      </c>
      <c r="AD40" s="96">
        <f t="shared" si="26"/>
        <v>0</v>
      </c>
      <c r="AE40" s="96">
        <f t="shared" si="27"/>
        <v>0</v>
      </c>
      <c r="AF40" s="96">
        <f>100</f>
        <v>100</v>
      </c>
      <c r="AG40" s="16">
        <f t="shared" si="28"/>
        <v>1982.94</v>
      </c>
      <c r="AH40" s="16">
        <f t="shared" si="29"/>
        <v>660.98</v>
      </c>
      <c r="AI40" s="16">
        <f t="shared" si="30"/>
        <v>3304.9</v>
      </c>
      <c r="AJ40" s="16">
        <v>0</v>
      </c>
      <c r="AK40" s="16">
        <f t="shared" si="31"/>
        <v>3238.802</v>
      </c>
      <c r="AL40" s="16">
        <v>0</v>
      </c>
      <c r="AM40" s="16">
        <f t="shared" si="32"/>
        <v>7436.025000000001</v>
      </c>
      <c r="AN40" s="16">
        <v>0</v>
      </c>
      <c r="AO40" s="16"/>
      <c r="AP40" s="16"/>
      <c r="AQ40" s="111"/>
      <c r="AR40" s="111"/>
      <c r="AS40" s="91">
        <v>3986</v>
      </c>
      <c r="AT40" s="91"/>
      <c r="AU40" s="91">
        <f t="shared" si="33"/>
        <v>0</v>
      </c>
      <c r="AV40" s="112">
        <v>470</v>
      </c>
      <c r="AW40" s="127">
        <v>1.75</v>
      </c>
      <c r="AX40" s="16">
        <f t="shared" si="34"/>
        <v>1151.5</v>
      </c>
      <c r="AY40" s="114"/>
      <c r="AZ40" s="115"/>
      <c r="BA40" s="115">
        <f t="shared" si="35"/>
        <v>0</v>
      </c>
      <c r="BB40" s="115">
        <f t="shared" si="38"/>
        <v>21761.147</v>
      </c>
      <c r="BC40" s="125">
        <f>25</f>
        <v>25</v>
      </c>
      <c r="BD40" s="14">
        <f t="shared" si="36"/>
        <v>11545.678000000004</v>
      </c>
      <c r="BE40" s="30">
        <f t="shared" si="37"/>
        <v>4644.439999999999</v>
      </c>
    </row>
    <row r="41" spans="1:57" ht="12.75" hidden="1">
      <c r="A41" s="11" t="s">
        <v>43</v>
      </c>
      <c r="B41" s="98">
        <v>3304.9</v>
      </c>
      <c r="C41" s="124">
        <f t="shared" si="21"/>
        <v>28587.385000000002</v>
      </c>
      <c r="D41" s="123">
        <f t="shared" si="22"/>
        <v>2412.6250000000014</v>
      </c>
      <c r="E41" s="101">
        <v>3021.29</v>
      </c>
      <c r="F41" s="101">
        <v>0</v>
      </c>
      <c r="G41" s="101">
        <v>4092.3</v>
      </c>
      <c r="H41" s="101">
        <v>0</v>
      </c>
      <c r="I41" s="101">
        <v>9832.7</v>
      </c>
      <c r="J41" s="101">
        <v>0</v>
      </c>
      <c r="K41" s="101">
        <v>6811.45</v>
      </c>
      <c r="L41" s="101">
        <v>0</v>
      </c>
      <c r="M41" s="101">
        <v>2417.02</v>
      </c>
      <c r="N41" s="101">
        <v>0</v>
      </c>
      <c r="O41" s="101">
        <v>0</v>
      </c>
      <c r="P41" s="108">
        <v>0</v>
      </c>
      <c r="Q41" s="108"/>
      <c r="R41" s="108"/>
      <c r="S41" s="85">
        <f t="shared" si="23"/>
        <v>26174.760000000002</v>
      </c>
      <c r="T41" s="102">
        <f t="shared" si="24"/>
        <v>0</v>
      </c>
      <c r="U41" s="85">
        <v>3367.28</v>
      </c>
      <c r="V41" s="85">
        <v>4561.83</v>
      </c>
      <c r="W41" s="85">
        <v>13651.68</v>
      </c>
      <c r="X41" s="85">
        <v>7592.33</v>
      </c>
      <c r="Y41" s="85">
        <v>2693.79</v>
      </c>
      <c r="Z41" s="85">
        <v>0</v>
      </c>
      <c r="AA41" s="103">
        <v>0</v>
      </c>
      <c r="AB41" s="103">
        <f t="shared" si="39"/>
        <v>31866.910000000003</v>
      </c>
      <c r="AC41" s="107">
        <f t="shared" si="25"/>
        <v>34279.535</v>
      </c>
      <c r="AD41" s="96">
        <f t="shared" si="26"/>
        <v>0</v>
      </c>
      <c r="AE41" s="96">
        <f t="shared" si="27"/>
        <v>0</v>
      </c>
      <c r="AF41" s="96">
        <f>100</f>
        <v>100</v>
      </c>
      <c r="AG41" s="16">
        <f t="shared" si="28"/>
        <v>1982.94</v>
      </c>
      <c r="AH41" s="16">
        <f t="shared" si="29"/>
        <v>660.98</v>
      </c>
      <c r="AI41" s="16">
        <f t="shared" si="30"/>
        <v>3304.9</v>
      </c>
      <c r="AJ41" s="16">
        <v>0</v>
      </c>
      <c r="AK41" s="16">
        <f t="shared" si="31"/>
        <v>3238.802</v>
      </c>
      <c r="AL41" s="16">
        <v>0</v>
      </c>
      <c r="AM41" s="16">
        <f t="shared" si="32"/>
        <v>7436.025000000001</v>
      </c>
      <c r="AN41" s="16">
        <v>0</v>
      </c>
      <c r="AO41" s="16"/>
      <c r="AP41" s="16"/>
      <c r="AQ41" s="111"/>
      <c r="AR41" s="111"/>
      <c r="AS41" s="91"/>
      <c r="AT41" s="91">
        <f>1227.17+1933.79</f>
        <v>3160.96</v>
      </c>
      <c r="AU41" s="91">
        <f t="shared" si="33"/>
        <v>568.9728</v>
      </c>
      <c r="AV41" s="112">
        <v>514</v>
      </c>
      <c r="AW41" s="127">
        <v>1.75</v>
      </c>
      <c r="AX41" s="16">
        <f t="shared" si="34"/>
        <v>1259.3</v>
      </c>
      <c r="AY41" s="114"/>
      <c r="AZ41" s="115"/>
      <c r="BA41" s="115">
        <f t="shared" si="35"/>
        <v>0</v>
      </c>
      <c r="BB41" s="115">
        <f t="shared" si="38"/>
        <v>21612.8798</v>
      </c>
      <c r="BC41" s="125">
        <f>25</f>
        <v>25</v>
      </c>
      <c r="BD41" s="14">
        <f t="shared" si="36"/>
        <v>12741.655200000005</v>
      </c>
      <c r="BE41" s="30">
        <f t="shared" si="37"/>
        <v>5692.1500000000015</v>
      </c>
    </row>
    <row r="42" spans="1:57" s="20" customFormat="1" ht="12.75" hidden="1">
      <c r="A42" s="17" t="s">
        <v>5</v>
      </c>
      <c r="B42" s="60"/>
      <c r="C42" s="60">
        <f aca="true" t="shared" si="40" ref="C42:AU42">SUM(C30:C41)</f>
        <v>342403.3300000001</v>
      </c>
      <c r="D42" s="60">
        <f t="shared" si="40"/>
        <v>28603.78000000003</v>
      </c>
      <c r="E42" s="57">
        <f t="shared" si="40"/>
        <v>33016.52</v>
      </c>
      <c r="F42" s="57">
        <f t="shared" si="40"/>
        <v>3205.1400000000003</v>
      </c>
      <c r="G42" s="57">
        <f t="shared" si="40"/>
        <v>44715.36</v>
      </c>
      <c r="H42" s="57">
        <f t="shared" si="40"/>
        <v>4344.76</v>
      </c>
      <c r="I42" s="57">
        <f t="shared" si="40"/>
        <v>107446.65</v>
      </c>
      <c r="J42" s="57">
        <f t="shared" si="40"/>
        <v>10434.41</v>
      </c>
      <c r="K42" s="57">
        <f t="shared" si="40"/>
        <v>74430.19</v>
      </c>
      <c r="L42" s="57">
        <f t="shared" si="40"/>
        <v>7229.450000000001</v>
      </c>
      <c r="M42" s="57">
        <f t="shared" si="40"/>
        <v>26413.09</v>
      </c>
      <c r="N42" s="57">
        <f t="shared" si="40"/>
        <v>2563.98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286021.81</v>
      </c>
      <c r="T42" s="57">
        <f t="shared" si="40"/>
        <v>27777.74</v>
      </c>
      <c r="U42" s="61">
        <f t="shared" si="40"/>
        <v>31443.92</v>
      </c>
      <c r="V42" s="61">
        <f t="shared" si="40"/>
        <v>42545.36</v>
      </c>
      <c r="W42" s="61">
        <f t="shared" si="40"/>
        <v>104881.43</v>
      </c>
      <c r="X42" s="61">
        <f t="shared" si="40"/>
        <v>72343.33</v>
      </c>
      <c r="Y42" s="61">
        <f t="shared" si="40"/>
        <v>25168.750000000004</v>
      </c>
      <c r="Z42" s="61">
        <f t="shared" si="40"/>
        <v>0</v>
      </c>
      <c r="AA42" s="61">
        <f t="shared" si="40"/>
        <v>0</v>
      </c>
      <c r="AB42" s="61">
        <f t="shared" si="40"/>
        <v>276382.79000000004</v>
      </c>
      <c r="AC42" s="61">
        <f t="shared" si="40"/>
        <v>332764.31000000006</v>
      </c>
      <c r="AD42" s="61">
        <f t="shared" si="40"/>
        <v>0</v>
      </c>
      <c r="AE42" s="94">
        <f t="shared" si="40"/>
        <v>0</v>
      </c>
      <c r="AF42" s="94">
        <f t="shared" si="40"/>
        <v>300</v>
      </c>
      <c r="AG42" s="18">
        <f t="shared" si="40"/>
        <v>23750.519999999997</v>
      </c>
      <c r="AH42" s="18">
        <f t="shared" si="40"/>
        <v>7916.839999999998</v>
      </c>
      <c r="AI42" s="18">
        <f t="shared" si="40"/>
        <v>39584.20000000001</v>
      </c>
      <c r="AJ42" s="18">
        <f t="shared" si="40"/>
        <v>0</v>
      </c>
      <c r="AK42" s="18">
        <f t="shared" si="40"/>
        <v>38792.516</v>
      </c>
      <c r="AL42" s="18">
        <f t="shared" si="40"/>
        <v>0</v>
      </c>
      <c r="AM42" s="18">
        <f t="shared" si="40"/>
        <v>89064.44999999998</v>
      </c>
      <c r="AN42" s="18">
        <f t="shared" si="40"/>
        <v>0</v>
      </c>
      <c r="AO42" s="18">
        <f t="shared" si="40"/>
        <v>3870.72</v>
      </c>
      <c r="AP42" s="18">
        <f t="shared" si="40"/>
        <v>0</v>
      </c>
      <c r="AQ42" s="18">
        <f t="shared" si="40"/>
        <v>18984</v>
      </c>
      <c r="AR42" s="18">
        <f t="shared" si="40"/>
        <v>0</v>
      </c>
      <c r="AS42" s="18">
        <f t="shared" si="40"/>
        <v>37749</v>
      </c>
      <c r="AT42" s="18">
        <f t="shared" si="40"/>
        <v>3352.76</v>
      </c>
      <c r="AU42" s="18">
        <f t="shared" si="40"/>
        <v>568.9728</v>
      </c>
      <c r="AV42" s="18"/>
      <c r="AW42" s="18"/>
      <c r="AX42" s="18">
        <f aca="true" t="shared" si="41" ref="AX42:BE42">SUM(AX30:AX41)</f>
        <v>10780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274413.9788</v>
      </c>
      <c r="BC42" s="18">
        <f t="shared" si="41"/>
        <v>75</v>
      </c>
      <c r="BD42" s="18">
        <f t="shared" si="41"/>
        <v>58575.331200000044</v>
      </c>
      <c r="BE42" s="19">
        <f t="shared" si="41"/>
        <v>-9639.02</v>
      </c>
    </row>
    <row r="43" spans="1:57" ht="12.75" hidden="1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5"/>
      <c r="AD43" s="95"/>
      <c r="AE43" s="96"/>
      <c r="AF43" s="96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0"/>
      <c r="AT43" s="90"/>
      <c r="AU43" s="91"/>
      <c r="AV43" s="91"/>
      <c r="AW43" s="91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765012.0550000002</v>
      </c>
      <c r="D44" s="23">
        <f t="shared" si="42"/>
        <v>87222.63734200003</v>
      </c>
      <c r="E44" s="50">
        <f t="shared" si="42"/>
        <v>67858.13999999998</v>
      </c>
      <c r="F44" s="50">
        <f t="shared" si="42"/>
        <v>10620.43</v>
      </c>
      <c r="G44" s="50">
        <f t="shared" si="42"/>
        <v>91836.33</v>
      </c>
      <c r="H44" s="50">
        <f t="shared" si="42"/>
        <v>14379.15</v>
      </c>
      <c r="I44" s="50">
        <f t="shared" si="42"/>
        <v>220600.86</v>
      </c>
      <c r="J44" s="50">
        <f t="shared" si="42"/>
        <v>34557.69</v>
      </c>
      <c r="K44" s="50">
        <f t="shared" si="42"/>
        <v>152908.45</v>
      </c>
      <c r="L44" s="50">
        <f t="shared" si="42"/>
        <v>23937.58</v>
      </c>
      <c r="M44" s="50">
        <f t="shared" si="42"/>
        <v>54286.229999999996</v>
      </c>
      <c r="N44" s="50">
        <f t="shared" si="42"/>
        <v>8495.980000000001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587490.01</v>
      </c>
      <c r="T44" s="50">
        <f t="shared" si="42"/>
        <v>91990.83</v>
      </c>
      <c r="U44" s="53">
        <f t="shared" si="42"/>
        <v>61711.20999999999</v>
      </c>
      <c r="V44" s="53">
        <f t="shared" si="42"/>
        <v>83475.23999999999</v>
      </c>
      <c r="W44" s="53">
        <f t="shared" si="42"/>
        <v>203162.69</v>
      </c>
      <c r="X44" s="53">
        <f t="shared" si="42"/>
        <v>140513.39</v>
      </c>
      <c r="Y44" s="53">
        <f t="shared" si="42"/>
        <v>49382.40000000001</v>
      </c>
      <c r="Z44" s="53">
        <f t="shared" si="42"/>
        <v>0</v>
      </c>
      <c r="AA44" s="53">
        <f t="shared" si="42"/>
        <v>0</v>
      </c>
      <c r="AB44" s="53">
        <f t="shared" si="42"/>
        <v>538244.93</v>
      </c>
      <c r="AC44" s="53">
        <f t="shared" si="42"/>
        <v>717458.3973420002</v>
      </c>
      <c r="AD44" s="53">
        <f t="shared" si="42"/>
        <v>0</v>
      </c>
      <c r="AE44" s="53">
        <f t="shared" si="42"/>
        <v>0</v>
      </c>
      <c r="AF44" s="53">
        <f t="shared" si="42"/>
        <v>300</v>
      </c>
      <c r="AG44" s="23">
        <f t="shared" si="42"/>
        <v>52275.659999999996</v>
      </c>
      <c r="AH44" s="23">
        <f t="shared" si="42"/>
        <v>17515.976319</v>
      </c>
      <c r="AI44" s="23">
        <f t="shared" si="42"/>
        <v>79579.79451050001</v>
      </c>
      <c r="AJ44" s="23">
        <f t="shared" si="42"/>
        <v>7199.207011889999</v>
      </c>
      <c r="AK44" s="23">
        <f t="shared" si="42"/>
        <v>79246.22275377999</v>
      </c>
      <c r="AL44" s="23">
        <f t="shared" si="42"/>
        <v>7281.667215680401</v>
      </c>
      <c r="AM44" s="23">
        <f t="shared" si="42"/>
        <v>177690.83861181184</v>
      </c>
      <c r="AN44" s="23">
        <f t="shared" si="42"/>
        <v>15952.749950126134</v>
      </c>
      <c r="AO44" s="23">
        <f t="shared" si="42"/>
        <v>3870.72</v>
      </c>
      <c r="AP44" s="23">
        <f t="shared" si="42"/>
        <v>0</v>
      </c>
      <c r="AQ44" s="23">
        <f t="shared" si="42"/>
        <v>23558.66</v>
      </c>
      <c r="AR44" s="23">
        <f t="shared" si="42"/>
        <v>823.4387999999999</v>
      </c>
      <c r="AS44" s="23">
        <f t="shared" si="42"/>
        <v>87784.64</v>
      </c>
      <c r="AT44" s="23">
        <f t="shared" si="42"/>
        <v>3352.76</v>
      </c>
      <c r="AU44" s="23">
        <f t="shared" si="42"/>
        <v>9575.398</v>
      </c>
      <c r="AV44" s="23"/>
      <c r="AW44" s="23"/>
      <c r="AX44" s="23">
        <f aca="true" t="shared" si="43" ref="AX44:BE44">AX28+AX42</f>
        <v>20956.32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586664.0531727883</v>
      </c>
      <c r="BC44" s="23">
        <f t="shared" si="43"/>
        <v>75</v>
      </c>
      <c r="BD44" s="23">
        <f t="shared" si="43"/>
        <v>131019.34416921166</v>
      </c>
      <c r="BE44" s="24">
        <f t="shared" si="43"/>
        <v>-49245.08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B5:AB6"/>
    <mergeCell ref="AV5:AX5"/>
    <mergeCell ref="AD3:AD6"/>
    <mergeCell ref="BA5:BA6"/>
    <mergeCell ref="AQ5:AQ6"/>
    <mergeCell ref="AR5:AR6"/>
    <mergeCell ref="AT5:AT6"/>
    <mergeCell ref="AZ5:AZ6"/>
    <mergeCell ref="BB5:BB6"/>
    <mergeCell ref="AU5:AU6"/>
    <mergeCell ref="AG5:AG6"/>
    <mergeCell ref="AF3:AF6"/>
    <mergeCell ref="AG3:BB4"/>
    <mergeCell ref="AN5:AN6"/>
    <mergeCell ref="AO5:AO6"/>
    <mergeCell ref="AY5:AY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3">
      <selection activeCell="B55" sqref="B55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191" t="s">
        <v>55</v>
      </c>
      <c r="C1" s="191"/>
      <c r="D1" s="191"/>
      <c r="E1" s="191"/>
      <c r="F1" s="191"/>
      <c r="G1" s="191"/>
      <c r="H1" s="191"/>
    </row>
    <row r="2" spans="2:8" ht="21" customHeight="1">
      <c r="B2" s="191" t="s">
        <v>56</v>
      </c>
      <c r="C2" s="191"/>
      <c r="D2" s="191"/>
      <c r="E2" s="191"/>
      <c r="F2" s="191"/>
      <c r="G2" s="191"/>
      <c r="H2" s="191"/>
    </row>
    <row r="5" spans="1:15" ht="12.75">
      <c r="A5" s="193" t="s">
        <v>90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2.75">
      <c r="A6" s="194" t="s">
        <v>93</v>
      </c>
      <c r="B6" s="194"/>
      <c r="C6" s="194"/>
      <c r="D6" s="194"/>
      <c r="E6" s="194"/>
      <c r="F6" s="194"/>
      <c r="G6" s="194"/>
      <c r="H6" s="97"/>
      <c r="I6" s="97"/>
      <c r="J6" s="97"/>
      <c r="K6" s="97"/>
      <c r="L6" s="97"/>
      <c r="M6" s="97"/>
      <c r="N6" s="97"/>
      <c r="O6" s="97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192" t="s">
        <v>57</v>
      </c>
      <c r="B8" s="192"/>
      <c r="C8" s="192"/>
      <c r="D8" s="192"/>
      <c r="E8" s="192">
        <v>8.65</v>
      </c>
      <c r="F8" s="192"/>
    </row>
    <row r="9" spans="1:16" ht="12.75" customHeight="1">
      <c r="A9" s="140" t="s">
        <v>58</v>
      </c>
      <c r="B9" s="220" t="s">
        <v>1</v>
      </c>
      <c r="C9" s="223" t="s">
        <v>59</v>
      </c>
      <c r="D9" s="226" t="s">
        <v>3</v>
      </c>
      <c r="E9" s="206" t="s">
        <v>60</v>
      </c>
      <c r="F9" s="207"/>
      <c r="G9" s="210" t="s">
        <v>61</v>
      </c>
      <c r="H9" s="211"/>
      <c r="I9" s="187" t="s">
        <v>10</v>
      </c>
      <c r="J9" s="179"/>
      <c r="K9" s="179"/>
      <c r="L9" s="179"/>
      <c r="M9" s="179"/>
      <c r="N9" s="188"/>
      <c r="O9" s="195" t="s">
        <v>62</v>
      </c>
      <c r="P9" s="195" t="s">
        <v>12</v>
      </c>
    </row>
    <row r="10" spans="1:16" ht="12.75">
      <c r="A10" s="141"/>
      <c r="B10" s="221"/>
      <c r="C10" s="224"/>
      <c r="D10" s="227"/>
      <c r="E10" s="208"/>
      <c r="F10" s="209"/>
      <c r="G10" s="212"/>
      <c r="H10" s="213"/>
      <c r="I10" s="189"/>
      <c r="J10" s="151"/>
      <c r="K10" s="151"/>
      <c r="L10" s="151"/>
      <c r="M10" s="151"/>
      <c r="N10" s="190"/>
      <c r="O10" s="196"/>
      <c r="P10" s="196"/>
    </row>
    <row r="11" spans="1:16" ht="26.25" customHeight="1">
      <c r="A11" s="141"/>
      <c r="B11" s="221"/>
      <c r="C11" s="224"/>
      <c r="D11" s="227"/>
      <c r="E11" s="198" t="s">
        <v>63</v>
      </c>
      <c r="F11" s="199"/>
      <c r="G11" s="84" t="s">
        <v>64</v>
      </c>
      <c r="H11" s="200" t="s">
        <v>7</v>
      </c>
      <c r="I11" s="202" t="s">
        <v>65</v>
      </c>
      <c r="J11" s="204" t="s">
        <v>32</v>
      </c>
      <c r="K11" s="204" t="s">
        <v>66</v>
      </c>
      <c r="L11" s="204" t="s">
        <v>37</v>
      </c>
      <c r="M11" s="204" t="s">
        <v>67</v>
      </c>
      <c r="N11" s="200" t="s">
        <v>39</v>
      </c>
      <c r="O11" s="196"/>
      <c r="P11" s="196"/>
    </row>
    <row r="12" spans="1:16" ht="66.75" customHeight="1" thickBot="1">
      <c r="A12" s="219"/>
      <c r="B12" s="222"/>
      <c r="C12" s="225"/>
      <c r="D12" s="228"/>
      <c r="E12" s="63" t="s">
        <v>68</v>
      </c>
      <c r="F12" s="66" t="s">
        <v>21</v>
      </c>
      <c r="G12" s="81" t="s">
        <v>69</v>
      </c>
      <c r="H12" s="201"/>
      <c r="I12" s="203"/>
      <c r="J12" s="205"/>
      <c r="K12" s="205"/>
      <c r="L12" s="205"/>
      <c r="M12" s="205"/>
      <c r="N12" s="201"/>
      <c r="O12" s="197"/>
      <c r="P12" s="197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3228</v>
      </c>
      <c r="C15" s="27">
        <f>B15*8.65</f>
        <v>27922.2</v>
      </c>
      <c r="D15" s="28">
        <f>Лист1!D9</f>
        <v>6725.899536000001</v>
      </c>
      <c r="E15" s="14">
        <f>Лист1!S9</f>
        <v>19409.27</v>
      </c>
      <c r="F15" s="30">
        <f>Лист1!T9</f>
        <v>3974.8600000000006</v>
      </c>
      <c r="G15" s="29">
        <f>Лист1!AB9</f>
        <v>193.9</v>
      </c>
      <c r="H15" s="30">
        <f>Лист1!AC9</f>
        <v>10894.659536000001</v>
      </c>
      <c r="I15" s="29">
        <f>Лист1!AG9</f>
        <v>1936.8</v>
      </c>
      <c r="J15" s="14">
        <f>Лист1!AI9+Лист1!AJ9</f>
        <v>3244.540272</v>
      </c>
      <c r="K15" s="14">
        <f>Лист1!AH9+Лист1!AK9+Лист1!AL9+Лист1!AM9+Лист1!AN9+Лист1!AO9+Лист1!AP9</f>
        <v>11392.880926799999</v>
      </c>
      <c r="L15" s="31">
        <f>Лист1!AS9+Лист1!AU9</f>
        <v>6688.9008</v>
      </c>
      <c r="M15" s="31">
        <f>Лист1!AX9</f>
        <v>0</v>
      </c>
      <c r="N15" s="30">
        <f>Лист1!BB9</f>
        <v>23263.1219988</v>
      </c>
      <c r="O15" s="74">
        <f>Лист1!BD9</f>
        <v>-12368.4624628</v>
      </c>
      <c r="P15" s="74">
        <f>Лист1!BE9</f>
        <v>-19215.37</v>
      </c>
    </row>
    <row r="16" spans="1:16" ht="12.75" hidden="1">
      <c r="A16" s="11" t="s">
        <v>42</v>
      </c>
      <c r="B16" s="82">
        <f>Лист1!B10</f>
        <v>3228</v>
      </c>
      <c r="C16" s="27">
        <f aca="true" t="shared" si="0" ref="C16:C31">B16*8.65</f>
        <v>27922.2</v>
      </c>
      <c r="D16" s="28">
        <f>Лист1!D10</f>
        <v>6725.899536000001</v>
      </c>
      <c r="E16" s="14">
        <f>Лист1!S10</f>
        <v>19148.18</v>
      </c>
      <c r="F16" s="30">
        <f>Лист1!T10</f>
        <v>3933.02</v>
      </c>
      <c r="G16" s="29">
        <f>Лист1!AB10</f>
        <v>11951.12</v>
      </c>
      <c r="H16" s="30">
        <f>Лист1!AC10</f>
        <v>22610.039536000004</v>
      </c>
      <c r="I16" s="29">
        <f>Лист1!AG10</f>
        <v>1936.8</v>
      </c>
      <c r="J16" s="14">
        <f>Лист1!AI10+Лист1!AJ10</f>
        <v>3244.540272</v>
      </c>
      <c r="K16" s="14">
        <f>Лист1!AH10+Лист1!AK10+Лист1!AL10+Лист1!AM10+Лист1!AN10+Лист1!AO10+Лист1!AP10</f>
        <v>11358.4962708</v>
      </c>
      <c r="L16" s="31">
        <f>Лист1!AS10+Лист1!AU10</f>
        <v>2218.4</v>
      </c>
      <c r="M16" s="31">
        <f>Лист1!AX10</f>
        <v>0</v>
      </c>
      <c r="N16" s="30">
        <f>Лист1!BB10</f>
        <v>18758.2365428</v>
      </c>
      <c r="O16" s="74">
        <f>Лист1!BD10</f>
        <v>3851.8029932000027</v>
      </c>
      <c r="P16" s="74">
        <f>Лист1!BE10</f>
        <v>-7197.0599999999995</v>
      </c>
    </row>
    <row r="17" spans="1:18" ht="13.5" hidden="1" thickBot="1">
      <c r="A17" s="32" t="s">
        <v>43</v>
      </c>
      <c r="B17" s="82">
        <f>Лист1!B11</f>
        <v>3228</v>
      </c>
      <c r="C17" s="33">
        <f t="shared" si="0"/>
        <v>27922.2</v>
      </c>
      <c r="D17" s="28">
        <f>Лист1!D11</f>
        <v>6711.10077</v>
      </c>
      <c r="E17" s="14">
        <f>Лист1!S11</f>
        <v>19780.97</v>
      </c>
      <c r="F17" s="30">
        <f>Лист1!T11</f>
        <v>3879.1299999999997</v>
      </c>
      <c r="G17" s="29">
        <f>Лист1!AB11</f>
        <v>21812.35</v>
      </c>
      <c r="H17" s="30">
        <f>Лист1!AC11</f>
        <v>32402.58077</v>
      </c>
      <c r="I17" s="29">
        <f>Лист1!AG11</f>
        <v>1936.8</v>
      </c>
      <c r="J17" s="14">
        <f>Лист1!AI11+Лист1!AJ11</f>
        <v>3235.0938527999997</v>
      </c>
      <c r="K17" s="14">
        <f>Лист1!AH11+Лист1!AK11+Лист1!AL11+Лист1!AM11+Лист1!AN11+Лист1!AO11+Лист1!AP11</f>
        <v>11340.437644439999</v>
      </c>
      <c r="L17" s="31">
        <f>Лист1!AS11+Лист1!AU11</f>
        <v>0</v>
      </c>
      <c r="M17" s="31">
        <f>Лист1!AX11</f>
        <v>0</v>
      </c>
      <c r="N17" s="30">
        <f>Лист1!BB11</f>
        <v>16512.33149724</v>
      </c>
      <c r="O17" s="74">
        <f>Лист1!BD11</f>
        <v>15890.24927276</v>
      </c>
      <c r="P17" s="74">
        <f>Лист1!BE11</f>
        <v>2031.3799999999974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83766.6</v>
      </c>
      <c r="D18" s="67">
        <f aca="true" t="shared" si="1" ref="D18:I18">SUM(D15:D17)</f>
        <v>20162.899842000003</v>
      </c>
      <c r="E18" s="36">
        <f t="shared" si="1"/>
        <v>58338.42</v>
      </c>
      <c r="F18" s="68">
        <f t="shared" si="1"/>
        <v>11787.01</v>
      </c>
      <c r="G18" s="67">
        <f t="shared" si="1"/>
        <v>33957.369999999995</v>
      </c>
      <c r="H18" s="68">
        <f t="shared" si="1"/>
        <v>65907.279842</v>
      </c>
      <c r="I18" s="67">
        <f t="shared" si="1"/>
        <v>5810.4</v>
      </c>
      <c r="J18" s="36">
        <f aca="true" t="shared" si="2" ref="J18:P18">SUM(J15:J17)</f>
        <v>9724.174396800001</v>
      </c>
      <c r="K18" s="36">
        <f t="shared" si="2"/>
        <v>34091.814842039996</v>
      </c>
      <c r="L18" s="36">
        <f t="shared" si="2"/>
        <v>8907.3008</v>
      </c>
      <c r="M18" s="36">
        <f t="shared" si="2"/>
        <v>0</v>
      </c>
      <c r="N18" s="68">
        <f t="shared" si="2"/>
        <v>58533.690038839995</v>
      </c>
      <c r="O18" s="75">
        <f t="shared" si="2"/>
        <v>7373.589803160003</v>
      </c>
      <c r="P18" s="75">
        <f t="shared" si="2"/>
        <v>-24381.050000000003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3286.5</v>
      </c>
      <c r="C20" s="27">
        <f t="shared" si="0"/>
        <v>28428.225000000002</v>
      </c>
      <c r="D20" s="28">
        <f>Лист1!D14</f>
        <v>3553.5281250000003</v>
      </c>
      <c r="E20" s="14">
        <f>Лист1!S14</f>
        <v>19685.33</v>
      </c>
      <c r="F20" s="30">
        <f>Лист1!T14</f>
        <v>3879.1299999999997</v>
      </c>
      <c r="G20" s="29">
        <f>Лист1!AB14</f>
        <v>13838.36</v>
      </c>
      <c r="H20" s="30">
        <f>Лист1!AC14</f>
        <v>21271.018125000002</v>
      </c>
      <c r="I20" s="29">
        <f>Лист1!AG14</f>
        <v>1774.7099999999998</v>
      </c>
      <c r="J20" s="14">
        <f>Лист1!AI14+Лист1!AJ14</f>
        <v>2857.9200865000003</v>
      </c>
      <c r="K20" s="14">
        <f>Лист1!AH14+Лист1!AK14+Лист1!AL14+Лист1!AM14+Лист1!AN14+Лист1!AO14+Лист1!AP14+Лист1!AQ14+Лист1!AR14</f>
        <v>9814.999409670001</v>
      </c>
      <c r="L20" s="31">
        <f>Лист1!AS14+Лист1!AT14+Лист1!AU14+Лист1!AZ14+Лист1!BA14</f>
        <v>1392.41</v>
      </c>
      <c r="M20" s="31">
        <f>Лист1!AX14</f>
        <v>1174.9024</v>
      </c>
      <c r="N20" s="30">
        <f>Лист1!BB14</f>
        <v>15840.03949617</v>
      </c>
      <c r="O20" s="74">
        <f>Лист1!BD14</f>
        <v>5430.978628830002</v>
      </c>
      <c r="P20" s="74">
        <f>Лист1!BE14</f>
        <v>-5846.970000000001</v>
      </c>
      <c r="Q20" s="1"/>
      <c r="R20" s="1"/>
    </row>
    <row r="21" spans="1:18" ht="12.75" hidden="1">
      <c r="A21" s="11" t="s">
        <v>46</v>
      </c>
      <c r="B21" s="82">
        <f>Лист1!B15</f>
        <v>3286.5</v>
      </c>
      <c r="C21" s="27">
        <f t="shared" si="0"/>
        <v>28428.225000000002</v>
      </c>
      <c r="D21" s="28">
        <f>Лист1!D15</f>
        <v>3553.5281250000003</v>
      </c>
      <c r="E21" s="14">
        <f>Лист1!S15</f>
        <v>19362.99</v>
      </c>
      <c r="F21" s="30">
        <f>Лист1!T15</f>
        <v>3910.2700000000004</v>
      </c>
      <c r="G21" s="29">
        <f>Лист1!AB15</f>
        <v>12101.04</v>
      </c>
      <c r="H21" s="30">
        <f>Лист1!AC15</f>
        <v>19564.838125000002</v>
      </c>
      <c r="I21" s="29">
        <f>Лист1!AG15</f>
        <v>1774.7099999999998</v>
      </c>
      <c r="J21" s="14">
        <f>Лист1!AI15+Лист1!AJ15</f>
        <v>2857.9436865</v>
      </c>
      <c r="K21" s="14">
        <f>Лист1!AH15+Лист1!AK15+Лист1!AL15+Лист1!AM15+Лист1!AN15+Лист1!AO15+Лист1!AP15+Лист1!AQ15+Лист1!AR15</f>
        <v>9829.168497120001</v>
      </c>
      <c r="L21" s="31">
        <f>Лист1!AS15+Лист1!AT15+Лист1!AU15+Лист1!AZ15+Лист1!BA15</f>
        <v>18238.08</v>
      </c>
      <c r="M21" s="31">
        <f>Лист1!AX15</f>
        <v>941.3095999999999</v>
      </c>
      <c r="N21" s="30">
        <f>Лист1!BB15</f>
        <v>32699.902183620005</v>
      </c>
      <c r="O21" s="74">
        <f>Лист1!BD15</f>
        <v>-13135.064058620002</v>
      </c>
      <c r="P21" s="74">
        <f>Лист1!BE15</f>
        <v>-7261.950000000001</v>
      </c>
      <c r="Q21" s="1"/>
      <c r="R21" s="1"/>
    </row>
    <row r="22" spans="1:18" ht="12.75" hidden="1">
      <c r="A22" s="11" t="s">
        <v>47</v>
      </c>
      <c r="B22" s="82">
        <f>Лист1!B16</f>
        <v>3286.5</v>
      </c>
      <c r="C22" s="27">
        <f t="shared" si="0"/>
        <v>28428.225000000002</v>
      </c>
      <c r="D22" s="28">
        <f>Лист1!D16</f>
        <v>3553.5281250000003</v>
      </c>
      <c r="E22" s="14">
        <f>Лист1!S16</f>
        <v>19402.899999999998</v>
      </c>
      <c r="F22" s="30">
        <f>Лист1!T16</f>
        <v>3910.2700000000004</v>
      </c>
      <c r="G22" s="29">
        <f>Лист1!AB16</f>
        <v>20972.1</v>
      </c>
      <c r="H22" s="30">
        <f>Лист1!AC16</f>
        <v>28435.898125</v>
      </c>
      <c r="I22" s="29">
        <f>Лист1!AG16</f>
        <v>1774.7099999999998</v>
      </c>
      <c r="J22" s="14">
        <f>Лист1!AI16+Лист1!AJ16</f>
        <v>2859.59186625</v>
      </c>
      <c r="K22" s="14">
        <f>Лист1!AH16+Лист1!AK16+Лист1!AL16+Лист1!AM16+Лист1!AN16+Лист1!AO16+Лист1!AP16+Лист1!AQ16+Лист1!AR16</f>
        <v>9502.21465977</v>
      </c>
      <c r="L22" s="31">
        <f>Лист1!AS16+Лист1!AT16+Лист1!AU16+Лист1!AZ16+Лист1!BA16</f>
        <v>12470.24</v>
      </c>
      <c r="M22" s="31">
        <f>Лист1!AX16</f>
        <v>885.8024</v>
      </c>
      <c r="N22" s="30">
        <f>Лист1!BB16</f>
        <v>26606.756526020003</v>
      </c>
      <c r="O22" s="74">
        <f>Лист1!BD16</f>
        <v>1829.141598979997</v>
      </c>
      <c r="P22" s="74">
        <f>Лист1!BE16</f>
        <v>1569.2000000000007</v>
      </c>
      <c r="Q22" s="1"/>
      <c r="R22" s="1"/>
    </row>
    <row r="23" spans="1:18" ht="12.75" hidden="1">
      <c r="A23" s="11" t="s">
        <v>48</v>
      </c>
      <c r="B23" s="82">
        <f>Лист1!B17</f>
        <v>3286.5</v>
      </c>
      <c r="C23" s="27">
        <f t="shared" si="0"/>
        <v>28428.225000000002</v>
      </c>
      <c r="D23" s="28">
        <f>Лист1!D17</f>
        <v>3553.5281250000003</v>
      </c>
      <c r="E23" s="14">
        <f>Лист1!S17</f>
        <v>20607.32</v>
      </c>
      <c r="F23" s="30">
        <f>Лист1!T17</f>
        <v>3910.2700000000004</v>
      </c>
      <c r="G23" s="29">
        <f>Лист1!AB17</f>
        <v>19065.920000000002</v>
      </c>
      <c r="H23" s="30">
        <f>Лист1!AC17</f>
        <v>26529.718125000003</v>
      </c>
      <c r="I23" s="29">
        <f>Лист1!AG17</f>
        <v>1774.7099999999998</v>
      </c>
      <c r="J23" s="14">
        <f>Лист1!AI17+Лист1!AJ17</f>
        <v>2944.9675773</v>
      </c>
      <c r="K23" s="14">
        <f>Лист1!AH17+Лист1!AK17+Лист1!AL17+Лист1!AM17+Лист1!AN17+Лист1!AO17+Лист1!AP17+Лист1!AQ17+Лист1!AR17</f>
        <v>9636.85066764</v>
      </c>
      <c r="L23" s="31">
        <f>Лист1!AS17+Лист1!AT17+Лист1!AU17+Лист1!AY17+Лист1!AZ17</f>
        <v>601.8</v>
      </c>
      <c r="M23" s="31">
        <f>Лист1!AX17</f>
        <v>710.0296</v>
      </c>
      <c r="N23" s="30">
        <f>Лист1!BB17</f>
        <v>18670.372244939997</v>
      </c>
      <c r="O23" s="74">
        <f>Лист1!BD17</f>
        <v>7859.345880060006</v>
      </c>
      <c r="P23" s="74">
        <f>Лист1!BE17</f>
        <v>-1541.3999999999978</v>
      </c>
      <c r="Q23" s="1"/>
      <c r="R23" s="1"/>
    </row>
    <row r="24" spans="1:18" ht="12.75" hidden="1">
      <c r="A24" s="11" t="s">
        <v>49</v>
      </c>
      <c r="B24" s="82">
        <f>Лист1!B18</f>
        <v>3286.5</v>
      </c>
      <c r="C24" s="27">
        <f t="shared" si="0"/>
        <v>28428.225000000002</v>
      </c>
      <c r="D24" s="28">
        <f>Лист1!D18</f>
        <v>2758.2750000000024</v>
      </c>
      <c r="E24" s="14">
        <f>Лист1!S18</f>
        <v>21081.770000000004</v>
      </c>
      <c r="F24" s="30">
        <f>Лист1!T18</f>
        <v>4588.18</v>
      </c>
      <c r="G24" s="29">
        <f>Лист1!AB18</f>
        <v>18848.48</v>
      </c>
      <c r="H24" s="30">
        <f>Лист1!AC18</f>
        <v>26194.935</v>
      </c>
      <c r="I24" s="29">
        <f>Лист1!AG18</f>
        <v>1971.8999999999999</v>
      </c>
      <c r="J24" s="14">
        <f>Лист1!AI18+Лист1!AJ18</f>
        <v>3296.3595</v>
      </c>
      <c r="K24" s="14">
        <f>Лист1!AH18+Лист1!AK18+Лист1!AL18+Лист1!AM18+Лист1!AN18+Лист1!AO18+Лист1!AP18+Лист1!AQ18+Лист1!AR18</f>
        <v>11289.7848</v>
      </c>
      <c r="L24" s="31">
        <f>Лист1!AS18+Лист1!AT18+Лист1!AU18+Лист1!AZ18+Лист1!BA18</f>
        <v>0</v>
      </c>
      <c r="M24" s="31">
        <f>Лист1!AX18</f>
        <v>608.2664</v>
      </c>
      <c r="N24" s="30">
        <f>Лист1!BB18</f>
        <v>17166.3107</v>
      </c>
      <c r="O24" s="74">
        <f>Лист1!BD18</f>
        <v>9028.6243</v>
      </c>
      <c r="P24" s="74">
        <f>Лист1!BE18</f>
        <v>-2233.2900000000045</v>
      </c>
      <c r="Q24" s="1"/>
      <c r="R24" s="1"/>
    </row>
    <row r="25" spans="1:18" ht="12.75" hidden="1">
      <c r="A25" s="11" t="s">
        <v>50</v>
      </c>
      <c r="B25" s="82">
        <f>Лист1!B19</f>
        <v>3286.5</v>
      </c>
      <c r="C25" s="27">
        <f t="shared" si="0"/>
        <v>28428.225000000002</v>
      </c>
      <c r="D25" s="28">
        <f>Лист1!D19</f>
        <v>2413.225000000002</v>
      </c>
      <c r="E25" s="14">
        <f>Лист1!S19</f>
        <v>21426.82</v>
      </c>
      <c r="F25" s="30">
        <f>Лист1!T19</f>
        <v>4588.18</v>
      </c>
      <c r="G25" s="29">
        <f>Лист1!AB19</f>
        <v>17620.27</v>
      </c>
      <c r="H25" s="30">
        <f>Лист1!AC19</f>
        <v>24621.675000000003</v>
      </c>
      <c r="I25" s="29">
        <f>Лист1!AG19</f>
        <v>1971.8999999999999</v>
      </c>
      <c r="J25" s="14">
        <f>Лист1!AI19+Лист1!AJ19</f>
        <v>3296.3595</v>
      </c>
      <c r="K25" s="14">
        <f>Лист1!AH19+Лист1!AK19+Лист1!AL19+Лист1!AM19+Лист1!AN19+Лист1!AO19+Лист1!AP19+Лист1!AQ19+Лист1!AR19</f>
        <v>11290.080585</v>
      </c>
      <c r="L25" s="31">
        <f>Лист1!AS19+Лист1!AT19+Лист1!AU19+Лист1!AZ19+Лист1!BA19</f>
        <v>400.905</v>
      </c>
      <c r="M25" s="31">
        <f>Лист1!AX19</f>
        <v>538.8824000000001</v>
      </c>
      <c r="N25" s="30">
        <f>Лист1!BB19</f>
        <v>17498.127484999997</v>
      </c>
      <c r="O25" s="74">
        <f>Лист1!BD19</f>
        <v>7123.547515000006</v>
      </c>
      <c r="P25" s="74">
        <f>Лист1!BE19</f>
        <v>-3806.5499999999993</v>
      </c>
      <c r="Q25" s="1"/>
      <c r="R25" s="1"/>
    </row>
    <row r="26" spans="1:18" ht="12.75" hidden="1">
      <c r="A26" s="11" t="s">
        <v>51</v>
      </c>
      <c r="B26" s="82">
        <f>Лист1!B20</f>
        <v>3241.6</v>
      </c>
      <c r="C26" s="27">
        <f t="shared" si="0"/>
        <v>28039.84</v>
      </c>
      <c r="D26" s="28">
        <f>Лист1!D20</f>
        <v>5590.230000000001</v>
      </c>
      <c r="E26" s="14">
        <f>Лист1!S20</f>
        <v>17852.87</v>
      </c>
      <c r="F26" s="30">
        <f>Лист1!T20</f>
        <v>4596.74</v>
      </c>
      <c r="G26" s="29">
        <f>Лист1!AB20</f>
        <v>21809.18</v>
      </c>
      <c r="H26" s="30">
        <f>Лист1!AC20</f>
        <v>31996.15</v>
      </c>
      <c r="I26" s="29">
        <f>Лист1!AG20</f>
        <v>1944.9599999999998</v>
      </c>
      <c r="J26" s="14">
        <f>Лист1!AI20+Лист1!AJ20</f>
        <v>3204.8308553599995</v>
      </c>
      <c r="K26" s="14">
        <f>Лист1!AH20+Лист1!AK20+Лист1!AL20+Лист1!AM20+Лист1!AN20+Лист1!AO20+Лист1!AP20+Лист1!AQ20+Лист1!AR20</f>
        <v>11025.035647551998</v>
      </c>
      <c r="L26" s="31">
        <f>Лист1!AS20+Лист1!AT20+Лист1!AU20+Лист1!AZ20+Лист1!BA20</f>
        <v>4327.0599999999995</v>
      </c>
      <c r="M26" s="31">
        <f>Лист1!AX20</f>
        <v>573.5744</v>
      </c>
      <c r="N26" s="30">
        <f>Лист1!BB20</f>
        <v>21075.460902911997</v>
      </c>
      <c r="O26" s="74">
        <f>Лист1!BD20</f>
        <v>10920.689097088005</v>
      </c>
      <c r="P26" s="74">
        <f>Лист1!BE20</f>
        <v>3956.3100000000013</v>
      </c>
      <c r="Q26" s="1"/>
      <c r="R26" s="1"/>
    </row>
    <row r="27" spans="1:18" ht="12.75" hidden="1">
      <c r="A27" s="11" t="s">
        <v>52</v>
      </c>
      <c r="B27" s="82">
        <f>Лист1!B21</f>
        <v>3241.6</v>
      </c>
      <c r="C27" s="27">
        <f t="shared" si="0"/>
        <v>28039.84</v>
      </c>
      <c r="D27" s="28">
        <f>Лист1!D21</f>
        <v>2831.6099999999983</v>
      </c>
      <c r="E27" s="14">
        <f>Лист1!S21</f>
        <v>20611.489999999998</v>
      </c>
      <c r="F27" s="30">
        <f>Лист1!T21</f>
        <v>4596.74</v>
      </c>
      <c r="G27" s="29">
        <f>Лист1!AB21</f>
        <v>20479.59</v>
      </c>
      <c r="H27" s="30">
        <f>Лист1!AC21</f>
        <v>27907.94</v>
      </c>
      <c r="I27" s="29">
        <f>Лист1!AG21</f>
        <v>1944.9599999999998</v>
      </c>
      <c r="J27" s="14">
        <f>Лист1!AI21+Лист1!AJ21</f>
        <v>3203.4002724479997</v>
      </c>
      <c r="K27" s="14">
        <f>Лист1!AH21+Лист1!AK21+Лист1!AL21+Лист1!AM21+Лист1!AN21+Лист1!AO21+Лист1!AP21+Лист1!AQ21+Лист1!AR21</f>
        <v>11023.443308799999</v>
      </c>
      <c r="L27" s="31">
        <f>Лист1!AS21+Лист1!AT21+Лист1!AU21+Лист1!AZ21+Лист1!BA21</f>
        <v>8854.5666</v>
      </c>
      <c r="M27" s="31">
        <f>Лист1!AX21</f>
        <v>677.6504000000001</v>
      </c>
      <c r="N27" s="30">
        <f>Лист1!BB21</f>
        <v>25704.020581247994</v>
      </c>
      <c r="O27" s="74">
        <f>Лист1!BD21</f>
        <v>2203.9194187520043</v>
      </c>
      <c r="P27" s="74">
        <f>Лист1!BE21</f>
        <v>-131.89999999999782</v>
      </c>
      <c r="Q27" s="1"/>
      <c r="R27" s="1"/>
    </row>
    <row r="28" spans="1:18" ht="12.75" hidden="1">
      <c r="A28" s="11" t="s">
        <v>53</v>
      </c>
      <c r="B28" s="82">
        <f>Лист1!B22</f>
        <v>3241.6</v>
      </c>
      <c r="C28" s="27">
        <f t="shared" si="0"/>
        <v>28039.84</v>
      </c>
      <c r="D28" s="28">
        <f>Лист1!D22</f>
        <v>2423.1699999999964</v>
      </c>
      <c r="E28" s="14">
        <f>Лист1!S22</f>
        <v>21028.87</v>
      </c>
      <c r="F28" s="30">
        <f>Лист1!T22</f>
        <v>4587.799999999999</v>
      </c>
      <c r="G28" s="29">
        <f>Лист1!AB22</f>
        <v>17878.89</v>
      </c>
      <c r="H28" s="30">
        <f>Лист1!AC22</f>
        <v>24889.859999999993</v>
      </c>
      <c r="I28" s="29">
        <f>Лист1!AG22</f>
        <v>1944.9599999999998</v>
      </c>
      <c r="J28" s="14">
        <f>Лист1!AI22+Лист1!AJ22</f>
        <v>3202.8475472319997</v>
      </c>
      <c r="K28" s="14">
        <f>Лист1!AH22+Лист1!AK22+Лист1!AL22+Лист1!AM22+Лист1!AN22+Лист1!AO22+Лист1!AP22+Лист1!AQ22+Лист1!AR22</f>
        <v>11022.006612806399</v>
      </c>
      <c r="L28" s="31">
        <f>Лист1!AS22+Лист1!AT22+Лист1!AU22+Лист1!AZ22+Лист1!BA22</f>
        <v>0</v>
      </c>
      <c r="M28" s="31">
        <f>Лист1!AX22</f>
        <v>807.1672000000001</v>
      </c>
      <c r="N28" s="30">
        <f>Лист1!BB22</f>
        <v>16976.981360038397</v>
      </c>
      <c r="O28" s="74">
        <f>Лист1!BD22</f>
        <v>7912.8786399615965</v>
      </c>
      <c r="P28" s="74">
        <f>Лист1!BE22</f>
        <v>-3149.9799999999996</v>
      </c>
      <c r="Q28" s="1"/>
      <c r="R28" s="1"/>
    </row>
    <row r="29" spans="1:18" ht="12.75" hidden="1">
      <c r="A29" s="11" t="s">
        <v>41</v>
      </c>
      <c r="B29" s="82">
        <f>Лист1!B23</f>
        <v>3242.9</v>
      </c>
      <c r="C29" s="27">
        <f>B29*8.65</f>
        <v>28051.085000000003</v>
      </c>
      <c r="D29" s="28">
        <f>Лист1!D23</f>
        <v>2421.235</v>
      </c>
      <c r="E29" s="14">
        <f>Лист1!S23</f>
        <v>21030.61</v>
      </c>
      <c r="F29" s="30">
        <f>Лист1!T23</f>
        <v>4599.240000000001</v>
      </c>
      <c r="G29" s="29">
        <f>Лист1!AB23</f>
        <v>22938.670000000006</v>
      </c>
      <c r="H29" s="30">
        <f>Лист1!AC23</f>
        <v>29959.145000000008</v>
      </c>
      <c r="I29" s="29">
        <f>Лист1!AG23</f>
        <v>1945.74</v>
      </c>
      <c r="J29" s="14">
        <f>Лист1!AI23+Лист1!AJ23</f>
        <v>3241.148834</v>
      </c>
      <c r="K29" s="14">
        <f>Лист1!AH23+Лист1!AK23+Лист1!AL23+Лист1!AM23+Лист1!AN23+Лист1!AO23+Лист1!AP23+Лист1!AQ23+Лист1!AR23</f>
        <v>16519.30006</v>
      </c>
      <c r="L29" s="31">
        <f>Лист1!AS23+Лист1!AT23+Лист1!AU23+Лист1!AZ23+Лист1!BA23</f>
        <v>1021.2428</v>
      </c>
      <c r="M29" s="31">
        <f>Лист1!AX23</f>
        <v>982.94</v>
      </c>
      <c r="N29" s="30">
        <f>Лист1!BB23</f>
        <v>23710.371694</v>
      </c>
      <c r="O29" s="74">
        <f>Лист1!BD23</f>
        <v>6248.773306000006</v>
      </c>
      <c r="P29" s="74">
        <f>Лист1!BE23</f>
        <v>1908.060000000005</v>
      </c>
      <c r="Q29" s="1"/>
      <c r="R29" s="1"/>
    </row>
    <row r="30" spans="1:18" ht="12.75" hidden="1">
      <c r="A30" s="11" t="s">
        <v>42</v>
      </c>
      <c r="B30" s="82">
        <f>Лист1!B24</f>
        <v>3242.9</v>
      </c>
      <c r="C30" s="27">
        <f t="shared" si="0"/>
        <v>28051.085000000003</v>
      </c>
      <c r="D30" s="28">
        <f>Лист1!D24</f>
        <v>2405.955000000003</v>
      </c>
      <c r="E30" s="14">
        <f>Лист1!S24</f>
        <v>21015.499999999996</v>
      </c>
      <c r="F30" s="30">
        <f>Лист1!T24</f>
        <v>4629.63</v>
      </c>
      <c r="G30" s="29">
        <f>Лист1!AB24</f>
        <v>19982.03</v>
      </c>
      <c r="H30" s="30">
        <f>Лист1!AC24</f>
        <v>27017.615</v>
      </c>
      <c r="I30" s="29">
        <f>Лист1!AG24</f>
        <v>1945.74</v>
      </c>
      <c r="J30" s="14">
        <f>Лист1!AI24+Лист1!AJ24</f>
        <v>3252.6287</v>
      </c>
      <c r="K30" s="14">
        <f>Лист1!AH24+Лист1!AK24+Лист1!AL24+Лист1!AM24+Лист1!AN24+Лист1!AO24+Лист1!AP24+Лист1!AQ24+Лист1!AR24</f>
        <v>11133.524280000001</v>
      </c>
      <c r="L30" s="31">
        <f>Лист1!AS24+Лист1!AT24+Лист1!AU24+Лист1!AZ24+Лист1!BA24</f>
        <v>1751.12</v>
      </c>
      <c r="M30" s="31">
        <f>Лист1!AX24</f>
        <v>1087.016</v>
      </c>
      <c r="N30" s="30">
        <f>Лист1!BB24</f>
        <v>19170.02898</v>
      </c>
      <c r="O30" s="74">
        <f>Лист1!BD24</f>
        <v>7847.5860200000025</v>
      </c>
      <c r="P30" s="74">
        <f>Лист1!BE24</f>
        <v>-1033.4699999999975</v>
      </c>
      <c r="Q30" s="1"/>
      <c r="R30" s="1"/>
    </row>
    <row r="31" spans="1:18" ht="13.5" hidden="1" thickBot="1">
      <c r="A31" s="32" t="s">
        <v>43</v>
      </c>
      <c r="B31" s="82">
        <f>Лист1!B25</f>
        <v>3242.9</v>
      </c>
      <c r="C31" s="33">
        <f t="shared" si="0"/>
        <v>28051.085000000003</v>
      </c>
      <c r="D31" s="28">
        <f>Лист1!D25</f>
        <v>3398.145000000006</v>
      </c>
      <c r="E31" s="14">
        <f>Лист1!S25</f>
        <v>20023.309999999998</v>
      </c>
      <c r="F31" s="30">
        <f>Лист1!T25</f>
        <v>4629.63</v>
      </c>
      <c r="G31" s="29">
        <f>Лист1!AB25</f>
        <v>22370.239999999998</v>
      </c>
      <c r="H31" s="30">
        <f>Лист1!AC25</f>
        <v>30398.015000000003</v>
      </c>
      <c r="I31" s="29">
        <f>Лист1!AG25</f>
        <v>1945.74</v>
      </c>
      <c r="J31" s="14">
        <f>Лист1!AI25+Лист1!AJ25</f>
        <v>3252.6287</v>
      </c>
      <c r="K31" s="14">
        <f>Лист1!AH25+Лист1!AK25+Лист1!AL25+Лист1!AM25+Лист1!AN25+Лист1!AO25+Лист1!AP25+Лист1!AQ25+Лист1!AR25</f>
        <v>11133.524280000001</v>
      </c>
      <c r="L31" s="31">
        <f>Лист1!AS25+Лист1!AT25+Лист1!AU25+Лист1!AZ25+Лист1!BA25</f>
        <v>1077.34</v>
      </c>
      <c r="M31" s="31">
        <f>Лист1!AX25</f>
        <v>1188.7792</v>
      </c>
      <c r="N31" s="30">
        <f>Лист1!BB25</f>
        <v>18598.01218</v>
      </c>
      <c r="O31" s="74">
        <f>Лист1!BD25</f>
        <v>11800.002820000002</v>
      </c>
      <c r="P31" s="74">
        <f>Лист1!BE25</f>
        <v>2346.9300000000003</v>
      </c>
      <c r="Q31" s="1"/>
      <c r="R31" s="1"/>
    </row>
    <row r="32" spans="1:18" s="20" customFormat="1" ht="13.5" hidden="1" thickBot="1">
      <c r="A32" s="34" t="s">
        <v>5</v>
      </c>
      <c r="B32" s="35"/>
      <c r="C32" s="36">
        <f aca="true" t="shared" si="3" ref="C32:P32">SUM(C20:C31)</f>
        <v>338842.12500000006</v>
      </c>
      <c r="D32" s="67">
        <f t="shared" si="3"/>
        <v>38455.957500000004</v>
      </c>
      <c r="E32" s="36">
        <f t="shared" si="3"/>
        <v>243129.77999999997</v>
      </c>
      <c r="F32" s="68">
        <f t="shared" si="3"/>
        <v>52426.079999999994</v>
      </c>
      <c r="G32" s="67">
        <f t="shared" si="3"/>
        <v>227904.77000000002</v>
      </c>
      <c r="H32" s="68">
        <f t="shared" si="3"/>
        <v>318786.80750000005</v>
      </c>
      <c r="I32" s="67">
        <f t="shared" si="3"/>
        <v>22714.74</v>
      </c>
      <c r="J32" s="36">
        <f t="shared" si="3"/>
        <v>37470.62712559</v>
      </c>
      <c r="K32" s="36">
        <f t="shared" si="3"/>
        <v>133219.9328083584</v>
      </c>
      <c r="L32" s="36">
        <f>SUM(L20:L31)</f>
        <v>50134.7644</v>
      </c>
      <c r="M32" s="36">
        <f t="shared" si="3"/>
        <v>10176.32</v>
      </c>
      <c r="N32" s="68">
        <f t="shared" si="3"/>
        <v>253716.38433394837</v>
      </c>
      <c r="O32" s="75">
        <f t="shared" si="3"/>
        <v>65070.423166051616</v>
      </c>
      <c r="P32" s="75">
        <f t="shared" si="3"/>
        <v>-15225.009999999991</v>
      </c>
      <c r="Q32" s="71"/>
      <c r="R32" s="71"/>
    </row>
    <row r="33" spans="1:18" ht="13.5" thickBot="1">
      <c r="A33" s="217" t="s">
        <v>94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79"/>
      <c r="Q33" s="1"/>
      <c r="R33" s="1"/>
    </row>
    <row r="34" spans="1:18" s="20" customFormat="1" ht="17.25" customHeight="1" thickBot="1">
      <c r="A34" s="80" t="s">
        <v>54</v>
      </c>
      <c r="B34" s="38"/>
      <c r="C34" s="39">
        <f>C18+C32</f>
        <v>422608.7250000001</v>
      </c>
      <c r="D34" s="37">
        <f aca="true" t="shared" si="4" ref="D34:P34">D18+D32</f>
        <v>58618.857342</v>
      </c>
      <c r="E34" s="38">
        <f t="shared" si="4"/>
        <v>301468.19999999995</v>
      </c>
      <c r="F34" s="39">
        <f t="shared" si="4"/>
        <v>64213.09</v>
      </c>
      <c r="G34" s="37">
        <f t="shared" si="4"/>
        <v>261862.14</v>
      </c>
      <c r="H34" s="39">
        <f t="shared" si="4"/>
        <v>384694.08734200004</v>
      </c>
      <c r="I34" s="37">
        <f t="shared" si="4"/>
        <v>28525.14</v>
      </c>
      <c r="J34" s="38">
        <f t="shared" si="4"/>
        <v>47194.80152239</v>
      </c>
      <c r="K34" s="38">
        <f t="shared" si="4"/>
        <v>167311.7476503984</v>
      </c>
      <c r="L34" s="38">
        <f t="shared" si="4"/>
        <v>59042.0652</v>
      </c>
      <c r="M34" s="38">
        <f t="shared" si="4"/>
        <v>10176.32</v>
      </c>
      <c r="N34" s="78">
        <f t="shared" si="4"/>
        <v>312250.07437278837</v>
      </c>
      <c r="O34" s="77">
        <f>O18+O32</f>
        <v>72444.01296921162</v>
      </c>
      <c r="P34" s="77">
        <f t="shared" si="4"/>
        <v>-39606.06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3242.9</v>
      </c>
      <c r="C36" s="27">
        <f aca="true" t="shared" si="5" ref="C36:C47">B36*8.65</f>
        <v>28051.085000000003</v>
      </c>
      <c r="D36" s="28">
        <f>Лист1!D30</f>
        <v>2395.805000000003</v>
      </c>
      <c r="E36" s="14">
        <f>Лист1!S30</f>
        <v>21025.65</v>
      </c>
      <c r="F36" s="30">
        <f>Лист1!T30</f>
        <v>4629.63</v>
      </c>
      <c r="G36" s="29">
        <f>Лист1!AB30</f>
        <v>14754.96</v>
      </c>
      <c r="H36" s="30">
        <f>Лист1!AC30</f>
        <v>21780.395000000004</v>
      </c>
      <c r="I36" s="29">
        <f>Лист1!AG30</f>
        <v>1945.74</v>
      </c>
      <c r="J36" s="14">
        <f>Лист1!AI30+Лист1!AJ30</f>
        <v>3242.9</v>
      </c>
      <c r="K36" s="14">
        <f>Лист1!AH30+Лист1!AK30+Лист1!AL30+Лист1!AM30+Лист1!AN30+Лист1!AO30+Лист1!AP30+Лист1!AQ30+Лист1!AR30</f>
        <v>11123.147</v>
      </c>
      <c r="L36" s="31">
        <f>Лист1!AS30+Лист1!AT30+Лист1!AU30+Лист1!AZ30+Лист1!BA30</f>
        <v>1696</v>
      </c>
      <c r="M36" s="31">
        <f>Лист1!AX30</f>
        <v>1244.6</v>
      </c>
      <c r="N36" s="30">
        <f>Лист1!BB30</f>
        <v>19252.387</v>
      </c>
      <c r="O36" s="74">
        <f>Лист1!BD30</f>
        <v>2528.0080000000053</v>
      </c>
      <c r="P36" s="74">
        <f>Лист1!BE30</f>
        <v>-6270.690000000002</v>
      </c>
      <c r="Q36" s="1"/>
      <c r="R36" s="1"/>
    </row>
    <row r="37" spans="1:18" ht="12.75">
      <c r="A37" s="11" t="s">
        <v>46</v>
      </c>
      <c r="B37" s="82">
        <f>Лист1!B31</f>
        <v>3300.7</v>
      </c>
      <c r="C37" s="27">
        <f t="shared" si="5"/>
        <v>28551.055</v>
      </c>
      <c r="D37" s="28">
        <f>Лист1!D31</f>
        <v>2395.805000000002</v>
      </c>
      <c r="E37" s="14">
        <f>Лист1!S31</f>
        <v>21525.620000000003</v>
      </c>
      <c r="F37" s="30">
        <f>Лист1!T31</f>
        <v>4629.63</v>
      </c>
      <c r="G37" s="29">
        <f>Лист1!AB31</f>
        <v>17837.57</v>
      </c>
      <c r="H37" s="30">
        <f>Лист1!AC31</f>
        <v>24863.005</v>
      </c>
      <c r="I37" s="29">
        <f>Лист1!AG31</f>
        <v>1980.4199999999998</v>
      </c>
      <c r="J37" s="14">
        <f>Лист1!AI31+Лист1!AJ31</f>
        <v>3300.7</v>
      </c>
      <c r="K37" s="14">
        <f>Лист1!AH31+Лист1!AK31+Лист1!AL31+Лист1!AM31+Лист1!AN31+Лист1!AO31+Лист1!AP31+Лист1!AQ31+Лист1!AR31</f>
        <v>11321.401</v>
      </c>
      <c r="L37" s="31">
        <f>Лист1!AS31+Лист1!AT31+Лист1!AU31+Лист1!AZ31+Лист1!BA31</f>
        <v>124</v>
      </c>
      <c r="M37" s="31">
        <f>Лист1!AX31</f>
        <v>997.15</v>
      </c>
      <c r="N37" s="30">
        <f>Лист1!BB31</f>
        <v>17723.671000000002</v>
      </c>
      <c r="O37" s="74">
        <f>Лист1!BD31</f>
        <v>7139.333999999999</v>
      </c>
      <c r="P37" s="74">
        <f>Лист1!BE31</f>
        <v>-3688.050000000003</v>
      </c>
      <c r="Q37" s="1"/>
      <c r="R37" s="1"/>
    </row>
    <row r="38" spans="1:18" ht="12.75">
      <c r="A38" s="11" t="s">
        <v>47</v>
      </c>
      <c r="B38" s="82">
        <f>Лист1!B32</f>
        <v>3300.7</v>
      </c>
      <c r="C38" s="27">
        <f t="shared" si="5"/>
        <v>28551.055</v>
      </c>
      <c r="D38" s="28">
        <f>Лист1!D32</f>
        <v>2395.805000000002</v>
      </c>
      <c r="E38" s="14">
        <f>Лист1!S32</f>
        <v>21525.620000000003</v>
      </c>
      <c r="F38" s="30">
        <f>Лист1!T32</f>
        <v>4629.63</v>
      </c>
      <c r="G38" s="29">
        <f>Лист1!AB32</f>
        <v>21135.24</v>
      </c>
      <c r="H38" s="30">
        <f>Лист1!AC32</f>
        <v>28160.675000000003</v>
      </c>
      <c r="I38" s="29">
        <f>Лист1!AG32</f>
        <v>1980.4199999999998</v>
      </c>
      <c r="J38" s="14">
        <f>Лист1!AI32+Лист1!AJ32</f>
        <v>3300.7</v>
      </c>
      <c r="K38" s="14">
        <f>Лист1!AH32+Лист1!AK32+Лист1!AL32+Лист1!AM32+Лист1!AN32+Лист1!AO32+Лист1!AP32+Лист1!AQ32+Лист1!AR32</f>
        <v>18305.400999999998</v>
      </c>
      <c r="L38" s="31">
        <f>Лист1!AS32+Лист1!AT32+Лист1!AU32+Лист1!AZ32+Лист1!BA32</f>
        <v>20194</v>
      </c>
      <c r="M38" s="31">
        <f>Лист1!AX32</f>
        <v>938.3499999999999</v>
      </c>
      <c r="N38" s="30">
        <f>Лист1!BB32</f>
        <v>44718.871</v>
      </c>
      <c r="O38" s="74">
        <f>Лист1!BD32</f>
        <v>-16558.195999999996</v>
      </c>
      <c r="P38" s="74">
        <f>Лист1!BE32</f>
        <v>-390.380000000001</v>
      </c>
      <c r="Q38" s="1"/>
      <c r="R38" s="1"/>
    </row>
    <row r="39" spans="1:18" ht="12.75">
      <c r="A39" s="11" t="s">
        <v>48</v>
      </c>
      <c r="B39" s="82">
        <f>Лист1!B33</f>
        <v>3300.7</v>
      </c>
      <c r="C39" s="27">
        <f t="shared" si="5"/>
        <v>28551.055</v>
      </c>
      <c r="D39" s="28">
        <f>Лист1!D33</f>
        <v>2395.795000000002</v>
      </c>
      <c r="E39" s="14">
        <f>Лист1!S33</f>
        <v>21525.63</v>
      </c>
      <c r="F39" s="30">
        <f>Лист1!T33</f>
        <v>4629.63</v>
      </c>
      <c r="G39" s="29">
        <f>Лист1!AB33</f>
        <v>19065.920000000002</v>
      </c>
      <c r="H39" s="30">
        <f>Лист1!AC33</f>
        <v>26091.345000000005</v>
      </c>
      <c r="I39" s="29">
        <f>Лист1!AG33</f>
        <v>1980.4199999999998</v>
      </c>
      <c r="J39" s="14">
        <f>Лист1!AI33+Лист1!AJ33</f>
        <v>3300.7</v>
      </c>
      <c r="K39" s="14">
        <f>Лист1!AH33+Лист1!AK33+Лист1!AL33+Лист1!AM33+Лист1!AN33+Лист1!AO33+Лист1!AP33+Лист1!AQ33+Лист1!AR33</f>
        <v>11321.401</v>
      </c>
      <c r="L39" s="31">
        <f>Лист1!AS33+Лист1!AT33+Лист1!AU33+Лист1!AY33+Лист1!AZ33</f>
        <v>2150</v>
      </c>
      <c r="M39" s="31">
        <f>Лист1!AX33</f>
        <v>752.15</v>
      </c>
      <c r="N39" s="30">
        <f>Лист1!BB33</f>
        <v>19504.671000000002</v>
      </c>
      <c r="O39" s="74">
        <f>Лист1!BD33</f>
        <v>6586.674000000003</v>
      </c>
      <c r="P39" s="74">
        <f>Лист1!BE33</f>
        <v>-2459.709999999999</v>
      </c>
      <c r="Q39" s="1"/>
      <c r="R39" s="1"/>
    </row>
    <row r="40" spans="1:18" ht="12.75">
      <c r="A40" s="11" t="s">
        <v>49</v>
      </c>
      <c r="B40" s="82">
        <f>Лист1!B34</f>
        <v>3304.9</v>
      </c>
      <c r="C40" s="27">
        <f t="shared" si="5"/>
        <v>28587.385000000002</v>
      </c>
      <c r="D40" s="28">
        <f>Лист1!D34</f>
        <v>2396.055000000002</v>
      </c>
      <c r="E40" s="14">
        <f>Лист1!S34</f>
        <v>21561.7</v>
      </c>
      <c r="F40" s="30">
        <f>Лист1!T34</f>
        <v>4629.63</v>
      </c>
      <c r="G40" s="29">
        <f>Лист1!AB34</f>
        <v>18995.99</v>
      </c>
      <c r="H40" s="30">
        <f>Лист1!AC34</f>
        <v>26021.675000000003</v>
      </c>
      <c r="I40" s="29">
        <f>Лист1!AG34</f>
        <v>1982.94</v>
      </c>
      <c r="J40" s="14">
        <f>Лист1!AI34+Лист1!AJ34</f>
        <v>3304.9</v>
      </c>
      <c r="K40" s="14">
        <f>Лист1!AH34+Лист1!AK34+Лист1!AL34+Лист1!AM34+Лист1!AN34+Лист1!AO34+Лист1!AP34+Лист1!AQ34+Лист1!AR34</f>
        <v>11335.807</v>
      </c>
      <c r="L40" s="31">
        <f>Лист1!AS34+Лист1!AT34+Лист1!AU34+Лист1!AZ34+Лист1!BA34</f>
        <v>6927</v>
      </c>
      <c r="M40" s="31">
        <f>Лист1!AX34</f>
        <v>644.3499999999999</v>
      </c>
      <c r="N40" s="30">
        <f>Лист1!BB34</f>
        <v>24194.997</v>
      </c>
      <c r="O40" s="74">
        <f>Лист1!BD34</f>
        <v>1826.6780000000035</v>
      </c>
      <c r="P40" s="74">
        <f>Лист1!BE34</f>
        <v>-2565.709999999999</v>
      </c>
      <c r="Q40" s="1"/>
      <c r="R40" s="1"/>
    </row>
    <row r="41" spans="1:18" ht="12.75">
      <c r="A41" s="11" t="s">
        <v>50</v>
      </c>
      <c r="B41" s="82">
        <f>Лист1!B35</f>
        <v>3304.9</v>
      </c>
      <c r="C41" s="27">
        <f t="shared" si="5"/>
        <v>28587.385000000002</v>
      </c>
      <c r="D41" s="28">
        <f>Лист1!D35</f>
        <v>2396.0250000000033</v>
      </c>
      <c r="E41" s="14">
        <f>Лист1!S35</f>
        <v>21561.77</v>
      </c>
      <c r="F41" s="30">
        <f>Лист1!T35</f>
        <v>4629.59</v>
      </c>
      <c r="G41" s="29">
        <f>Лист1!AB35</f>
        <v>19951.140000000003</v>
      </c>
      <c r="H41" s="30">
        <f>Лист1!AC35</f>
        <v>26976.755000000005</v>
      </c>
      <c r="I41" s="29">
        <f>Лист1!AG35</f>
        <v>1982.94</v>
      </c>
      <c r="J41" s="14">
        <f>Лист1!AI35+Лист1!AJ35</f>
        <v>3304.9</v>
      </c>
      <c r="K41" s="14">
        <f>Лист1!AH35+Лист1!AK35+Лист1!AL35+Лист1!AM35+Лист1!AN35+Лист1!AO35+Лист1!AP35+Лист1!AQ35+Лист1!AR35</f>
        <v>23335.807</v>
      </c>
      <c r="L41" s="31">
        <f>Лист1!AS35+Лист1!AT35+Лист1!AU35+Лист1!AZ35+Лист1!BA35</f>
        <v>0</v>
      </c>
      <c r="M41" s="31">
        <f>Лист1!AX35</f>
        <v>570.8499999999999</v>
      </c>
      <c r="N41" s="30">
        <f>Лист1!BB35</f>
        <v>29194.497</v>
      </c>
      <c r="O41" s="74">
        <f>Лист1!BD35</f>
        <v>-2217.7419999999947</v>
      </c>
      <c r="P41" s="74">
        <f>Лист1!BE35</f>
        <v>-1610.6299999999974</v>
      </c>
      <c r="Q41" s="1"/>
      <c r="R41" s="1"/>
    </row>
    <row r="42" spans="1:18" ht="12.75">
      <c r="A42" s="11" t="s">
        <v>51</v>
      </c>
      <c r="B42" s="82">
        <f>Лист1!B36</f>
        <v>3304.9</v>
      </c>
      <c r="C42" s="27">
        <f t="shared" si="5"/>
        <v>28587.385000000002</v>
      </c>
      <c r="D42" s="28">
        <f>Лист1!D36</f>
        <v>2369.9650000000024</v>
      </c>
      <c r="E42" s="14">
        <f>Лист1!S36</f>
        <v>26217.420000000002</v>
      </c>
      <c r="F42" s="30">
        <f>Лист1!T36</f>
        <v>0</v>
      </c>
      <c r="G42" s="29">
        <f>Лист1!AB36</f>
        <v>11693.25</v>
      </c>
      <c r="H42" s="30">
        <f>Лист1!AC36</f>
        <v>14063.215000000002</v>
      </c>
      <c r="I42" s="29">
        <f>Лист1!AG36</f>
        <v>1982.94</v>
      </c>
      <c r="J42" s="14">
        <f>Лист1!AI36+Лист1!AJ36</f>
        <v>3304.9</v>
      </c>
      <c r="K42" s="14">
        <f>Лист1!AH36+Лист1!AK36+Лист1!AL36+Лист1!AM36+Лист1!AN36+Лист1!AO36+Лист1!AP36+Лист1!AQ36+Лист1!AR36</f>
        <v>15206.527</v>
      </c>
      <c r="L42" s="31">
        <f>Лист1!AS36+Лист1!AT36+Лист1!AU36+Лист1!AZ36+Лист1!BA36</f>
        <v>0</v>
      </c>
      <c r="M42" s="31">
        <f>Лист1!AX36</f>
        <v>607.5999999999999</v>
      </c>
      <c r="N42" s="30">
        <f>Лист1!BB36</f>
        <v>21101.967</v>
      </c>
      <c r="O42" s="74">
        <f>Лист1!BD36</f>
        <v>-7038.751999999999</v>
      </c>
      <c r="P42" s="74">
        <f>Лист1!BE36</f>
        <v>-14524.170000000002</v>
      </c>
      <c r="Q42" s="1"/>
      <c r="R42" s="1"/>
    </row>
    <row r="43" spans="1:18" ht="12.75">
      <c r="A43" s="11" t="s">
        <v>52</v>
      </c>
      <c r="B43" s="82">
        <f>Лист1!B37</f>
        <v>3304.9</v>
      </c>
      <c r="C43" s="27">
        <f t="shared" si="5"/>
        <v>28587.385000000002</v>
      </c>
      <c r="D43" s="28">
        <f>Лист1!D37</f>
        <v>2361.4750000000026</v>
      </c>
      <c r="E43" s="14">
        <f>Лист1!S37</f>
        <v>26225.91</v>
      </c>
      <c r="F43" s="30">
        <f>Лист1!T37</f>
        <v>0</v>
      </c>
      <c r="G43" s="29">
        <f>Лист1!AB37</f>
        <v>43727.6</v>
      </c>
      <c r="H43" s="30">
        <f>Лист1!AC37</f>
        <v>46089.075000000004</v>
      </c>
      <c r="I43" s="29">
        <f>Лист1!AG37</f>
        <v>1982.94</v>
      </c>
      <c r="J43" s="14">
        <f>Лист1!AI37+Лист1!AJ37</f>
        <v>3304.9</v>
      </c>
      <c r="K43" s="14">
        <f>Лист1!AH37+Лист1!AK37+Лист1!AL37+Лист1!AM37+Лист1!AN37+Лист1!AO37+Лист1!AP37+Лист1!AQ37+Лист1!AR37</f>
        <v>11335.807</v>
      </c>
      <c r="L43" s="31">
        <f>Лист1!AS37+Лист1!AT37+Лист1!AU37+Лист1!AZ37+Лист1!BA37</f>
        <v>2224.8</v>
      </c>
      <c r="M43" s="31">
        <f>Лист1!AX37</f>
        <v>717.8499999999999</v>
      </c>
      <c r="N43" s="30">
        <f>Лист1!BB37</f>
        <v>19566.297</v>
      </c>
      <c r="O43" s="74">
        <f>Лист1!BD37</f>
        <v>26522.778000000006</v>
      </c>
      <c r="P43" s="74">
        <f>Лист1!BE37</f>
        <v>17501.69</v>
      </c>
      <c r="Q43" s="1"/>
      <c r="R43" s="1"/>
    </row>
    <row r="44" spans="1:18" ht="12.75">
      <c r="A44" s="11" t="s">
        <v>53</v>
      </c>
      <c r="B44" s="82">
        <f>Лист1!B38</f>
        <v>3304.9</v>
      </c>
      <c r="C44" s="27">
        <f t="shared" si="5"/>
        <v>28587.385000000002</v>
      </c>
      <c r="D44" s="28">
        <f>Лист1!D38</f>
        <v>2361.4850000000047</v>
      </c>
      <c r="E44" s="14">
        <f>Лист1!S38</f>
        <v>26225.899999999998</v>
      </c>
      <c r="F44" s="30">
        <f>Лист1!T38</f>
        <v>0</v>
      </c>
      <c r="G44" s="29">
        <f>Лист1!AB38</f>
        <v>19370.370000000003</v>
      </c>
      <c r="H44" s="30">
        <f>Лист1!AC38</f>
        <v>21731.855000000007</v>
      </c>
      <c r="I44" s="29">
        <f>Лист1!AG38</f>
        <v>1982.94</v>
      </c>
      <c r="J44" s="14">
        <f>Лист1!AI38+Лист1!AJ38</f>
        <v>3304.9</v>
      </c>
      <c r="K44" s="14">
        <f>Лист1!AH38+Лист1!AK38+Лист1!AL38+Лист1!AM38+Лист1!AN38+Лист1!AO38+Лист1!AP38+Лист1!AQ38+Лист1!AR38</f>
        <v>11335.807</v>
      </c>
      <c r="L44" s="31">
        <f>Лист1!AS38+Лист1!AT38+Лист1!AU38+Лист1!AZ38+Лист1!BA38</f>
        <v>0</v>
      </c>
      <c r="M44" s="31">
        <f>Лист1!AX38</f>
        <v>855.05</v>
      </c>
      <c r="N44" s="30">
        <f>Лист1!BB38</f>
        <v>17478.697</v>
      </c>
      <c r="O44" s="74">
        <f>Лист1!BD38</f>
        <v>4253.158000000007</v>
      </c>
      <c r="P44" s="74">
        <f>Лист1!BE38</f>
        <v>-6855.529999999995</v>
      </c>
      <c r="Q44" s="1"/>
      <c r="R44" s="1"/>
    </row>
    <row r="45" spans="1:18" ht="12.75">
      <c r="A45" s="11" t="s">
        <v>41</v>
      </c>
      <c r="B45" s="82">
        <f>Лист1!B39</f>
        <v>3304.9</v>
      </c>
      <c r="C45" s="27">
        <f>B45*8.65</f>
        <v>28587.385000000002</v>
      </c>
      <c r="D45" s="28">
        <f>Лист1!D39</f>
        <v>2361.4850000000047</v>
      </c>
      <c r="E45" s="14">
        <f>Лист1!S39</f>
        <v>26225.899999999998</v>
      </c>
      <c r="F45" s="30">
        <f>Лист1!T39</f>
        <v>0</v>
      </c>
      <c r="G45" s="29">
        <f>Лист1!AB39</f>
        <v>27113.469999999998</v>
      </c>
      <c r="H45" s="30">
        <f>Лист1!AC39</f>
        <v>29474.955</v>
      </c>
      <c r="I45" s="29">
        <f>Лист1!AG39</f>
        <v>1982.94</v>
      </c>
      <c r="J45" s="14">
        <f>Лист1!AI39+Лист1!AJ39</f>
        <v>3304.9</v>
      </c>
      <c r="K45" s="14">
        <f>Лист1!AH39+Лист1!AK39+Лист1!AL39+Лист1!AM39+Лист1!AN39+Лист1!AO39+Лист1!AP39+Лист1!AQ39+Лист1!AR39</f>
        <v>11335.807</v>
      </c>
      <c r="L45" s="31">
        <f>Лист1!AS39+Лист1!AT39+Лист1!AU39+Лист1!AZ39+Лист1!BA39</f>
        <v>639</v>
      </c>
      <c r="M45" s="31">
        <f>Лист1!AX39</f>
        <v>1041.25</v>
      </c>
      <c r="N45" s="30">
        <f>Лист1!BB39</f>
        <v>18303.897</v>
      </c>
      <c r="O45" s="74">
        <f>Лист1!BD39</f>
        <v>11246.058</v>
      </c>
      <c r="P45" s="74">
        <f>Лист1!BE39</f>
        <v>887.5699999999997</v>
      </c>
      <c r="Q45" s="1"/>
      <c r="R45" s="1"/>
    </row>
    <row r="46" spans="1:18" ht="12.75">
      <c r="A46" s="11" t="s">
        <v>42</v>
      </c>
      <c r="B46" s="82">
        <f>Лист1!B40</f>
        <v>3304.9</v>
      </c>
      <c r="C46" s="27">
        <f t="shared" si="5"/>
        <v>28587.385000000002</v>
      </c>
      <c r="D46" s="28">
        <f>Лист1!D40</f>
        <v>2361.4550000000027</v>
      </c>
      <c r="E46" s="14">
        <f>Лист1!S40</f>
        <v>26225.93</v>
      </c>
      <c r="F46" s="30">
        <f>Лист1!T40</f>
        <v>0</v>
      </c>
      <c r="G46" s="29">
        <f>Лист1!AB40</f>
        <v>30870.37</v>
      </c>
      <c r="H46" s="30">
        <f>Лист1!AC40</f>
        <v>33231.825000000004</v>
      </c>
      <c r="I46" s="29">
        <f>Лист1!AG40</f>
        <v>1982.94</v>
      </c>
      <c r="J46" s="14">
        <f>Лист1!AI40+Лист1!AJ40</f>
        <v>3304.9</v>
      </c>
      <c r="K46" s="14">
        <f>Лист1!AH40+Лист1!AK40+Лист1!AL40+Лист1!AM40+Лист1!AN40+Лист1!AO40+Лист1!AP40+Лист1!AQ40+Лист1!AR40</f>
        <v>11335.807</v>
      </c>
      <c r="L46" s="31">
        <f>Лист1!AS40+Лист1!AT40+Лист1!AU40+Лист1!AZ40+Лист1!BA40</f>
        <v>3986</v>
      </c>
      <c r="M46" s="31">
        <f>Лист1!AX40</f>
        <v>1151.5</v>
      </c>
      <c r="N46" s="30">
        <f>Лист1!BB40</f>
        <v>21761.147</v>
      </c>
      <c r="O46" s="74">
        <f>Лист1!BD40</f>
        <v>11545.678000000004</v>
      </c>
      <c r="P46" s="74">
        <f>Лист1!BE40</f>
        <v>4644.439999999999</v>
      </c>
      <c r="Q46" s="1"/>
      <c r="R46" s="1"/>
    </row>
    <row r="47" spans="1:18" ht="13.5" thickBot="1">
      <c r="A47" s="32" t="s">
        <v>43</v>
      </c>
      <c r="B47" s="82">
        <f>Лист1!B41</f>
        <v>3304.9</v>
      </c>
      <c r="C47" s="33">
        <f t="shared" si="5"/>
        <v>28587.385000000002</v>
      </c>
      <c r="D47" s="28">
        <f>Лист1!D41</f>
        <v>2412.6250000000014</v>
      </c>
      <c r="E47" s="14">
        <f>Лист1!S41</f>
        <v>26174.760000000002</v>
      </c>
      <c r="F47" s="30">
        <f>Лист1!T41</f>
        <v>0</v>
      </c>
      <c r="G47" s="29">
        <f>Лист1!AB41</f>
        <v>31866.910000000003</v>
      </c>
      <c r="H47" s="30">
        <f>Лист1!AC41</f>
        <v>34279.535</v>
      </c>
      <c r="I47" s="29">
        <f>Лист1!AG41</f>
        <v>1982.94</v>
      </c>
      <c r="J47" s="14">
        <f>Лист1!AI41+Лист1!AJ41</f>
        <v>3304.9</v>
      </c>
      <c r="K47" s="14">
        <f>Лист1!AH41+Лист1!AK41+Лист1!AL41+Лист1!AM41+Лист1!AN41+Лист1!AO41+Лист1!AP41+Лист1!AQ41+Лист1!AR41</f>
        <v>11335.807</v>
      </c>
      <c r="L47" s="31">
        <f>Лист1!AS41+Лист1!AT41+Лист1!AU41+Лист1!AZ41+Лист1!BA41</f>
        <v>3729.9328</v>
      </c>
      <c r="M47" s="31">
        <f>Лист1!AX41</f>
        <v>1259.3</v>
      </c>
      <c r="N47" s="30">
        <f>Лист1!BB41</f>
        <v>21612.8798</v>
      </c>
      <c r="O47" s="74">
        <f>Лист1!BD41</f>
        <v>12741.655200000005</v>
      </c>
      <c r="P47" s="74">
        <f>Лист1!BE41</f>
        <v>5692.1500000000015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342403.3300000001</v>
      </c>
      <c r="D48" s="67">
        <f t="shared" si="6"/>
        <v>28603.78000000003</v>
      </c>
      <c r="E48" s="36">
        <f t="shared" si="6"/>
        <v>286021.81</v>
      </c>
      <c r="F48" s="68">
        <f t="shared" si="6"/>
        <v>27777.74</v>
      </c>
      <c r="G48" s="67">
        <f t="shared" si="6"/>
        <v>276382.79000000004</v>
      </c>
      <c r="H48" s="68">
        <f t="shared" si="6"/>
        <v>332764.31000000006</v>
      </c>
      <c r="I48" s="67">
        <f t="shared" si="6"/>
        <v>23750.519999999997</v>
      </c>
      <c r="J48" s="36">
        <f t="shared" si="6"/>
        <v>39584.20000000001</v>
      </c>
      <c r="K48" s="36">
        <f t="shared" si="6"/>
        <v>158628.526</v>
      </c>
      <c r="L48" s="36">
        <f t="shared" si="6"/>
        <v>41670.732800000005</v>
      </c>
      <c r="M48" s="36">
        <f t="shared" si="6"/>
        <v>10780</v>
      </c>
      <c r="N48" s="68">
        <f t="shared" si="6"/>
        <v>274413.9788</v>
      </c>
      <c r="O48" s="75">
        <f t="shared" si="6"/>
        <v>58575.331200000044</v>
      </c>
      <c r="P48" s="75">
        <f t="shared" si="6"/>
        <v>-9639.02</v>
      </c>
      <c r="Q48" s="71"/>
      <c r="R48" s="71"/>
    </row>
    <row r="49" spans="1:18" ht="13.5" thickBot="1">
      <c r="A49" s="217" t="s">
        <v>70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79"/>
      <c r="Q49" s="1"/>
      <c r="R49" s="1"/>
    </row>
    <row r="50" spans="1:18" s="20" customFormat="1" ht="17.25" customHeight="1" thickBot="1">
      <c r="A50" s="80" t="s">
        <v>54</v>
      </c>
      <c r="B50" s="38"/>
      <c r="C50" s="39">
        <f>C34+C48</f>
        <v>765012.0550000002</v>
      </c>
      <c r="D50" s="37">
        <f aca="true" t="shared" si="7" ref="D50:N50">D34+D48</f>
        <v>87222.63734200003</v>
      </c>
      <c r="E50" s="38">
        <f t="shared" si="7"/>
        <v>587490.01</v>
      </c>
      <c r="F50" s="39">
        <f t="shared" si="7"/>
        <v>91990.83</v>
      </c>
      <c r="G50" s="37">
        <f t="shared" si="7"/>
        <v>538244.93</v>
      </c>
      <c r="H50" s="39">
        <f t="shared" si="7"/>
        <v>717458.3973420002</v>
      </c>
      <c r="I50" s="37">
        <f t="shared" si="7"/>
        <v>52275.659999999996</v>
      </c>
      <c r="J50" s="38">
        <f t="shared" si="7"/>
        <v>86779.00152239001</v>
      </c>
      <c r="K50" s="38">
        <f t="shared" si="7"/>
        <v>325940.2736503984</v>
      </c>
      <c r="L50" s="38">
        <f t="shared" si="7"/>
        <v>100712.79800000001</v>
      </c>
      <c r="M50" s="38">
        <f t="shared" si="7"/>
        <v>20956.32</v>
      </c>
      <c r="N50" s="78">
        <f t="shared" si="7"/>
        <v>586664.0531727883</v>
      </c>
      <c r="O50" s="77">
        <f>O34+O48</f>
        <v>131019.34416921166</v>
      </c>
      <c r="P50" s="77">
        <f>P34+P48</f>
        <v>-49245.08</v>
      </c>
      <c r="Q50" s="72"/>
      <c r="R50" s="71"/>
    </row>
    <row r="53" spans="1:18" ht="12.75">
      <c r="A53" s="20" t="s">
        <v>71</v>
      </c>
      <c r="D53" s="83" t="s">
        <v>92</v>
      </c>
      <c r="Q53" s="1"/>
      <c r="R53" s="1"/>
    </row>
    <row r="54" spans="1:18" ht="12.75">
      <c r="A54" s="21" t="s">
        <v>72</v>
      </c>
      <c r="B54" s="21" t="s">
        <v>73</v>
      </c>
      <c r="C54" s="214" t="s">
        <v>74</v>
      </c>
      <c r="D54" s="214"/>
      <c r="Q54" s="1"/>
      <c r="R54" s="1"/>
    </row>
    <row r="55" spans="1:18" ht="12.75">
      <c r="A55" s="126">
        <v>196352.91</v>
      </c>
      <c r="B55" s="126">
        <v>41195.94</v>
      </c>
      <c r="C55" s="215">
        <f>A55-B55</f>
        <v>155156.97</v>
      </c>
      <c r="D55" s="216"/>
      <c r="Q55" s="1"/>
      <c r="R55" s="1"/>
    </row>
    <row r="56" spans="1:18" ht="12.75">
      <c r="A56" s="46"/>
      <c r="Q56" s="1"/>
      <c r="R56" s="1"/>
    </row>
    <row r="57" spans="1:18" ht="12.75">
      <c r="A57" s="2" t="s">
        <v>77</v>
      </c>
      <c r="G57" s="2" t="s">
        <v>78</v>
      </c>
      <c r="Q57" s="1"/>
      <c r="R57" s="1"/>
    </row>
    <row r="58" ht="12.75">
      <c r="A58" s="1"/>
    </row>
    <row r="59" ht="12.75">
      <c r="A59" s="1"/>
    </row>
    <row r="60" ht="12.75">
      <c r="A60" s="2" t="s">
        <v>88</v>
      </c>
    </row>
    <row r="61" ht="12.75">
      <c r="A61" s="2" t="s">
        <v>79</v>
      </c>
    </row>
  </sheetData>
  <sheetProtection/>
  <mergeCells count="27">
    <mergeCell ref="C54:D54"/>
    <mergeCell ref="C55:D55"/>
    <mergeCell ref="A49:O49"/>
    <mergeCell ref="N11:N12"/>
    <mergeCell ref="A33:O33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I9:N10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4"/>
  <sheetViews>
    <sheetView zoomScalePageLayoutView="0" workbookViewId="0" topLeftCell="A1">
      <pane xSplit="2" ySplit="7" topLeftCell="AU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U27" sqref="AU27"/>
    </sheetView>
  </sheetViews>
  <sheetFormatPr defaultColWidth="9.00390625" defaultRowHeight="12.75"/>
  <cols>
    <col min="1" max="1" width="8.75390625" style="230" bestFit="1" customWidth="1"/>
    <col min="2" max="2" width="9.125" style="230" customWidth="1"/>
    <col min="3" max="3" width="11.375" style="230" customWidth="1"/>
    <col min="4" max="4" width="10.375" style="230" customWidth="1"/>
    <col min="5" max="6" width="9.125" style="230" customWidth="1"/>
    <col min="7" max="7" width="10.25390625" style="230" customWidth="1"/>
    <col min="8" max="8" width="9.125" style="230" customWidth="1"/>
    <col min="9" max="9" width="9.875" style="230" customWidth="1"/>
    <col min="10" max="10" width="9.125" style="230" customWidth="1"/>
    <col min="11" max="11" width="10.375" style="230" customWidth="1"/>
    <col min="12" max="12" width="9.125" style="230" customWidth="1"/>
    <col min="13" max="13" width="10.125" style="230" bestFit="1" customWidth="1"/>
    <col min="14" max="14" width="9.125" style="230" customWidth="1"/>
    <col min="15" max="15" width="10.125" style="230" bestFit="1" customWidth="1"/>
    <col min="16" max="18" width="9.125" style="230" customWidth="1"/>
    <col min="19" max="19" width="10.125" style="230" bestFit="1" customWidth="1"/>
    <col min="20" max="20" width="10.125" style="230" customWidth="1"/>
    <col min="21" max="21" width="10.125" style="230" bestFit="1" customWidth="1"/>
    <col min="22" max="22" width="10.25390625" style="230" customWidth="1"/>
    <col min="23" max="23" width="10.625" style="230" customWidth="1"/>
    <col min="24" max="24" width="10.125" style="230" customWidth="1"/>
    <col min="25" max="28" width="10.125" style="230" bestFit="1" customWidth="1"/>
    <col min="29" max="30" width="11.375" style="230" customWidth="1"/>
    <col min="31" max="31" width="9.25390625" style="230" bestFit="1" customWidth="1"/>
    <col min="32" max="32" width="10.125" style="230" bestFit="1" customWidth="1"/>
    <col min="33" max="33" width="11.00390625" style="230" customWidth="1"/>
    <col min="34" max="35" width="9.25390625" style="230" bestFit="1" customWidth="1"/>
    <col min="36" max="36" width="12.625" style="230" customWidth="1"/>
    <col min="37" max="38" width="9.25390625" style="230" bestFit="1" customWidth="1"/>
    <col min="39" max="39" width="10.125" style="230" bestFit="1" customWidth="1"/>
    <col min="40" max="40" width="9.25390625" style="230" bestFit="1" customWidth="1"/>
    <col min="41" max="42" width="10.125" style="230" bestFit="1" customWidth="1"/>
    <col min="43" max="44" width="9.25390625" style="230" customWidth="1"/>
    <col min="45" max="45" width="10.125" style="230" bestFit="1" customWidth="1"/>
    <col min="46" max="46" width="11.625" style="230" customWidth="1"/>
    <col min="47" max="47" width="10.875" style="230" customWidth="1"/>
    <col min="48" max="48" width="10.625" style="230" customWidth="1"/>
    <col min="49" max="49" width="10.25390625" style="230" customWidth="1"/>
    <col min="50" max="50" width="10.625" style="230" customWidth="1"/>
    <col min="51" max="51" width="9.25390625" style="230" bestFit="1" customWidth="1"/>
    <col min="52" max="53" width="10.125" style="230" bestFit="1" customWidth="1"/>
    <col min="54" max="54" width="11.625" style="230" customWidth="1"/>
    <col min="55" max="55" width="11.75390625" style="230" customWidth="1"/>
    <col min="56" max="56" width="12.125" style="230" customWidth="1"/>
    <col min="57" max="57" width="13.625" style="230" customWidth="1"/>
    <col min="58" max="58" width="11.00390625" style="230" customWidth="1"/>
    <col min="59" max="59" width="10.625" style="230" customWidth="1"/>
    <col min="60" max="16384" width="9.125" style="230" customWidth="1"/>
  </cols>
  <sheetData>
    <row r="1" spans="1:18" ht="21" customHeight="1">
      <c r="A1" s="139" t="s">
        <v>95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229"/>
      <c r="P1" s="229"/>
      <c r="Q1" s="229"/>
      <c r="R1" s="229"/>
    </row>
    <row r="2" spans="1:18" ht="13.5" thickBot="1">
      <c r="A2" s="229"/>
      <c r="B2" s="231"/>
      <c r="C2" s="232"/>
      <c r="D2" s="232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59" ht="29.25" customHeight="1" thickBot="1">
      <c r="A3" s="233" t="s">
        <v>0</v>
      </c>
      <c r="B3" s="234" t="s">
        <v>1</v>
      </c>
      <c r="C3" s="235" t="s">
        <v>2</v>
      </c>
      <c r="D3" s="236" t="s">
        <v>3</v>
      </c>
      <c r="E3" s="233" t="s">
        <v>96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07"/>
      <c r="S3" s="233"/>
      <c r="T3" s="237"/>
      <c r="U3" s="233" t="s">
        <v>5</v>
      </c>
      <c r="V3" s="237"/>
      <c r="W3" s="238" t="s">
        <v>6</v>
      </c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40"/>
      <c r="AJ3" s="241" t="s">
        <v>75</v>
      </c>
      <c r="AK3" s="242" t="s">
        <v>10</v>
      </c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4"/>
      <c r="BF3" s="245" t="s">
        <v>11</v>
      </c>
      <c r="BG3" s="246" t="s">
        <v>12</v>
      </c>
    </row>
    <row r="4" spans="1:59" ht="51.75" customHeight="1" hidden="1" thickBot="1">
      <c r="A4" s="247"/>
      <c r="B4" s="248"/>
      <c r="C4" s="249"/>
      <c r="D4" s="250"/>
      <c r="E4" s="247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199"/>
      <c r="S4" s="252"/>
      <c r="T4" s="253"/>
      <c r="U4" s="252"/>
      <c r="V4" s="253"/>
      <c r="W4" s="254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6"/>
      <c r="AJ4" s="257"/>
      <c r="AK4" s="258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60"/>
      <c r="BF4" s="261"/>
      <c r="BG4" s="262"/>
    </row>
    <row r="5" spans="1:61" ht="19.5" customHeight="1">
      <c r="A5" s="247"/>
      <c r="B5" s="248"/>
      <c r="C5" s="249"/>
      <c r="D5" s="250"/>
      <c r="E5" s="263" t="s">
        <v>13</v>
      </c>
      <c r="F5" s="264"/>
      <c r="G5" s="263" t="s">
        <v>97</v>
      </c>
      <c r="H5" s="264"/>
      <c r="I5" s="263" t="s">
        <v>14</v>
      </c>
      <c r="J5" s="264"/>
      <c r="K5" s="263" t="s">
        <v>16</v>
      </c>
      <c r="L5" s="264"/>
      <c r="M5" s="263" t="s">
        <v>15</v>
      </c>
      <c r="N5" s="264"/>
      <c r="O5" s="265" t="s">
        <v>17</v>
      </c>
      <c r="P5" s="265"/>
      <c r="Q5" s="263" t="s">
        <v>98</v>
      </c>
      <c r="R5" s="264"/>
      <c r="S5" s="265" t="s">
        <v>99</v>
      </c>
      <c r="T5" s="264"/>
      <c r="U5" s="266" t="s">
        <v>20</v>
      </c>
      <c r="V5" s="267" t="s">
        <v>21</v>
      </c>
      <c r="W5" s="268" t="s">
        <v>22</v>
      </c>
      <c r="X5" s="268" t="s">
        <v>100</v>
      </c>
      <c r="Y5" s="268" t="s">
        <v>23</v>
      </c>
      <c r="Z5" s="268" t="s">
        <v>25</v>
      </c>
      <c r="AA5" s="268" t="s">
        <v>24</v>
      </c>
      <c r="AB5" s="268" t="s">
        <v>26</v>
      </c>
      <c r="AC5" s="268" t="s">
        <v>27</v>
      </c>
      <c r="AD5" s="269" t="s">
        <v>28</v>
      </c>
      <c r="AE5" s="269" t="s">
        <v>101</v>
      </c>
      <c r="AF5" s="270" t="s">
        <v>29</v>
      </c>
      <c r="AG5" s="271" t="s">
        <v>87</v>
      </c>
      <c r="AH5" s="272" t="s">
        <v>8</v>
      </c>
      <c r="AI5" s="273" t="s">
        <v>9</v>
      </c>
      <c r="AJ5" s="257"/>
      <c r="AK5" s="274" t="s">
        <v>102</v>
      </c>
      <c r="AL5" s="275" t="s">
        <v>103</v>
      </c>
      <c r="AM5" s="275" t="s">
        <v>104</v>
      </c>
      <c r="AN5" s="276" t="s">
        <v>105</v>
      </c>
      <c r="AO5" s="275" t="s">
        <v>106</v>
      </c>
      <c r="AP5" s="276" t="s">
        <v>107</v>
      </c>
      <c r="AQ5" s="276" t="s">
        <v>108</v>
      </c>
      <c r="AR5" s="276" t="s">
        <v>109</v>
      </c>
      <c r="AS5" s="276" t="s">
        <v>110</v>
      </c>
      <c r="AT5" s="276" t="s">
        <v>36</v>
      </c>
      <c r="AU5" s="153" t="s">
        <v>111</v>
      </c>
      <c r="AV5" s="185" t="s">
        <v>112</v>
      </c>
      <c r="AW5" s="153" t="s">
        <v>113</v>
      </c>
      <c r="AX5" s="174" t="s">
        <v>114</v>
      </c>
      <c r="AY5" s="136"/>
      <c r="AZ5" s="277" t="s">
        <v>19</v>
      </c>
      <c r="BA5" s="276" t="s">
        <v>38</v>
      </c>
      <c r="BB5" s="276" t="s">
        <v>33</v>
      </c>
      <c r="BC5" s="278" t="s">
        <v>39</v>
      </c>
      <c r="BD5" s="279" t="s">
        <v>76</v>
      </c>
      <c r="BE5" s="276" t="s">
        <v>115</v>
      </c>
      <c r="BF5" s="261"/>
      <c r="BG5" s="262"/>
      <c r="BH5" s="280"/>
      <c r="BI5" s="281"/>
    </row>
    <row r="6" spans="1:61" ht="56.25" customHeight="1" thickBot="1">
      <c r="A6" s="247"/>
      <c r="B6" s="248"/>
      <c r="C6" s="249"/>
      <c r="D6" s="250"/>
      <c r="E6" s="282"/>
      <c r="F6" s="283"/>
      <c r="G6" s="282"/>
      <c r="H6" s="283"/>
      <c r="I6" s="282"/>
      <c r="J6" s="283"/>
      <c r="K6" s="282"/>
      <c r="L6" s="283"/>
      <c r="M6" s="282"/>
      <c r="N6" s="283"/>
      <c r="O6" s="284"/>
      <c r="P6" s="284"/>
      <c r="Q6" s="282"/>
      <c r="R6" s="283"/>
      <c r="S6" s="285"/>
      <c r="T6" s="283"/>
      <c r="U6" s="286"/>
      <c r="V6" s="287"/>
      <c r="W6" s="288"/>
      <c r="X6" s="288"/>
      <c r="Y6" s="288"/>
      <c r="Z6" s="288"/>
      <c r="AA6" s="288"/>
      <c r="AB6" s="288"/>
      <c r="AC6" s="288"/>
      <c r="AD6" s="289"/>
      <c r="AE6" s="289"/>
      <c r="AF6" s="290"/>
      <c r="AG6" s="291"/>
      <c r="AH6" s="292"/>
      <c r="AI6" s="293"/>
      <c r="AJ6" s="294"/>
      <c r="AK6" s="295"/>
      <c r="AL6" s="296"/>
      <c r="AM6" s="296"/>
      <c r="AN6" s="297"/>
      <c r="AO6" s="296"/>
      <c r="AP6" s="297"/>
      <c r="AQ6" s="297"/>
      <c r="AR6" s="297"/>
      <c r="AS6" s="297"/>
      <c r="AT6" s="297"/>
      <c r="AU6" s="154"/>
      <c r="AV6" s="186"/>
      <c r="AW6" s="154"/>
      <c r="AX6" s="175"/>
      <c r="AY6" s="137" t="s">
        <v>116</v>
      </c>
      <c r="AZ6" s="298"/>
      <c r="BA6" s="297"/>
      <c r="BB6" s="297"/>
      <c r="BC6" s="299"/>
      <c r="BD6" s="300"/>
      <c r="BE6" s="297"/>
      <c r="BF6" s="301"/>
      <c r="BG6" s="302"/>
      <c r="BH6" s="280"/>
      <c r="BI6" s="281"/>
    </row>
    <row r="7" spans="1:61" ht="19.5" customHeight="1" thickBot="1">
      <c r="A7" s="303">
        <v>1</v>
      </c>
      <c r="B7" s="304">
        <v>2</v>
      </c>
      <c r="C7" s="304">
        <v>3</v>
      </c>
      <c r="D7" s="303">
        <v>4</v>
      </c>
      <c r="E7" s="304">
        <v>5</v>
      </c>
      <c r="F7" s="304">
        <v>6</v>
      </c>
      <c r="G7" s="303">
        <v>7</v>
      </c>
      <c r="H7" s="304">
        <v>8</v>
      </c>
      <c r="I7" s="304">
        <v>9</v>
      </c>
      <c r="J7" s="303">
        <v>10</v>
      </c>
      <c r="K7" s="304">
        <v>11</v>
      </c>
      <c r="L7" s="304">
        <v>12</v>
      </c>
      <c r="M7" s="303">
        <v>13</v>
      </c>
      <c r="N7" s="304">
        <v>14</v>
      </c>
      <c r="O7" s="304">
        <v>15</v>
      </c>
      <c r="P7" s="303">
        <v>16</v>
      </c>
      <c r="Q7" s="304">
        <v>17</v>
      </c>
      <c r="R7" s="304">
        <v>18</v>
      </c>
      <c r="S7" s="303">
        <v>19</v>
      </c>
      <c r="T7" s="304">
        <v>20</v>
      </c>
      <c r="U7" s="304">
        <v>21</v>
      </c>
      <c r="V7" s="303">
        <v>22</v>
      </c>
      <c r="W7" s="304">
        <v>23</v>
      </c>
      <c r="X7" s="303">
        <v>24</v>
      </c>
      <c r="Y7" s="304">
        <v>25</v>
      </c>
      <c r="Z7" s="303">
        <v>26</v>
      </c>
      <c r="AA7" s="304">
        <v>27</v>
      </c>
      <c r="AB7" s="303">
        <v>28</v>
      </c>
      <c r="AC7" s="304">
        <v>29</v>
      </c>
      <c r="AD7" s="303">
        <v>30</v>
      </c>
      <c r="AE7" s="303">
        <v>31</v>
      </c>
      <c r="AF7" s="304">
        <v>32</v>
      </c>
      <c r="AG7" s="303">
        <v>33</v>
      </c>
      <c r="AH7" s="304">
        <v>34</v>
      </c>
      <c r="AI7" s="303">
        <v>35</v>
      </c>
      <c r="AJ7" s="304">
        <v>36</v>
      </c>
      <c r="AK7" s="303">
        <v>37</v>
      </c>
      <c r="AL7" s="304">
        <v>38</v>
      </c>
      <c r="AM7" s="303">
        <v>39</v>
      </c>
      <c r="AN7" s="303">
        <v>40</v>
      </c>
      <c r="AO7" s="304">
        <v>41</v>
      </c>
      <c r="AP7" s="303">
        <v>42</v>
      </c>
      <c r="AQ7" s="304">
        <v>43</v>
      </c>
      <c r="AR7" s="303"/>
      <c r="AS7" s="303">
        <v>44</v>
      </c>
      <c r="AT7" s="304">
        <v>45</v>
      </c>
      <c r="AU7" s="303">
        <v>46</v>
      </c>
      <c r="AV7" s="304">
        <v>47</v>
      </c>
      <c r="AW7" s="303">
        <v>48</v>
      </c>
      <c r="AX7" s="303">
        <v>49</v>
      </c>
      <c r="AY7" s="304"/>
      <c r="AZ7" s="304">
        <v>50</v>
      </c>
      <c r="BA7" s="304">
        <v>51</v>
      </c>
      <c r="BB7" s="304">
        <v>52</v>
      </c>
      <c r="BC7" s="304">
        <v>53</v>
      </c>
      <c r="BD7" s="304">
        <v>54</v>
      </c>
      <c r="BE7" s="304"/>
      <c r="BF7" s="304">
        <v>55</v>
      </c>
      <c r="BG7" s="304">
        <v>56</v>
      </c>
      <c r="BH7" s="281"/>
      <c r="BI7" s="281"/>
    </row>
    <row r="8" spans="1:59" s="20" customFormat="1" ht="13.5" thickBot="1">
      <c r="A8" s="22" t="s">
        <v>54</v>
      </c>
      <c r="B8" s="305"/>
      <c r="C8" s="305">
        <f>Лист1!C44</f>
        <v>765012.0550000002</v>
      </c>
      <c r="D8" s="305">
        <f>Лист1!D44</f>
        <v>87222.63734200003</v>
      </c>
      <c r="E8" s="305">
        <f>Лист1!E44</f>
        <v>67858.13999999998</v>
      </c>
      <c r="F8" s="305">
        <f>Лист1!F44</f>
        <v>10620.43</v>
      </c>
      <c r="G8" s="305">
        <f>0</f>
        <v>0</v>
      </c>
      <c r="H8" s="305">
        <f>0</f>
        <v>0</v>
      </c>
      <c r="I8" s="305">
        <f>Лист1!G44</f>
        <v>91836.33</v>
      </c>
      <c r="J8" s="305">
        <f>Лист1!H44</f>
        <v>14379.15</v>
      </c>
      <c r="K8" s="305">
        <f>Лист1!K44</f>
        <v>152908.45</v>
      </c>
      <c r="L8" s="305">
        <f>Лист1!L44</f>
        <v>23937.58</v>
      </c>
      <c r="M8" s="305">
        <f>Лист1!I44</f>
        <v>220600.86</v>
      </c>
      <c r="N8" s="305">
        <f>Лист1!J44</f>
        <v>34557.69</v>
      </c>
      <c r="O8" s="305">
        <f>Лист1!M44</f>
        <v>54286.229999999996</v>
      </c>
      <c r="P8" s="305">
        <f>Лист1!N44</f>
        <v>8495.980000000001</v>
      </c>
      <c r="Q8" s="305">
        <f>'[2]Лист1'!O44</f>
        <v>0</v>
      </c>
      <c r="R8" s="305">
        <f>'[2]Лист1'!P44</f>
        <v>0</v>
      </c>
      <c r="S8" s="305">
        <f>'[2]Лист1'!Q44</f>
        <v>0</v>
      </c>
      <c r="T8" s="305">
        <f>'[2]Лист1'!R44</f>
        <v>0</v>
      </c>
      <c r="U8" s="305">
        <f>Лист1!S44</f>
        <v>587490.01</v>
      </c>
      <c r="V8" s="305">
        <f>Лист1!T44</f>
        <v>91990.83</v>
      </c>
      <c r="W8" s="305">
        <f>Лист1!U44</f>
        <v>61711.20999999999</v>
      </c>
      <c r="X8" s="305">
        <v>0</v>
      </c>
      <c r="Y8" s="305">
        <f>Лист1!V44</f>
        <v>83475.23999999999</v>
      </c>
      <c r="Z8" s="305">
        <f>Лист1!X44</f>
        <v>140513.39</v>
      </c>
      <c r="AA8" s="305">
        <f>Лист1!W44</f>
        <v>203162.69</v>
      </c>
      <c r="AB8" s="305">
        <f>Лист1!Y44</f>
        <v>49382.40000000001</v>
      </c>
      <c r="AC8" s="305">
        <f>'[3]Лист1'!Z42</f>
        <v>0</v>
      </c>
      <c r="AD8" s="305">
        <f>'[3]Лист1'!AA42</f>
        <v>0</v>
      </c>
      <c r="AE8" s="305">
        <f>'[4]Лист1'!AA44</f>
        <v>0</v>
      </c>
      <c r="AF8" s="305">
        <f>Лист1!AB44</f>
        <v>538244.93</v>
      </c>
      <c r="AG8" s="305">
        <f>Лист1!AC44</f>
        <v>717458.3973420002</v>
      </c>
      <c r="AH8" s="305">
        <f>'[5]Лист1 (2)'!AD44</f>
        <v>0</v>
      </c>
      <c r="AI8" s="305">
        <f>'[3]Лист1'!AE42</f>
        <v>0</v>
      </c>
      <c r="AJ8" s="305">
        <f>Лист1!AF44</f>
        <v>300</v>
      </c>
      <c r="AK8" s="305">
        <f>Лист1!AG44</f>
        <v>52275.659999999996</v>
      </c>
      <c r="AL8" s="305">
        <f>Лист1!AH44</f>
        <v>17515.976319</v>
      </c>
      <c r="AM8" s="305">
        <f>Лист1!AI44+Лист1!AJ44</f>
        <v>86779.00152239001</v>
      </c>
      <c r="AN8" s="305">
        <v>0</v>
      </c>
      <c r="AO8" s="305">
        <f>Лист1!AK44+Лист1!AL44</f>
        <v>86527.88996946039</v>
      </c>
      <c r="AP8" s="305">
        <f>Лист1!AM44+Лист1!AN44</f>
        <v>193643.58856193797</v>
      </c>
      <c r="AQ8" s="305">
        <v>0</v>
      </c>
      <c r="AR8" s="305">
        <v>0</v>
      </c>
      <c r="AS8" s="305">
        <v>0</v>
      </c>
      <c r="AT8" s="305">
        <f>Лист1!AO44</f>
        <v>3870.72</v>
      </c>
      <c r="AU8" s="305">
        <f>Лист1!AS44+Лист1!AU44</f>
        <v>97360.038</v>
      </c>
      <c r="AV8" s="305">
        <v>0</v>
      </c>
      <c r="AW8" s="305">
        <f>Лист1!AT44</f>
        <v>3352.76</v>
      </c>
      <c r="AX8" s="305">
        <f>Лист1!AQ44+Лист1!AR44</f>
        <v>24382.0988</v>
      </c>
      <c r="AY8" s="306">
        <f>Лист1!AX44</f>
        <v>20956.32</v>
      </c>
      <c r="AZ8" s="306">
        <f>'[2]Лист1'!AY44</f>
        <v>0</v>
      </c>
      <c r="BA8" s="306">
        <v>0</v>
      </c>
      <c r="BB8" s="306">
        <v>0</v>
      </c>
      <c r="BC8" s="306">
        <f>Лист1!BB44</f>
        <v>586664.0531727883</v>
      </c>
      <c r="BD8" s="305">
        <f>Лист1!BC44</f>
        <v>75</v>
      </c>
      <c r="BE8" s="307">
        <f>BD8+BC8</f>
        <v>586739.0531727883</v>
      </c>
      <c r="BF8" s="307">
        <f>Лист1!BD44</f>
        <v>131019.34416921166</v>
      </c>
      <c r="BG8" s="307">
        <f>Лист1!BE44</f>
        <v>-49245.08</v>
      </c>
    </row>
    <row r="9" spans="1:63" ht="12.75">
      <c r="A9" s="5" t="s">
        <v>117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9"/>
      <c r="BF9" s="310"/>
      <c r="BG9" s="311"/>
      <c r="BI9" s="229"/>
      <c r="BJ9" s="229"/>
      <c r="BK9" s="229"/>
    </row>
    <row r="10" spans="1:75" ht="12.75">
      <c r="A10" s="312" t="s">
        <v>45</v>
      </c>
      <c r="B10" s="313">
        <v>3304.9</v>
      </c>
      <c r="C10" s="124">
        <f>B10*8.55</f>
        <v>28256.895000000004</v>
      </c>
      <c r="D10" s="100">
        <v>333.5684</v>
      </c>
      <c r="E10" s="314">
        <v>0</v>
      </c>
      <c r="F10" s="315">
        <v>0</v>
      </c>
      <c r="G10" s="314">
        <v>17406.78</v>
      </c>
      <c r="H10" s="314">
        <v>0</v>
      </c>
      <c r="I10" s="314">
        <v>0</v>
      </c>
      <c r="J10" s="314">
        <v>0</v>
      </c>
      <c r="K10" s="314">
        <v>0</v>
      </c>
      <c r="L10" s="314">
        <v>0</v>
      </c>
      <c r="M10" s="314">
        <v>8421.66</v>
      </c>
      <c r="N10" s="314">
        <v>0</v>
      </c>
      <c r="O10" s="314">
        <v>2920.71</v>
      </c>
      <c r="P10" s="315">
        <v>0</v>
      </c>
      <c r="Q10" s="316">
        <v>0</v>
      </c>
      <c r="R10" s="317">
        <v>0</v>
      </c>
      <c r="S10" s="316">
        <v>0</v>
      </c>
      <c r="T10" s="317">
        <v>0</v>
      </c>
      <c r="U10" s="318">
        <f aca="true" t="shared" si="0" ref="U10:V21">E10+G10+I10+K10+M10+O10+Q10+S10</f>
        <v>28749.149999999998</v>
      </c>
      <c r="V10" s="319">
        <f t="shared" si="0"/>
        <v>0</v>
      </c>
      <c r="W10" s="320">
        <v>1912.51</v>
      </c>
      <c r="X10" s="320"/>
      <c r="Y10" s="320">
        <v>2589.21</v>
      </c>
      <c r="Z10" s="320">
        <v>4310.43</v>
      </c>
      <c r="AA10" s="320">
        <v>6222.94</v>
      </c>
      <c r="AB10" s="320">
        <v>1529.99</v>
      </c>
      <c r="AC10" s="320">
        <v>0</v>
      </c>
      <c r="AD10" s="321">
        <v>0</v>
      </c>
      <c r="AE10" s="322">
        <v>0</v>
      </c>
      <c r="AF10" s="322">
        <f>SUM(W10:AE10)</f>
        <v>16565.08</v>
      </c>
      <c r="AG10" s="323">
        <f>AF10+V10+D10</f>
        <v>16898.648400000002</v>
      </c>
      <c r="AH10" s="324">
        <f aca="true" t="shared" si="1" ref="AH10:AI21">AC10</f>
        <v>0</v>
      </c>
      <c r="AI10" s="324">
        <f t="shared" si="1"/>
        <v>0</v>
      </c>
      <c r="AJ10" s="325">
        <f>'[6]Т01'!$I$141</f>
        <v>100</v>
      </c>
      <c r="AK10" s="326">
        <f aca="true" t="shared" si="2" ref="AK10:AK21">0.67*B10</f>
        <v>2214.2830000000004</v>
      </c>
      <c r="AL10" s="326">
        <f aca="true" t="shared" si="3" ref="AL10:AL21">B10*0.2</f>
        <v>660.98</v>
      </c>
      <c r="AM10" s="326">
        <f>B10*1</f>
        <v>3304.9</v>
      </c>
      <c r="AN10" s="326">
        <f>B10*0.21</f>
        <v>694.029</v>
      </c>
      <c r="AO10" s="326">
        <f>2.02*B10</f>
        <v>6675.898</v>
      </c>
      <c r="AP10" s="326">
        <f>B10*1.03</f>
        <v>3404.047</v>
      </c>
      <c r="AQ10" s="326">
        <f>B10*0.75</f>
        <v>2478.675</v>
      </c>
      <c r="AR10" s="326">
        <f>B10*0.75</f>
        <v>2478.675</v>
      </c>
      <c r="AS10" s="326">
        <f>B10*1.15</f>
        <v>3800.6349999999998</v>
      </c>
      <c r="AT10" s="326">
        <f>0.45*716.8</f>
        <v>322.56</v>
      </c>
      <c r="AU10" s="327"/>
      <c r="AV10" s="328"/>
      <c r="AW10" s="327">
        <v>845</v>
      </c>
      <c r="AX10" s="327"/>
      <c r="AY10" s="327"/>
      <c r="AZ10" s="114"/>
      <c r="BA10" s="329"/>
      <c r="BB10" s="329">
        <f>BA10*0.18</f>
        <v>0</v>
      </c>
      <c r="BC10" s="329">
        <f>SUM(AK10:BB10)</f>
        <v>26879.681999999997</v>
      </c>
      <c r="BD10" s="330">
        <f>'[6]Т01'!$R$141</f>
        <v>25</v>
      </c>
      <c r="BE10" s="330">
        <f>BC10+BD10</f>
        <v>26904.681999999997</v>
      </c>
      <c r="BF10" s="330">
        <f>AG10+AJ10-BE10</f>
        <v>-9906.033599999995</v>
      </c>
      <c r="BG10" s="330">
        <f>AF10-U10</f>
        <v>-12184.069999999996</v>
      </c>
      <c r="BH10" s="330"/>
      <c r="BI10" s="330"/>
      <c r="BJ10" s="330"/>
      <c r="BK10" s="330"/>
      <c r="BL10" s="330"/>
      <c r="BM10" s="331"/>
      <c r="BN10" s="332"/>
      <c r="BO10" s="332"/>
      <c r="BP10" s="332"/>
      <c r="BQ10" s="333"/>
      <c r="BR10" s="306"/>
      <c r="BS10" s="334"/>
      <c r="BT10" s="305"/>
      <c r="BU10" s="335"/>
      <c r="BV10" s="336"/>
      <c r="BW10" s="337"/>
    </row>
    <row r="11" spans="1:73" ht="12.75">
      <c r="A11" s="312" t="s">
        <v>46</v>
      </c>
      <c r="B11" s="313">
        <v>3304.9</v>
      </c>
      <c r="C11" s="124">
        <f>B11*8.55</f>
        <v>28256.895000000004</v>
      </c>
      <c r="D11" s="100">
        <v>333.5684</v>
      </c>
      <c r="E11" s="314">
        <v>0</v>
      </c>
      <c r="F11" s="315">
        <v>0</v>
      </c>
      <c r="G11" s="314">
        <v>17263.91</v>
      </c>
      <c r="H11" s="314">
        <v>0</v>
      </c>
      <c r="I11" s="314">
        <v>0</v>
      </c>
      <c r="J11" s="314">
        <v>0</v>
      </c>
      <c r="K11" s="314">
        <v>0</v>
      </c>
      <c r="L11" s="314">
        <v>0</v>
      </c>
      <c r="M11" s="314">
        <v>8414.4</v>
      </c>
      <c r="N11" s="314">
        <v>0</v>
      </c>
      <c r="O11" s="314">
        <v>2918.19</v>
      </c>
      <c r="P11" s="314">
        <v>0</v>
      </c>
      <c r="Q11" s="315">
        <v>0</v>
      </c>
      <c r="R11" s="315">
        <v>0</v>
      </c>
      <c r="S11" s="321">
        <v>0</v>
      </c>
      <c r="T11" s="320">
        <v>0</v>
      </c>
      <c r="U11" s="338">
        <f t="shared" si="0"/>
        <v>28596.499999999996</v>
      </c>
      <c r="V11" s="319">
        <f t="shared" si="0"/>
        <v>0</v>
      </c>
      <c r="W11" s="320">
        <v>747.82</v>
      </c>
      <c r="X11" s="321">
        <v>12334.24</v>
      </c>
      <c r="Y11" s="320">
        <v>1013.46</v>
      </c>
      <c r="Z11" s="320">
        <v>1538.53</v>
      </c>
      <c r="AA11" s="320">
        <v>12086.37</v>
      </c>
      <c r="AB11" s="320">
        <v>4316.77</v>
      </c>
      <c r="AC11" s="320">
        <v>0</v>
      </c>
      <c r="AD11" s="321">
        <v>0</v>
      </c>
      <c r="AE11" s="321">
        <v>0</v>
      </c>
      <c r="AF11" s="322">
        <f>SUM(W11:AE11)</f>
        <v>32037.190000000002</v>
      </c>
      <c r="AG11" s="323">
        <f>AF11+V11+D11</f>
        <v>32370.758400000002</v>
      </c>
      <c r="AH11" s="324">
        <f t="shared" si="1"/>
        <v>0</v>
      </c>
      <c r="AI11" s="324">
        <f t="shared" si="1"/>
        <v>0</v>
      </c>
      <c r="AJ11" s="325">
        <f>'[6]Т02'!$J$142</f>
        <v>100</v>
      </c>
      <c r="AK11" s="326">
        <f t="shared" si="2"/>
        <v>2214.2830000000004</v>
      </c>
      <c r="AL11" s="326">
        <f t="shared" si="3"/>
        <v>660.98</v>
      </c>
      <c r="AM11" s="326">
        <f>B11*1</f>
        <v>3304.9</v>
      </c>
      <c r="AN11" s="326">
        <f>B11*0.21</f>
        <v>694.029</v>
      </c>
      <c r="AO11" s="326">
        <f>2.02*B11</f>
        <v>6675.898</v>
      </c>
      <c r="AP11" s="326">
        <f>B11*1.03</f>
        <v>3404.047</v>
      </c>
      <c r="AQ11" s="326">
        <f>B11*0.75</f>
        <v>2478.675</v>
      </c>
      <c r="AR11" s="326">
        <f>B11*0.75</f>
        <v>2478.675</v>
      </c>
      <c r="AS11" s="326">
        <f>B11*1.15</f>
        <v>3800.6349999999998</v>
      </c>
      <c r="AT11" s="326">
        <f>0.45*716.8</f>
        <v>322.56</v>
      </c>
      <c r="AU11" s="327"/>
      <c r="AV11" s="328"/>
      <c r="AW11" s="327"/>
      <c r="AX11" s="327">
        <f>22.56</f>
        <v>22.56</v>
      </c>
      <c r="AY11" s="327"/>
      <c r="AZ11" s="114"/>
      <c r="BA11" s="329"/>
      <c r="BB11" s="329">
        <f>BA11*0.18</f>
        <v>0</v>
      </c>
      <c r="BC11" s="329">
        <f>SUM(AK11:BB11)</f>
        <v>26057.242</v>
      </c>
      <c r="BD11" s="330">
        <f>'[6]Т02'!$S$142</f>
        <v>25</v>
      </c>
      <c r="BE11" s="330">
        <f aca="true" t="shared" si="4" ref="BE11:BE21">BC11+BD11</f>
        <v>26082.242</v>
      </c>
      <c r="BF11" s="330">
        <f aca="true" t="shared" si="5" ref="BF11:BF21">AG11+AJ11-BE11</f>
        <v>6388.516400000004</v>
      </c>
      <c r="BG11" s="330">
        <f aca="true" t="shared" si="6" ref="BG11:BG21">AF11-U11</f>
        <v>3440.690000000006</v>
      </c>
      <c r="BH11" s="330"/>
      <c r="BI11" s="330"/>
      <c r="BJ11" s="330"/>
      <c r="BK11" s="330"/>
      <c r="BL11" s="330"/>
      <c r="BM11" s="331"/>
      <c r="BN11" s="332"/>
      <c r="BO11" s="332"/>
      <c r="BP11" s="339"/>
      <c r="BQ11" s="72"/>
      <c r="BR11" s="337"/>
      <c r="BS11" s="337"/>
      <c r="BT11" s="337"/>
      <c r="BU11" s="229"/>
    </row>
    <row r="12" spans="1:73" ht="12.75">
      <c r="A12" s="312" t="s">
        <v>47</v>
      </c>
      <c r="B12" s="313">
        <v>3255.4</v>
      </c>
      <c r="C12" s="124">
        <f>B12*8.55</f>
        <v>27833.670000000002</v>
      </c>
      <c r="D12" s="100">
        <v>333.5684</v>
      </c>
      <c r="E12" s="314">
        <v>-49.5</v>
      </c>
      <c r="F12" s="315">
        <v>0</v>
      </c>
      <c r="G12" s="314">
        <v>16475.48</v>
      </c>
      <c r="H12" s="314">
        <v>0</v>
      </c>
      <c r="I12" s="314">
        <v>-66.83</v>
      </c>
      <c r="J12" s="314">
        <v>0</v>
      </c>
      <c r="K12" s="314">
        <v>-111.38</v>
      </c>
      <c r="L12" s="314">
        <v>0</v>
      </c>
      <c r="M12" s="314">
        <v>7839.22</v>
      </c>
      <c r="N12" s="314">
        <v>0</v>
      </c>
      <c r="O12" s="314">
        <v>2734.53</v>
      </c>
      <c r="P12" s="314">
        <v>0</v>
      </c>
      <c r="Q12" s="314">
        <v>0</v>
      </c>
      <c r="R12" s="314">
        <v>0</v>
      </c>
      <c r="S12" s="320">
        <v>0</v>
      </c>
      <c r="T12" s="320">
        <v>0</v>
      </c>
      <c r="U12" s="320">
        <f t="shared" si="0"/>
        <v>26821.52</v>
      </c>
      <c r="V12" s="340">
        <f t="shared" si="0"/>
        <v>0</v>
      </c>
      <c r="W12" s="341">
        <v>370.79</v>
      </c>
      <c r="X12" s="321">
        <v>15558.94</v>
      </c>
      <c r="Y12" s="320">
        <v>501.99</v>
      </c>
      <c r="Z12" s="320">
        <v>835.79</v>
      </c>
      <c r="AA12" s="320">
        <v>10577.13</v>
      </c>
      <c r="AB12" s="320">
        <v>2667.64</v>
      </c>
      <c r="AC12" s="320">
        <v>0</v>
      </c>
      <c r="AD12" s="321">
        <v>0</v>
      </c>
      <c r="AE12" s="320">
        <v>0</v>
      </c>
      <c r="AF12" s="342">
        <f>SUM(W12:AE12)</f>
        <v>30512.28</v>
      </c>
      <c r="AG12" s="323">
        <f>AF12+V12+D12</f>
        <v>30845.8484</v>
      </c>
      <c r="AH12" s="324">
        <f t="shared" si="1"/>
        <v>0</v>
      </c>
      <c r="AI12" s="324">
        <f t="shared" si="1"/>
        <v>0</v>
      </c>
      <c r="AJ12" s="325">
        <f>'[6]Т03'!$J$138+'[6]Т03'!$J$143</f>
        <v>2277.92</v>
      </c>
      <c r="AK12" s="326">
        <f t="shared" si="2"/>
        <v>2181.1180000000004</v>
      </c>
      <c r="AL12" s="326">
        <f t="shared" si="3"/>
        <v>651.08</v>
      </c>
      <c r="AM12" s="326">
        <f>B12*1</f>
        <v>3255.4</v>
      </c>
      <c r="AN12" s="326">
        <f>B12*0.21</f>
        <v>683.634</v>
      </c>
      <c r="AO12" s="326">
        <f>2.02*B12</f>
        <v>6575.908</v>
      </c>
      <c r="AP12" s="326">
        <f>B12*1.03</f>
        <v>3353.0620000000004</v>
      </c>
      <c r="AQ12" s="326">
        <f>B12*0.75</f>
        <v>2441.55</v>
      </c>
      <c r="AR12" s="326">
        <f>B12*0.75</f>
        <v>2441.55</v>
      </c>
      <c r="AS12" s="326">
        <f>B12*1.15</f>
        <v>3743.71</v>
      </c>
      <c r="AT12" s="326">
        <f>0.45*716.8</f>
        <v>322.56</v>
      </c>
      <c r="AU12" s="327"/>
      <c r="AV12" s="328"/>
      <c r="AW12" s="327"/>
      <c r="AX12" s="327"/>
      <c r="AY12" s="327"/>
      <c r="AZ12" s="114"/>
      <c r="BA12" s="329"/>
      <c r="BB12" s="329">
        <f>BA12*0.18</f>
        <v>0</v>
      </c>
      <c r="BC12" s="329">
        <f>SUM(AK12:BB12)</f>
        <v>25649.572</v>
      </c>
      <c r="BD12" s="330">
        <f>'[6]Т03'!$S$138+'[6]Т03'!$S$143</f>
        <v>424.455</v>
      </c>
      <c r="BE12" s="330">
        <f t="shared" si="4"/>
        <v>26074.027000000002</v>
      </c>
      <c r="BF12" s="330">
        <f t="shared" si="5"/>
        <v>7049.741399999999</v>
      </c>
      <c r="BG12" s="330">
        <f t="shared" si="6"/>
        <v>3690.7599999999984</v>
      </c>
      <c r="BH12" s="330"/>
      <c r="BI12" s="330"/>
      <c r="BJ12" s="330"/>
      <c r="BK12" s="330"/>
      <c r="BL12" s="330"/>
      <c r="BM12" s="331"/>
      <c r="BN12" s="332"/>
      <c r="BO12" s="332"/>
      <c r="BP12" s="339"/>
      <c r="BQ12" s="72"/>
      <c r="BR12" s="337"/>
      <c r="BS12" s="337"/>
      <c r="BT12" s="229"/>
      <c r="BU12" s="229"/>
    </row>
    <row r="13" spans="1:73" ht="12.75">
      <c r="A13" s="312" t="s">
        <v>48</v>
      </c>
      <c r="B13" s="313">
        <v>3255.4</v>
      </c>
      <c r="C13" s="124">
        <f>B13*8.55</f>
        <v>27833.670000000002</v>
      </c>
      <c r="D13" s="343">
        <v>333.5684</v>
      </c>
      <c r="E13" s="316">
        <v>0</v>
      </c>
      <c r="F13" s="315">
        <v>0</v>
      </c>
      <c r="G13" s="344">
        <v>17043.74</v>
      </c>
      <c r="H13" s="314">
        <v>0</v>
      </c>
      <c r="I13" s="314">
        <v>0</v>
      </c>
      <c r="J13" s="314">
        <v>0</v>
      </c>
      <c r="K13" s="314">
        <v>0</v>
      </c>
      <c r="L13" s="314">
        <v>0</v>
      </c>
      <c r="M13" s="314">
        <v>8276.3</v>
      </c>
      <c r="N13" s="314">
        <v>0</v>
      </c>
      <c r="O13" s="314">
        <v>2870.17</v>
      </c>
      <c r="P13" s="314">
        <v>0</v>
      </c>
      <c r="Q13" s="345">
        <v>0</v>
      </c>
      <c r="R13" s="346">
        <v>0</v>
      </c>
      <c r="S13" s="347">
        <v>0</v>
      </c>
      <c r="T13" s="348">
        <v>0</v>
      </c>
      <c r="U13" s="338">
        <f t="shared" si="0"/>
        <v>28190.21</v>
      </c>
      <c r="V13" s="340">
        <f t="shared" si="0"/>
        <v>0</v>
      </c>
      <c r="W13" s="320">
        <v>325.23</v>
      </c>
      <c r="X13" s="321">
        <v>13763.31</v>
      </c>
      <c r="Y13" s="320">
        <v>439.92</v>
      </c>
      <c r="Z13" s="320">
        <v>732.62</v>
      </c>
      <c r="AA13" s="320">
        <v>7760.01</v>
      </c>
      <c r="AB13" s="321">
        <v>2582.56</v>
      </c>
      <c r="AC13" s="320">
        <v>0</v>
      </c>
      <c r="AD13" s="321">
        <v>0</v>
      </c>
      <c r="AE13" s="321">
        <v>0</v>
      </c>
      <c r="AF13" s="322">
        <f>SUM(W13:AD13)</f>
        <v>25603.65</v>
      </c>
      <c r="AG13" s="349">
        <f>AF13+V13+D13</f>
        <v>25937.2184</v>
      </c>
      <c r="AH13" s="350">
        <f t="shared" si="1"/>
        <v>0</v>
      </c>
      <c r="AI13" s="350">
        <f t="shared" si="1"/>
        <v>0</v>
      </c>
      <c r="AJ13" s="351">
        <f>'[7]Т04'!$J$139+'[7]Т04'!$J$145</f>
        <v>755.49</v>
      </c>
      <c r="AK13" s="326">
        <f t="shared" si="2"/>
        <v>2181.1180000000004</v>
      </c>
      <c r="AL13" s="326">
        <f t="shared" si="3"/>
        <v>651.08</v>
      </c>
      <c r="AM13" s="326">
        <f>B13*1</f>
        <v>3255.4</v>
      </c>
      <c r="AN13" s="326">
        <f>B13*0.21</f>
        <v>683.634</v>
      </c>
      <c r="AO13" s="326">
        <f>2.02*B13</f>
        <v>6575.908</v>
      </c>
      <c r="AP13" s="326">
        <f>B13*1.03</f>
        <v>3353.0620000000004</v>
      </c>
      <c r="AQ13" s="326">
        <f>B13*0.75</f>
        <v>2441.55</v>
      </c>
      <c r="AR13" s="326">
        <f>B13*0.75</f>
        <v>2441.55</v>
      </c>
      <c r="AS13" s="326"/>
      <c r="AT13" s="353">
        <f>0.45*716.8</f>
        <v>322.56</v>
      </c>
      <c r="AU13" s="352"/>
      <c r="AV13" s="352">
        <v>151</v>
      </c>
      <c r="AW13" s="352"/>
      <c r="AX13" s="352">
        <f>48.5</f>
        <v>48.5</v>
      </c>
      <c r="AY13" s="352"/>
      <c r="AZ13" s="114"/>
      <c r="BA13" s="353"/>
      <c r="BB13" s="353"/>
      <c r="BC13" s="314">
        <f>SUM(AK13:BB13)</f>
        <v>22105.362</v>
      </c>
      <c r="BD13" s="354">
        <f>'[6]Т04'!$S$139+'[6]Т04'!$S$145</f>
        <v>424.455</v>
      </c>
      <c r="BE13" s="330">
        <f t="shared" si="4"/>
        <v>22529.817000000003</v>
      </c>
      <c r="BF13" s="330">
        <f t="shared" si="5"/>
        <v>4162.8914</v>
      </c>
      <c r="BG13" s="330">
        <f t="shared" si="6"/>
        <v>-2586.5599999999977</v>
      </c>
      <c r="BH13" s="330"/>
      <c r="BI13" s="330"/>
      <c r="BJ13" s="330"/>
      <c r="BK13" s="330"/>
      <c r="BL13" s="330"/>
      <c r="BM13" s="331"/>
      <c r="BN13" s="332"/>
      <c r="BO13" s="332"/>
      <c r="BP13" s="339"/>
      <c r="BQ13" s="72"/>
      <c r="BR13" s="72"/>
      <c r="BS13" s="337"/>
      <c r="BT13" s="337"/>
      <c r="BU13" s="337"/>
    </row>
    <row r="14" spans="1:73" ht="12.75">
      <c r="A14" s="312" t="s">
        <v>49</v>
      </c>
      <c r="B14" s="355">
        <v>3255.4</v>
      </c>
      <c r="C14" s="124">
        <f>B14*8.55</f>
        <v>27833.670000000002</v>
      </c>
      <c r="D14" s="343">
        <v>333.5684</v>
      </c>
      <c r="E14" s="344">
        <v>0</v>
      </c>
      <c r="F14" s="315">
        <v>0</v>
      </c>
      <c r="G14" s="314">
        <v>17048.87</v>
      </c>
      <c r="H14" s="314">
        <v>0</v>
      </c>
      <c r="I14" s="314">
        <v>0</v>
      </c>
      <c r="J14" s="314">
        <v>0</v>
      </c>
      <c r="K14" s="314">
        <v>0</v>
      </c>
      <c r="L14" s="314">
        <v>0</v>
      </c>
      <c r="M14" s="314">
        <v>8278.82</v>
      </c>
      <c r="N14" s="314">
        <v>0</v>
      </c>
      <c r="O14" s="314">
        <v>2871.07</v>
      </c>
      <c r="P14" s="314">
        <v>0</v>
      </c>
      <c r="Q14" s="314">
        <v>0</v>
      </c>
      <c r="R14" s="315">
        <v>0</v>
      </c>
      <c r="S14" s="320">
        <v>0</v>
      </c>
      <c r="T14" s="321">
        <v>0</v>
      </c>
      <c r="U14" s="347">
        <f t="shared" si="0"/>
        <v>28198.76</v>
      </c>
      <c r="V14" s="356">
        <f>F14+H14+J14+L14+N14++R14+T14</f>
        <v>0</v>
      </c>
      <c r="W14" s="320">
        <v>1709.46</v>
      </c>
      <c r="X14" s="321">
        <v>13680.05</v>
      </c>
      <c r="Y14" s="320">
        <v>129.43</v>
      </c>
      <c r="Z14" s="320">
        <v>79.52</v>
      </c>
      <c r="AA14" s="320">
        <v>7032.47</v>
      </c>
      <c r="AB14" s="320">
        <v>2397.63</v>
      </c>
      <c r="AC14" s="320">
        <v>0</v>
      </c>
      <c r="AD14" s="321">
        <v>0</v>
      </c>
      <c r="AE14" s="322">
        <v>0</v>
      </c>
      <c r="AF14" s="357">
        <f>SUM(W14:AE14)</f>
        <v>25028.56</v>
      </c>
      <c r="AG14" s="349">
        <f aca="true" t="shared" si="7" ref="AG14:AG21">D14+V14+AF14</f>
        <v>25362.1284</v>
      </c>
      <c r="AH14" s="350">
        <f t="shared" si="1"/>
        <v>0</v>
      </c>
      <c r="AI14" s="350">
        <f t="shared" si="1"/>
        <v>0</v>
      </c>
      <c r="AJ14" s="351">
        <f>'[6]Т05'!$J$137+'[6]Т05'!$J$143</f>
        <v>755.49</v>
      </c>
      <c r="AK14" s="326">
        <f t="shared" si="2"/>
        <v>2181.1180000000004</v>
      </c>
      <c r="AL14" s="326">
        <f t="shared" si="3"/>
        <v>651.08</v>
      </c>
      <c r="AM14" s="326">
        <f>B14*1</f>
        <v>3255.4</v>
      </c>
      <c r="AN14" s="326">
        <f>B14*0.21</f>
        <v>683.634</v>
      </c>
      <c r="AO14" s="326">
        <f>2.02*B14</f>
        <v>6575.908</v>
      </c>
      <c r="AP14" s="326">
        <f>B14*1.03</f>
        <v>3353.0620000000004</v>
      </c>
      <c r="AQ14" s="326">
        <f>B14*0.75</f>
        <v>2441.55</v>
      </c>
      <c r="AR14" s="326">
        <f>B14*0.75</f>
        <v>2441.55</v>
      </c>
      <c r="AS14" s="326"/>
      <c r="AT14" s="353">
        <f>0.45*716.8</f>
        <v>322.56</v>
      </c>
      <c r="AU14" s="352"/>
      <c r="AV14" s="352"/>
      <c r="AW14" s="352">
        <v>1067</v>
      </c>
      <c r="AX14" s="352">
        <f>13+138.25</f>
        <v>151.25</v>
      </c>
      <c r="AY14" s="352"/>
      <c r="AZ14" s="114"/>
      <c r="BA14" s="353"/>
      <c r="BB14" s="353"/>
      <c r="BC14" s="314">
        <f>SUM(AK14:BB14)</f>
        <v>23124.112</v>
      </c>
      <c r="BD14" s="354">
        <f>'[6]Т05'!$S$137+'[6]Т05'!$S$143</f>
        <v>424.455</v>
      </c>
      <c r="BE14" s="330">
        <f t="shared" si="4"/>
        <v>23548.567000000003</v>
      </c>
      <c r="BF14" s="330">
        <f t="shared" si="5"/>
        <v>2569.0514000000003</v>
      </c>
      <c r="BG14" s="330">
        <f t="shared" si="6"/>
        <v>-3170.199999999997</v>
      </c>
      <c r="BH14" s="330"/>
      <c r="BI14" s="330"/>
      <c r="BJ14" s="330"/>
      <c r="BK14" s="330"/>
      <c r="BL14" s="330"/>
      <c r="BM14" s="331"/>
      <c r="BN14" s="332"/>
      <c r="BO14" s="332"/>
      <c r="BP14" s="339"/>
      <c r="BQ14" s="72"/>
      <c r="BR14" s="337"/>
      <c r="BS14" s="337"/>
      <c r="BT14" s="337"/>
      <c r="BU14" s="229"/>
    </row>
    <row r="15" spans="1:73" ht="12.75">
      <c r="A15" s="312" t="s">
        <v>50</v>
      </c>
      <c r="B15" s="313">
        <v>3255.4</v>
      </c>
      <c r="C15" s="124">
        <f>B15*8.55</f>
        <v>27833.670000000002</v>
      </c>
      <c r="D15" s="343">
        <v>333.5684</v>
      </c>
      <c r="E15" s="358">
        <v>0</v>
      </c>
      <c r="F15" s="358"/>
      <c r="G15" s="358">
        <v>17048.87</v>
      </c>
      <c r="H15" s="358"/>
      <c r="I15" s="359">
        <v>0</v>
      </c>
      <c r="J15" s="359"/>
      <c r="K15" s="359">
        <v>0</v>
      </c>
      <c r="L15" s="359"/>
      <c r="M15" s="359">
        <v>8278.82</v>
      </c>
      <c r="N15" s="359"/>
      <c r="O15" s="359">
        <v>2871.07</v>
      </c>
      <c r="P15" s="359"/>
      <c r="Q15" s="359">
        <v>0</v>
      </c>
      <c r="R15" s="360"/>
      <c r="S15" s="360">
        <v>0</v>
      </c>
      <c r="T15" s="359"/>
      <c r="U15" s="361">
        <f t="shared" si="0"/>
        <v>28198.76</v>
      </c>
      <c r="V15" s="362">
        <f t="shared" si="0"/>
        <v>0</v>
      </c>
      <c r="W15" s="363">
        <v>-1329.58</v>
      </c>
      <c r="X15" s="358">
        <v>15578.57</v>
      </c>
      <c r="Y15" s="358">
        <v>385.01</v>
      </c>
      <c r="Z15" s="358">
        <v>641</v>
      </c>
      <c r="AA15" s="358">
        <v>7384.16</v>
      </c>
      <c r="AB15" s="358">
        <v>3412.36</v>
      </c>
      <c r="AC15" s="358">
        <v>0</v>
      </c>
      <c r="AD15" s="358">
        <v>0</v>
      </c>
      <c r="AE15" s="364">
        <v>0</v>
      </c>
      <c r="AF15" s="365">
        <f aca="true" t="shared" si="8" ref="AF15:AF21">SUM(W15:AE15)</f>
        <v>26071.52</v>
      </c>
      <c r="AG15" s="349">
        <f t="shared" si="7"/>
        <v>26405.0884</v>
      </c>
      <c r="AH15" s="350">
        <f t="shared" si="1"/>
        <v>0</v>
      </c>
      <c r="AI15" s="350">
        <f t="shared" si="1"/>
        <v>0</v>
      </c>
      <c r="AJ15" s="351">
        <f>'[6]Т06'!$J$137+'[6]Т06'!$J$143</f>
        <v>755.49</v>
      </c>
      <c r="AK15" s="326">
        <f t="shared" si="2"/>
        <v>2181.1180000000004</v>
      </c>
      <c r="AL15" s="326">
        <f t="shared" si="3"/>
        <v>651.08</v>
      </c>
      <c r="AM15" s="326">
        <f>B15*1</f>
        <v>3255.4</v>
      </c>
      <c r="AN15" s="326">
        <f>B15*0.21</f>
        <v>683.634</v>
      </c>
      <c r="AO15" s="326">
        <f>2.02*B15</f>
        <v>6575.908</v>
      </c>
      <c r="AP15" s="326">
        <f>B15*1.03</f>
        <v>3353.0620000000004</v>
      </c>
      <c r="AQ15" s="326">
        <f>B15*0.75</f>
        <v>2441.55</v>
      </c>
      <c r="AR15" s="326">
        <f>B15*0.75</f>
        <v>2441.55</v>
      </c>
      <c r="AS15" s="326"/>
      <c r="AT15" s="353">
        <f>0.45*716.8</f>
        <v>322.56</v>
      </c>
      <c r="AU15" s="352"/>
      <c r="AV15" s="352"/>
      <c r="AW15" s="352"/>
      <c r="AX15" s="352"/>
      <c r="AY15" s="352"/>
      <c r="AZ15" s="326"/>
      <c r="BA15" s="353"/>
      <c r="BB15" s="353"/>
      <c r="BC15" s="366">
        <f>SUM(AK15:BB15)</f>
        <v>21905.862</v>
      </c>
      <c r="BD15" s="354">
        <f>'[6]Т06'!$S$137+'[6]Т06'!$S$143</f>
        <v>424.455</v>
      </c>
      <c r="BE15" s="330">
        <f t="shared" si="4"/>
        <v>22330.317000000003</v>
      </c>
      <c r="BF15" s="330">
        <f t="shared" si="5"/>
        <v>4830.261399999999</v>
      </c>
      <c r="BG15" s="330">
        <f t="shared" si="6"/>
        <v>-2127.239999999998</v>
      </c>
      <c r="BH15" s="330"/>
      <c r="BI15" s="330"/>
      <c r="BJ15" s="330"/>
      <c r="BK15" s="330"/>
      <c r="BL15" s="330"/>
      <c r="BM15" s="331"/>
      <c r="BN15" s="332"/>
      <c r="BO15" s="332"/>
      <c r="BP15" s="339"/>
      <c r="BQ15" s="72"/>
      <c r="BR15" s="337"/>
      <c r="BS15" s="337"/>
      <c r="BT15" s="337"/>
      <c r="BU15" s="229"/>
    </row>
    <row r="16" spans="1:73" ht="12.75">
      <c r="A16" s="312" t="s">
        <v>51</v>
      </c>
      <c r="B16" s="313">
        <v>3255.4</v>
      </c>
      <c r="C16" s="124">
        <f>B16*8.55</f>
        <v>27833.670000000002</v>
      </c>
      <c r="D16" s="343">
        <v>333.5684</v>
      </c>
      <c r="E16" s="367"/>
      <c r="F16" s="367"/>
      <c r="G16" s="367">
        <v>17048.87</v>
      </c>
      <c r="H16" s="367"/>
      <c r="I16" s="367"/>
      <c r="J16" s="367"/>
      <c r="K16" s="367"/>
      <c r="L16" s="367"/>
      <c r="M16" s="367">
        <v>8278.82</v>
      </c>
      <c r="N16" s="367"/>
      <c r="O16" s="367">
        <v>2871.07</v>
      </c>
      <c r="P16" s="367"/>
      <c r="Q16" s="367"/>
      <c r="R16" s="367"/>
      <c r="S16" s="368"/>
      <c r="T16" s="363"/>
      <c r="U16" s="369">
        <f t="shared" si="0"/>
        <v>28198.76</v>
      </c>
      <c r="V16" s="370">
        <f t="shared" si="0"/>
        <v>0</v>
      </c>
      <c r="W16" s="371">
        <v>2555.17</v>
      </c>
      <c r="X16" s="367">
        <v>13828.16</v>
      </c>
      <c r="Y16" s="367">
        <v>277.16</v>
      </c>
      <c r="Z16" s="367">
        <v>4461.82</v>
      </c>
      <c r="AA16" s="367">
        <v>7372.2</v>
      </c>
      <c r="AB16" s="367">
        <v>2491.5</v>
      </c>
      <c r="AC16" s="358"/>
      <c r="AD16" s="367"/>
      <c r="AE16" s="368"/>
      <c r="AF16" s="365">
        <f t="shared" si="8"/>
        <v>30986.010000000002</v>
      </c>
      <c r="AG16" s="372">
        <f t="shared" si="7"/>
        <v>31319.578400000002</v>
      </c>
      <c r="AH16" s="350">
        <f t="shared" si="1"/>
        <v>0</v>
      </c>
      <c r="AI16" s="350">
        <f t="shared" si="1"/>
        <v>0</v>
      </c>
      <c r="AJ16" s="351">
        <f>'[6]Т07'!$J$137+'[6]Т07'!$J$148</f>
        <v>755.49</v>
      </c>
      <c r="AK16" s="326">
        <f t="shared" si="2"/>
        <v>2181.1180000000004</v>
      </c>
      <c r="AL16" s="326">
        <f t="shared" si="3"/>
        <v>651.08</v>
      </c>
      <c r="AM16" s="326">
        <f>B16*1</f>
        <v>3255.4</v>
      </c>
      <c r="AN16" s="326">
        <f>B16*0.21</f>
        <v>683.634</v>
      </c>
      <c r="AO16" s="326">
        <f>2.02*B16</f>
        <v>6575.908</v>
      </c>
      <c r="AP16" s="326">
        <f>B16*1.03</f>
        <v>3353.0620000000004</v>
      </c>
      <c r="AQ16" s="326">
        <f>B16*0.75</f>
        <v>2441.55</v>
      </c>
      <c r="AR16" s="326">
        <f>B16*0.75</f>
        <v>2441.55</v>
      </c>
      <c r="AS16" s="326"/>
      <c r="AT16" s="353">
        <f>0.45*716.8</f>
        <v>322.56</v>
      </c>
      <c r="AU16" s="352"/>
      <c r="AV16" s="352"/>
      <c r="AW16" s="352"/>
      <c r="AX16" s="352">
        <f>96.43+9.43+8.14</f>
        <v>114.00000000000001</v>
      </c>
      <c r="AY16" s="352"/>
      <c r="AZ16" s="114"/>
      <c r="BA16" s="353">
        <v>11007.15</v>
      </c>
      <c r="BB16" s="353"/>
      <c r="BC16" s="314">
        <f>SUM(AK16:BB16)</f>
        <v>33027.012</v>
      </c>
      <c r="BD16" s="354">
        <f>'[6]Т07'!$S$137+'[6]Т07'!$S$148</f>
        <v>424.455</v>
      </c>
      <c r="BE16" s="330">
        <f t="shared" si="4"/>
        <v>33451.467000000004</v>
      </c>
      <c r="BF16" s="330">
        <f t="shared" si="5"/>
        <v>-1376.3986000000004</v>
      </c>
      <c r="BG16" s="330">
        <f t="shared" si="6"/>
        <v>2787.2500000000036</v>
      </c>
      <c r="BH16" s="330"/>
      <c r="BI16" s="330"/>
      <c r="BJ16" s="330"/>
      <c r="BK16" s="330"/>
      <c r="BL16" s="330"/>
      <c r="BM16" s="331"/>
      <c r="BN16" s="332"/>
      <c r="BO16" s="332"/>
      <c r="BP16" s="339"/>
      <c r="BQ16" s="72"/>
      <c r="BR16" s="229"/>
      <c r="BS16" s="229"/>
      <c r="BT16" s="229"/>
      <c r="BU16" s="229"/>
    </row>
    <row r="17" spans="1:73" ht="12.75">
      <c r="A17" s="312" t="s">
        <v>52</v>
      </c>
      <c r="B17" s="313">
        <v>3255.4</v>
      </c>
      <c r="C17" s="124">
        <f>B17*8.55</f>
        <v>27833.670000000002</v>
      </c>
      <c r="D17" s="343">
        <v>333.5684</v>
      </c>
      <c r="E17" s="367"/>
      <c r="F17" s="367"/>
      <c r="G17" s="367">
        <v>17052.36</v>
      </c>
      <c r="H17" s="367"/>
      <c r="I17" s="367"/>
      <c r="J17" s="367"/>
      <c r="K17" s="367"/>
      <c r="L17" s="367"/>
      <c r="M17" s="367">
        <v>8280.54</v>
      </c>
      <c r="N17" s="367"/>
      <c r="O17" s="367">
        <v>2871.67</v>
      </c>
      <c r="P17" s="367"/>
      <c r="Q17" s="367"/>
      <c r="R17" s="367"/>
      <c r="S17" s="368"/>
      <c r="T17" s="364"/>
      <c r="U17" s="373">
        <f t="shared" si="0"/>
        <v>28204.57</v>
      </c>
      <c r="V17" s="374">
        <f t="shared" si="0"/>
        <v>0</v>
      </c>
      <c r="W17" s="367">
        <v>34.12</v>
      </c>
      <c r="X17" s="367">
        <v>17392.05</v>
      </c>
      <c r="Y17" s="367">
        <v>46.07</v>
      </c>
      <c r="Z17" s="367">
        <v>76.8</v>
      </c>
      <c r="AA17" s="367">
        <v>6679.99</v>
      </c>
      <c r="AB17" s="367">
        <v>2237.94</v>
      </c>
      <c r="AC17" s="367"/>
      <c r="AD17" s="367"/>
      <c r="AE17" s="368"/>
      <c r="AF17" s="365">
        <f t="shared" si="8"/>
        <v>26466.969999999998</v>
      </c>
      <c r="AG17" s="372">
        <f t="shared" si="7"/>
        <v>26800.538399999998</v>
      </c>
      <c r="AH17" s="350">
        <f t="shared" si="1"/>
        <v>0</v>
      </c>
      <c r="AI17" s="350">
        <f t="shared" si="1"/>
        <v>0</v>
      </c>
      <c r="AJ17" s="351">
        <f>'[6]Т08'!$J$137+'[6]Т08'!$J$151+'[6]Т08'!$J$220</f>
        <v>869.49</v>
      </c>
      <c r="AK17" s="326">
        <f t="shared" si="2"/>
        <v>2181.1180000000004</v>
      </c>
      <c r="AL17" s="326">
        <f t="shared" si="3"/>
        <v>651.08</v>
      </c>
      <c r="AM17" s="326">
        <f>B17*1</f>
        <v>3255.4</v>
      </c>
      <c r="AN17" s="326">
        <f>B17*0.21</f>
        <v>683.634</v>
      </c>
      <c r="AO17" s="326">
        <f>2.02*B17</f>
        <v>6575.908</v>
      </c>
      <c r="AP17" s="326">
        <f>B17*1.03</f>
        <v>3353.0620000000004</v>
      </c>
      <c r="AQ17" s="326">
        <f>B17*0.75</f>
        <v>2441.55</v>
      </c>
      <c r="AR17" s="326">
        <f>B17*0.75</f>
        <v>2441.55</v>
      </c>
      <c r="AS17" s="326"/>
      <c r="AT17" s="353">
        <f>0.45*716.8</f>
        <v>322.56</v>
      </c>
      <c r="AU17" s="352"/>
      <c r="AV17" s="352"/>
      <c r="AW17" s="352">
        <f>364</f>
        <v>364</v>
      </c>
      <c r="AX17" s="352"/>
      <c r="AY17" s="352"/>
      <c r="AZ17" s="114"/>
      <c r="BA17" s="353"/>
      <c r="BB17" s="353"/>
      <c r="BC17" s="314">
        <f>SUM(AK17:BB17)</f>
        <v>22269.862</v>
      </c>
      <c r="BD17" s="354">
        <f>'[6]Т08'!$S$137+'[6]Т08'!$S$151+'[6]Т08'!$S$220</f>
        <v>452.955</v>
      </c>
      <c r="BE17" s="330">
        <f t="shared" si="4"/>
        <v>22722.817000000003</v>
      </c>
      <c r="BF17" s="330">
        <f t="shared" si="5"/>
        <v>4947.2113999999965</v>
      </c>
      <c r="BG17" s="330">
        <f t="shared" si="6"/>
        <v>-1737.6000000000022</v>
      </c>
      <c r="BH17" s="330"/>
      <c r="BI17" s="330"/>
      <c r="BJ17" s="330"/>
      <c r="BK17" s="330"/>
      <c r="BL17" s="330"/>
      <c r="BM17" s="331"/>
      <c r="BN17" s="332"/>
      <c r="BO17" s="332"/>
      <c r="BP17" s="339"/>
      <c r="BQ17" s="72"/>
      <c r="BR17" s="229"/>
      <c r="BS17" s="229"/>
      <c r="BT17" s="229"/>
      <c r="BU17" s="229"/>
    </row>
    <row r="18" spans="1:73" ht="12.75">
      <c r="A18" s="312" t="s">
        <v>53</v>
      </c>
      <c r="B18" s="313">
        <v>3255.4</v>
      </c>
      <c r="C18" s="124">
        <f>B18*8.55</f>
        <v>27833.670000000002</v>
      </c>
      <c r="D18" s="343">
        <v>333.5684</v>
      </c>
      <c r="E18" s="367"/>
      <c r="F18" s="367"/>
      <c r="G18" s="367">
        <v>17138.85</v>
      </c>
      <c r="H18" s="367"/>
      <c r="I18" s="367"/>
      <c r="J18" s="367"/>
      <c r="K18" s="367"/>
      <c r="L18" s="367"/>
      <c r="M18" s="367">
        <v>8322.62</v>
      </c>
      <c r="N18" s="367"/>
      <c r="O18" s="367">
        <v>2886.35</v>
      </c>
      <c r="P18" s="367"/>
      <c r="Q18" s="367"/>
      <c r="R18" s="367"/>
      <c r="S18" s="368"/>
      <c r="T18" s="375"/>
      <c r="U18" s="375">
        <f t="shared" si="0"/>
        <v>28347.82</v>
      </c>
      <c r="V18" s="376">
        <f t="shared" si="0"/>
        <v>0</v>
      </c>
      <c r="W18" s="367">
        <v>-16.98</v>
      </c>
      <c r="X18" s="367">
        <v>17993.47</v>
      </c>
      <c r="Y18" s="367">
        <v>32.99</v>
      </c>
      <c r="Z18" s="367">
        <v>-64.73</v>
      </c>
      <c r="AA18" s="367">
        <v>8323.29</v>
      </c>
      <c r="AB18" s="367">
        <v>3158.33</v>
      </c>
      <c r="AC18" s="367"/>
      <c r="AD18" s="367"/>
      <c r="AE18" s="368"/>
      <c r="AF18" s="365">
        <f t="shared" si="8"/>
        <v>29426.370000000003</v>
      </c>
      <c r="AG18" s="372">
        <f t="shared" si="7"/>
        <v>29759.938400000003</v>
      </c>
      <c r="AH18" s="350">
        <f t="shared" si="1"/>
        <v>0</v>
      </c>
      <c r="AI18" s="350">
        <f t="shared" si="1"/>
        <v>0</v>
      </c>
      <c r="AJ18" s="351">
        <f>'[6]Т09'!$J$137+'[6]Т09'!$J$151+'[6]Т09'!$J$220</f>
        <v>869.49</v>
      </c>
      <c r="AK18" s="326">
        <f t="shared" si="2"/>
        <v>2181.1180000000004</v>
      </c>
      <c r="AL18" s="326">
        <f t="shared" si="3"/>
        <v>651.08</v>
      </c>
      <c r="AM18" s="326">
        <f>B18*1</f>
        <v>3255.4</v>
      </c>
      <c r="AN18" s="326">
        <f>B18*0.21</f>
        <v>683.634</v>
      </c>
      <c r="AO18" s="326">
        <f>2.02*B18</f>
        <v>6575.908</v>
      </c>
      <c r="AP18" s="326">
        <f>B18*1.03</f>
        <v>3353.0620000000004</v>
      </c>
      <c r="AQ18" s="326">
        <f>B18*0.75</f>
        <v>2441.55</v>
      </c>
      <c r="AR18" s="326">
        <f>B18*0.75</f>
        <v>2441.55</v>
      </c>
      <c r="AS18" s="326"/>
      <c r="AT18" s="353">
        <f>0.45*716.8</f>
        <v>322.56</v>
      </c>
      <c r="AU18" s="352">
        <v>2971</v>
      </c>
      <c r="AV18" s="352"/>
      <c r="AW18" s="352">
        <v>1903</v>
      </c>
      <c r="AX18" s="352">
        <f>409</f>
        <v>409</v>
      </c>
      <c r="AY18" s="352"/>
      <c r="AZ18" s="114"/>
      <c r="BA18" s="353"/>
      <c r="BB18" s="353"/>
      <c r="BC18" s="314">
        <f>SUM(AK18:BB18)</f>
        <v>27188.862</v>
      </c>
      <c r="BD18" s="354">
        <f>'[6]Т08'!$S$137+'[6]Т08'!$S$151+'[6]Т08'!$S$220</f>
        <v>452.955</v>
      </c>
      <c r="BE18" s="330">
        <f t="shared" si="4"/>
        <v>27641.817000000003</v>
      </c>
      <c r="BF18" s="330">
        <f t="shared" si="5"/>
        <v>2987.6114000000016</v>
      </c>
      <c r="BG18" s="330">
        <f t="shared" si="6"/>
        <v>1078.550000000003</v>
      </c>
      <c r="BH18" s="330"/>
      <c r="BI18" s="330"/>
      <c r="BJ18" s="330"/>
      <c r="BK18" s="330"/>
      <c r="BL18" s="330"/>
      <c r="BM18" s="331"/>
      <c r="BN18" s="332"/>
      <c r="BO18" s="332"/>
      <c r="BP18" s="332"/>
      <c r="BQ18" s="72"/>
      <c r="BR18" s="72"/>
      <c r="BS18" s="229"/>
      <c r="BT18" s="229"/>
      <c r="BU18" s="229"/>
    </row>
    <row r="19" spans="1:73" ht="12.75">
      <c r="A19" s="312" t="s">
        <v>41</v>
      </c>
      <c r="B19" s="313">
        <v>3255.4</v>
      </c>
      <c r="C19" s="124">
        <f>B19*8.55</f>
        <v>27833.670000000002</v>
      </c>
      <c r="D19" s="377">
        <v>333.5684</v>
      </c>
      <c r="E19" s="358"/>
      <c r="F19" s="358"/>
      <c r="G19" s="358">
        <v>17128.04</v>
      </c>
      <c r="H19" s="358"/>
      <c r="I19" s="358"/>
      <c r="J19" s="358"/>
      <c r="K19" s="358"/>
      <c r="L19" s="358"/>
      <c r="M19" s="358">
        <v>8317.31</v>
      </c>
      <c r="N19" s="358"/>
      <c r="O19" s="358">
        <v>2884.45</v>
      </c>
      <c r="P19" s="358"/>
      <c r="Q19" s="358"/>
      <c r="R19" s="358"/>
      <c r="S19" s="364"/>
      <c r="T19" s="378"/>
      <c r="U19" s="379">
        <f t="shared" si="0"/>
        <v>28329.8</v>
      </c>
      <c r="V19" s="380">
        <f t="shared" si="0"/>
        <v>0</v>
      </c>
      <c r="W19" s="358">
        <v>0</v>
      </c>
      <c r="X19" s="358">
        <v>13768.58</v>
      </c>
      <c r="Y19" s="358">
        <v>0</v>
      </c>
      <c r="Z19" s="358">
        <v>0</v>
      </c>
      <c r="AA19" s="358">
        <v>6827.08</v>
      </c>
      <c r="AB19" s="358">
        <v>2547.01</v>
      </c>
      <c r="AC19" s="358"/>
      <c r="AD19" s="358"/>
      <c r="AE19" s="364"/>
      <c r="AF19" s="365">
        <f t="shared" si="8"/>
        <v>23142.67</v>
      </c>
      <c r="AG19" s="372">
        <f t="shared" si="7"/>
        <v>23476.2384</v>
      </c>
      <c r="AH19" s="350">
        <f t="shared" si="1"/>
        <v>0</v>
      </c>
      <c r="AI19" s="350">
        <f t="shared" si="1"/>
        <v>0</v>
      </c>
      <c r="AJ19" s="351">
        <f>'[8]Т10'!$J$137+'[8]Т10'!$J$151+'[8]Т10'!$J$220</f>
        <v>869.49</v>
      </c>
      <c r="AK19" s="326">
        <f t="shared" si="2"/>
        <v>2181.1180000000004</v>
      </c>
      <c r="AL19" s="326">
        <f t="shared" si="3"/>
        <v>651.08</v>
      </c>
      <c r="AM19" s="326">
        <f>B19*1</f>
        <v>3255.4</v>
      </c>
      <c r="AN19" s="326">
        <f>B19*0.21</f>
        <v>683.634</v>
      </c>
      <c r="AO19" s="326">
        <f>2.02*B19</f>
        <v>6575.908</v>
      </c>
      <c r="AP19" s="326">
        <f>B19*1.03</f>
        <v>3353.0620000000004</v>
      </c>
      <c r="AQ19" s="326">
        <f>B19*0.75</f>
        <v>2441.55</v>
      </c>
      <c r="AR19" s="326">
        <f>B19*0.75</f>
        <v>2441.55</v>
      </c>
      <c r="AS19" s="381">
        <f>B19*1.15</f>
        <v>3743.71</v>
      </c>
      <c r="AT19" s="353">
        <f>0.45*716.8</f>
        <v>322.56</v>
      </c>
      <c r="AU19" s="352"/>
      <c r="AV19" s="352"/>
      <c r="AW19" s="352">
        <v>2886</v>
      </c>
      <c r="AX19" s="352"/>
      <c r="AY19" s="352"/>
      <c r="AZ19" s="114"/>
      <c r="BA19" s="353"/>
      <c r="BB19" s="353"/>
      <c r="BC19" s="314">
        <f>SUM(AK19:BB19)</f>
        <v>28535.572</v>
      </c>
      <c r="BD19" s="354">
        <f>'[9]Т10'!$S$137+'[9]Т10'!$S$151+'[9]Т10'!$S$220</f>
        <v>452.955</v>
      </c>
      <c r="BE19" s="330">
        <f t="shared" si="4"/>
        <v>28988.527000000002</v>
      </c>
      <c r="BF19" s="330">
        <f t="shared" si="5"/>
        <v>-4642.798600000002</v>
      </c>
      <c r="BG19" s="330">
        <f t="shared" si="6"/>
        <v>-5187.130000000001</v>
      </c>
      <c r="BH19" s="330"/>
      <c r="BI19" s="330"/>
      <c r="BJ19" s="330"/>
      <c r="BK19" s="330"/>
      <c r="BL19" s="330"/>
      <c r="BM19" s="331"/>
      <c r="BN19" s="332"/>
      <c r="BO19" s="332"/>
      <c r="BP19" s="332"/>
      <c r="BQ19" s="72"/>
      <c r="BR19" s="72"/>
      <c r="BS19" s="229"/>
      <c r="BT19" s="229"/>
      <c r="BU19" s="229"/>
    </row>
    <row r="20" spans="1:73" ht="12.75">
      <c r="A20" s="312" t="s">
        <v>42</v>
      </c>
      <c r="B20" s="432">
        <v>3305.9</v>
      </c>
      <c r="C20" s="124">
        <f>B20*8.55</f>
        <v>28265.445000000003</v>
      </c>
      <c r="D20" s="382">
        <v>333.5684</v>
      </c>
      <c r="E20" s="358"/>
      <c r="F20" s="358"/>
      <c r="G20" s="358">
        <v>17665.23</v>
      </c>
      <c r="H20" s="358"/>
      <c r="I20" s="358"/>
      <c r="J20" s="358"/>
      <c r="K20" s="358"/>
      <c r="L20" s="358"/>
      <c r="M20" s="358">
        <v>8578.39</v>
      </c>
      <c r="N20" s="358"/>
      <c r="O20" s="358">
        <v>2975.19</v>
      </c>
      <c r="P20" s="358"/>
      <c r="Q20" s="358"/>
      <c r="R20" s="358"/>
      <c r="S20" s="364"/>
      <c r="T20" s="378"/>
      <c r="U20" s="379">
        <f t="shared" si="0"/>
        <v>29218.809999999998</v>
      </c>
      <c r="V20" s="380">
        <f t="shared" si="0"/>
        <v>0</v>
      </c>
      <c r="W20" s="358">
        <v>0</v>
      </c>
      <c r="X20" s="358">
        <v>14843.63</v>
      </c>
      <c r="Y20" s="358">
        <v>0</v>
      </c>
      <c r="Z20" s="358">
        <v>0</v>
      </c>
      <c r="AA20" s="358">
        <v>7207.95</v>
      </c>
      <c r="AB20" s="358">
        <v>2499.71</v>
      </c>
      <c r="AC20" s="358"/>
      <c r="AD20" s="358"/>
      <c r="AE20" s="364"/>
      <c r="AF20" s="365">
        <f t="shared" si="8"/>
        <v>24551.289999999997</v>
      </c>
      <c r="AG20" s="372">
        <f t="shared" si="7"/>
        <v>24884.858399999997</v>
      </c>
      <c r="AH20" s="350">
        <f t="shared" si="1"/>
        <v>0</v>
      </c>
      <c r="AI20" s="350">
        <f t="shared" si="1"/>
        <v>0</v>
      </c>
      <c r="AJ20" s="351">
        <f>'[9]Т11'!$J$151+'[9]Т11'!$J$220</f>
        <v>214</v>
      </c>
      <c r="AK20" s="326">
        <f t="shared" si="2"/>
        <v>2214.953</v>
      </c>
      <c r="AL20" s="326">
        <f t="shared" si="3"/>
        <v>661.1800000000001</v>
      </c>
      <c r="AM20" s="326">
        <f>B20*1</f>
        <v>3305.9</v>
      </c>
      <c r="AN20" s="326">
        <f>B20*0.21</f>
        <v>694.239</v>
      </c>
      <c r="AO20" s="326">
        <f>2.02*B20</f>
        <v>6677.918000000001</v>
      </c>
      <c r="AP20" s="326">
        <f>B20*1.03</f>
        <v>3405.077</v>
      </c>
      <c r="AQ20" s="326">
        <f>B20*0.75</f>
        <v>2479.425</v>
      </c>
      <c r="AR20" s="326">
        <f>B20*0.75</f>
        <v>2479.425</v>
      </c>
      <c r="AS20" s="381">
        <f>B20*1.15</f>
        <v>3801.785</v>
      </c>
      <c r="AT20" s="353">
        <f>0.45*716.8</f>
        <v>322.56</v>
      </c>
      <c r="AU20" s="352"/>
      <c r="AV20" s="352"/>
      <c r="AW20" s="352"/>
      <c r="AX20" s="352"/>
      <c r="AY20" s="352"/>
      <c r="AZ20" s="114"/>
      <c r="BA20" s="353"/>
      <c r="BB20" s="353"/>
      <c r="BC20" s="314">
        <f>SUM(AK20:BB20)</f>
        <v>26042.462</v>
      </c>
      <c r="BD20" s="354">
        <f>'[9]Т11'!$S$151+'[9]Т11'!$S$220</f>
        <v>53.5</v>
      </c>
      <c r="BE20" s="330">
        <f t="shared" si="4"/>
        <v>26095.962</v>
      </c>
      <c r="BF20" s="330">
        <f t="shared" si="5"/>
        <v>-997.1036000000022</v>
      </c>
      <c r="BG20" s="330">
        <f t="shared" si="6"/>
        <v>-4667.52</v>
      </c>
      <c r="BH20" s="330"/>
      <c r="BI20" s="330"/>
      <c r="BJ20" s="330"/>
      <c r="BK20" s="330"/>
      <c r="BL20" s="330"/>
      <c r="BM20" s="331"/>
      <c r="BN20" s="332"/>
      <c r="BO20" s="332"/>
      <c r="BP20" s="332"/>
      <c r="BQ20" s="72"/>
      <c r="BR20" s="72"/>
      <c r="BS20" s="229"/>
      <c r="BT20" s="229"/>
      <c r="BU20" s="229"/>
    </row>
    <row r="21" spans="1:73" ht="13.5" thickBot="1">
      <c r="A21" s="312" t="s">
        <v>43</v>
      </c>
      <c r="B21" s="313">
        <v>3305.9</v>
      </c>
      <c r="C21" s="124">
        <f>B21*8.55</f>
        <v>28265.445000000003</v>
      </c>
      <c r="D21" s="382">
        <v>333.5684</v>
      </c>
      <c r="E21" s="383"/>
      <c r="F21" s="383"/>
      <c r="G21" s="383">
        <v>17395.21</v>
      </c>
      <c r="H21" s="383"/>
      <c r="I21" s="383"/>
      <c r="J21" s="383"/>
      <c r="K21" s="383"/>
      <c r="L21" s="383"/>
      <c r="M21" s="383">
        <v>8447.07</v>
      </c>
      <c r="N21" s="383"/>
      <c r="O21" s="383">
        <v>2929.46</v>
      </c>
      <c r="P21" s="383"/>
      <c r="Q21" s="383"/>
      <c r="R21" s="383"/>
      <c r="S21" s="384"/>
      <c r="T21" s="385"/>
      <c r="U21" s="379">
        <f t="shared" si="0"/>
        <v>28771.739999999998</v>
      </c>
      <c r="V21" s="380">
        <f t="shared" si="0"/>
        <v>0</v>
      </c>
      <c r="W21" s="358">
        <v>0</v>
      </c>
      <c r="X21" s="358">
        <v>20426.7</v>
      </c>
      <c r="Y21" s="358">
        <v>0</v>
      </c>
      <c r="Z21" s="358">
        <v>0</v>
      </c>
      <c r="AA21" s="358">
        <v>8610.47</v>
      </c>
      <c r="AB21" s="358">
        <v>2936.45</v>
      </c>
      <c r="AC21" s="358"/>
      <c r="AD21" s="358"/>
      <c r="AE21" s="364"/>
      <c r="AF21" s="365">
        <f t="shared" si="8"/>
        <v>31973.62</v>
      </c>
      <c r="AG21" s="372">
        <f t="shared" si="7"/>
        <v>32307.1884</v>
      </c>
      <c r="AH21" s="350">
        <f t="shared" si="1"/>
        <v>0</v>
      </c>
      <c r="AI21" s="350">
        <f t="shared" si="1"/>
        <v>0</v>
      </c>
      <c r="AJ21" s="351">
        <f>'[9]Т12'!$J$175+'[9]Т12'!$J$244</f>
        <v>214</v>
      </c>
      <c r="AK21" s="326">
        <f t="shared" si="2"/>
        <v>2214.953</v>
      </c>
      <c r="AL21" s="326">
        <f t="shared" si="3"/>
        <v>661.1800000000001</v>
      </c>
      <c r="AM21" s="326">
        <f>B21*1</f>
        <v>3305.9</v>
      </c>
      <c r="AN21" s="326">
        <f>B21*0.21</f>
        <v>694.239</v>
      </c>
      <c r="AO21" s="326">
        <f>2.02*B21</f>
        <v>6677.918000000001</v>
      </c>
      <c r="AP21" s="326">
        <f>B21*1.03</f>
        <v>3405.077</v>
      </c>
      <c r="AQ21" s="326">
        <f>B21*0.75</f>
        <v>2479.425</v>
      </c>
      <c r="AR21" s="326">
        <f>B21*0.75</f>
        <v>2479.425</v>
      </c>
      <c r="AS21" s="381">
        <f>B21*1.15</f>
        <v>3801.785</v>
      </c>
      <c r="AT21" s="353">
        <f>0.45*716.8</f>
        <v>322.56</v>
      </c>
      <c r="AU21" s="352"/>
      <c r="AV21" s="352">
        <v>1108</v>
      </c>
      <c r="AW21" s="352"/>
      <c r="AX21" s="352"/>
      <c r="AY21" s="352"/>
      <c r="AZ21" s="114"/>
      <c r="BA21" s="353"/>
      <c r="BB21" s="353"/>
      <c r="BC21" s="314">
        <f>SUM(AK21:BB21)</f>
        <v>27150.462</v>
      </c>
      <c r="BD21" s="354">
        <f>'[9]Т12'!$S$175+'[9]Т12'!$S$244</f>
        <v>53.5</v>
      </c>
      <c r="BE21" s="330">
        <f t="shared" si="4"/>
        <v>27203.962</v>
      </c>
      <c r="BF21" s="330">
        <f t="shared" si="5"/>
        <v>5317.2264</v>
      </c>
      <c r="BG21" s="330">
        <f t="shared" si="6"/>
        <v>3201.880000000001</v>
      </c>
      <c r="BH21" s="330"/>
      <c r="BI21" s="330"/>
      <c r="BJ21" s="330"/>
      <c r="BK21" s="330"/>
      <c r="BL21" s="330"/>
      <c r="BM21" s="331"/>
      <c r="BN21" s="332"/>
      <c r="BO21" s="332"/>
      <c r="BP21" s="332"/>
      <c r="BQ21" s="72"/>
      <c r="BR21" s="72"/>
      <c r="BS21" s="229"/>
      <c r="BT21" s="229"/>
      <c r="BU21" s="229"/>
    </row>
    <row r="22" spans="1:63" s="20" customFormat="1" ht="13.5" thickBot="1">
      <c r="A22" s="386" t="s">
        <v>5</v>
      </c>
      <c r="B22" s="387"/>
      <c r="C22" s="388">
        <f aca="true" t="shared" si="9" ref="C22:BF22">SUM(C10:C21)</f>
        <v>335714.0400000001</v>
      </c>
      <c r="D22" s="388">
        <f t="shared" si="9"/>
        <v>4002.820800000001</v>
      </c>
      <c r="E22" s="388">
        <f t="shared" si="9"/>
        <v>-49.5</v>
      </c>
      <c r="F22" s="388">
        <f t="shared" si="9"/>
        <v>0</v>
      </c>
      <c r="G22" s="388">
        <f t="shared" si="9"/>
        <v>205716.21000000002</v>
      </c>
      <c r="H22" s="388">
        <f t="shared" si="9"/>
        <v>0</v>
      </c>
      <c r="I22" s="388">
        <f t="shared" si="9"/>
        <v>-66.83</v>
      </c>
      <c r="J22" s="388">
        <f t="shared" si="9"/>
        <v>0</v>
      </c>
      <c r="K22" s="388">
        <f t="shared" si="9"/>
        <v>-111.38</v>
      </c>
      <c r="L22" s="388">
        <f t="shared" si="9"/>
        <v>0</v>
      </c>
      <c r="M22" s="388">
        <f t="shared" si="9"/>
        <v>99733.97</v>
      </c>
      <c r="N22" s="388">
        <f t="shared" si="9"/>
        <v>0</v>
      </c>
      <c r="O22" s="388">
        <f t="shared" si="9"/>
        <v>34603.93</v>
      </c>
      <c r="P22" s="388">
        <f t="shared" si="9"/>
        <v>0</v>
      </c>
      <c r="Q22" s="388">
        <f t="shared" si="9"/>
        <v>0</v>
      </c>
      <c r="R22" s="388">
        <f t="shared" si="9"/>
        <v>0</v>
      </c>
      <c r="S22" s="388">
        <f t="shared" si="9"/>
        <v>0</v>
      </c>
      <c r="T22" s="388">
        <f t="shared" si="9"/>
        <v>0</v>
      </c>
      <c r="U22" s="388">
        <f t="shared" si="9"/>
        <v>339826.4</v>
      </c>
      <c r="V22" s="388">
        <f t="shared" si="9"/>
        <v>0</v>
      </c>
      <c r="W22" s="388">
        <f t="shared" si="9"/>
        <v>6308.54</v>
      </c>
      <c r="X22" s="388">
        <f t="shared" si="9"/>
        <v>169167.7</v>
      </c>
      <c r="Y22" s="388">
        <f t="shared" si="9"/>
        <v>5415.24</v>
      </c>
      <c r="Z22" s="388">
        <f t="shared" si="9"/>
        <v>12611.779999999999</v>
      </c>
      <c r="AA22" s="388">
        <f t="shared" si="9"/>
        <v>96084.06</v>
      </c>
      <c r="AB22" s="388">
        <f t="shared" si="9"/>
        <v>32777.89</v>
      </c>
      <c r="AC22" s="388">
        <f t="shared" si="9"/>
        <v>0</v>
      </c>
      <c r="AD22" s="388">
        <f t="shared" si="9"/>
        <v>0</v>
      </c>
      <c r="AE22" s="388">
        <f t="shared" si="9"/>
        <v>0</v>
      </c>
      <c r="AF22" s="388">
        <f t="shared" si="9"/>
        <v>322365.20999999996</v>
      </c>
      <c r="AG22" s="388">
        <f t="shared" si="9"/>
        <v>326368.03079999995</v>
      </c>
      <c r="AH22" s="388">
        <f t="shared" si="9"/>
        <v>0</v>
      </c>
      <c r="AI22" s="388">
        <f t="shared" si="9"/>
        <v>0</v>
      </c>
      <c r="AJ22" s="388">
        <f t="shared" si="9"/>
        <v>8536.349999999999</v>
      </c>
      <c r="AK22" s="388">
        <f t="shared" si="9"/>
        <v>26307.416000000012</v>
      </c>
      <c r="AL22" s="388">
        <f t="shared" si="9"/>
        <v>7852.96</v>
      </c>
      <c r="AM22" s="388">
        <f t="shared" si="9"/>
        <v>39264.80000000001</v>
      </c>
      <c r="AN22" s="388">
        <f t="shared" si="9"/>
        <v>8245.608</v>
      </c>
      <c r="AO22" s="388">
        <f t="shared" si="9"/>
        <v>79314.89600000002</v>
      </c>
      <c r="AP22" s="388">
        <f t="shared" si="9"/>
        <v>40442.744000000006</v>
      </c>
      <c r="AQ22" s="388">
        <f t="shared" si="9"/>
        <v>29448.599999999995</v>
      </c>
      <c r="AR22" s="388">
        <f t="shared" si="9"/>
        <v>29448.599999999995</v>
      </c>
      <c r="AS22" s="388">
        <f t="shared" si="9"/>
        <v>22692.26</v>
      </c>
      <c r="AT22" s="388">
        <f t="shared" si="9"/>
        <v>3870.72</v>
      </c>
      <c r="AU22" s="388">
        <f t="shared" si="9"/>
        <v>2971</v>
      </c>
      <c r="AV22" s="388">
        <f t="shared" si="9"/>
        <v>1259</v>
      </c>
      <c r="AW22" s="388">
        <f t="shared" si="9"/>
        <v>7065</v>
      </c>
      <c r="AX22" s="388">
        <f t="shared" si="9"/>
        <v>745.31</v>
      </c>
      <c r="AY22" s="388">
        <f t="shared" si="9"/>
        <v>0</v>
      </c>
      <c r="AZ22" s="388">
        <f t="shared" si="9"/>
        <v>0</v>
      </c>
      <c r="BA22" s="388">
        <f t="shared" si="9"/>
        <v>11007.15</v>
      </c>
      <c r="BB22" s="388">
        <f t="shared" si="9"/>
        <v>0</v>
      </c>
      <c r="BC22" s="388">
        <f t="shared" si="9"/>
        <v>309936.06399999995</v>
      </c>
      <c r="BD22" s="388">
        <f t="shared" si="9"/>
        <v>3638.14</v>
      </c>
      <c r="BE22" s="388">
        <f t="shared" si="9"/>
        <v>313574.2040000001</v>
      </c>
      <c r="BF22" s="388">
        <f t="shared" si="9"/>
        <v>21330.1768</v>
      </c>
      <c r="BG22" s="388">
        <f>SUM(BG10:BG21)</f>
        <v>-17461.18999999998</v>
      </c>
      <c r="BH22" s="389"/>
      <c r="BI22" s="390"/>
      <c r="BJ22" s="71"/>
      <c r="BK22" s="71"/>
    </row>
    <row r="23" spans="1:63" s="20" customFormat="1" ht="13.5" thickBot="1">
      <c r="A23" s="391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  <c r="AZ23" s="392"/>
      <c r="BA23" s="392"/>
      <c r="BB23" s="392"/>
      <c r="BC23" s="392"/>
      <c r="BD23" s="392"/>
      <c r="BE23" s="393"/>
      <c r="BF23" s="392"/>
      <c r="BG23" s="394"/>
      <c r="BI23" s="71"/>
      <c r="BJ23" s="71"/>
      <c r="BK23" s="71"/>
    </row>
    <row r="24" spans="1:59" s="20" customFormat="1" ht="13.5" thickBot="1">
      <c r="A24" s="22" t="s">
        <v>54</v>
      </c>
      <c r="B24" s="392"/>
      <c r="C24" s="395">
        <f aca="true" t="shared" si="10" ref="C24:L24">C22+C8</f>
        <v>1100726.0950000002</v>
      </c>
      <c r="D24" s="395">
        <f t="shared" si="10"/>
        <v>91225.45814200003</v>
      </c>
      <c r="E24" s="395">
        <f t="shared" si="10"/>
        <v>67808.63999999998</v>
      </c>
      <c r="F24" s="395">
        <f t="shared" si="10"/>
        <v>10620.43</v>
      </c>
      <c r="G24" s="395">
        <f t="shared" si="10"/>
        <v>205716.21000000002</v>
      </c>
      <c r="H24" s="395">
        <f t="shared" si="10"/>
        <v>0</v>
      </c>
      <c r="I24" s="395">
        <f t="shared" si="10"/>
        <v>91769.5</v>
      </c>
      <c r="J24" s="395">
        <f t="shared" si="10"/>
        <v>14379.15</v>
      </c>
      <c r="K24" s="395">
        <f t="shared" si="10"/>
        <v>152797.07</v>
      </c>
      <c r="L24" s="395">
        <f t="shared" si="10"/>
        <v>23937.58</v>
      </c>
      <c r="M24" s="395" t="e">
        <f>#REF!</f>
        <v>#REF!</v>
      </c>
      <c r="N24" s="395">
        <f aca="true" t="shared" si="11" ref="N24:BG24">N22+N8</f>
        <v>34557.69</v>
      </c>
      <c r="O24" s="395">
        <f t="shared" si="11"/>
        <v>88890.16</v>
      </c>
      <c r="P24" s="395">
        <f t="shared" si="11"/>
        <v>8495.980000000001</v>
      </c>
      <c r="Q24" s="395">
        <f t="shared" si="11"/>
        <v>0</v>
      </c>
      <c r="R24" s="395">
        <f t="shared" si="11"/>
        <v>0</v>
      </c>
      <c r="S24" s="395">
        <f t="shared" si="11"/>
        <v>0</v>
      </c>
      <c r="T24" s="395">
        <f t="shared" si="11"/>
        <v>0</v>
      </c>
      <c r="U24" s="395">
        <f t="shared" si="11"/>
        <v>927316.41</v>
      </c>
      <c r="V24" s="395">
        <f t="shared" si="11"/>
        <v>91990.83</v>
      </c>
      <c r="W24" s="395">
        <f t="shared" si="11"/>
        <v>68019.74999999999</v>
      </c>
      <c r="X24" s="395">
        <f t="shared" si="11"/>
        <v>169167.7</v>
      </c>
      <c r="Y24" s="395">
        <f t="shared" si="11"/>
        <v>88890.48</v>
      </c>
      <c r="Z24" s="395">
        <f t="shared" si="11"/>
        <v>153125.17</v>
      </c>
      <c r="AA24" s="395">
        <f t="shared" si="11"/>
        <v>299246.75</v>
      </c>
      <c r="AB24" s="395">
        <f t="shared" si="11"/>
        <v>82160.29000000001</v>
      </c>
      <c r="AC24" s="395">
        <f t="shared" si="11"/>
        <v>0</v>
      </c>
      <c r="AD24" s="395">
        <f t="shared" si="11"/>
        <v>0</v>
      </c>
      <c r="AE24" s="395">
        <f t="shared" si="11"/>
        <v>0</v>
      </c>
      <c r="AF24" s="395">
        <f t="shared" si="11"/>
        <v>860610.14</v>
      </c>
      <c r="AG24" s="395">
        <f t="shared" si="11"/>
        <v>1043826.4281420001</v>
      </c>
      <c r="AH24" s="395">
        <f t="shared" si="11"/>
        <v>0</v>
      </c>
      <c r="AI24" s="395">
        <f t="shared" si="11"/>
        <v>0</v>
      </c>
      <c r="AJ24" s="395">
        <f t="shared" si="11"/>
        <v>8836.349999999999</v>
      </c>
      <c r="AK24" s="395">
        <f t="shared" si="11"/>
        <v>78583.076</v>
      </c>
      <c r="AL24" s="395">
        <f t="shared" si="11"/>
        <v>25368.936319</v>
      </c>
      <c r="AM24" s="395">
        <f t="shared" si="11"/>
        <v>126043.80152239001</v>
      </c>
      <c r="AN24" s="395">
        <f t="shared" si="11"/>
        <v>8245.608</v>
      </c>
      <c r="AO24" s="395">
        <f t="shared" si="11"/>
        <v>165842.7859694604</v>
      </c>
      <c r="AP24" s="395">
        <f t="shared" si="11"/>
        <v>234086.33256193798</v>
      </c>
      <c r="AQ24" s="395">
        <f t="shared" si="11"/>
        <v>29448.599999999995</v>
      </c>
      <c r="AR24" s="395">
        <f t="shared" si="11"/>
        <v>29448.599999999995</v>
      </c>
      <c r="AS24" s="395">
        <f t="shared" si="11"/>
        <v>22692.26</v>
      </c>
      <c r="AT24" s="395">
        <f t="shared" si="11"/>
        <v>7741.44</v>
      </c>
      <c r="AU24" s="395">
        <f t="shared" si="11"/>
        <v>100331.038</v>
      </c>
      <c r="AV24" s="395">
        <f t="shared" si="11"/>
        <v>1259</v>
      </c>
      <c r="AW24" s="396">
        <f t="shared" si="11"/>
        <v>10417.76</v>
      </c>
      <c r="AX24" s="396">
        <f t="shared" si="11"/>
        <v>25127.4088</v>
      </c>
      <c r="AY24" s="396">
        <f t="shared" si="11"/>
        <v>20956.32</v>
      </c>
      <c r="AZ24" s="396">
        <f t="shared" si="11"/>
        <v>0</v>
      </c>
      <c r="BA24" s="396">
        <f t="shared" si="11"/>
        <v>11007.15</v>
      </c>
      <c r="BB24" s="396">
        <f t="shared" si="11"/>
        <v>0</v>
      </c>
      <c r="BC24" s="396">
        <f t="shared" si="11"/>
        <v>896600.1171727884</v>
      </c>
      <c r="BD24" s="396">
        <f t="shared" si="11"/>
        <v>3713.14</v>
      </c>
      <c r="BE24" s="396">
        <f t="shared" si="11"/>
        <v>900313.2571727885</v>
      </c>
      <c r="BF24" s="396">
        <f t="shared" si="11"/>
        <v>152349.52096921165</v>
      </c>
      <c r="BG24" s="396">
        <f t="shared" si="11"/>
        <v>-66706.26999999999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0">
      <selection activeCell="E27" sqref="E27"/>
    </sheetView>
  </sheetViews>
  <sheetFormatPr defaultColWidth="9.00390625" defaultRowHeight="12.75"/>
  <cols>
    <col min="1" max="1" width="10.00390625" style="230" customWidth="1"/>
    <col min="2" max="2" width="10.875" style="230" customWidth="1"/>
    <col min="3" max="3" width="12.75390625" style="230" customWidth="1"/>
    <col min="4" max="4" width="10.75390625" style="230" customWidth="1"/>
    <col min="5" max="5" width="11.625" style="230" customWidth="1"/>
    <col min="6" max="6" width="9.875" style="230" customWidth="1"/>
    <col min="7" max="7" width="11.00390625" style="230" customWidth="1"/>
    <col min="8" max="8" width="11.375" style="230" customWidth="1"/>
    <col min="9" max="9" width="9.125" style="230" customWidth="1"/>
    <col min="10" max="10" width="9.25390625" style="230" customWidth="1"/>
    <col min="11" max="11" width="9.125" style="230" customWidth="1"/>
    <col min="12" max="12" width="10.375" style="230" customWidth="1"/>
    <col min="13" max="13" width="10.125" style="230" customWidth="1"/>
    <col min="14" max="14" width="9.125" style="230" customWidth="1"/>
    <col min="15" max="15" width="11.125" style="230" customWidth="1"/>
    <col min="16" max="16" width="9.875" style="230" customWidth="1"/>
    <col min="17" max="17" width="10.00390625" style="230" customWidth="1"/>
    <col min="18" max="16384" width="9.125" style="230" customWidth="1"/>
  </cols>
  <sheetData>
    <row r="1" spans="2:9" ht="20.25" customHeight="1">
      <c r="B1" s="191" t="s">
        <v>55</v>
      </c>
      <c r="C1" s="191"/>
      <c r="D1" s="191"/>
      <c r="E1" s="191"/>
      <c r="F1" s="191"/>
      <c r="G1" s="191"/>
      <c r="H1" s="191"/>
      <c r="I1" s="138"/>
    </row>
    <row r="2" spans="2:12" ht="21" customHeight="1">
      <c r="B2" s="191" t="s">
        <v>56</v>
      </c>
      <c r="C2" s="191"/>
      <c r="D2" s="191"/>
      <c r="E2" s="191"/>
      <c r="F2" s="191"/>
      <c r="G2" s="191"/>
      <c r="H2" s="191"/>
      <c r="I2" s="138"/>
      <c r="K2" s="229"/>
      <c r="L2" s="229"/>
    </row>
    <row r="5" spans="1:14" ht="12.75">
      <c r="A5" s="193" t="s">
        <v>124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2.75">
      <c r="A6" s="194" t="s">
        <v>118</v>
      </c>
      <c r="B6" s="194"/>
      <c r="C6" s="194"/>
      <c r="D6" s="194"/>
      <c r="E6" s="194"/>
      <c r="F6" s="194"/>
      <c r="G6" s="194"/>
      <c r="H6" s="97"/>
      <c r="I6" s="97"/>
      <c r="J6" s="97"/>
      <c r="K6" s="97"/>
      <c r="L6" s="97"/>
      <c r="M6" s="97"/>
      <c r="N6" s="97"/>
    </row>
    <row r="7" spans="1:15" ht="13.5" thickBot="1">
      <c r="A7" s="397" t="s">
        <v>57</v>
      </c>
      <c r="B7" s="397"/>
      <c r="C7" s="397"/>
      <c r="D7" s="397"/>
      <c r="E7" s="397">
        <v>8.55</v>
      </c>
      <c r="F7" s="397"/>
      <c r="I7" s="398"/>
      <c r="J7" s="398"/>
      <c r="K7" s="398"/>
      <c r="L7" s="398"/>
      <c r="M7" s="398"/>
      <c r="N7" s="398"/>
      <c r="O7" s="398"/>
    </row>
    <row r="8" spans="1:17" ht="12.75" customHeight="1">
      <c r="A8" s="140" t="s">
        <v>58</v>
      </c>
      <c r="B8" s="220" t="s">
        <v>1</v>
      </c>
      <c r="C8" s="223" t="s">
        <v>59</v>
      </c>
      <c r="D8" s="226" t="s">
        <v>3</v>
      </c>
      <c r="E8" s="206" t="s">
        <v>60</v>
      </c>
      <c r="F8" s="207"/>
      <c r="G8" s="210" t="s">
        <v>61</v>
      </c>
      <c r="H8" s="211"/>
      <c r="I8" s="399"/>
      <c r="J8" s="400" t="s">
        <v>10</v>
      </c>
      <c r="K8" s="401"/>
      <c r="L8" s="401"/>
      <c r="M8" s="401"/>
      <c r="N8" s="401"/>
      <c r="O8" s="402"/>
      <c r="P8" s="403" t="s">
        <v>62</v>
      </c>
      <c r="Q8" s="403" t="s">
        <v>12</v>
      </c>
    </row>
    <row r="9" spans="1:17" ht="12.75">
      <c r="A9" s="141"/>
      <c r="B9" s="221"/>
      <c r="C9" s="224"/>
      <c r="D9" s="227"/>
      <c r="E9" s="208"/>
      <c r="F9" s="209"/>
      <c r="G9" s="212"/>
      <c r="H9" s="213"/>
      <c r="I9" s="404"/>
      <c r="J9" s="405"/>
      <c r="K9" s="406"/>
      <c r="L9" s="406"/>
      <c r="M9" s="406"/>
      <c r="N9" s="406"/>
      <c r="O9" s="407"/>
      <c r="P9" s="408"/>
      <c r="Q9" s="408"/>
    </row>
    <row r="10" spans="1:17" ht="26.25" customHeight="1">
      <c r="A10" s="141"/>
      <c r="B10" s="221"/>
      <c r="C10" s="224"/>
      <c r="D10" s="227"/>
      <c r="E10" s="198" t="s">
        <v>63</v>
      </c>
      <c r="F10" s="199"/>
      <c r="G10" s="84" t="s">
        <v>64</v>
      </c>
      <c r="H10" s="200" t="s">
        <v>7</v>
      </c>
      <c r="I10" s="409" t="s">
        <v>119</v>
      </c>
      <c r="J10" s="202" t="s">
        <v>65</v>
      </c>
      <c r="K10" s="204" t="s">
        <v>120</v>
      </c>
      <c r="L10" s="204" t="s">
        <v>66</v>
      </c>
      <c r="M10" s="204" t="s">
        <v>37</v>
      </c>
      <c r="N10" s="205" t="s">
        <v>121</v>
      </c>
      <c r="O10" s="201" t="s">
        <v>39</v>
      </c>
      <c r="P10" s="408"/>
      <c r="Q10" s="408"/>
    </row>
    <row r="11" spans="1:17" ht="66.75" customHeight="1" thickBot="1">
      <c r="A11" s="219"/>
      <c r="B11" s="222"/>
      <c r="C11" s="225"/>
      <c r="D11" s="228"/>
      <c r="E11" s="63" t="s">
        <v>68</v>
      </c>
      <c r="F11" s="66" t="s">
        <v>21</v>
      </c>
      <c r="G11" s="81" t="s">
        <v>69</v>
      </c>
      <c r="H11" s="201"/>
      <c r="I11" s="410"/>
      <c r="J11" s="203"/>
      <c r="K11" s="205"/>
      <c r="L11" s="205"/>
      <c r="M11" s="205"/>
      <c r="N11" s="411"/>
      <c r="O11" s="412"/>
      <c r="P11" s="413"/>
      <c r="Q11" s="413"/>
    </row>
    <row r="12" spans="1:17" ht="13.5" thickBot="1">
      <c r="A12" s="64">
        <v>1</v>
      </c>
      <c r="B12" s="65">
        <v>2</v>
      </c>
      <c r="C12" s="64">
        <v>3</v>
      </c>
      <c r="D12" s="65">
        <v>4</v>
      </c>
      <c r="E12" s="64">
        <v>5</v>
      </c>
      <c r="F12" s="65">
        <v>6</v>
      </c>
      <c r="G12" s="64">
        <v>7</v>
      </c>
      <c r="H12" s="65">
        <v>8</v>
      </c>
      <c r="I12" s="64">
        <v>9</v>
      </c>
      <c r="J12" s="65">
        <v>10</v>
      </c>
      <c r="K12" s="64">
        <v>11</v>
      </c>
      <c r="L12" s="65">
        <v>12</v>
      </c>
      <c r="M12" s="64">
        <v>13</v>
      </c>
      <c r="N12" s="65">
        <v>14</v>
      </c>
      <c r="O12" s="64">
        <v>15</v>
      </c>
      <c r="P12" s="64">
        <v>16</v>
      </c>
      <c r="Q12" s="65">
        <v>17</v>
      </c>
    </row>
    <row r="13" spans="1:17" ht="13.5" thickBot="1">
      <c r="A13" s="217" t="s">
        <v>94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414"/>
      <c r="P13" s="415"/>
      <c r="Q13" s="415"/>
    </row>
    <row r="14" spans="1:19" s="20" customFormat="1" ht="13.5" thickBot="1">
      <c r="A14" s="80" t="s">
        <v>54</v>
      </c>
      <c r="B14" s="38"/>
      <c r="C14" s="39">
        <f>'2011 полн'!C8</f>
        <v>765012.0550000002</v>
      </c>
      <c r="D14" s="39">
        <f>'2011 полн'!D8</f>
        <v>87222.63734200003</v>
      </c>
      <c r="E14" s="39">
        <f>'2011 полн'!U8</f>
        <v>587490.01</v>
      </c>
      <c r="F14" s="39">
        <f>'2011 полн'!V8</f>
        <v>91990.83</v>
      </c>
      <c r="G14" s="39">
        <f>'2011 полн'!AF8</f>
        <v>538244.93</v>
      </c>
      <c r="H14" s="39">
        <f>'2011 полн'!AG8</f>
        <v>717458.3973420002</v>
      </c>
      <c r="I14" s="39">
        <f>'2011 полн'!AJ8</f>
        <v>300</v>
      </c>
      <c r="J14" s="39">
        <f>'2011 полн'!AK8</f>
        <v>52275.659999999996</v>
      </c>
      <c r="K14" s="39">
        <f>'2011 полн'!AL8</f>
        <v>17515.976319</v>
      </c>
      <c r="L14" s="39">
        <f>'2011 полн'!AM8+'2011 полн'!AN8+'2011 полн'!AO8+'2011 полн'!AP8+'2011 полн'!AT8+'2011 полн'!AX8+'2011 полн'!AY8+'2011 полн'!BA16</f>
        <v>427166.7688537884</v>
      </c>
      <c r="M14" s="39">
        <f>'2011 полн'!AU8+'2011 полн'!AV8+'2011 полн'!AW8</f>
        <v>100712.798</v>
      </c>
      <c r="N14" s="39">
        <f>'2011 полн'!BD8</f>
        <v>75</v>
      </c>
      <c r="O14" s="39">
        <f>SUM(J14:N14)</f>
        <v>597746.2031727884</v>
      </c>
      <c r="P14" s="39">
        <f>H14+I14-O14</f>
        <v>120012.19416921178</v>
      </c>
      <c r="Q14" s="39">
        <f>G14-E14</f>
        <v>-49245.07999999996</v>
      </c>
      <c r="R14" s="72"/>
      <c r="S14" s="71"/>
    </row>
    <row r="15" spans="1:19" ht="12.75">
      <c r="A15" s="7" t="s">
        <v>117</v>
      </c>
      <c r="B15" s="416"/>
      <c r="C15" s="41"/>
      <c r="D15" s="42"/>
      <c r="E15" s="417"/>
      <c r="F15" s="418"/>
      <c r="G15" s="419"/>
      <c r="H15" s="418"/>
      <c r="I15" s="420"/>
      <c r="J15" s="419"/>
      <c r="K15" s="421"/>
      <c r="L15" s="421"/>
      <c r="M15" s="422"/>
      <c r="N15" s="423"/>
      <c r="O15" s="424"/>
      <c r="P15" s="425"/>
      <c r="Q15" s="425"/>
      <c r="R15" s="229"/>
      <c r="S15" s="229"/>
    </row>
    <row r="16" spans="1:19" ht="12.75">
      <c r="A16" s="312" t="s">
        <v>45</v>
      </c>
      <c r="B16" s="82">
        <f>'2011 полн'!B10</f>
        <v>3304.9</v>
      </c>
      <c r="C16" s="82">
        <f>'2011 полн'!C10</f>
        <v>28256.895000000004</v>
      </c>
      <c r="D16" s="27">
        <f>'2011 полн'!D10</f>
        <v>333.5684</v>
      </c>
      <c r="E16" s="421">
        <f>'2011 полн'!U10</f>
        <v>28749.149999999998</v>
      </c>
      <c r="F16" s="421">
        <f>'2011 полн'!V10</f>
        <v>0</v>
      </c>
      <c r="G16" s="426">
        <f>'2011 полн'!AF10</f>
        <v>16565.08</v>
      </c>
      <c r="H16" s="426">
        <f>'2011 полн'!AG10</f>
        <v>16898.648400000002</v>
      </c>
      <c r="I16" s="426">
        <f>'2011 полн'!AJ10</f>
        <v>100</v>
      </c>
      <c r="J16" s="426">
        <f>'2011 полн'!AK10</f>
        <v>2214.2830000000004</v>
      </c>
      <c r="K16" s="426">
        <f>'2011 полн'!AL10</f>
        <v>660.98</v>
      </c>
      <c r="L16" s="421">
        <f>'2011 полн'!AM10+'2011 полн'!AN10+'2011 полн'!AO10+'2011 полн'!AP10+'2011 полн'!AQ10+'2011 полн'!AR10+'2011 полн'!AS10+'2011 полн'!AT10+'2011 полн'!AX10</f>
        <v>23159.419</v>
      </c>
      <c r="M16" s="422">
        <f>'2011 полн'!AU10+'2011 полн'!AV10+'2011 полн'!AW10</f>
        <v>845</v>
      </c>
      <c r="N16" s="427">
        <f>'2011 полн'!BD10</f>
        <v>25</v>
      </c>
      <c r="O16" s="427">
        <f>SUM(J16:N16)</f>
        <v>26904.682</v>
      </c>
      <c r="P16" s="425">
        <f>H16+I16-O16</f>
        <v>-9906.033599999999</v>
      </c>
      <c r="Q16" s="425">
        <f>'[1]2011 полн'!BG10</f>
        <v>-11983.349999999999</v>
      </c>
      <c r="R16" s="229"/>
      <c r="S16" s="229"/>
    </row>
    <row r="17" spans="1:19" ht="12.75">
      <c r="A17" s="312" t="s">
        <v>46</v>
      </c>
      <c r="B17" s="82">
        <f>'2011 полн'!B11</f>
        <v>3304.9</v>
      </c>
      <c r="C17" s="82">
        <f>'2011 полн'!C11</f>
        <v>28256.895000000004</v>
      </c>
      <c r="D17" s="27">
        <f>'2011 полн'!D11</f>
        <v>333.5684</v>
      </c>
      <c r="E17" s="421">
        <f>'2011 полн'!U11</f>
        <v>28596.499999999996</v>
      </c>
      <c r="F17" s="421">
        <f>'2011 полн'!V11</f>
        <v>0</v>
      </c>
      <c r="G17" s="426">
        <f>'2011 полн'!AF11</f>
        <v>32037.190000000002</v>
      </c>
      <c r="H17" s="426">
        <f>'2011 полн'!AG11</f>
        <v>32370.758400000002</v>
      </c>
      <c r="I17" s="426">
        <f>'2011 полн'!AJ11</f>
        <v>100</v>
      </c>
      <c r="J17" s="426">
        <f>'2011 полн'!AK11</f>
        <v>2214.2830000000004</v>
      </c>
      <c r="K17" s="426">
        <f>'2011 полн'!AL11</f>
        <v>660.98</v>
      </c>
      <c r="L17" s="421">
        <f>'2011 полн'!AM11+'2011 полн'!AN11+'2011 полн'!AO11+'2011 полн'!AP11+'2011 полн'!AQ11+'2011 полн'!AR11+'2011 полн'!AS11+'2011 полн'!AT11+'2011 полн'!AX11</f>
        <v>23181.979000000003</v>
      </c>
      <c r="M17" s="422">
        <f>'2011 полн'!AU11+'2011 полн'!AV11+'2011 полн'!AW11</f>
        <v>0</v>
      </c>
      <c r="N17" s="427">
        <f>'2011 полн'!BD11</f>
        <v>25</v>
      </c>
      <c r="O17" s="427">
        <f aca="true" t="shared" si="0" ref="O17:O27">SUM(J17:N17)</f>
        <v>26082.242000000002</v>
      </c>
      <c r="P17" s="425">
        <f aca="true" t="shared" si="1" ref="P17:P27">H17+I17-O17</f>
        <v>6388.5164</v>
      </c>
      <c r="Q17" s="425">
        <f>'[1]2011 полн'!BG11</f>
        <v>-847.1800000000003</v>
      </c>
      <c r="R17" s="229"/>
      <c r="S17" s="229"/>
    </row>
    <row r="18" spans="1:19" ht="12.75">
      <c r="A18" s="312" t="s">
        <v>47</v>
      </c>
      <c r="B18" s="82">
        <f>'2011 полн'!B12</f>
        <v>3255.4</v>
      </c>
      <c r="C18" s="82">
        <f>'2011 полн'!C12</f>
        <v>27833.670000000002</v>
      </c>
      <c r="D18" s="27">
        <f>'2011 полн'!D12</f>
        <v>333.5684</v>
      </c>
      <c r="E18" s="421">
        <f>'2011 полн'!U12</f>
        <v>26821.52</v>
      </c>
      <c r="F18" s="421">
        <f>'2011 полн'!V12</f>
        <v>0</v>
      </c>
      <c r="G18" s="426">
        <f>'2011 полн'!AF12</f>
        <v>30512.28</v>
      </c>
      <c r="H18" s="426">
        <f>'2011 полн'!AG12</f>
        <v>30845.8484</v>
      </c>
      <c r="I18" s="426">
        <f>'2011 полн'!AJ12</f>
        <v>2277.92</v>
      </c>
      <c r="J18" s="426">
        <f>'2011 полн'!AK12</f>
        <v>2181.1180000000004</v>
      </c>
      <c r="K18" s="426">
        <f>'2011 полн'!AL12</f>
        <v>651.08</v>
      </c>
      <c r="L18" s="421">
        <f>'2011 полн'!AM12+'2011 полн'!AN12+'2011 полн'!AO12+'2011 полн'!AP12+'2011 полн'!AQ12+'2011 полн'!AR12+'2011 полн'!AS12+'2011 полн'!AT12+'2011 полн'!AX12</f>
        <v>22817.374</v>
      </c>
      <c r="M18" s="422">
        <f>'2011 полн'!AU12+'2011 полн'!AV12+'2011 полн'!AW12</f>
        <v>0</v>
      </c>
      <c r="N18" s="427">
        <f>'2011 полн'!BD12</f>
        <v>424.455</v>
      </c>
      <c r="O18" s="427">
        <f t="shared" si="0"/>
        <v>26074.027000000002</v>
      </c>
      <c r="P18" s="425">
        <f t="shared" si="1"/>
        <v>7049.741399999999</v>
      </c>
      <c r="Q18" s="425">
        <f>'[1]2011 полн'!BG12</f>
        <v>2144.1100000000006</v>
      </c>
      <c r="R18" s="229"/>
      <c r="S18" s="229"/>
    </row>
    <row r="19" spans="1:19" ht="12.75">
      <c r="A19" s="312" t="s">
        <v>48</v>
      </c>
      <c r="B19" s="82">
        <f>'2011 полн'!B13</f>
        <v>3255.4</v>
      </c>
      <c r="C19" s="82">
        <f>'2011 полн'!C13</f>
        <v>27833.670000000002</v>
      </c>
      <c r="D19" s="27">
        <f>'2011 полн'!D13</f>
        <v>333.5684</v>
      </c>
      <c r="E19" s="421">
        <f>'2011 полн'!U13</f>
        <v>28190.21</v>
      </c>
      <c r="F19" s="421">
        <f>'2011 полн'!V13</f>
        <v>0</v>
      </c>
      <c r="G19" s="426">
        <f>'2011 полн'!AF13</f>
        <v>25603.65</v>
      </c>
      <c r="H19" s="426">
        <f>'2011 полн'!AG13</f>
        <v>25937.2184</v>
      </c>
      <c r="I19" s="426">
        <f>'2011 полн'!AJ13</f>
        <v>755.49</v>
      </c>
      <c r="J19" s="426">
        <f>'2011 полн'!AK13</f>
        <v>2181.1180000000004</v>
      </c>
      <c r="K19" s="426">
        <f>'2011 полн'!AL13</f>
        <v>651.08</v>
      </c>
      <c r="L19" s="421">
        <f>'2011 полн'!AM13+'2011 полн'!AN13+'2011 полн'!AO13+'2011 полн'!AP13+'2011 полн'!AQ13+'2011 полн'!AR13+'2011 полн'!AS13+'2011 полн'!AT13+'2011 полн'!AX13</f>
        <v>19122.164</v>
      </c>
      <c r="M19" s="422">
        <f>'2011 полн'!AU13+'2011 полн'!AV13+'2011 полн'!AW13</f>
        <v>151</v>
      </c>
      <c r="N19" s="427">
        <f>'2011 полн'!BD13</f>
        <v>424.455</v>
      </c>
      <c r="O19" s="427">
        <f t="shared" si="0"/>
        <v>22529.817000000003</v>
      </c>
      <c r="P19" s="425">
        <f t="shared" si="1"/>
        <v>4162.8914</v>
      </c>
      <c r="Q19" s="425">
        <f>'[1]2011 полн'!BG13</f>
        <v>271.92999999999665</v>
      </c>
      <c r="R19" s="229"/>
      <c r="S19" s="229"/>
    </row>
    <row r="20" spans="1:19" ht="12.75">
      <c r="A20" s="312" t="s">
        <v>49</v>
      </c>
      <c r="B20" s="82">
        <f>'2011 полн'!B14</f>
        <v>3255.4</v>
      </c>
      <c r="C20" s="82">
        <f>'2011 полн'!C14</f>
        <v>27833.670000000002</v>
      </c>
      <c r="D20" s="27">
        <f>'2011 полн'!D14</f>
        <v>333.5684</v>
      </c>
      <c r="E20" s="421">
        <f>'2011 полн'!U14</f>
        <v>28198.76</v>
      </c>
      <c r="F20" s="421">
        <f>'2011 полн'!V14</f>
        <v>0</v>
      </c>
      <c r="G20" s="426">
        <f>'2011 полн'!AF14</f>
        <v>25028.56</v>
      </c>
      <c r="H20" s="426">
        <f>'2011 полн'!AG14</f>
        <v>25362.1284</v>
      </c>
      <c r="I20" s="426">
        <f>'2011 полн'!AJ14</f>
        <v>755.49</v>
      </c>
      <c r="J20" s="426">
        <f>'2011 полн'!AK14</f>
        <v>2181.1180000000004</v>
      </c>
      <c r="K20" s="426">
        <f>'2011 полн'!AL14</f>
        <v>651.08</v>
      </c>
      <c r="L20" s="421">
        <f>'2011 полн'!AM14+'2011 полн'!AN14+'2011 полн'!AO14+'2011 полн'!AP14+'2011 полн'!AQ14+'2011 полн'!AR14+'2011 полн'!AS14+'2011 полн'!AT14+'2011 полн'!AX14</f>
        <v>19224.914</v>
      </c>
      <c r="M20" s="422">
        <f>'2011 полн'!AU14+'2011 полн'!AV14+'2011 полн'!AW14</f>
        <v>1067</v>
      </c>
      <c r="N20" s="427">
        <f>'2011 полн'!BD14</f>
        <v>424.455</v>
      </c>
      <c r="O20" s="427">
        <f t="shared" si="0"/>
        <v>23548.567000000003</v>
      </c>
      <c r="P20" s="425">
        <f t="shared" si="1"/>
        <v>2569.0514000000003</v>
      </c>
      <c r="Q20" s="425">
        <f>'[1]2011 полн'!BG14</f>
        <v>-9396.169999999995</v>
      </c>
      <c r="R20" s="229"/>
      <c r="S20" s="229"/>
    </row>
    <row r="21" spans="1:19" ht="12.75">
      <c r="A21" s="312" t="s">
        <v>50</v>
      </c>
      <c r="B21" s="82">
        <f>'2011 полн'!B15</f>
        <v>3255.4</v>
      </c>
      <c r="C21" s="82">
        <f>'2011 полн'!C15</f>
        <v>27833.670000000002</v>
      </c>
      <c r="D21" s="27">
        <f>'2011 полн'!D15</f>
        <v>333.5684</v>
      </c>
      <c r="E21" s="421">
        <f>'2011 полн'!U15</f>
        <v>28198.76</v>
      </c>
      <c r="F21" s="421">
        <f>'2011 полн'!V15</f>
        <v>0</v>
      </c>
      <c r="G21" s="426">
        <f>'2011 полн'!AF15</f>
        <v>26071.52</v>
      </c>
      <c r="H21" s="426">
        <f>'2011 полн'!AG15</f>
        <v>26405.0884</v>
      </c>
      <c r="I21" s="426">
        <f>'2011 полн'!AJ15</f>
        <v>755.49</v>
      </c>
      <c r="J21" s="426">
        <f>'2011 полн'!AK15</f>
        <v>2181.1180000000004</v>
      </c>
      <c r="K21" s="426">
        <f>'2011 полн'!AL15</f>
        <v>651.08</v>
      </c>
      <c r="L21" s="421">
        <f>'2011 полн'!AM15+'2011 полн'!AN15+'2011 полн'!AO15+'2011 полн'!AP15+'2011 полн'!AQ15+'2011 полн'!AR15+'2011 полн'!AS15+'2011 полн'!AT15+'2011 полн'!AX15</f>
        <v>19073.664</v>
      </c>
      <c r="M21" s="422">
        <f>'2011 полн'!AU15+'2011 полн'!AV15+'2011 полн'!AW15</f>
        <v>0</v>
      </c>
      <c r="N21" s="427">
        <f>'2011 полн'!BD15</f>
        <v>424.455</v>
      </c>
      <c r="O21" s="427">
        <f t="shared" si="0"/>
        <v>22330.317000000003</v>
      </c>
      <c r="P21" s="425">
        <f t="shared" si="1"/>
        <v>4830.261399999999</v>
      </c>
      <c r="Q21" s="425">
        <f>'[1]2011 полн'!BG15</f>
        <v>-913.8899999999958</v>
      </c>
      <c r="R21" s="229"/>
      <c r="S21" s="229"/>
    </row>
    <row r="22" spans="1:17" ht="12.75">
      <c r="A22" s="312" t="s">
        <v>51</v>
      </c>
      <c r="B22" s="82">
        <f>'2011 полн'!B16</f>
        <v>3255.4</v>
      </c>
      <c r="C22" s="82">
        <f>'2011 полн'!C16</f>
        <v>27833.670000000002</v>
      </c>
      <c r="D22" s="27">
        <f>'2011 полн'!D16</f>
        <v>333.5684</v>
      </c>
      <c r="E22" s="421">
        <f>'2011 полн'!U16</f>
        <v>28198.76</v>
      </c>
      <c r="F22" s="421">
        <f>'2011 полн'!V16</f>
        <v>0</v>
      </c>
      <c r="G22" s="426">
        <f>'2011 полн'!AF16</f>
        <v>30986.010000000002</v>
      </c>
      <c r="H22" s="426">
        <f>'2011 полн'!AG16</f>
        <v>31319.578400000002</v>
      </c>
      <c r="I22" s="426">
        <f>'2011 полн'!AJ16</f>
        <v>755.49</v>
      </c>
      <c r="J22" s="426">
        <f>'2011 полн'!AK16</f>
        <v>2181.1180000000004</v>
      </c>
      <c r="K22" s="426">
        <f>'2011 полн'!AL16</f>
        <v>651.08</v>
      </c>
      <c r="L22" s="421">
        <f>'2011 полн'!AM16+'2011 полн'!AN16+'2011 полн'!AO16+'2011 полн'!AP16+'2011 полн'!AQ16+'2011 полн'!AR16+'2011 полн'!AS16+'2011 полн'!AT16+'2011 полн'!AX16</f>
        <v>19187.664</v>
      </c>
      <c r="M22" s="422">
        <f>'2011 полн'!AU16+'2011 полн'!AV16+'2011 полн'!AW16</f>
        <v>0</v>
      </c>
      <c r="N22" s="427">
        <f>'2011 полн'!BD16</f>
        <v>424.455</v>
      </c>
      <c r="O22" s="427">
        <f t="shared" si="0"/>
        <v>22444.317000000003</v>
      </c>
      <c r="P22" s="425">
        <f t="shared" si="1"/>
        <v>9630.751400000001</v>
      </c>
      <c r="Q22" s="425">
        <f>'[1]2011 полн'!BG16</f>
        <v>-5327.059999999998</v>
      </c>
    </row>
    <row r="23" spans="1:17" ht="12.75">
      <c r="A23" s="312" t="s">
        <v>52</v>
      </c>
      <c r="B23" s="82">
        <f>'2011 полн'!B17</f>
        <v>3255.4</v>
      </c>
      <c r="C23" s="82">
        <f>'2011 полн'!C17</f>
        <v>27833.670000000002</v>
      </c>
      <c r="D23" s="27">
        <f>'2011 полн'!D17</f>
        <v>333.5684</v>
      </c>
      <c r="E23" s="421">
        <f>'2011 полн'!U17</f>
        <v>28204.57</v>
      </c>
      <c r="F23" s="421">
        <f>'2011 полн'!V17</f>
        <v>0</v>
      </c>
      <c r="G23" s="426">
        <f>'2011 полн'!AF17</f>
        <v>26466.969999999998</v>
      </c>
      <c r="H23" s="426">
        <f>'2011 полн'!AG17</f>
        <v>26800.538399999998</v>
      </c>
      <c r="I23" s="426">
        <f>'2011 полн'!AJ17</f>
        <v>869.49</v>
      </c>
      <c r="J23" s="426">
        <f>'2011 полн'!AK17</f>
        <v>2181.1180000000004</v>
      </c>
      <c r="K23" s="426">
        <f>'2011 полн'!AL17</f>
        <v>651.08</v>
      </c>
      <c r="L23" s="421">
        <f>'2011 полн'!AM17+'2011 полн'!AN17+'2011 полн'!AO17+'2011 полн'!AP17+'2011 полн'!AQ17+'2011 полн'!AR17+'2011 полн'!AS17+'2011 полн'!AT17+'2011 полн'!AX17</f>
        <v>19073.664</v>
      </c>
      <c r="M23" s="422">
        <f>'2011 полн'!AU17+'2011 полн'!AV17+'2011 полн'!AW17</f>
        <v>364</v>
      </c>
      <c r="N23" s="427">
        <f>'2011 полн'!BD17</f>
        <v>452.955</v>
      </c>
      <c r="O23" s="427">
        <f t="shared" si="0"/>
        <v>22722.817000000003</v>
      </c>
      <c r="P23" s="425">
        <f t="shared" si="1"/>
        <v>4947.2113999999965</v>
      </c>
      <c r="Q23" s="425">
        <f>'[1]2011 полн'!BG17</f>
        <v>3788.619999999999</v>
      </c>
    </row>
    <row r="24" spans="1:17" ht="12.75">
      <c r="A24" s="312" t="s">
        <v>53</v>
      </c>
      <c r="B24" s="82">
        <f>'2011 полн'!B18</f>
        <v>3255.4</v>
      </c>
      <c r="C24" s="82">
        <f>'2011 полн'!C18</f>
        <v>27833.670000000002</v>
      </c>
      <c r="D24" s="27">
        <f>'2011 полн'!D18</f>
        <v>333.5684</v>
      </c>
      <c r="E24" s="421">
        <f>'2011 полн'!U18</f>
        <v>28347.82</v>
      </c>
      <c r="F24" s="421">
        <f>'2011 полн'!V18</f>
        <v>0</v>
      </c>
      <c r="G24" s="426">
        <f>'2011 полн'!AF18</f>
        <v>29426.370000000003</v>
      </c>
      <c r="H24" s="426">
        <f>'2011 полн'!AG18</f>
        <v>29759.938400000003</v>
      </c>
      <c r="I24" s="426">
        <f>'2011 полн'!AJ18</f>
        <v>869.49</v>
      </c>
      <c r="J24" s="426">
        <f>'2011 полн'!AK18</f>
        <v>2181.1180000000004</v>
      </c>
      <c r="K24" s="426">
        <f>'2011 полн'!AL18</f>
        <v>651.08</v>
      </c>
      <c r="L24" s="421">
        <f>'2011 полн'!AM18+'2011 полн'!AN18+'2011 полн'!AO18+'2011 полн'!AP18+'2011 полн'!AQ18+'2011 полн'!AR18+'2011 полн'!AS18+'2011 полн'!AT18+'2011 полн'!AX18</f>
        <v>19482.664</v>
      </c>
      <c r="M24" s="422">
        <f>'2011 полн'!AU18+'2011 полн'!AV18+'2011 полн'!AW18</f>
        <v>4874</v>
      </c>
      <c r="N24" s="427">
        <f>'2011 полн'!BD18</f>
        <v>452.955</v>
      </c>
      <c r="O24" s="427">
        <f t="shared" si="0"/>
        <v>27641.817000000003</v>
      </c>
      <c r="P24" s="425">
        <f t="shared" si="1"/>
        <v>2987.6114000000016</v>
      </c>
      <c r="Q24" s="425">
        <f>'[1]2011 полн'!BG18</f>
        <v>-9979.420000000002</v>
      </c>
    </row>
    <row r="25" spans="1:17" ht="12.75">
      <c r="A25" s="312" t="s">
        <v>41</v>
      </c>
      <c r="B25" s="82">
        <f>'2011 полн'!B19</f>
        <v>3255.4</v>
      </c>
      <c r="C25" s="82">
        <f>'2011 полн'!C19</f>
        <v>27833.670000000002</v>
      </c>
      <c r="D25" s="27">
        <f>'2011 полн'!D19</f>
        <v>333.5684</v>
      </c>
      <c r="E25" s="421">
        <f>'2011 полн'!U19</f>
        <v>28329.8</v>
      </c>
      <c r="F25" s="421">
        <f>'2011 полн'!V19</f>
        <v>0</v>
      </c>
      <c r="G25" s="426">
        <f>'2011 полн'!AF19</f>
        <v>23142.67</v>
      </c>
      <c r="H25" s="426">
        <f>'2011 полн'!AG19</f>
        <v>23476.2384</v>
      </c>
      <c r="I25" s="426">
        <f>'2011 полн'!AJ19</f>
        <v>869.49</v>
      </c>
      <c r="J25" s="426">
        <f>'2011 полн'!AK19</f>
        <v>2181.1180000000004</v>
      </c>
      <c r="K25" s="426">
        <f>'2011 полн'!AL19</f>
        <v>651.08</v>
      </c>
      <c r="L25" s="421">
        <f>'2011 полн'!AM19+'2011 полн'!AN19+'2011 полн'!AO19+'2011 полн'!AP19+'2011 полн'!AQ19+'2011 полн'!AR19+'2011 полн'!AS19+'2011 полн'!AT19+'2011 полн'!AX19</f>
        <v>22817.374</v>
      </c>
      <c r="M25" s="422">
        <f>'2011 полн'!AU19+'2011 полн'!AV19+'2011 полн'!AW19</f>
        <v>2886</v>
      </c>
      <c r="N25" s="427">
        <f>'2011 полн'!BD19</f>
        <v>452.955</v>
      </c>
      <c r="O25" s="427">
        <f t="shared" si="0"/>
        <v>28988.527000000002</v>
      </c>
      <c r="P25" s="425">
        <f t="shared" si="1"/>
        <v>-4642.798600000002</v>
      </c>
      <c r="Q25" s="425">
        <f>'[1]2011 полн'!BG19</f>
        <v>2209.0000000000036</v>
      </c>
    </row>
    <row r="26" spans="1:17" ht="12.75">
      <c r="A26" s="312" t="s">
        <v>42</v>
      </c>
      <c r="B26" s="82">
        <f>'2011 полн'!B20</f>
        <v>3305.9</v>
      </c>
      <c r="C26" s="82">
        <f>'2011 полн'!C20</f>
        <v>28265.445000000003</v>
      </c>
      <c r="D26" s="27">
        <f>'2011 полн'!D20</f>
        <v>333.5684</v>
      </c>
      <c r="E26" s="421">
        <f>'2011 полн'!U20</f>
        <v>29218.809999999998</v>
      </c>
      <c r="F26" s="421">
        <f>'2011 полн'!V20</f>
        <v>0</v>
      </c>
      <c r="G26" s="426">
        <f>'2011 полн'!AF20</f>
        <v>24551.289999999997</v>
      </c>
      <c r="H26" s="426">
        <f>'2011 полн'!AG20</f>
        <v>24884.858399999997</v>
      </c>
      <c r="I26" s="426">
        <f>'2011 полн'!AJ20</f>
        <v>214</v>
      </c>
      <c r="J26" s="426">
        <f>'2011 полн'!AK20</f>
        <v>2214.953</v>
      </c>
      <c r="K26" s="426">
        <f>'2011 полн'!AL20</f>
        <v>661.1800000000001</v>
      </c>
      <c r="L26" s="421">
        <f>'2011 полн'!AM20+'2011 полн'!AN20+'2011 полн'!AO20+'2011 полн'!AP20+'2011 полн'!AQ20+'2011 полн'!AR20+'2011 полн'!AS20+'2011 полн'!AT20+'2011 полн'!AX20</f>
        <v>23166.329</v>
      </c>
      <c r="M26" s="422">
        <f>'2011 полн'!AU20+'2011 полн'!AV20+'2011 полн'!AW20</f>
        <v>0</v>
      </c>
      <c r="N26" s="427">
        <f>'2011 полн'!BD20</f>
        <v>53.5</v>
      </c>
      <c r="O26" s="427">
        <f t="shared" si="0"/>
        <v>26095.962</v>
      </c>
      <c r="P26" s="425">
        <f t="shared" si="1"/>
        <v>-997.1036000000022</v>
      </c>
      <c r="Q26" s="425">
        <f>'[1]2011 полн'!BG20</f>
        <v>2388.7299999999996</v>
      </c>
    </row>
    <row r="27" spans="1:17" ht="13.5" thickBot="1">
      <c r="A27" s="428" t="s">
        <v>43</v>
      </c>
      <c r="B27" s="82">
        <f>'2011 полн'!B21</f>
        <v>3305.9</v>
      </c>
      <c r="C27" s="82">
        <f>'2011 полн'!C21</f>
        <v>28265.445000000003</v>
      </c>
      <c r="D27" s="27">
        <f>'2011 полн'!D21</f>
        <v>333.5684</v>
      </c>
      <c r="E27" s="421">
        <f>'2011 полн'!U21</f>
        <v>28771.739999999998</v>
      </c>
      <c r="F27" s="421">
        <f>'2011 полн'!V21</f>
        <v>0</v>
      </c>
      <c r="G27" s="426">
        <f>'2011 полн'!AF21</f>
        <v>31973.62</v>
      </c>
      <c r="H27" s="426">
        <f>'2011 полн'!AG21</f>
        <v>32307.1884</v>
      </c>
      <c r="I27" s="426">
        <f>'2011 полн'!AJ21</f>
        <v>214</v>
      </c>
      <c r="J27" s="426">
        <f>'2011 полн'!AK21</f>
        <v>2214.953</v>
      </c>
      <c r="K27" s="426">
        <f>'2011 полн'!AL21</f>
        <v>661.1800000000001</v>
      </c>
      <c r="L27" s="421">
        <f>'2011 полн'!AM21+'2011 полн'!AN21+'2011 полн'!AO21+'2011 полн'!AP21+'2011 полн'!AQ21+'2011 полн'!AR21+'2011 полн'!AS21+'2011 полн'!AT21+'2011 полн'!AX21</f>
        <v>23166.329</v>
      </c>
      <c r="M27" s="422">
        <f>'2011 полн'!AU21+'2011 полн'!AV21+'2011 полн'!AW21</f>
        <v>1108</v>
      </c>
      <c r="N27" s="427">
        <f>'2011 полн'!BD21</f>
        <v>53.5</v>
      </c>
      <c r="O27" s="427">
        <f t="shared" si="0"/>
        <v>27203.962</v>
      </c>
      <c r="P27" s="425">
        <f t="shared" si="1"/>
        <v>5317.2264</v>
      </c>
      <c r="Q27" s="425">
        <f>'[1]2011 полн'!BG21</f>
        <v>2740.5599999999977</v>
      </c>
    </row>
    <row r="28" spans="1:19" s="20" customFormat="1" ht="13.5" thickBot="1">
      <c r="A28" s="34" t="s">
        <v>5</v>
      </c>
      <c r="B28" s="35"/>
      <c r="C28" s="75">
        <f aca="true" t="shared" si="2" ref="C28:P28">SUM(C16:C27)</f>
        <v>335714.0400000001</v>
      </c>
      <c r="D28" s="75">
        <f t="shared" si="2"/>
        <v>4002.820800000001</v>
      </c>
      <c r="E28" s="75">
        <f t="shared" si="2"/>
        <v>339826.4</v>
      </c>
      <c r="F28" s="75">
        <f t="shared" si="2"/>
        <v>0</v>
      </c>
      <c r="G28" s="75">
        <f t="shared" si="2"/>
        <v>322365.20999999996</v>
      </c>
      <c r="H28" s="75">
        <f t="shared" si="2"/>
        <v>326368.03079999995</v>
      </c>
      <c r="I28" s="75">
        <f t="shared" si="2"/>
        <v>8536.349999999999</v>
      </c>
      <c r="J28" s="75">
        <f t="shared" si="2"/>
        <v>26307.416000000012</v>
      </c>
      <c r="K28" s="75">
        <f t="shared" si="2"/>
        <v>7852.96</v>
      </c>
      <c r="L28" s="75">
        <f t="shared" si="2"/>
        <v>253473.538</v>
      </c>
      <c r="M28" s="75">
        <f t="shared" si="2"/>
        <v>11295</v>
      </c>
      <c r="N28" s="75">
        <f t="shared" si="2"/>
        <v>3638.14</v>
      </c>
      <c r="O28" s="75">
        <f t="shared" si="2"/>
        <v>302567.05400000006</v>
      </c>
      <c r="P28" s="75">
        <f t="shared" si="2"/>
        <v>32337.326799999995</v>
      </c>
      <c r="Q28" s="75">
        <f>SUM(Q16:Q27)</f>
        <v>-24904.11999999999</v>
      </c>
      <c r="R28" s="71"/>
      <c r="S28" s="71"/>
    </row>
    <row r="29" spans="1:17" ht="13.5" thickBot="1">
      <c r="A29" s="217" t="s">
        <v>70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414"/>
      <c r="P29" s="415"/>
      <c r="Q29" s="415"/>
    </row>
    <row r="30" spans="1:19" s="20" customFormat="1" ht="13.5" thickBot="1">
      <c r="A30" s="80" t="s">
        <v>54</v>
      </c>
      <c r="B30" s="38"/>
      <c r="C30" s="39">
        <f aca="true" t="shared" si="3" ref="C30:Q30">C28+C14</f>
        <v>1100726.0950000002</v>
      </c>
      <c r="D30" s="39">
        <f t="shared" si="3"/>
        <v>91225.45814200003</v>
      </c>
      <c r="E30" s="39">
        <f t="shared" si="3"/>
        <v>927316.41</v>
      </c>
      <c r="F30" s="39">
        <f t="shared" si="3"/>
        <v>91990.83</v>
      </c>
      <c r="G30" s="39">
        <f>G28+G14</f>
        <v>860610.14</v>
      </c>
      <c r="H30" s="39">
        <f t="shared" si="3"/>
        <v>1043826.4281420001</v>
      </c>
      <c r="I30" s="39">
        <f t="shared" si="3"/>
        <v>8836.349999999999</v>
      </c>
      <c r="J30" s="39">
        <f t="shared" si="3"/>
        <v>78583.076</v>
      </c>
      <c r="K30" s="39">
        <f t="shared" si="3"/>
        <v>25368.936319</v>
      </c>
      <c r="L30" s="39">
        <f t="shared" si="3"/>
        <v>680640.3068537884</v>
      </c>
      <c r="M30" s="39">
        <f t="shared" si="3"/>
        <v>112007.798</v>
      </c>
      <c r="N30" s="39">
        <f t="shared" si="3"/>
        <v>3713.14</v>
      </c>
      <c r="O30" s="39">
        <f t="shared" si="3"/>
        <v>900313.2571727885</v>
      </c>
      <c r="P30" s="39">
        <f t="shared" si="3"/>
        <v>152349.52096921176</v>
      </c>
      <c r="Q30" s="39">
        <f t="shared" si="3"/>
        <v>-74149.19999999995</v>
      </c>
      <c r="R30" s="72"/>
      <c r="S30" s="71"/>
    </row>
    <row r="32" spans="1:4" ht="12.75">
      <c r="A32" s="20" t="s">
        <v>71</v>
      </c>
      <c r="D32" s="83" t="s">
        <v>122</v>
      </c>
    </row>
    <row r="33" spans="1:4" ht="12.75">
      <c r="A33" s="308" t="s">
        <v>72</v>
      </c>
      <c r="B33" s="308" t="s">
        <v>73</v>
      </c>
      <c r="C33" s="429" t="s">
        <v>74</v>
      </c>
      <c r="D33" s="430"/>
    </row>
    <row r="34" spans="1:4" ht="12.75">
      <c r="A34" s="126">
        <v>263812.13</v>
      </c>
      <c r="B34" s="126">
        <v>100655.5</v>
      </c>
      <c r="C34" s="346">
        <f>A34-B34</f>
        <v>163156.63</v>
      </c>
      <c r="D34" s="431"/>
    </row>
    <row r="35" ht="12.75">
      <c r="A35" s="46"/>
    </row>
    <row r="36" spans="1:7" ht="12.75">
      <c r="A36" s="230" t="s">
        <v>77</v>
      </c>
      <c r="G36" s="230" t="s">
        <v>78</v>
      </c>
    </row>
    <row r="37" ht="12.75">
      <c r="A37" s="229"/>
    </row>
    <row r="38" ht="12.75">
      <c r="A38" s="229"/>
    </row>
    <row r="39" ht="12.75">
      <c r="A39" s="230" t="s">
        <v>123</v>
      </c>
    </row>
    <row r="40" ht="12.75">
      <c r="A40" s="230" t="s">
        <v>79</v>
      </c>
    </row>
  </sheetData>
  <sheetProtection/>
  <mergeCells count="27">
    <mergeCell ref="N10:N11"/>
    <mergeCell ref="O10:O11"/>
    <mergeCell ref="A13:N13"/>
    <mergeCell ref="A29:N29"/>
    <mergeCell ref="C33:D33"/>
    <mergeCell ref="J8:O9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N5"/>
    <mergeCell ref="A6:G6"/>
    <mergeCell ref="A7:D7"/>
    <mergeCell ref="E7:F7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2010-07-02T04:14:53Z</cp:lastPrinted>
  <dcterms:created xsi:type="dcterms:W3CDTF">2010-04-02T05:03:24Z</dcterms:created>
  <dcterms:modified xsi:type="dcterms:W3CDTF">2012-05-25T03:23:05Z</dcterms:modified>
  <cp:category/>
  <cp:version/>
  <cp:contentType/>
  <cp:contentStatus/>
</cp:coreProperties>
</file>