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<sst xmlns="http://schemas.openxmlformats.org/spreadsheetml/2006/main" count="300" uniqueCount="127">
  <si>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</si>
  <si>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</si>
  <si>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</si>
  <si>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</si>
  <si>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</si>
  <si>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</si>
  <si>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</si>
  <si>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</si>
  <si>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</si>
  <si>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</si>
  <si>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</si>
  <si>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</si>
  <si>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</si>
  <si>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</si>
  <si>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</si>
  <si>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</si>
  <si>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</si>
  <si>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</si>
  <si>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</si>
  <si>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</si>
  <si>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</si>
  <si>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</si>
  <si>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</si>
  <si>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</si>
  <si>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</si>
  <si>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</si>
  <si>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</si>
  <si>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</si>
  <si>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</si>
  <si>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</si>
  <si>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</si>
  <si>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</si>
  <si>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</si>
  <si>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</si>
  <si>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</si>
  <si>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</si>
  <si>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</si>
  <si>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</si>
  <si>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</si>
  <si>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</si>
  <si>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</si>
  <si>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</si>
  <si>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</si>
  <si>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</si>
  <si>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</si>
  <si>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</si>
  <si>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</si>
  <si>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</si>
  <si>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</si>
  <si>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</si>
  <si>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</si>
  <si>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</si>
  <si>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</si>
  <si>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</si>
  <si>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</si>
  <si>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</si>
  <si>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</si>
  <si>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</si>
  <si>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</si>
  <si>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</si>
  <si>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</si>
  <si>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</si>
  <si>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</si>
  <si>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</si>
  <si>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</si>
  <si>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</si>
  <si>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</si>
  <si>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</si>
  <si>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</si>
  <si>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</si>
  <si>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</si>
  <si>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</si>
  <si>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</si>
  <si>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</si>
  <si>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</si>
  <si>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</si>
  <si>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</si>
  <si>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</si>
  <si>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</si>
  <si>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Тек. Ремонт УЖХ</t>
  </si>
  <si>
    <t>Тек. Ремонт ТУК</t>
  </si>
  <si>
    <t>Лицевой счет по адресу г. Таштагол, ул. Мира, д. 31</t>
  </si>
  <si>
    <t>Выписка по лицевому счету по адресу г. Таштагол, ул. Мира, д. 31</t>
  </si>
  <si>
    <t>Исп. Ю.С. Дмитриева</t>
  </si>
  <si>
    <t>2010 год</t>
  </si>
  <si>
    <t>Эл.энергия МОП</t>
  </si>
  <si>
    <t>норма часов горения</t>
  </si>
  <si>
    <t>кол-во кВт</t>
  </si>
  <si>
    <t>стоимость итого</t>
  </si>
  <si>
    <t>Доп. содержание</t>
  </si>
  <si>
    <t>Расходы по нежил. помещениям</t>
  </si>
  <si>
    <t>*по состоянию на 01.01.2011 г.</t>
  </si>
  <si>
    <t>на 01.01.2011 г.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</si>
  <si>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</si>
  <si>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</si>
  <si>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</si>
  <si>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</si>
  <si>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</si>
  <si>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</si>
  <si>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</si>
  <si>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</si>
  <si>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</si>
  <si>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</si>
  <si>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</si>
  <si>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</si>
  <si>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</si>
  <si>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</si>
  <si>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</si>
  <si>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</si>
  <si>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</si>
  <si>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</si>
  <si>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</si>
  <si>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</si>
  <si>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</si>
  <si>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</si>
  <si>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</si>
  <si>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</si>
  <si>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</si>
  <si>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Собрано квартплаты от населения</t>
  </si>
  <si>
    <t>Доходы по нежилым помещениям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</si>
  <si>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</si>
  <si>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</si>
  <si>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</si>
  <si>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</si>
  <si>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*по состоянию на 01.01.2012 г.</t>
  </si>
  <si>
    <t>Исп. В.В. Колмогорова</t>
  </si>
  <si>
    <t>Выписка по лицевому счету по адресу г. Таштагол ул. Мира, д. 31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</si>
</sst>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18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4" fontId="1" fillId="0" borderId="19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7" xfId="0" applyNumberFormat="1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wrapText="1"/>
    </xf>
    <xf numFmtId="4" fontId="7" fillId="0" borderId="20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33" borderId="2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33" borderId="26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2" fillId="34" borderId="13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2" fillId="34" borderId="11" xfId="34" applyNumberFormat="1" applyFont="1" applyFill="1" applyBorder="1" applyAlignment="1">
      <alignment horizontal="right" vertical="center" wrapText="1"/>
      <protection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textRotation="90"/>
    </xf>
    <xf numFmtId="0" fontId="0" fillId="0" borderId="23" xfId="0" applyFont="1" applyFill="1" applyBorder="1" applyAlignment="1">
      <alignment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3" xfId="34" applyNumberFormat="1" applyFont="1" applyFill="1" applyBorder="1" applyAlignment="1">
      <alignment horizontal="right" vertical="center" wrapText="1"/>
      <protection/>
    </xf>
    <xf numFmtId="4" fontId="7" fillId="0" borderId="19" xfId="34" applyNumberFormat="1" applyFont="1" applyFill="1" applyBorder="1" applyAlignment="1">
      <alignment horizontal="right" vertical="center" wrapText="1"/>
      <protection/>
    </xf>
    <xf numFmtId="0" fontId="1" fillId="0" borderId="28" xfId="0" applyFont="1" applyFill="1" applyBorder="1" applyAlignment="1">
      <alignment horizontal="left"/>
    </xf>
    <xf numFmtId="4" fontId="0" fillId="0" borderId="2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2" fillId="0" borderId="11" xfId="54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wrapText="1"/>
    </xf>
    <xf numFmtId="4" fontId="2" fillId="0" borderId="21" xfId="34" applyNumberFormat="1" applyFont="1" applyFill="1" applyBorder="1" applyAlignment="1">
      <alignment horizontal="center" vertical="center" wrapText="1"/>
      <protection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4" borderId="26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7" borderId="26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4" fontId="0" fillId="35" borderId="21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2" fontId="1" fillId="36" borderId="31" xfId="0" applyNumberFormat="1" applyFont="1" applyFill="1" applyBorder="1" applyAlignment="1">
      <alignment horizontal="center" vertical="center" wrapText="1"/>
    </xf>
    <xf numFmtId="2" fontId="1" fillId="36" borderId="30" xfId="0" applyNumberFormat="1" applyFont="1" applyFill="1" applyBorder="1" applyAlignment="1">
      <alignment horizontal="center" vertical="center" wrapText="1"/>
    </xf>
    <xf numFmtId="2" fontId="1" fillId="37" borderId="32" xfId="0" applyNumberFormat="1" applyFont="1" applyFill="1" applyBorder="1" applyAlignment="1">
      <alignment horizontal="center" vertical="center" wrapText="1"/>
    </xf>
    <xf numFmtId="2" fontId="1" fillId="37" borderId="0" xfId="0" applyNumberFormat="1" applyFont="1" applyFill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3" fontId="0" fillId="0" borderId="26" xfId="61" applyFont="1" applyFill="1" applyBorder="1" applyAlignment="1">
      <alignment horizontal="right"/>
    </xf>
    <xf numFmtId="43" fontId="0" fillId="0" borderId="21" xfId="6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26" fillId="0" borderId="3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0" fontId="1" fillId="39" borderId="46" xfId="0" applyFont="1" applyFill="1" applyBorder="1" applyAlignment="1">
      <alignment horizontal="center" vertical="center" wrapText="1"/>
    </xf>
    <xf numFmtId="0" fontId="1" fillId="39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2" fontId="26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textRotation="90"/>
    </xf>
    <xf numFmtId="0" fontId="1" fillId="35" borderId="31" xfId="0" applyFont="1" applyFill="1" applyBorder="1" applyAlignment="1">
      <alignment horizontal="center" textRotation="90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27" fillId="0" borderId="3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37" borderId="31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textRotation="90"/>
    </xf>
    <xf numFmtId="0" fontId="1" fillId="35" borderId="30" xfId="0" applyFont="1" applyFill="1" applyBorder="1" applyAlignment="1">
      <alignment horizontal="center" textRotation="90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2" fontId="27" fillId="0" borderId="30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1" fillId="37" borderId="30" xfId="0" applyNumberFormat="1" applyFont="1" applyFill="1" applyBorder="1" applyAlignment="1">
      <alignment horizontal="center" vertical="center" wrapText="1"/>
    </xf>
    <xf numFmtId="0" fontId="1" fillId="39" borderId="49" xfId="0" applyFont="1" applyFill="1" applyBorder="1" applyAlignment="1">
      <alignment horizontal="center" vertical="center" wrapText="1"/>
    </xf>
    <xf numFmtId="0" fontId="1" fillId="39" borderId="3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right"/>
    </xf>
    <xf numFmtId="4" fontId="1" fillId="0" borderId="58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wrapText="1"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26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5" borderId="23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59" xfId="0" applyNumberFormat="1" applyFont="1" applyFill="1" applyBorder="1" applyAlignment="1">
      <alignment horizontal="center"/>
    </xf>
    <xf numFmtId="4" fontId="2" fillId="34" borderId="26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7" borderId="26" xfId="0" applyNumberFormat="1" applyFont="1" applyFill="1" applyBorder="1" applyAlignment="1">
      <alignment/>
    </xf>
    <xf numFmtId="4" fontId="0" fillId="40" borderId="26" xfId="0" applyNumberFormat="1" applyFont="1" applyFill="1" applyBorder="1" applyAlignment="1">
      <alignment/>
    </xf>
    <xf numFmtId="4" fontId="0" fillId="40" borderId="0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 horizontal="center"/>
    </xf>
    <xf numFmtId="4" fontId="1" fillId="40" borderId="0" xfId="0" applyNumberFormat="1" applyFont="1" applyFill="1" applyBorder="1" applyAlignment="1">
      <alignment horizontal="right"/>
    </xf>
    <xf numFmtId="4" fontId="0" fillId="35" borderId="14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wrapText="1"/>
    </xf>
    <xf numFmtId="4" fontId="0" fillId="35" borderId="59" xfId="0" applyNumberFormat="1" applyFont="1" applyFill="1" applyBorder="1" applyAlignment="1">
      <alignment horizontal="center"/>
    </xf>
    <xf numFmtId="4" fontId="0" fillId="0" borderId="6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35" borderId="59" xfId="0" applyFont="1" applyFill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64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28" fillId="0" borderId="11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35" borderId="59" xfId="0" applyFont="1" applyFill="1" applyBorder="1" applyAlignment="1">
      <alignment/>
    </xf>
    <xf numFmtId="0" fontId="28" fillId="0" borderId="21" xfId="0" applyFont="1" applyBorder="1" applyAlignment="1">
      <alignment wrapText="1"/>
    </xf>
    <xf numFmtId="2" fontId="29" fillId="34" borderId="13" xfId="0" applyNumberFormat="1" applyFont="1" applyFill="1" applyBorder="1" applyAlignment="1">
      <alignment horizontal="center"/>
    </xf>
    <xf numFmtId="0" fontId="2" fillId="0" borderId="65" xfId="0" applyFont="1" applyBorder="1" applyAlignment="1">
      <alignment wrapText="1"/>
    </xf>
    <xf numFmtId="0" fontId="2" fillId="35" borderId="14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4" fontId="0" fillId="34" borderId="63" xfId="0" applyNumberFormat="1" applyFill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4" xfId="0" applyFont="1" applyFill="1" applyBorder="1" applyAlignment="1">
      <alignment wrapText="1"/>
    </xf>
    <xf numFmtId="4" fontId="2" fillId="34" borderId="63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1" fillId="0" borderId="45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Border="1" applyAlignment="1">
      <alignment/>
    </xf>
    <xf numFmtId="0" fontId="1" fillId="0" borderId="22" xfId="0" applyFont="1" applyFill="1" applyBorder="1" applyAlignment="1">
      <alignment horizontal="right"/>
    </xf>
    <xf numFmtId="0" fontId="1" fillId="0" borderId="4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4" fontId="1" fillId="0" borderId="6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7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2" fontId="1" fillId="0" borderId="66" xfId="0" applyNumberFormat="1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4" fontId="0" fillId="0" borderId="70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6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6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2" fontId="0" fillId="0" borderId="14" xfId="0" applyNumberFormat="1" applyBorder="1" applyAlignment="1">
      <alignment horizontal="center"/>
    </xf>
    <xf numFmtId="4" fontId="2" fillId="0" borderId="26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4" fontId="1" fillId="0" borderId="57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" fontId="0" fillId="0" borderId="11" xfId="0" applyNumberForma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29" fillId="0" borderId="1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90;&#1088;&#1086;&#1089;&#1086;&#1074;&#1072;,%2046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2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2;&#1072;&#1082;&#1072;&#1088;&#1077;&#1085;&#1082;&#1086;,%2014%20%20&#1089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8">
          <cell r="BD8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A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2 (2)"/>
      <sheetName val="2011 полн"/>
      <sheetName val="2011 печать"/>
    </sheetNames>
    <sheetDataSet>
      <sheetData sheetId="0">
        <row r="44">
          <cell r="AD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40">
          <cell r="I140">
            <v>100</v>
          </cell>
          <cell r="R140">
            <v>25</v>
          </cell>
        </row>
      </sheetData>
      <sheetData sheetId="1">
        <row r="141">
          <cell r="S141">
            <v>25</v>
          </cell>
        </row>
        <row r="142">
          <cell r="J142">
            <v>100</v>
          </cell>
        </row>
      </sheetData>
      <sheetData sheetId="2">
        <row r="142">
          <cell r="J142">
            <v>100</v>
          </cell>
          <cell r="S142">
            <v>25</v>
          </cell>
        </row>
      </sheetData>
      <sheetData sheetId="3">
        <row r="144">
          <cell r="S144">
            <v>25</v>
          </cell>
        </row>
      </sheetData>
      <sheetData sheetId="4">
        <row r="142">
          <cell r="J142">
            <v>100</v>
          </cell>
          <cell r="S142">
            <v>25</v>
          </cell>
        </row>
      </sheetData>
      <sheetData sheetId="5">
        <row r="142">
          <cell r="J142">
            <v>100</v>
          </cell>
          <cell r="S142">
            <v>25</v>
          </cell>
        </row>
      </sheetData>
      <sheetData sheetId="6">
        <row r="147">
          <cell r="J147">
            <v>100</v>
          </cell>
          <cell r="S147">
            <v>25</v>
          </cell>
        </row>
      </sheetData>
      <sheetData sheetId="7">
        <row r="150">
          <cell r="J150">
            <v>100</v>
          </cell>
          <cell r="S150">
            <v>25</v>
          </cell>
        </row>
        <row r="221">
          <cell r="J221">
            <v>114</v>
          </cell>
          <cell r="S221">
            <v>28.5</v>
          </cell>
        </row>
      </sheetData>
      <sheetData sheetId="8">
        <row r="150">
          <cell r="J150">
            <v>100</v>
          </cell>
        </row>
        <row r="221">
          <cell r="J221">
            <v>114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44">
          <cell r="J144">
            <v>100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150">
          <cell r="J150">
            <v>100</v>
          </cell>
        </row>
        <row r="221">
          <cell r="J221">
            <v>114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150">
          <cell r="S150">
            <v>25</v>
          </cell>
        </row>
        <row r="221">
          <cell r="S221">
            <v>28.5</v>
          </cell>
        </row>
      </sheetData>
      <sheetData sheetId="10">
        <row r="150">
          <cell r="J150">
            <v>100</v>
          </cell>
          <cell r="S150">
            <v>25</v>
          </cell>
        </row>
        <row r="221">
          <cell r="J221">
            <v>114</v>
          </cell>
          <cell r="S221">
            <v>28.5</v>
          </cell>
        </row>
      </sheetData>
      <sheetData sheetId="11">
        <row r="174">
          <cell r="J174">
            <v>100</v>
          </cell>
          <cell r="S174">
            <v>25</v>
          </cell>
        </row>
        <row r="245">
          <cell r="J245">
            <v>114</v>
          </cell>
          <cell r="S245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2" ySplit="7" topLeftCell="AQ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B40" sqref="BB40:BC40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customWidth="1"/>
    <col min="13" max="13" width="9.75390625" style="2" customWidth="1"/>
    <col min="14" max="14" width="9.375" style="2" customWidth="1"/>
    <col min="15" max="15" width="7.125" style="2" customWidth="1"/>
    <col min="16" max="18" width="4.625" style="2" bestFit="1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10.00390625" style="2" customWidth="1"/>
    <col min="28" max="28" width="10.125" style="2" bestFit="1" customWidth="1"/>
    <col min="29" max="29" width="11.375" style="2" customWidth="1"/>
    <col min="30" max="30" width="9.25390625" style="2" bestFit="1" customWidth="1"/>
    <col min="31" max="31" width="10.00390625" style="2" customWidth="1"/>
    <col min="32" max="32" width="11.375" style="2" customWidth="1"/>
    <col min="33" max="33" width="10.25390625" style="2" customWidth="1"/>
    <col min="34" max="36" width="9.25390625" style="2" bestFit="1" customWidth="1"/>
    <col min="37" max="37" width="10.25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10.375" style="2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12.75">
      <c r="A1" s="166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67" t="s">
        <v>0</v>
      </c>
      <c r="B3" s="170" t="s">
        <v>1</v>
      </c>
      <c r="C3" s="170" t="s">
        <v>2</v>
      </c>
      <c r="D3" s="170" t="s">
        <v>3</v>
      </c>
      <c r="E3" s="173" t="s">
        <v>4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60" t="s">
        <v>5</v>
      </c>
      <c r="T3" s="160"/>
      <c r="U3" s="161" t="s">
        <v>6</v>
      </c>
      <c r="V3" s="161"/>
      <c r="W3" s="161"/>
      <c r="X3" s="161"/>
      <c r="Y3" s="161"/>
      <c r="Z3" s="161"/>
      <c r="AA3" s="161"/>
      <c r="AB3" s="161"/>
      <c r="AC3" s="142" t="s">
        <v>7</v>
      </c>
      <c r="AD3" s="142" t="s">
        <v>8</v>
      </c>
      <c r="AE3" s="142" t="s">
        <v>9</v>
      </c>
      <c r="AF3" s="163" t="s">
        <v>78</v>
      </c>
      <c r="AG3" s="145" t="s">
        <v>10</v>
      </c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35" t="s">
        <v>90</v>
      </c>
      <c r="BD3" s="153" t="s">
        <v>11</v>
      </c>
      <c r="BE3" s="156" t="s">
        <v>12</v>
      </c>
    </row>
    <row r="4" spans="1:57" ht="36" customHeight="1" thickBot="1">
      <c r="A4" s="168"/>
      <c r="B4" s="171"/>
      <c r="C4" s="171"/>
      <c r="D4" s="171"/>
      <c r="E4" s="159" t="s">
        <v>13</v>
      </c>
      <c r="F4" s="159"/>
      <c r="G4" s="159" t="s">
        <v>14</v>
      </c>
      <c r="H4" s="159"/>
      <c r="I4" s="159" t="s">
        <v>15</v>
      </c>
      <c r="J4" s="159"/>
      <c r="K4" s="159" t="s">
        <v>16</v>
      </c>
      <c r="L4" s="159"/>
      <c r="M4" s="159" t="s">
        <v>17</v>
      </c>
      <c r="N4" s="159"/>
      <c r="O4" s="159" t="s">
        <v>18</v>
      </c>
      <c r="P4" s="159"/>
      <c r="Q4" s="159" t="s">
        <v>19</v>
      </c>
      <c r="R4" s="159"/>
      <c r="S4" s="159"/>
      <c r="T4" s="159"/>
      <c r="U4" s="162"/>
      <c r="V4" s="162"/>
      <c r="W4" s="162"/>
      <c r="X4" s="162"/>
      <c r="Y4" s="162"/>
      <c r="Z4" s="162"/>
      <c r="AA4" s="162"/>
      <c r="AB4" s="162"/>
      <c r="AC4" s="143"/>
      <c r="AD4" s="143"/>
      <c r="AE4" s="143"/>
      <c r="AF4" s="164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6"/>
      <c r="BD4" s="154"/>
      <c r="BE4" s="157"/>
    </row>
    <row r="5" spans="1:57" ht="29.25" customHeight="1" thickBot="1">
      <c r="A5" s="168"/>
      <c r="B5" s="171"/>
      <c r="C5" s="171"/>
      <c r="D5" s="171"/>
      <c r="E5" s="151" t="s">
        <v>20</v>
      </c>
      <c r="F5" s="151" t="s">
        <v>21</v>
      </c>
      <c r="G5" s="151" t="s">
        <v>20</v>
      </c>
      <c r="H5" s="151" t="s">
        <v>21</v>
      </c>
      <c r="I5" s="151" t="s">
        <v>20</v>
      </c>
      <c r="J5" s="151" t="s">
        <v>21</v>
      </c>
      <c r="K5" s="151" t="s">
        <v>20</v>
      </c>
      <c r="L5" s="151" t="s">
        <v>21</v>
      </c>
      <c r="M5" s="151" t="s">
        <v>20</v>
      </c>
      <c r="N5" s="151" t="s">
        <v>21</v>
      </c>
      <c r="O5" s="151" t="s">
        <v>20</v>
      </c>
      <c r="P5" s="151" t="s">
        <v>21</v>
      </c>
      <c r="Q5" s="151" t="s">
        <v>20</v>
      </c>
      <c r="R5" s="151" t="s">
        <v>21</v>
      </c>
      <c r="S5" s="151" t="s">
        <v>20</v>
      </c>
      <c r="T5" s="151" t="s">
        <v>21</v>
      </c>
      <c r="U5" s="143" t="s">
        <v>22</v>
      </c>
      <c r="V5" s="143" t="s">
        <v>23</v>
      </c>
      <c r="W5" s="143" t="s">
        <v>24</v>
      </c>
      <c r="X5" s="143" t="s">
        <v>25</v>
      </c>
      <c r="Y5" s="143" t="s">
        <v>26</v>
      </c>
      <c r="Z5" s="143" t="s">
        <v>27</v>
      </c>
      <c r="AA5" s="143" t="s">
        <v>28</v>
      </c>
      <c r="AB5" s="143" t="s">
        <v>29</v>
      </c>
      <c r="AC5" s="143"/>
      <c r="AD5" s="143"/>
      <c r="AE5" s="143"/>
      <c r="AF5" s="164"/>
      <c r="AG5" s="138" t="s">
        <v>30</v>
      </c>
      <c r="AH5" s="138" t="s">
        <v>31</v>
      </c>
      <c r="AI5" s="138" t="s">
        <v>32</v>
      </c>
      <c r="AJ5" s="138" t="s">
        <v>33</v>
      </c>
      <c r="AK5" s="138" t="s">
        <v>34</v>
      </c>
      <c r="AL5" s="138" t="s">
        <v>33</v>
      </c>
      <c r="AM5" s="138" t="s">
        <v>35</v>
      </c>
      <c r="AN5" s="138" t="s">
        <v>33</v>
      </c>
      <c r="AO5" s="138" t="s">
        <v>36</v>
      </c>
      <c r="AP5" s="138" t="s">
        <v>33</v>
      </c>
      <c r="AQ5" s="133" t="s">
        <v>89</v>
      </c>
      <c r="AR5" s="133" t="s">
        <v>33</v>
      </c>
      <c r="AS5" s="140" t="s">
        <v>79</v>
      </c>
      <c r="AT5" s="140" t="s">
        <v>80</v>
      </c>
      <c r="AU5" s="146" t="s">
        <v>33</v>
      </c>
      <c r="AV5" s="148" t="s">
        <v>85</v>
      </c>
      <c r="AW5" s="149"/>
      <c r="AX5" s="150"/>
      <c r="AY5" s="138" t="s">
        <v>19</v>
      </c>
      <c r="AZ5" s="138" t="s">
        <v>38</v>
      </c>
      <c r="BA5" s="138" t="s">
        <v>33</v>
      </c>
      <c r="BB5" s="138" t="s">
        <v>39</v>
      </c>
      <c r="BC5" s="136"/>
      <c r="BD5" s="154"/>
      <c r="BE5" s="157"/>
    </row>
    <row r="6" spans="1:57" ht="54" customHeight="1" thickBot="1">
      <c r="A6" s="169"/>
      <c r="B6" s="172"/>
      <c r="C6" s="172"/>
      <c r="D6" s="17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65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4"/>
      <c r="AR6" s="134"/>
      <c r="AS6" s="141"/>
      <c r="AT6" s="141"/>
      <c r="AU6" s="147"/>
      <c r="AV6" s="104" t="s">
        <v>86</v>
      </c>
      <c r="AW6" s="104" t="s">
        <v>87</v>
      </c>
      <c r="AX6" s="104" t="s">
        <v>88</v>
      </c>
      <c r="AY6" s="139"/>
      <c r="AZ6" s="139"/>
      <c r="BA6" s="139"/>
      <c r="BB6" s="139"/>
      <c r="BC6" s="137"/>
      <c r="BD6" s="155"/>
      <c r="BE6" s="158"/>
    </row>
    <row r="7" spans="1:57" ht="12.75">
      <c r="A7" s="8">
        <v>1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9">
        <v>25</v>
      </c>
      <c r="Y7" s="9">
        <v>26</v>
      </c>
      <c r="Z7" s="9">
        <v>27</v>
      </c>
      <c r="AA7" s="9">
        <v>28</v>
      </c>
      <c r="AB7" s="9">
        <v>29</v>
      </c>
      <c r="AC7" s="9">
        <v>30</v>
      </c>
      <c r="AD7" s="9">
        <v>31</v>
      </c>
      <c r="AE7" s="9">
        <v>32</v>
      </c>
      <c r="AF7" s="9">
        <v>33</v>
      </c>
      <c r="AG7" s="9">
        <v>34</v>
      </c>
      <c r="AH7" s="9">
        <v>35</v>
      </c>
      <c r="AI7" s="9">
        <v>36</v>
      </c>
      <c r="AJ7" s="9">
        <v>37</v>
      </c>
      <c r="AK7" s="9">
        <v>38</v>
      </c>
      <c r="AL7" s="9">
        <v>39</v>
      </c>
      <c r="AM7" s="9">
        <v>40</v>
      </c>
      <c r="AN7" s="9">
        <v>41</v>
      </c>
      <c r="AO7" s="9">
        <v>42</v>
      </c>
      <c r="AP7" s="9">
        <v>43</v>
      </c>
      <c r="AQ7" s="9">
        <v>44</v>
      </c>
      <c r="AR7" s="9">
        <v>45</v>
      </c>
      <c r="AS7" s="9">
        <v>46</v>
      </c>
      <c r="AT7" s="9">
        <v>47</v>
      </c>
      <c r="AU7" s="9">
        <v>48</v>
      </c>
      <c r="AV7" s="9">
        <v>49</v>
      </c>
      <c r="AW7" s="9">
        <v>50</v>
      </c>
      <c r="AX7" s="9">
        <v>51</v>
      </c>
      <c r="AY7" s="9">
        <v>52</v>
      </c>
      <c r="AZ7" s="9">
        <v>53</v>
      </c>
      <c r="BA7" s="9">
        <v>54</v>
      </c>
      <c r="BB7" s="9">
        <v>55</v>
      </c>
      <c r="BC7" s="9">
        <v>56</v>
      </c>
      <c r="BD7" s="9">
        <v>57</v>
      </c>
      <c r="BE7" s="9">
        <v>58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6"/>
      <c r="AW8" s="6"/>
      <c r="AX8" s="7"/>
      <c r="AY8" s="7"/>
      <c r="AZ8" s="7"/>
      <c r="BA8" s="7"/>
      <c r="BB8" s="18"/>
      <c r="BC8" s="18"/>
      <c r="BD8" s="7"/>
      <c r="BE8" s="11"/>
    </row>
    <row r="9" spans="1:57" ht="12.75">
      <c r="A9" s="12" t="s">
        <v>41</v>
      </c>
      <c r="B9" s="76">
        <v>3316.6</v>
      </c>
      <c r="C9" s="83">
        <f>B9*8.65</f>
        <v>28688.59</v>
      </c>
      <c r="D9" s="78">
        <f>C9*0.24088</f>
        <v>6910.5075592</v>
      </c>
      <c r="E9" s="61">
        <v>2181.12</v>
      </c>
      <c r="F9" s="61">
        <v>569.37</v>
      </c>
      <c r="G9" s="61">
        <v>2944.56</v>
      </c>
      <c r="H9" s="61">
        <v>768.66</v>
      </c>
      <c r="I9" s="61">
        <v>7088.68</v>
      </c>
      <c r="J9" s="61">
        <v>1850.47</v>
      </c>
      <c r="K9" s="61">
        <v>4907.55</v>
      </c>
      <c r="L9" s="61">
        <v>1281.1</v>
      </c>
      <c r="M9" s="61">
        <v>1744.93</v>
      </c>
      <c r="N9" s="61">
        <v>455.47</v>
      </c>
      <c r="O9" s="61">
        <v>0</v>
      </c>
      <c r="P9" s="61">
        <v>0</v>
      </c>
      <c r="Q9" s="61">
        <v>0</v>
      </c>
      <c r="R9" s="61">
        <v>0</v>
      </c>
      <c r="S9" s="15">
        <f>E9+G9+I9+K9+M9+O9+Q9</f>
        <v>18866.84</v>
      </c>
      <c r="T9" s="15">
        <f aca="true" t="shared" si="0" ref="T9:T22">P9+N9+L9+J9+H9+F9+R9</f>
        <v>4925.07</v>
      </c>
      <c r="U9" s="18">
        <v>54.93</v>
      </c>
      <c r="V9" s="18">
        <v>74.14</v>
      </c>
      <c r="W9" s="18">
        <v>178.46</v>
      </c>
      <c r="X9" s="18">
        <v>123.56</v>
      </c>
      <c r="Y9" s="18">
        <v>43.95</v>
      </c>
      <c r="Z9" s="68">
        <v>0</v>
      </c>
      <c r="AA9" s="68">
        <v>0</v>
      </c>
      <c r="AB9" s="17">
        <f aca="true" t="shared" si="1" ref="AB9:AB22">SUM(U9:AA9)</f>
        <v>475.03999999999996</v>
      </c>
      <c r="AC9" s="79">
        <f>AB9+T9+D9</f>
        <v>12310.6175592</v>
      </c>
      <c r="AD9" s="80">
        <f aca="true" t="shared" si="2" ref="AD9:AD22">P9+Z9</f>
        <v>0</v>
      </c>
      <c r="AE9" s="80">
        <f aca="true" t="shared" si="3" ref="AE9:AE22">R9+AA9</f>
        <v>0</v>
      </c>
      <c r="AF9" s="79">
        <v>0</v>
      </c>
      <c r="AG9" s="18">
        <v>1989.96</v>
      </c>
      <c r="AH9" s="18">
        <v>701.9650232</v>
      </c>
      <c r="AI9" s="18">
        <v>2825.07988</v>
      </c>
      <c r="AJ9" s="18">
        <v>508.51437839999994</v>
      </c>
      <c r="AK9" s="18">
        <v>3287.4935184</v>
      </c>
      <c r="AL9" s="18">
        <v>591.748833312</v>
      </c>
      <c r="AM9" s="18">
        <v>6037.608288599999</v>
      </c>
      <c r="AN9" s="18">
        <v>1086.7694919479998</v>
      </c>
      <c r="AO9" s="18">
        <v>0</v>
      </c>
      <c r="AP9" s="18">
        <v>0</v>
      </c>
      <c r="AQ9" s="18"/>
      <c r="AR9" s="18"/>
      <c r="AS9" s="29">
        <v>0</v>
      </c>
      <c r="AT9" s="29">
        <v>0</v>
      </c>
      <c r="AU9" s="29">
        <v>0</v>
      </c>
      <c r="AV9" s="29"/>
      <c r="AW9" s="29"/>
      <c r="AX9" s="18">
        <v>0</v>
      </c>
      <c r="AY9" s="18">
        <v>0</v>
      </c>
      <c r="AZ9" s="18">
        <v>0</v>
      </c>
      <c r="BA9" s="18">
        <v>0</v>
      </c>
      <c r="BB9" s="18">
        <f>SUM(AG9:BA9)</f>
        <v>17029.139413859997</v>
      </c>
      <c r="BC9" s="18"/>
      <c r="BD9" s="18">
        <f>AC9-BB9</f>
        <v>-4718.521854659997</v>
      </c>
      <c r="BE9" s="20">
        <f>AB9-S9</f>
        <v>-18391.8</v>
      </c>
    </row>
    <row r="10" spans="1:57" ht="12.75">
      <c r="A10" s="12" t="s">
        <v>42</v>
      </c>
      <c r="B10" s="76">
        <v>3316.6</v>
      </c>
      <c r="C10" s="74">
        <f>B10*8.65</f>
        <v>28688.59</v>
      </c>
      <c r="D10" s="75">
        <f>C10*0.24088</f>
        <v>6910.5075592</v>
      </c>
      <c r="E10" s="61">
        <v>2069.81</v>
      </c>
      <c r="F10" s="61">
        <v>545.17</v>
      </c>
      <c r="G10" s="61">
        <v>2794.2</v>
      </c>
      <c r="H10" s="61">
        <v>735.96</v>
      </c>
      <c r="I10" s="61">
        <v>6726.9</v>
      </c>
      <c r="J10" s="61">
        <v>1771.75</v>
      </c>
      <c r="K10" s="61">
        <v>4657.1</v>
      </c>
      <c r="L10" s="61">
        <v>1226.6</v>
      </c>
      <c r="M10" s="61">
        <v>1655.9</v>
      </c>
      <c r="N10" s="61">
        <v>436.11</v>
      </c>
      <c r="O10" s="61">
        <v>0</v>
      </c>
      <c r="P10" s="61">
        <v>0</v>
      </c>
      <c r="Q10" s="18">
        <v>0</v>
      </c>
      <c r="R10" s="18">
        <v>0</v>
      </c>
      <c r="S10" s="15">
        <f>E10+G10+I10+K10+M10+O10+Q10</f>
        <v>17903.91</v>
      </c>
      <c r="T10" s="15">
        <f>P10+N10+L10+J10+H10+F10+R10</f>
        <v>4715.59</v>
      </c>
      <c r="U10" s="18">
        <v>1378.07</v>
      </c>
      <c r="V10" s="18">
        <v>1860.45</v>
      </c>
      <c r="W10" s="18">
        <v>4524.3</v>
      </c>
      <c r="X10" s="18">
        <v>3100.69</v>
      </c>
      <c r="Y10" s="18">
        <v>1102.47</v>
      </c>
      <c r="Z10" s="18">
        <v>0</v>
      </c>
      <c r="AA10" s="68">
        <v>0</v>
      </c>
      <c r="AB10" s="17">
        <f t="shared" si="1"/>
        <v>11965.98</v>
      </c>
      <c r="AC10" s="79">
        <f aca="true" t="shared" si="4" ref="AC10:AC25">AB10+T10+D10</f>
        <v>23592.0775592</v>
      </c>
      <c r="AD10" s="80">
        <f t="shared" si="2"/>
        <v>0</v>
      </c>
      <c r="AE10" s="80">
        <f t="shared" si="3"/>
        <v>0</v>
      </c>
      <c r="AF10" s="79">
        <v>0</v>
      </c>
      <c r="AG10" s="30">
        <v>1989.96</v>
      </c>
      <c r="AH10" s="30">
        <v>666.6366</v>
      </c>
      <c r="AI10" s="30">
        <v>2825.07988</v>
      </c>
      <c r="AJ10" s="30">
        <v>508.51437839999994</v>
      </c>
      <c r="AK10" s="30">
        <v>3287.4935184</v>
      </c>
      <c r="AL10" s="30">
        <v>591.748833312</v>
      </c>
      <c r="AM10" s="30">
        <v>6037.608288599999</v>
      </c>
      <c r="AN10" s="30">
        <v>1086.7694919479998</v>
      </c>
      <c r="AO10" s="30">
        <v>0</v>
      </c>
      <c r="AP10" s="30">
        <v>0</v>
      </c>
      <c r="AQ10" s="30"/>
      <c r="AR10" s="30"/>
      <c r="AS10" s="71">
        <v>2920</v>
      </c>
      <c r="AT10" s="71">
        <v>0</v>
      </c>
      <c r="AU10" s="71">
        <v>525.6</v>
      </c>
      <c r="AV10" s="71"/>
      <c r="AW10" s="71"/>
      <c r="AX10" s="19">
        <v>0</v>
      </c>
      <c r="AY10" s="19">
        <v>0</v>
      </c>
      <c r="AZ10" s="19">
        <v>0</v>
      </c>
      <c r="BA10" s="18">
        <f aca="true" t="shared" si="5" ref="BA10:BA25">AZ10*0.18</f>
        <v>0</v>
      </c>
      <c r="BB10" s="18">
        <f>SUM(AG10:BA10)</f>
        <v>20439.410990659995</v>
      </c>
      <c r="BC10" s="18"/>
      <c r="BD10" s="18">
        <f>AC10-BB10</f>
        <v>3152.666568540004</v>
      </c>
      <c r="BE10" s="20">
        <f>AB10-S10</f>
        <v>-5937.93</v>
      </c>
    </row>
    <row r="11" spans="1:57" ht="12.75">
      <c r="A11" s="12" t="s">
        <v>43</v>
      </c>
      <c r="B11" s="76">
        <v>3316.6</v>
      </c>
      <c r="C11" s="74">
        <f>B11*8.65</f>
        <v>28688.59</v>
      </c>
      <c r="D11" s="75">
        <f>C11*0.24035</f>
        <v>6895.3026065</v>
      </c>
      <c r="E11" s="61">
        <v>2088.34</v>
      </c>
      <c r="F11" s="61">
        <v>558.01</v>
      </c>
      <c r="G11" s="61">
        <v>2819.25</v>
      </c>
      <c r="H11" s="61">
        <v>753.31</v>
      </c>
      <c r="I11" s="61">
        <v>6787.11</v>
      </c>
      <c r="J11" s="61">
        <v>1813.51</v>
      </c>
      <c r="K11" s="61">
        <v>4698.76</v>
      </c>
      <c r="L11" s="61">
        <v>1255.51</v>
      </c>
      <c r="M11" s="61">
        <v>1670.71</v>
      </c>
      <c r="N11" s="61">
        <v>446.38</v>
      </c>
      <c r="O11" s="61">
        <v>0</v>
      </c>
      <c r="P11" s="67">
        <v>0</v>
      </c>
      <c r="Q11" s="61">
        <v>0</v>
      </c>
      <c r="R11" s="67">
        <v>0</v>
      </c>
      <c r="S11" s="15">
        <f>E11+G11+I11+K11+M11+O11+Q11</f>
        <v>18064.17</v>
      </c>
      <c r="T11" s="15">
        <f t="shared" si="0"/>
        <v>4826.719999999999</v>
      </c>
      <c r="U11" s="18">
        <v>2356.88</v>
      </c>
      <c r="V11" s="18">
        <v>3182.88</v>
      </c>
      <c r="W11" s="18">
        <v>7715.61</v>
      </c>
      <c r="X11" s="18">
        <v>5303.62</v>
      </c>
      <c r="Y11" s="18">
        <v>1886.44</v>
      </c>
      <c r="Z11" s="18">
        <v>0</v>
      </c>
      <c r="AA11" s="68">
        <v>0</v>
      </c>
      <c r="AB11" s="17">
        <f>SUM(U11:AA11)</f>
        <v>20445.429999999997</v>
      </c>
      <c r="AC11" s="79">
        <f t="shared" si="4"/>
        <v>32167.452606499995</v>
      </c>
      <c r="AD11" s="80">
        <f t="shared" si="2"/>
        <v>0</v>
      </c>
      <c r="AE11" s="80">
        <f t="shared" si="3"/>
        <v>0</v>
      </c>
      <c r="AF11" s="79">
        <v>0</v>
      </c>
      <c r="AG11" s="30">
        <v>1989.96</v>
      </c>
      <c r="AH11" s="30">
        <v>680.0621968</v>
      </c>
      <c r="AI11" s="30">
        <v>2816.854712</v>
      </c>
      <c r="AJ11" s="30">
        <v>507.03384815999993</v>
      </c>
      <c r="AK11" s="30">
        <v>3277.93905712</v>
      </c>
      <c r="AL11" s="30">
        <v>590.0290302816001</v>
      </c>
      <c r="AM11" s="30">
        <v>6020.061152979999</v>
      </c>
      <c r="AN11" s="30">
        <v>1083.6110075363997</v>
      </c>
      <c r="AO11" s="30">
        <v>0</v>
      </c>
      <c r="AP11" s="30">
        <v>0</v>
      </c>
      <c r="AQ11" s="30"/>
      <c r="AR11" s="30"/>
      <c r="AS11" s="71">
        <v>1013</v>
      </c>
      <c r="AT11" s="71">
        <v>0</v>
      </c>
      <c r="AU11" s="71">
        <f>AS11*0.18</f>
        <v>182.34</v>
      </c>
      <c r="AV11" s="71"/>
      <c r="AW11" s="71"/>
      <c r="AX11" s="19">
        <v>0</v>
      </c>
      <c r="AY11" s="19">
        <v>0</v>
      </c>
      <c r="AZ11" s="19">
        <v>0</v>
      </c>
      <c r="BA11" s="18">
        <f t="shared" si="5"/>
        <v>0</v>
      </c>
      <c r="BB11" s="18">
        <f>SUM(AG11:BA11)</f>
        <v>18160.891004877998</v>
      </c>
      <c r="BC11" s="18"/>
      <c r="BD11" s="18">
        <f>AC11-BB11</f>
        <v>14006.561601621997</v>
      </c>
      <c r="BE11" s="20">
        <f>AB11-S11</f>
        <v>2381.2599999999984</v>
      </c>
    </row>
    <row r="12" spans="1:57" s="27" customFormat="1" ht="15" customHeight="1">
      <c r="A12" s="21" t="s">
        <v>5</v>
      </c>
      <c r="B12" s="22"/>
      <c r="C12" s="22">
        <f aca="true" t="shared" si="6" ref="C12:BE12">SUM(C9:C11)</f>
        <v>86065.77</v>
      </c>
      <c r="D12" s="22">
        <f t="shared" si="6"/>
        <v>20716.3177249</v>
      </c>
      <c r="E12" s="63">
        <f t="shared" si="6"/>
        <v>6339.27</v>
      </c>
      <c r="F12" s="63">
        <f t="shared" si="6"/>
        <v>1672.55</v>
      </c>
      <c r="G12" s="63">
        <f t="shared" si="6"/>
        <v>8558.01</v>
      </c>
      <c r="H12" s="63">
        <f t="shared" si="6"/>
        <v>2257.93</v>
      </c>
      <c r="I12" s="63">
        <f t="shared" si="6"/>
        <v>20602.69</v>
      </c>
      <c r="J12" s="63">
        <f t="shared" si="6"/>
        <v>5435.7300000000005</v>
      </c>
      <c r="K12" s="63">
        <f t="shared" si="6"/>
        <v>14263.410000000002</v>
      </c>
      <c r="L12" s="63">
        <f t="shared" si="6"/>
        <v>3763.21</v>
      </c>
      <c r="M12" s="63">
        <f t="shared" si="6"/>
        <v>5071.54</v>
      </c>
      <c r="N12" s="63">
        <f t="shared" si="6"/>
        <v>1337.96</v>
      </c>
      <c r="O12" s="64">
        <f t="shared" si="6"/>
        <v>0</v>
      </c>
      <c r="P12" s="23">
        <f t="shared" si="6"/>
        <v>0</v>
      </c>
      <c r="Q12" s="23">
        <f t="shared" si="6"/>
        <v>0</v>
      </c>
      <c r="R12" s="23">
        <f t="shared" si="6"/>
        <v>0</v>
      </c>
      <c r="S12" s="23">
        <f t="shared" si="6"/>
        <v>54834.92</v>
      </c>
      <c r="T12" s="23">
        <f t="shared" si="6"/>
        <v>14467.38</v>
      </c>
      <c r="U12" s="24">
        <f t="shared" si="6"/>
        <v>3789.88</v>
      </c>
      <c r="V12" s="24">
        <f t="shared" si="6"/>
        <v>5117.47</v>
      </c>
      <c r="W12" s="24">
        <f t="shared" si="6"/>
        <v>12418.369999999999</v>
      </c>
      <c r="X12" s="24">
        <f t="shared" si="6"/>
        <v>8527.869999999999</v>
      </c>
      <c r="Y12" s="24">
        <f t="shared" si="6"/>
        <v>3032.86</v>
      </c>
      <c r="Z12" s="24">
        <f t="shared" si="6"/>
        <v>0</v>
      </c>
      <c r="AA12" s="24">
        <f t="shared" si="6"/>
        <v>0</v>
      </c>
      <c r="AB12" s="24">
        <f t="shared" si="6"/>
        <v>32886.45</v>
      </c>
      <c r="AC12" s="24">
        <f t="shared" si="6"/>
        <v>68070.14772489999</v>
      </c>
      <c r="AD12" s="81">
        <f t="shared" si="6"/>
        <v>0</v>
      </c>
      <c r="AE12" s="81">
        <f t="shared" si="6"/>
        <v>0</v>
      </c>
      <c r="AF12" s="24">
        <f>SUM(AF9:AF11)</f>
        <v>0</v>
      </c>
      <c r="AG12" s="25">
        <f t="shared" si="6"/>
        <v>5969.88</v>
      </c>
      <c r="AH12" s="25">
        <f t="shared" si="6"/>
        <v>2048.66382</v>
      </c>
      <c r="AI12" s="25">
        <f t="shared" si="6"/>
        <v>8467.014471999999</v>
      </c>
      <c r="AJ12" s="25">
        <f t="shared" si="6"/>
        <v>1524.0626049599998</v>
      </c>
      <c r="AK12" s="25">
        <f t="shared" si="6"/>
        <v>9852.92609392</v>
      </c>
      <c r="AL12" s="25">
        <f t="shared" si="6"/>
        <v>1773.5266969056001</v>
      </c>
      <c r="AM12" s="25">
        <f>SUM(AM9:AM11)</f>
        <v>18095.277730179994</v>
      </c>
      <c r="AN12" s="25">
        <f>SUM(AN9:AN11)</f>
        <v>3257.1499914323995</v>
      </c>
      <c r="AO12" s="25">
        <f t="shared" si="6"/>
        <v>0</v>
      </c>
      <c r="AP12" s="25">
        <f t="shared" si="6"/>
        <v>0</v>
      </c>
      <c r="AQ12" s="25"/>
      <c r="AR12" s="25"/>
      <c r="AS12" s="63">
        <f t="shared" si="6"/>
        <v>3933</v>
      </c>
      <c r="AT12" s="63">
        <f t="shared" si="6"/>
        <v>0</v>
      </c>
      <c r="AU12" s="63">
        <f t="shared" si="6"/>
        <v>707.94</v>
      </c>
      <c r="AV12" s="63"/>
      <c r="AW12" s="63"/>
      <c r="AX12" s="25">
        <f t="shared" si="6"/>
        <v>0</v>
      </c>
      <c r="AY12" s="25">
        <f t="shared" si="6"/>
        <v>0</v>
      </c>
      <c r="AZ12" s="25">
        <f t="shared" si="6"/>
        <v>0</v>
      </c>
      <c r="BA12" s="25">
        <f t="shared" si="6"/>
        <v>0</v>
      </c>
      <c r="BB12" s="25">
        <f t="shared" si="6"/>
        <v>55629.44140939799</v>
      </c>
      <c r="BC12" s="25"/>
      <c r="BD12" s="25">
        <f t="shared" si="6"/>
        <v>12440.706315502004</v>
      </c>
      <c r="BE12" s="26">
        <f t="shared" si="6"/>
        <v>-21948.47</v>
      </c>
    </row>
    <row r="13" spans="1:57" ht="15" customHeight="1">
      <c r="A13" s="5" t="s">
        <v>44</v>
      </c>
      <c r="B13" s="60"/>
      <c r="C13" s="14"/>
      <c r="D13" s="1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2"/>
      <c r="P13" s="16"/>
      <c r="Q13" s="15"/>
      <c r="R13" s="15"/>
      <c r="S13" s="15"/>
      <c r="T13" s="15"/>
      <c r="U13" s="28"/>
      <c r="V13" s="28"/>
      <c r="W13" s="28"/>
      <c r="X13" s="28"/>
      <c r="Y13" s="28"/>
      <c r="Z13" s="28"/>
      <c r="AA13" s="17"/>
      <c r="AB13" s="17"/>
      <c r="AC13" s="79"/>
      <c r="AD13" s="80"/>
      <c r="AE13" s="80"/>
      <c r="AF13" s="79"/>
      <c r="AG13" s="18"/>
      <c r="AH13" s="18"/>
      <c r="AI13" s="18"/>
      <c r="AJ13" s="18"/>
      <c r="AK13" s="18"/>
      <c r="AL13" s="18"/>
      <c r="AM13" s="18"/>
      <c r="AN13" s="18"/>
      <c r="AO13" s="19"/>
      <c r="AP13" s="19"/>
      <c r="AQ13" s="19"/>
      <c r="AR13" s="19"/>
      <c r="AS13" s="70"/>
      <c r="AT13" s="70"/>
      <c r="AU13" s="29"/>
      <c r="AV13" s="29"/>
      <c r="AW13" s="29"/>
      <c r="AX13" s="19"/>
      <c r="AY13" s="19"/>
      <c r="AZ13" s="19"/>
      <c r="BA13" s="18"/>
      <c r="BB13" s="18"/>
      <c r="BC13" s="18"/>
      <c r="BD13" s="18"/>
      <c r="BE13" s="20"/>
    </row>
    <row r="14" spans="1:57" ht="12.75">
      <c r="A14" s="12" t="s">
        <v>45</v>
      </c>
      <c r="B14" s="84">
        <v>3316.6</v>
      </c>
      <c r="C14" s="77">
        <f aca="true" t="shared" si="7" ref="C14:C25">B14*8.65</f>
        <v>28688.59</v>
      </c>
      <c r="D14" s="75">
        <f>C14*0.125</f>
        <v>3586.07375</v>
      </c>
      <c r="E14" s="61">
        <v>2145.32</v>
      </c>
      <c r="F14" s="61">
        <v>549.51</v>
      </c>
      <c r="G14" s="61">
        <v>2896.19</v>
      </c>
      <c r="H14" s="61">
        <v>741.84</v>
      </c>
      <c r="I14" s="61">
        <v>6972.31</v>
      </c>
      <c r="J14" s="61">
        <v>1785.89</v>
      </c>
      <c r="K14" s="61">
        <v>4827</v>
      </c>
      <c r="L14" s="61">
        <v>1236.39</v>
      </c>
      <c r="M14" s="61">
        <v>1716.3</v>
      </c>
      <c r="N14" s="61">
        <v>439.58</v>
      </c>
      <c r="O14" s="61">
        <v>0</v>
      </c>
      <c r="P14" s="67">
        <v>0</v>
      </c>
      <c r="Q14" s="61">
        <v>0</v>
      </c>
      <c r="R14" s="67">
        <v>0</v>
      </c>
      <c r="S14" s="15">
        <f aca="true" t="shared" si="8" ref="S14:S22">E14+G14+I14+K14+M14+O14+Q14</f>
        <v>18557.12</v>
      </c>
      <c r="T14" s="15">
        <f t="shared" si="0"/>
        <v>4753.21</v>
      </c>
      <c r="U14" s="18">
        <v>1317.97</v>
      </c>
      <c r="V14" s="18">
        <v>1778.13</v>
      </c>
      <c r="W14" s="18">
        <v>4282.87</v>
      </c>
      <c r="X14" s="18">
        <v>2964.85</v>
      </c>
      <c r="Y14" s="18">
        <v>1053.56</v>
      </c>
      <c r="Z14" s="18">
        <v>0</v>
      </c>
      <c r="AA14" s="68">
        <v>0</v>
      </c>
      <c r="AB14" s="17">
        <f>SUM(U14:AA14)</f>
        <v>11397.38</v>
      </c>
      <c r="AC14" s="79">
        <f t="shared" si="4"/>
        <v>19736.66375</v>
      </c>
      <c r="AD14" s="80">
        <f>P14+Z14</f>
        <v>0</v>
      </c>
      <c r="AE14" s="80">
        <f t="shared" si="3"/>
        <v>0</v>
      </c>
      <c r="AF14" s="79"/>
      <c r="AG14" s="30">
        <v>1790.964</v>
      </c>
      <c r="AH14" s="30">
        <v>591.0181200000001</v>
      </c>
      <c r="AI14" s="30">
        <v>2444.14837</v>
      </c>
      <c r="AJ14" s="30">
        <v>439.94670659999997</v>
      </c>
      <c r="AK14" s="30">
        <v>2390.7876929999998</v>
      </c>
      <c r="AL14" s="30">
        <v>430.3417847399999</v>
      </c>
      <c r="AM14" s="30">
        <v>5502.3256316</v>
      </c>
      <c r="AN14" s="30">
        <v>990.4186136879999</v>
      </c>
      <c r="AO14" s="30">
        <v>0</v>
      </c>
      <c r="AP14" s="30">
        <v>0</v>
      </c>
      <c r="AQ14" s="30"/>
      <c r="AR14" s="30"/>
      <c r="AS14" s="29">
        <v>0</v>
      </c>
      <c r="AT14" s="29">
        <v>0</v>
      </c>
      <c r="AU14" s="29">
        <f>AS14*0.18</f>
        <v>0</v>
      </c>
      <c r="AV14" s="29"/>
      <c r="AW14" s="29"/>
      <c r="AX14" s="18">
        <v>1174.9024</v>
      </c>
      <c r="AY14" s="19">
        <v>0</v>
      </c>
      <c r="AZ14" s="19">
        <v>0</v>
      </c>
      <c r="BA14" s="18">
        <f t="shared" si="5"/>
        <v>0</v>
      </c>
      <c r="BB14" s="18">
        <f>SUM(AG14:BA14)</f>
        <v>15754.853319628</v>
      </c>
      <c r="BC14" s="18"/>
      <c r="BD14" s="18">
        <f>AC14+AF14-BB14</f>
        <v>3981.8104303719992</v>
      </c>
      <c r="BE14" s="20">
        <f>AB14-S14</f>
        <v>-7159.74</v>
      </c>
    </row>
    <row r="15" spans="1:57" ht="12.75">
      <c r="A15" s="12" t="s">
        <v>46</v>
      </c>
      <c r="B15" s="84">
        <v>3316.6</v>
      </c>
      <c r="C15" s="77">
        <f t="shared" si="7"/>
        <v>28688.59</v>
      </c>
      <c r="D15" s="75">
        <f>C15*0.125</f>
        <v>3586.07375</v>
      </c>
      <c r="E15" s="61">
        <v>2154.08</v>
      </c>
      <c r="F15" s="61">
        <v>552.77</v>
      </c>
      <c r="G15" s="61">
        <v>2908.03</v>
      </c>
      <c r="H15" s="61">
        <v>746.24</v>
      </c>
      <c r="I15" s="61">
        <v>7000.8</v>
      </c>
      <c r="J15" s="61">
        <v>1796.49</v>
      </c>
      <c r="K15" s="61">
        <v>4846.71</v>
      </c>
      <c r="L15" s="61">
        <v>1243.73</v>
      </c>
      <c r="M15" s="61">
        <v>1723.32</v>
      </c>
      <c r="N15" s="61">
        <v>442.19</v>
      </c>
      <c r="O15" s="61">
        <v>0</v>
      </c>
      <c r="P15" s="67">
        <v>0</v>
      </c>
      <c r="Q15" s="61">
        <v>0</v>
      </c>
      <c r="R15" s="67">
        <v>0</v>
      </c>
      <c r="S15" s="15">
        <f t="shared" si="8"/>
        <v>18632.94</v>
      </c>
      <c r="T15" s="15">
        <f t="shared" si="0"/>
        <v>4781.42</v>
      </c>
      <c r="U15" s="18">
        <v>1736.44</v>
      </c>
      <c r="V15" s="18">
        <v>2343.32</v>
      </c>
      <c r="W15" s="18">
        <v>5482.89</v>
      </c>
      <c r="X15" s="18">
        <v>3905.52</v>
      </c>
      <c r="Y15" s="18">
        <v>1389.01</v>
      </c>
      <c r="Z15" s="18">
        <v>0</v>
      </c>
      <c r="AA15" s="68">
        <v>0</v>
      </c>
      <c r="AB15" s="17">
        <f t="shared" si="1"/>
        <v>14857.180000000002</v>
      </c>
      <c r="AC15" s="79">
        <f t="shared" si="4"/>
        <v>23224.67375</v>
      </c>
      <c r="AD15" s="80">
        <f t="shared" si="2"/>
        <v>0</v>
      </c>
      <c r="AE15" s="80">
        <f t="shared" si="3"/>
        <v>0</v>
      </c>
      <c r="AF15" s="79"/>
      <c r="AG15" s="30">
        <v>1790.964</v>
      </c>
      <c r="AH15" s="30">
        <v>607.136796</v>
      </c>
      <c r="AI15" s="30">
        <v>2444.16837</v>
      </c>
      <c r="AJ15" s="30">
        <v>439.9503066</v>
      </c>
      <c r="AK15" s="30">
        <v>2390.5124152</v>
      </c>
      <c r="AL15" s="30">
        <v>430.29223473599995</v>
      </c>
      <c r="AM15" s="30">
        <v>5501.058690399999</v>
      </c>
      <c r="AN15" s="30">
        <v>990.1905642719998</v>
      </c>
      <c r="AO15" s="30">
        <v>0</v>
      </c>
      <c r="AP15" s="30">
        <v>0</v>
      </c>
      <c r="AQ15" s="30"/>
      <c r="AR15" s="30"/>
      <c r="AS15" s="29">
        <v>0</v>
      </c>
      <c r="AT15" s="29">
        <v>0</v>
      </c>
      <c r="AU15" s="29">
        <f>AS15*0.18</f>
        <v>0</v>
      </c>
      <c r="AV15" s="29"/>
      <c r="AW15" s="29"/>
      <c r="AX15" s="30">
        <v>941.3095999999999</v>
      </c>
      <c r="AY15" s="19">
        <v>0</v>
      </c>
      <c r="AZ15" s="19">
        <v>0</v>
      </c>
      <c r="BA15" s="18">
        <f t="shared" si="5"/>
        <v>0</v>
      </c>
      <c r="BB15" s="18">
        <f>SUM(AG15:BA15)</f>
        <v>15535.582977207998</v>
      </c>
      <c r="BC15" s="18"/>
      <c r="BD15" s="18">
        <f aca="true" t="shared" si="9" ref="BD15:BD24">AC15+AF15-BB15</f>
        <v>7689.090772792004</v>
      </c>
      <c r="BE15" s="20">
        <f aca="true" t="shared" si="10" ref="BE15:BE25">AB15-S15</f>
        <v>-3775.7599999999966</v>
      </c>
    </row>
    <row r="16" spans="1:57" ht="12.75">
      <c r="A16" s="12" t="s">
        <v>47</v>
      </c>
      <c r="B16" s="84">
        <v>3316.65</v>
      </c>
      <c r="C16" s="77">
        <f t="shared" si="7"/>
        <v>28689.022500000003</v>
      </c>
      <c r="D16" s="75">
        <f>C16*0.125</f>
        <v>3586.1278125000003</v>
      </c>
      <c r="E16" s="61">
        <v>2117.88</v>
      </c>
      <c r="F16" s="61">
        <v>554.55</v>
      </c>
      <c r="G16" s="61">
        <v>2859.17</v>
      </c>
      <c r="H16" s="61">
        <v>748.64</v>
      </c>
      <c r="I16" s="61">
        <v>6883.13</v>
      </c>
      <c r="J16" s="61">
        <v>1802.26</v>
      </c>
      <c r="K16" s="61">
        <v>4765.26</v>
      </c>
      <c r="L16" s="61">
        <v>1247.73</v>
      </c>
      <c r="M16" s="61">
        <v>1694.38</v>
      </c>
      <c r="N16" s="61">
        <v>443.61</v>
      </c>
      <c r="O16" s="61">
        <v>0</v>
      </c>
      <c r="P16" s="67">
        <v>0</v>
      </c>
      <c r="Q16" s="61">
        <v>0</v>
      </c>
      <c r="R16" s="67">
        <v>0</v>
      </c>
      <c r="S16" s="15">
        <f t="shared" si="8"/>
        <v>18319.820000000003</v>
      </c>
      <c r="T16" s="15">
        <f t="shared" si="0"/>
        <v>4796.790000000001</v>
      </c>
      <c r="U16" s="85">
        <v>1905.44</v>
      </c>
      <c r="V16" s="85">
        <v>2573.25</v>
      </c>
      <c r="W16" s="85">
        <v>6249.01</v>
      </c>
      <c r="X16" s="85">
        <v>4288.71</v>
      </c>
      <c r="Y16" s="85">
        <v>1524.58</v>
      </c>
      <c r="Z16" s="85">
        <v>0</v>
      </c>
      <c r="AA16" s="86">
        <v>0</v>
      </c>
      <c r="AB16" s="17">
        <f t="shared" si="1"/>
        <v>16540.989999999998</v>
      </c>
      <c r="AC16" s="79">
        <f t="shared" si="4"/>
        <v>24923.907812499998</v>
      </c>
      <c r="AD16" s="80">
        <f t="shared" si="2"/>
        <v>0</v>
      </c>
      <c r="AE16" s="80">
        <f t="shared" si="3"/>
        <v>0</v>
      </c>
      <c r="AF16" s="79"/>
      <c r="AG16" s="30">
        <v>1790.991</v>
      </c>
      <c r="AH16" s="72">
        <v>602.4363060000001</v>
      </c>
      <c r="AI16" s="30">
        <v>2445.6147937500004</v>
      </c>
      <c r="AJ16" s="30">
        <v>440.2106628750001</v>
      </c>
      <c r="AK16" s="72">
        <v>2306.862741</v>
      </c>
      <c r="AL16" s="30">
        <v>415.23529338</v>
      </c>
      <c r="AM16" s="30">
        <v>5309.197137149999</v>
      </c>
      <c r="AN16" s="30">
        <v>955.6554846869999</v>
      </c>
      <c r="AO16" s="30">
        <v>3534.85</v>
      </c>
      <c r="AP16" s="30">
        <v>636.2729999999999</v>
      </c>
      <c r="AQ16" s="30"/>
      <c r="AR16" s="30"/>
      <c r="AS16" s="29">
        <v>0</v>
      </c>
      <c r="AT16" s="29">
        <v>0</v>
      </c>
      <c r="AU16" s="71">
        <f>(AS16+AT16)*0.18</f>
        <v>0</v>
      </c>
      <c r="AV16" s="71"/>
      <c r="AW16" s="71"/>
      <c r="AX16" s="30">
        <v>885.8024</v>
      </c>
      <c r="AY16" s="19">
        <v>0</v>
      </c>
      <c r="AZ16" s="19">
        <v>0</v>
      </c>
      <c r="BA16" s="18">
        <f t="shared" si="5"/>
        <v>0</v>
      </c>
      <c r="BB16" s="18">
        <f>SUM(AG16:BA16)</f>
        <v>19323.128818842</v>
      </c>
      <c r="BC16" s="18"/>
      <c r="BD16" s="18">
        <f t="shared" si="9"/>
        <v>5600.7789936579975</v>
      </c>
      <c r="BE16" s="20">
        <f t="shared" si="10"/>
        <v>-1778.8300000000054</v>
      </c>
    </row>
    <row r="17" spans="1:57" ht="12.75">
      <c r="A17" s="12" t="s">
        <v>48</v>
      </c>
      <c r="B17" s="84">
        <v>3316.65</v>
      </c>
      <c r="C17" s="77">
        <f t="shared" si="7"/>
        <v>28689.022500000003</v>
      </c>
      <c r="D17" s="75">
        <f>C17*0.125</f>
        <v>3586.1278125000003</v>
      </c>
      <c r="E17" s="87">
        <v>2218.35</v>
      </c>
      <c r="F17" s="87">
        <v>556.19</v>
      </c>
      <c r="G17" s="87">
        <v>2994.8</v>
      </c>
      <c r="H17" s="87">
        <v>750.85</v>
      </c>
      <c r="I17" s="87">
        <v>7209.66</v>
      </c>
      <c r="J17" s="87">
        <v>1807.6</v>
      </c>
      <c r="K17" s="87">
        <v>4991.29</v>
      </c>
      <c r="L17" s="87">
        <v>1251.42</v>
      </c>
      <c r="M17" s="87">
        <v>1774.76</v>
      </c>
      <c r="N17" s="87">
        <v>444.92</v>
      </c>
      <c r="O17" s="87">
        <v>0</v>
      </c>
      <c r="P17" s="88">
        <v>0</v>
      </c>
      <c r="Q17" s="87">
        <v>0</v>
      </c>
      <c r="R17" s="88">
        <v>0</v>
      </c>
      <c r="S17" s="15">
        <f t="shared" si="8"/>
        <v>19188.859999999997</v>
      </c>
      <c r="T17" s="15">
        <f t="shared" si="0"/>
        <v>4810.98</v>
      </c>
      <c r="U17" s="18">
        <v>2071.22</v>
      </c>
      <c r="V17" s="18">
        <v>2796.17</v>
      </c>
      <c r="W17" s="18">
        <v>6733.7</v>
      </c>
      <c r="X17" s="18">
        <v>4660.26</v>
      </c>
      <c r="Y17" s="18">
        <v>1657.03</v>
      </c>
      <c r="Z17" s="18">
        <v>0</v>
      </c>
      <c r="AA17" s="18">
        <v>0</v>
      </c>
      <c r="AB17" s="17">
        <f t="shared" si="1"/>
        <v>17918.38</v>
      </c>
      <c r="AC17" s="79">
        <f t="shared" si="4"/>
        <v>26315.4878125</v>
      </c>
      <c r="AD17" s="80">
        <f t="shared" si="2"/>
        <v>0</v>
      </c>
      <c r="AE17" s="80">
        <f t="shared" si="3"/>
        <v>0</v>
      </c>
      <c r="AF17" s="79"/>
      <c r="AG17" s="30">
        <v>1790.991</v>
      </c>
      <c r="AH17" s="72">
        <v>612.5189220000001</v>
      </c>
      <c r="AI17" s="30">
        <v>2518.6308435</v>
      </c>
      <c r="AJ17" s="30">
        <v>453.35355183</v>
      </c>
      <c r="AK17" s="30">
        <v>2339.3460111</v>
      </c>
      <c r="AL17" s="30">
        <v>421.082281998</v>
      </c>
      <c r="AM17" s="30">
        <f>5383.3143147+3942.43</f>
        <v>9325.7443147</v>
      </c>
      <c r="AN17" s="30">
        <f>968.996576646+709.64</f>
        <v>1678.6365766459999</v>
      </c>
      <c r="AO17" s="30">
        <v>0</v>
      </c>
      <c r="AP17" s="30">
        <v>0</v>
      </c>
      <c r="AQ17" s="30"/>
      <c r="AR17" s="30"/>
      <c r="AS17" s="71">
        <v>33709.23</v>
      </c>
      <c r="AT17" s="29">
        <v>0</v>
      </c>
      <c r="AU17" s="71">
        <f aca="true" t="shared" si="11" ref="AU17:AU25">(AS17+AT17)*0.18</f>
        <v>6067.6614</v>
      </c>
      <c r="AV17" s="71"/>
      <c r="AW17" s="71"/>
      <c r="AX17" s="18">
        <v>710.0296</v>
      </c>
      <c r="AY17" s="19">
        <v>0</v>
      </c>
      <c r="AZ17" s="19">
        <v>0</v>
      </c>
      <c r="BA17" s="18">
        <f t="shared" si="5"/>
        <v>0</v>
      </c>
      <c r="BB17" s="18">
        <f aca="true" t="shared" si="12" ref="BB17:BB25">SUM(AG17:BA17)</f>
        <v>59627.224501774</v>
      </c>
      <c r="BC17" s="18"/>
      <c r="BD17" s="18">
        <f t="shared" si="9"/>
        <v>-33311.736689273996</v>
      </c>
      <c r="BE17" s="20">
        <f t="shared" si="10"/>
        <v>-1270.479999999996</v>
      </c>
    </row>
    <row r="18" spans="1:57" ht="12.75">
      <c r="A18" s="12" t="s">
        <v>49</v>
      </c>
      <c r="B18" s="84">
        <v>3316.75</v>
      </c>
      <c r="C18" s="77">
        <f t="shared" si="7"/>
        <v>28689.8875</v>
      </c>
      <c r="D18" s="78">
        <f aca="true" t="shared" si="13" ref="D18:D25">C18-E18-F18-G18-H18-I18-J18-K18-L18-M18-N18</f>
        <v>3125.667500000001</v>
      </c>
      <c r="E18" s="87">
        <v>2324.43</v>
      </c>
      <c r="F18" s="87">
        <v>626.14</v>
      </c>
      <c r="G18" s="87">
        <v>3148.5</v>
      </c>
      <c r="H18" s="87">
        <v>848.73</v>
      </c>
      <c r="I18" s="87">
        <v>7564.84</v>
      </c>
      <c r="J18" s="87">
        <v>2038.44</v>
      </c>
      <c r="K18" s="87">
        <v>5240.42</v>
      </c>
      <c r="L18" s="87">
        <v>1412.31</v>
      </c>
      <c r="M18" s="87">
        <v>1859.51</v>
      </c>
      <c r="N18" s="87">
        <v>500.9</v>
      </c>
      <c r="O18" s="87">
        <v>0</v>
      </c>
      <c r="P18" s="88">
        <v>0</v>
      </c>
      <c r="Q18" s="87">
        <v>0</v>
      </c>
      <c r="R18" s="88">
        <v>0</v>
      </c>
      <c r="S18" s="15">
        <f t="shared" si="8"/>
        <v>20137.7</v>
      </c>
      <c r="T18" s="15">
        <f t="shared" si="0"/>
        <v>5426.52</v>
      </c>
      <c r="U18" s="85">
        <v>2251.57</v>
      </c>
      <c r="V18" s="85">
        <v>3039.56</v>
      </c>
      <c r="W18" s="85">
        <v>7321.7</v>
      </c>
      <c r="X18" s="85">
        <v>5066.03</v>
      </c>
      <c r="Y18" s="85">
        <v>1801.23</v>
      </c>
      <c r="Z18" s="85">
        <v>0</v>
      </c>
      <c r="AA18" s="86">
        <v>0</v>
      </c>
      <c r="AB18" s="17">
        <f t="shared" si="1"/>
        <v>19480.09</v>
      </c>
      <c r="AC18" s="79">
        <f t="shared" si="4"/>
        <v>28032.2775</v>
      </c>
      <c r="AD18" s="80">
        <f t="shared" si="2"/>
        <v>0</v>
      </c>
      <c r="AE18" s="80">
        <f t="shared" si="3"/>
        <v>0</v>
      </c>
      <c r="AF18" s="79"/>
      <c r="AG18" s="30">
        <v>1990.05</v>
      </c>
      <c r="AH18" s="30">
        <v>669.9835</v>
      </c>
      <c r="AI18" s="30">
        <v>2819.2374999999997</v>
      </c>
      <c r="AJ18" s="30">
        <v>507.4627499999999</v>
      </c>
      <c r="AK18" s="30">
        <v>2752.9024999999997</v>
      </c>
      <c r="AL18" s="30">
        <v>495.52244999999994</v>
      </c>
      <c r="AM18" s="30">
        <v>6334.992499999999</v>
      </c>
      <c r="AN18" s="30">
        <v>1140.29865</v>
      </c>
      <c r="AO18" s="30">
        <v>0</v>
      </c>
      <c r="AP18" s="30">
        <v>0</v>
      </c>
      <c r="AQ18" s="30"/>
      <c r="AR18" s="30"/>
      <c r="AS18" s="29">
        <v>5549.6</v>
      </c>
      <c r="AT18" s="29">
        <v>0</v>
      </c>
      <c r="AU18" s="71">
        <f>(AS18+AT18)*0.18</f>
        <v>998.928</v>
      </c>
      <c r="AV18" s="71"/>
      <c r="AW18" s="71"/>
      <c r="AX18" s="18">
        <v>608.2664</v>
      </c>
      <c r="AY18" s="19">
        <v>0</v>
      </c>
      <c r="AZ18" s="19">
        <v>0</v>
      </c>
      <c r="BA18" s="18">
        <f t="shared" si="5"/>
        <v>0</v>
      </c>
      <c r="BB18" s="18">
        <f t="shared" si="12"/>
        <v>23867.244250000003</v>
      </c>
      <c r="BC18" s="18"/>
      <c r="BD18" s="18">
        <f t="shared" si="9"/>
        <v>4165.033249999997</v>
      </c>
      <c r="BE18" s="20">
        <f t="shared" si="10"/>
        <v>-657.6100000000006</v>
      </c>
    </row>
    <row r="19" spans="1:57" ht="12.75">
      <c r="A19" s="12" t="s">
        <v>50</v>
      </c>
      <c r="B19" s="84">
        <v>3316.75</v>
      </c>
      <c r="C19" s="77">
        <f t="shared" si="7"/>
        <v>28689.8875</v>
      </c>
      <c r="D19" s="78">
        <f t="shared" si="13"/>
        <v>3280.0074999999983</v>
      </c>
      <c r="E19" s="87">
        <v>2285.67</v>
      </c>
      <c r="F19" s="87">
        <v>647.12</v>
      </c>
      <c r="G19" s="87">
        <v>3095.86</v>
      </c>
      <c r="H19" s="87">
        <v>877.2</v>
      </c>
      <c r="I19" s="87">
        <v>7438.52</v>
      </c>
      <c r="J19" s="87">
        <v>2106.78</v>
      </c>
      <c r="K19" s="87">
        <v>5152.91</v>
      </c>
      <c r="L19" s="87">
        <v>1459.65</v>
      </c>
      <c r="M19" s="87">
        <v>1828.49</v>
      </c>
      <c r="N19" s="87">
        <v>517.68</v>
      </c>
      <c r="O19" s="87">
        <v>0</v>
      </c>
      <c r="P19" s="88">
        <v>0</v>
      </c>
      <c r="Q19" s="87">
        <v>0</v>
      </c>
      <c r="R19" s="88">
        <v>0</v>
      </c>
      <c r="S19" s="15">
        <f t="shared" si="8"/>
        <v>19801.45</v>
      </c>
      <c r="T19" s="15">
        <f t="shared" si="0"/>
        <v>5608.43</v>
      </c>
      <c r="U19" s="85">
        <v>2297.23</v>
      </c>
      <c r="V19" s="85">
        <v>3108.46</v>
      </c>
      <c r="W19" s="85">
        <v>7472.93</v>
      </c>
      <c r="X19" s="85">
        <v>5175.75</v>
      </c>
      <c r="Y19" s="85">
        <v>1837.72</v>
      </c>
      <c r="Z19" s="85">
        <v>0</v>
      </c>
      <c r="AA19" s="86">
        <v>0</v>
      </c>
      <c r="AB19" s="17">
        <f t="shared" si="1"/>
        <v>19892.090000000004</v>
      </c>
      <c r="AC19" s="79">
        <f t="shared" si="4"/>
        <v>28780.527500000004</v>
      </c>
      <c r="AD19" s="80">
        <f t="shared" si="2"/>
        <v>0</v>
      </c>
      <c r="AE19" s="80">
        <f t="shared" si="3"/>
        <v>0</v>
      </c>
      <c r="AF19" s="79"/>
      <c r="AG19" s="30">
        <v>1990.05</v>
      </c>
      <c r="AH19" s="30">
        <v>670.2820075000001</v>
      </c>
      <c r="AI19" s="30">
        <v>2819.2374999999997</v>
      </c>
      <c r="AJ19" s="30">
        <v>507.4627499999999</v>
      </c>
      <c r="AK19" s="30">
        <v>2752.9024999999997</v>
      </c>
      <c r="AL19" s="30">
        <v>495.52244999999994</v>
      </c>
      <c r="AM19" s="30">
        <v>6334.992499999999</v>
      </c>
      <c r="AN19" s="30">
        <v>1140.29865</v>
      </c>
      <c r="AO19" s="30">
        <v>0</v>
      </c>
      <c r="AP19" s="30">
        <v>0</v>
      </c>
      <c r="AQ19" s="30"/>
      <c r="AR19" s="30"/>
      <c r="AS19" s="29">
        <v>5436.09</v>
      </c>
      <c r="AT19" s="29">
        <v>0</v>
      </c>
      <c r="AU19" s="71">
        <f>(AS19+AT19)*0.18</f>
        <v>978.4962</v>
      </c>
      <c r="AV19" s="71"/>
      <c r="AW19" s="71"/>
      <c r="AX19" s="18">
        <v>538.8824000000001</v>
      </c>
      <c r="AY19" s="19">
        <v>0</v>
      </c>
      <c r="AZ19" s="19">
        <v>0</v>
      </c>
      <c r="BA19" s="18">
        <f t="shared" si="5"/>
        <v>0</v>
      </c>
      <c r="BB19" s="18">
        <f t="shared" si="12"/>
        <v>23664.2169575</v>
      </c>
      <c r="BC19" s="18"/>
      <c r="BD19" s="18">
        <f t="shared" si="9"/>
        <v>5116.310542500003</v>
      </c>
      <c r="BE19" s="20">
        <f t="shared" si="10"/>
        <v>90.64000000000306</v>
      </c>
    </row>
    <row r="20" spans="1:57" ht="12.75">
      <c r="A20" s="12" t="s">
        <v>51</v>
      </c>
      <c r="B20" s="84">
        <v>3316.75</v>
      </c>
      <c r="C20" s="77">
        <f t="shared" si="7"/>
        <v>28689.8875</v>
      </c>
      <c r="D20" s="78">
        <f t="shared" si="13"/>
        <v>2966.4275000000002</v>
      </c>
      <c r="E20" s="87">
        <v>2321.98</v>
      </c>
      <c r="F20" s="87">
        <v>647</v>
      </c>
      <c r="G20" s="87">
        <v>3145.06</v>
      </c>
      <c r="H20" s="87">
        <v>877.05</v>
      </c>
      <c r="I20" s="87">
        <v>7556.67</v>
      </c>
      <c r="J20" s="87">
        <v>2106.42</v>
      </c>
      <c r="K20" s="87">
        <v>5234.76</v>
      </c>
      <c r="L20" s="87">
        <v>1459.41</v>
      </c>
      <c r="M20" s="87">
        <v>1857.52</v>
      </c>
      <c r="N20" s="87">
        <v>517.59</v>
      </c>
      <c r="O20" s="87">
        <v>0</v>
      </c>
      <c r="P20" s="88">
        <v>0</v>
      </c>
      <c r="Q20" s="87">
        <v>0</v>
      </c>
      <c r="R20" s="88">
        <v>0</v>
      </c>
      <c r="S20" s="15">
        <f t="shared" si="8"/>
        <v>20115.99</v>
      </c>
      <c r="T20" s="15">
        <f t="shared" si="0"/>
        <v>5607.47</v>
      </c>
      <c r="U20" s="85">
        <v>1862.2</v>
      </c>
      <c r="V20" s="85">
        <v>2521.45</v>
      </c>
      <c r="W20" s="85">
        <v>6058.8</v>
      </c>
      <c r="X20" s="85">
        <v>4197.36</v>
      </c>
      <c r="Y20" s="85">
        <v>1489.78</v>
      </c>
      <c r="Z20" s="85">
        <v>0</v>
      </c>
      <c r="AA20" s="86">
        <v>0</v>
      </c>
      <c r="AB20" s="17">
        <f t="shared" si="1"/>
        <v>16129.590000000002</v>
      </c>
      <c r="AC20" s="79">
        <f>AB20+T20+D20</f>
        <v>24703.487500000003</v>
      </c>
      <c r="AD20" s="80">
        <f t="shared" si="2"/>
        <v>0</v>
      </c>
      <c r="AE20" s="80">
        <f t="shared" si="3"/>
        <v>0</v>
      </c>
      <c r="AF20" s="79"/>
      <c r="AG20" s="30">
        <v>1990.05</v>
      </c>
      <c r="AH20" s="30">
        <v>659.5357375</v>
      </c>
      <c r="AI20" s="30">
        <v>2778.92240375</v>
      </c>
      <c r="AJ20" s="30">
        <v>500.20603267499996</v>
      </c>
      <c r="AK20" s="30">
        <v>2726.74992625</v>
      </c>
      <c r="AL20" s="30">
        <v>490.814986725</v>
      </c>
      <c r="AM20" s="30">
        <v>6274.176571999999</v>
      </c>
      <c r="AN20" s="30">
        <v>1129.3517829599998</v>
      </c>
      <c r="AO20" s="30">
        <v>0</v>
      </c>
      <c r="AP20" s="30">
        <v>0</v>
      </c>
      <c r="AQ20" s="30"/>
      <c r="AR20" s="30"/>
      <c r="AS20" s="29">
        <v>1779.2</v>
      </c>
      <c r="AT20" s="29">
        <v>0</v>
      </c>
      <c r="AU20" s="71">
        <f t="shared" si="11"/>
        <v>320.256</v>
      </c>
      <c r="AV20" s="71"/>
      <c r="AW20" s="71"/>
      <c r="AX20" s="18">
        <v>573.5744</v>
      </c>
      <c r="AY20" s="19">
        <v>0</v>
      </c>
      <c r="AZ20" s="19">
        <v>0</v>
      </c>
      <c r="BA20" s="18">
        <f t="shared" si="5"/>
        <v>0</v>
      </c>
      <c r="BB20" s="18">
        <f t="shared" si="12"/>
        <v>19222.83784186</v>
      </c>
      <c r="BC20" s="18"/>
      <c r="BD20" s="18">
        <f t="shared" si="9"/>
        <v>5480.649658140002</v>
      </c>
      <c r="BE20" s="20">
        <f t="shared" si="10"/>
        <v>-3986.3999999999996</v>
      </c>
    </row>
    <row r="21" spans="1:57" ht="12.75">
      <c r="A21" s="12" t="s">
        <v>52</v>
      </c>
      <c r="B21" s="76">
        <v>3316.75</v>
      </c>
      <c r="C21" s="77">
        <f t="shared" si="7"/>
        <v>28689.8875</v>
      </c>
      <c r="D21" s="78">
        <f t="shared" si="13"/>
        <v>2966.447499999997</v>
      </c>
      <c r="E21" s="87">
        <v>2321.99</v>
      </c>
      <c r="F21" s="87">
        <v>646.99</v>
      </c>
      <c r="G21" s="87">
        <v>3145.06</v>
      </c>
      <c r="H21" s="87">
        <v>877.05</v>
      </c>
      <c r="I21" s="87">
        <v>7556.66</v>
      </c>
      <c r="J21" s="87">
        <v>2106.42</v>
      </c>
      <c r="K21" s="87">
        <v>5234.75</v>
      </c>
      <c r="L21" s="87">
        <v>1459.41</v>
      </c>
      <c r="M21" s="87">
        <v>1857.51</v>
      </c>
      <c r="N21" s="87">
        <v>517.6</v>
      </c>
      <c r="O21" s="87">
        <v>0</v>
      </c>
      <c r="P21" s="88">
        <v>0</v>
      </c>
      <c r="Q21" s="85">
        <v>0</v>
      </c>
      <c r="R21" s="85">
        <v>0</v>
      </c>
      <c r="S21" s="15">
        <f t="shared" si="8"/>
        <v>20115.969999999998</v>
      </c>
      <c r="T21" s="15">
        <f t="shared" si="0"/>
        <v>5607.47</v>
      </c>
      <c r="U21" s="85">
        <v>2303.14</v>
      </c>
      <c r="V21" s="85">
        <v>3119.37</v>
      </c>
      <c r="W21" s="85">
        <v>7495.15</v>
      </c>
      <c r="X21" s="85">
        <v>5192.12</v>
      </c>
      <c r="Y21" s="85">
        <v>1842.43</v>
      </c>
      <c r="Z21" s="85">
        <v>0</v>
      </c>
      <c r="AA21" s="86">
        <v>0</v>
      </c>
      <c r="AB21" s="17">
        <f t="shared" si="1"/>
        <v>19952.21</v>
      </c>
      <c r="AC21" s="79">
        <f t="shared" si="4"/>
        <v>28526.1275</v>
      </c>
      <c r="AD21" s="80">
        <f t="shared" si="2"/>
        <v>0</v>
      </c>
      <c r="AE21" s="80">
        <f t="shared" si="3"/>
        <v>0</v>
      </c>
      <c r="AF21" s="79"/>
      <c r="AG21" s="30">
        <v>1990.05</v>
      </c>
      <c r="AH21" s="30">
        <v>662.5208125</v>
      </c>
      <c r="AI21" s="30">
        <v>2777.6819392499997</v>
      </c>
      <c r="AJ21" s="30">
        <v>499.98274906499995</v>
      </c>
      <c r="AK21" s="30">
        <v>2725.373475</v>
      </c>
      <c r="AL21" s="30">
        <v>490.56722549999995</v>
      </c>
      <c r="AM21" s="30">
        <v>6271.642574999999</v>
      </c>
      <c r="AN21" s="30">
        <v>1128.8956634999997</v>
      </c>
      <c r="AO21" s="30">
        <v>0</v>
      </c>
      <c r="AP21" s="30">
        <v>0</v>
      </c>
      <c r="AQ21" s="30"/>
      <c r="AR21" s="30"/>
      <c r="AS21" s="29">
        <v>0</v>
      </c>
      <c r="AT21" s="29">
        <v>0</v>
      </c>
      <c r="AU21" s="71">
        <f t="shared" si="11"/>
        <v>0</v>
      </c>
      <c r="AV21" s="71"/>
      <c r="AW21" s="71"/>
      <c r="AX21" s="18">
        <v>677.6504000000001</v>
      </c>
      <c r="AY21" s="19">
        <v>0</v>
      </c>
      <c r="AZ21" s="19">
        <v>0</v>
      </c>
      <c r="BA21" s="18">
        <f t="shared" si="5"/>
        <v>0</v>
      </c>
      <c r="BB21" s="18">
        <f t="shared" si="12"/>
        <v>17224.364839814996</v>
      </c>
      <c r="BC21" s="18"/>
      <c r="BD21" s="18">
        <f t="shared" si="9"/>
        <v>11301.762660185002</v>
      </c>
      <c r="BE21" s="20">
        <f t="shared" si="10"/>
        <v>-163.7599999999984</v>
      </c>
    </row>
    <row r="22" spans="1:57" ht="12.75">
      <c r="A22" s="66" t="s">
        <v>53</v>
      </c>
      <c r="B22" s="76">
        <v>3316.75</v>
      </c>
      <c r="C22" s="83">
        <f t="shared" si="7"/>
        <v>28689.8875</v>
      </c>
      <c r="D22" s="78">
        <f t="shared" si="13"/>
        <v>2966.5375000000026</v>
      </c>
      <c r="E22" s="61">
        <v>2322</v>
      </c>
      <c r="F22" s="61">
        <v>646.98</v>
      </c>
      <c r="G22" s="61">
        <v>3145.05</v>
      </c>
      <c r="H22" s="61">
        <v>877.05</v>
      </c>
      <c r="I22" s="61">
        <v>7556.64</v>
      </c>
      <c r="J22" s="61">
        <v>2106.43</v>
      </c>
      <c r="K22" s="61">
        <v>5234.7</v>
      </c>
      <c r="L22" s="61">
        <v>1459.4</v>
      </c>
      <c r="M22" s="61">
        <v>1857.49</v>
      </c>
      <c r="N22" s="61">
        <v>517.61</v>
      </c>
      <c r="O22" s="61">
        <v>0</v>
      </c>
      <c r="P22" s="67">
        <v>0</v>
      </c>
      <c r="Q22" s="61">
        <v>0</v>
      </c>
      <c r="R22" s="67">
        <v>0</v>
      </c>
      <c r="S22" s="15">
        <f t="shared" si="8"/>
        <v>20115.88</v>
      </c>
      <c r="T22" s="15">
        <f t="shared" si="0"/>
        <v>5607.469999999999</v>
      </c>
      <c r="U22" s="18">
        <v>1893.36</v>
      </c>
      <c r="V22" s="18">
        <v>2564.15</v>
      </c>
      <c r="W22" s="18">
        <v>6160.66</v>
      </c>
      <c r="X22" s="18">
        <v>4268.11</v>
      </c>
      <c r="Y22" s="18">
        <v>1514.59</v>
      </c>
      <c r="Z22" s="18">
        <v>0</v>
      </c>
      <c r="AA22" s="68">
        <v>0</v>
      </c>
      <c r="AB22" s="17">
        <f t="shared" si="1"/>
        <v>16400.87</v>
      </c>
      <c r="AC22" s="79">
        <f t="shared" si="4"/>
        <v>24974.8775</v>
      </c>
      <c r="AD22" s="80">
        <f t="shared" si="2"/>
        <v>0</v>
      </c>
      <c r="AE22" s="80">
        <f t="shared" si="3"/>
        <v>0</v>
      </c>
      <c r="AF22" s="79"/>
      <c r="AG22" s="30">
        <v>1990.05</v>
      </c>
      <c r="AH22" s="30">
        <v>663.1509950000001</v>
      </c>
      <c r="AI22" s="30">
        <v>2777.2026688749997</v>
      </c>
      <c r="AJ22" s="30">
        <v>499.89648039749994</v>
      </c>
      <c r="AK22" s="30">
        <v>2724.8504235249998</v>
      </c>
      <c r="AL22" s="30">
        <v>490.47307623449996</v>
      </c>
      <c r="AM22" s="30">
        <v>6270.3855765</v>
      </c>
      <c r="AN22" s="30">
        <v>1128.66940377</v>
      </c>
      <c r="AO22" s="30">
        <v>3524.54</v>
      </c>
      <c r="AP22" s="30">
        <v>634.4172</v>
      </c>
      <c r="AQ22" s="30"/>
      <c r="AR22" s="30"/>
      <c r="AS22" s="29">
        <v>0</v>
      </c>
      <c r="AT22" s="29">
        <v>0</v>
      </c>
      <c r="AU22" s="71">
        <f t="shared" si="11"/>
        <v>0</v>
      </c>
      <c r="AV22" s="71"/>
      <c r="AW22" s="71"/>
      <c r="AX22" s="18">
        <v>807.1672000000001</v>
      </c>
      <c r="AY22" s="19">
        <v>0</v>
      </c>
      <c r="AZ22" s="19">
        <v>0</v>
      </c>
      <c r="BA22" s="18">
        <f t="shared" si="5"/>
        <v>0</v>
      </c>
      <c r="BB22" s="18">
        <f t="shared" si="12"/>
        <v>21510.803024302</v>
      </c>
      <c r="BC22" s="18"/>
      <c r="BD22" s="18">
        <f t="shared" si="9"/>
        <v>3464.0744756979984</v>
      </c>
      <c r="BE22" s="20">
        <f t="shared" si="10"/>
        <v>-3715.010000000002</v>
      </c>
    </row>
    <row r="23" spans="1:57" ht="12.75">
      <c r="A23" s="66" t="s">
        <v>41</v>
      </c>
      <c r="B23" s="76">
        <v>3316.75</v>
      </c>
      <c r="C23" s="83">
        <f t="shared" si="7"/>
        <v>28689.8875</v>
      </c>
      <c r="D23" s="78">
        <f t="shared" si="13"/>
        <v>2972.8375</v>
      </c>
      <c r="E23" s="39">
        <f>2321.96-0.39</f>
        <v>2321.57</v>
      </c>
      <c r="F23" s="18">
        <v>646.65</v>
      </c>
      <c r="G23" s="18">
        <f>3145.05-0.51</f>
        <v>3144.54</v>
      </c>
      <c r="H23" s="18">
        <v>876.55</v>
      </c>
      <c r="I23" s="18">
        <f>7556.68-1.18</f>
        <v>7555.5</v>
      </c>
      <c r="J23" s="18">
        <v>2105.21</v>
      </c>
      <c r="K23" s="18">
        <f>5234.76-0.83</f>
        <v>5233.93</v>
      </c>
      <c r="L23" s="18">
        <v>1458.58</v>
      </c>
      <c r="M23" s="18">
        <f>1857.52-0.29</f>
        <v>1857.23</v>
      </c>
      <c r="N23" s="18">
        <v>517.29</v>
      </c>
      <c r="O23" s="18">
        <v>0</v>
      </c>
      <c r="P23" s="68">
        <v>0</v>
      </c>
      <c r="Q23" s="18">
        <v>0</v>
      </c>
      <c r="R23" s="18">
        <v>0</v>
      </c>
      <c r="S23" s="15">
        <f>E23+G23+I23+K23+M23+O23+Q23</f>
        <v>20112.77</v>
      </c>
      <c r="T23" s="69">
        <f>P23+N23+L23+J23+H23+F23+R23</f>
        <v>5604.28</v>
      </c>
      <c r="U23" s="18">
        <f>1926.8+923.73</f>
        <v>2850.5299999999997</v>
      </c>
      <c r="V23" s="18">
        <f>2607.87+1250.77</f>
        <v>3858.64</v>
      </c>
      <c r="W23" s="18">
        <f>6268.59+3005.74</f>
        <v>9274.33</v>
      </c>
      <c r="X23" s="18">
        <f>4341.87+2082.1</f>
        <v>6423.969999999999</v>
      </c>
      <c r="Y23" s="18">
        <f>1541.36+738.97</f>
        <v>2280.33</v>
      </c>
      <c r="Z23" s="18">
        <v>0</v>
      </c>
      <c r="AA23" s="18">
        <v>0</v>
      </c>
      <c r="AB23" s="80">
        <f>SUM(U23:AA23)</f>
        <v>24687.800000000003</v>
      </c>
      <c r="AC23" s="79">
        <f>AB23+T23+D23</f>
        <v>33264.9175</v>
      </c>
      <c r="AD23" s="80">
        <f>P23+Z23</f>
        <v>0</v>
      </c>
      <c r="AE23" s="80">
        <f>R23+AA23</f>
        <v>0</v>
      </c>
      <c r="AF23" s="79"/>
      <c r="AG23" s="30">
        <v>1990.05</v>
      </c>
      <c r="AH23" s="30">
        <v>663.35</v>
      </c>
      <c r="AI23" s="30">
        <v>2809.28725</v>
      </c>
      <c r="AJ23" s="30">
        <v>505.671705</v>
      </c>
      <c r="AK23" s="30">
        <v>2752.9024999999997</v>
      </c>
      <c r="AL23" s="30">
        <v>495.52244999999994</v>
      </c>
      <c r="AM23" s="30">
        <f>6324.31144067797+15599.06</f>
        <v>21923.37144067797</v>
      </c>
      <c r="AN23" s="30">
        <f>1138.37605932203+2807.83</f>
        <v>3946.20605932203</v>
      </c>
      <c r="AO23" s="30">
        <v>0</v>
      </c>
      <c r="AP23" s="30">
        <v>0</v>
      </c>
      <c r="AQ23" s="30"/>
      <c r="AR23" s="30"/>
      <c r="AS23" s="71">
        <v>126.91</v>
      </c>
      <c r="AT23" s="29">
        <v>0</v>
      </c>
      <c r="AU23" s="71">
        <f t="shared" si="11"/>
        <v>22.843799999999998</v>
      </c>
      <c r="AV23" s="71"/>
      <c r="AW23" s="71"/>
      <c r="AX23" s="18">
        <v>982.94</v>
      </c>
      <c r="AY23" s="19">
        <v>0</v>
      </c>
      <c r="AZ23" s="19">
        <v>0</v>
      </c>
      <c r="BA23" s="18">
        <f t="shared" si="5"/>
        <v>0</v>
      </c>
      <c r="BB23" s="18">
        <f t="shared" si="12"/>
        <v>36219.055205000004</v>
      </c>
      <c r="BC23" s="18"/>
      <c r="BD23" s="18">
        <f t="shared" si="9"/>
        <v>-2954.137705000001</v>
      </c>
      <c r="BE23" s="20">
        <f>AB23-S23</f>
        <v>4575.0300000000025</v>
      </c>
    </row>
    <row r="24" spans="1:57" ht="12.75">
      <c r="A24" s="66" t="s">
        <v>42</v>
      </c>
      <c r="B24" s="84">
        <v>3316.75</v>
      </c>
      <c r="C24" s="83">
        <f t="shared" si="7"/>
        <v>28689.8875</v>
      </c>
      <c r="D24" s="78">
        <f t="shared" si="13"/>
        <v>2956.4774999999986</v>
      </c>
      <c r="E24" s="61">
        <v>2335.84</v>
      </c>
      <c r="F24" s="61">
        <v>634.31</v>
      </c>
      <c r="G24" s="61">
        <v>3163.79</v>
      </c>
      <c r="H24" s="61">
        <v>859.85</v>
      </c>
      <c r="I24" s="61">
        <v>7601.72</v>
      </c>
      <c r="J24" s="61">
        <v>2065.11</v>
      </c>
      <c r="K24" s="61">
        <v>5265.95</v>
      </c>
      <c r="L24" s="61">
        <v>1430.79</v>
      </c>
      <c r="M24" s="61">
        <v>1868.61</v>
      </c>
      <c r="N24" s="61">
        <v>507.44</v>
      </c>
      <c r="O24" s="61">
        <v>0</v>
      </c>
      <c r="P24" s="67">
        <v>0</v>
      </c>
      <c r="Q24" s="68">
        <v>0</v>
      </c>
      <c r="R24" s="68">
        <v>0</v>
      </c>
      <c r="S24" s="15">
        <f>E24+G24+I24+K24+M24+O24+Q24</f>
        <v>20235.91</v>
      </c>
      <c r="T24" s="69">
        <f>P24+N24+L24+J24+H24+F24+R24</f>
        <v>5497.5</v>
      </c>
      <c r="U24" s="18">
        <v>2463.83</v>
      </c>
      <c r="V24" s="18">
        <v>3337.07</v>
      </c>
      <c r="W24" s="18">
        <v>8018.2</v>
      </c>
      <c r="X24" s="18">
        <v>5554.52</v>
      </c>
      <c r="Y24" s="18">
        <v>1971.05</v>
      </c>
      <c r="Z24" s="18">
        <v>0</v>
      </c>
      <c r="AA24" s="68">
        <v>0</v>
      </c>
      <c r="AB24" s="17">
        <f>SUM(U24:AA24)</f>
        <v>21344.67</v>
      </c>
      <c r="AC24" s="79">
        <f t="shared" si="4"/>
        <v>29798.647499999995</v>
      </c>
      <c r="AD24" s="80">
        <f>P24+Z24</f>
        <v>0</v>
      </c>
      <c r="AE24" s="80">
        <f>R24+AA24</f>
        <v>0</v>
      </c>
      <c r="AF24" s="79"/>
      <c r="AG24" s="30">
        <v>1990.05</v>
      </c>
      <c r="AH24" s="30">
        <v>663.35</v>
      </c>
      <c r="AI24" s="30">
        <v>2819.2374999999997</v>
      </c>
      <c r="AJ24" s="30">
        <v>507.4627499999999</v>
      </c>
      <c r="AK24" s="30">
        <v>2752.9024999999997</v>
      </c>
      <c r="AL24" s="30">
        <v>495.52244999999994</v>
      </c>
      <c r="AM24" s="30">
        <v>6334.992499999999</v>
      </c>
      <c r="AN24" s="30">
        <v>1140.29865</v>
      </c>
      <c r="AO24" s="30">
        <v>0</v>
      </c>
      <c r="AP24" s="30">
        <v>0</v>
      </c>
      <c r="AQ24" s="30"/>
      <c r="AR24" s="30"/>
      <c r="AS24" s="29">
        <v>1059</v>
      </c>
      <c r="AT24" s="29">
        <v>0</v>
      </c>
      <c r="AU24" s="71">
        <f t="shared" si="11"/>
        <v>190.62</v>
      </c>
      <c r="AV24" s="71"/>
      <c r="AW24" s="71"/>
      <c r="AX24" s="18">
        <v>1087.016</v>
      </c>
      <c r="AY24" s="19">
        <v>0</v>
      </c>
      <c r="AZ24" s="19">
        <v>0</v>
      </c>
      <c r="BA24" s="18">
        <f t="shared" si="5"/>
        <v>0</v>
      </c>
      <c r="BB24" s="18">
        <f t="shared" si="12"/>
        <v>19040.45235</v>
      </c>
      <c r="BC24" s="18"/>
      <c r="BD24" s="18">
        <f t="shared" si="9"/>
        <v>10758.195149999996</v>
      </c>
      <c r="BE24" s="20">
        <f t="shared" si="10"/>
        <v>1108.7599999999984</v>
      </c>
    </row>
    <row r="25" spans="1:57" ht="12.75">
      <c r="A25" s="12" t="s">
        <v>43</v>
      </c>
      <c r="B25" s="76">
        <v>3316.75</v>
      </c>
      <c r="C25" s="77">
        <f t="shared" si="7"/>
        <v>28689.8875</v>
      </c>
      <c r="D25" s="78">
        <f t="shared" si="13"/>
        <v>2943.1975000000048</v>
      </c>
      <c r="E25" s="61">
        <v>2351.85</v>
      </c>
      <c r="F25" s="61">
        <v>619.87</v>
      </c>
      <c r="G25" s="61">
        <v>3185.41</v>
      </c>
      <c r="H25" s="61">
        <v>840.26</v>
      </c>
      <c r="I25" s="61">
        <v>7653.76</v>
      </c>
      <c r="J25" s="61">
        <v>2018.06</v>
      </c>
      <c r="K25" s="61">
        <v>5301.99</v>
      </c>
      <c r="L25" s="61">
        <v>1398.19</v>
      </c>
      <c r="M25" s="61">
        <v>1881.42</v>
      </c>
      <c r="N25" s="61">
        <v>495.88</v>
      </c>
      <c r="O25" s="61">
        <v>0</v>
      </c>
      <c r="P25" s="61">
        <v>0</v>
      </c>
      <c r="Q25" s="61">
        <v>0</v>
      </c>
      <c r="R25" s="67">
        <v>0</v>
      </c>
      <c r="S25" s="15">
        <f>E25+G25+I25+K25+M25+O25+Q25</f>
        <v>20374.43</v>
      </c>
      <c r="T25" s="69">
        <f>P25+N25+L25+J25+H25+F25+R25</f>
        <v>5372.26</v>
      </c>
      <c r="U25" s="18">
        <v>3146.49</v>
      </c>
      <c r="V25" s="18">
        <v>4260.64</v>
      </c>
      <c r="W25" s="18">
        <v>10238.96</v>
      </c>
      <c r="X25" s="18">
        <v>7092.46</v>
      </c>
      <c r="Y25" s="18">
        <v>2517.22</v>
      </c>
      <c r="Z25" s="18">
        <v>0</v>
      </c>
      <c r="AA25" s="68">
        <v>0</v>
      </c>
      <c r="AB25" s="17">
        <f>SUM(U25:AA25)</f>
        <v>27255.77</v>
      </c>
      <c r="AC25" s="79">
        <f t="shared" si="4"/>
        <v>35571.2275</v>
      </c>
      <c r="AD25" s="80">
        <f>P25+Z25</f>
        <v>0</v>
      </c>
      <c r="AE25" s="80">
        <f>R25+AA25</f>
        <v>0</v>
      </c>
      <c r="AF25" s="79"/>
      <c r="AG25" s="30">
        <v>1990.05</v>
      </c>
      <c r="AH25" s="30">
        <v>663.35</v>
      </c>
      <c r="AI25" s="30">
        <v>2819.2374999999997</v>
      </c>
      <c r="AJ25" s="30">
        <v>507.4627499999999</v>
      </c>
      <c r="AK25" s="30">
        <v>2752.9024999999997</v>
      </c>
      <c r="AL25" s="30">
        <v>495.52244999999994</v>
      </c>
      <c r="AM25" s="30">
        <v>6334.992499999999</v>
      </c>
      <c r="AN25" s="30">
        <v>1140.29865</v>
      </c>
      <c r="AO25" s="30">
        <v>0</v>
      </c>
      <c r="AP25" s="30">
        <v>0</v>
      </c>
      <c r="AQ25" s="30"/>
      <c r="AR25" s="30"/>
      <c r="AS25" s="29">
        <v>5642</v>
      </c>
      <c r="AT25" s="29">
        <v>2400</v>
      </c>
      <c r="AU25" s="71">
        <f t="shared" si="11"/>
        <v>1447.56</v>
      </c>
      <c r="AV25" s="71"/>
      <c r="AW25" s="71"/>
      <c r="AX25" s="18">
        <v>1188.7792</v>
      </c>
      <c r="AY25" s="19">
        <v>0</v>
      </c>
      <c r="AZ25" s="19">
        <v>0</v>
      </c>
      <c r="BA25" s="18">
        <f t="shared" si="5"/>
        <v>0</v>
      </c>
      <c r="BB25" s="18">
        <f t="shared" si="12"/>
        <v>27382.155550000003</v>
      </c>
      <c r="BC25" s="18"/>
      <c r="BD25" s="18">
        <f>AC25+AF25-BB25</f>
        <v>8189.071949999998</v>
      </c>
      <c r="BE25" s="20">
        <f t="shared" si="10"/>
        <v>6881.34</v>
      </c>
    </row>
    <row r="26" spans="1:57" s="27" customFormat="1" ht="12.75">
      <c r="A26" s="21" t="s">
        <v>5</v>
      </c>
      <c r="B26" s="22"/>
      <c r="C26" s="22">
        <f aca="true" t="shared" si="14" ref="C26:BB26">SUM(C14:C25)</f>
        <v>344274.32500000007</v>
      </c>
      <c r="D26" s="22">
        <f t="shared" si="14"/>
        <v>38522.003125</v>
      </c>
      <c r="E26" s="23">
        <f t="shared" si="14"/>
        <v>27220.959999999995</v>
      </c>
      <c r="F26" s="23">
        <f t="shared" si="14"/>
        <v>7328.079999999999</v>
      </c>
      <c r="G26" s="23">
        <f t="shared" si="14"/>
        <v>36831.46000000001</v>
      </c>
      <c r="H26" s="23">
        <f t="shared" si="14"/>
        <v>9921.310000000001</v>
      </c>
      <c r="I26" s="23">
        <f t="shared" si="14"/>
        <v>88550.21</v>
      </c>
      <c r="J26" s="23">
        <f t="shared" si="14"/>
        <v>23845.11</v>
      </c>
      <c r="K26" s="23">
        <f t="shared" si="14"/>
        <v>61329.66999999999</v>
      </c>
      <c r="L26" s="23">
        <f t="shared" si="14"/>
        <v>16517.01</v>
      </c>
      <c r="M26" s="23">
        <f t="shared" si="14"/>
        <v>21776.54</v>
      </c>
      <c r="N26" s="23">
        <f t="shared" si="14"/>
        <v>5862.29</v>
      </c>
      <c r="O26" s="23">
        <f t="shared" si="14"/>
        <v>0</v>
      </c>
      <c r="P26" s="23">
        <f t="shared" si="14"/>
        <v>0</v>
      </c>
      <c r="Q26" s="23">
        <f t="shared" si="14"/>
        <v>0</v>
      </c>
      <c r="R26" s="23">
        <f t="shared" si="14"/>
        <v>0</v>
      </c>
      <c r="S26" s="23">
        <f t="shared" si="14"/>
        <v>235708.84</v>
      </c>
      <c r="T26" s="23">
        <f t="shared" si="14"/>
        <v>63473.8</v>
      </c>
      <c r="U26" s="24">
        <f t="shared" si="14"/>
        <v>26099.42</v>
      </c>
      <c r="V26" s="24">
        <f t="shared" si="14"/>
        <v>35300.21</v>
      </c>
      <c r="W26" s="24">
        <f t="shared" si="14"/>
        <v>84789.20000000001</v>
      </c>
      <c r="X26" s="24">
        <f t="shared" si="14"/>
        <v>58789.659999999996</v>
      </c>
      <c r="Y26" s="24">
        <f t="shared" si="14"/>
        <v>20878.530000000002</v>
      </c>
      <c r="Z26" s="24">
        <f t="shared" si="14"/>
        <v>0</v>
      </c>
      <c r="AA26" s="24">
        <f t="shared" si="14"/>
        <v>0</v>
      </c>
      <c r="AB26" s="24">
        <f t="shared" si="14"/>
        <v>225857.02</v>
      </c>
      <c r="AC26" s="24">
        <f t="shared" si="14"/>
        <v>327852.823125</v>
      </c>
      <c r="AD26" s="81">
        <f t="shared" si="14"/>
        <v>0</v>
      </c>
      <c r="AE26" s="81">
        <f t="shared" si="14"/>
        <v>0</v>
      </c>
      <c r="AF26" s="24">
        <f t="shared" si="14"/>
        <v>0</v>
      </c>
      <c r="AG26" s="25">
        <f t="shared" si="14"/>
        <v>23084.309999999994</v>
      </c>
      <c r="AH26" s="25">
        <f t="shared" si="14"/>
        <v>7728.633196500002</v>
      </c>
      <c r="AI26" s="25">
        <f t="shared" si="14"/>
        <v>32272.606639125</v>
      </c>
      <c r="AJ26" s="25">
        <f t="shared" si="14"/>
        <v>5809.069195042499</v>
      </c>
      <c r="AK26" s="25">
        <f t="shared" si="14"/>
        <v>31368.995185075</v>
      </c>
      <c r="AL26" s="25">
        <f t="shared" si="14"/>
        <v>5646.4191333135</v>
      </c>
      <c r="AM26" s="25">
        <f t="shared" si="14"/>
        <v>91717.87193802794</v>
      </c>
      <c r="AN26" s="25">
        <f t="shared" si="14"/>
        <v>16509.21874884503</v>
      </c>
      <c r="AO26" s="25">
        <f t="shared" si="14"/>
        <v>7059.389999999999</v>
      </c>
      <c r="AP26" s="25">
        <f t="shared" si="14"/>
        <v>1270.6902</v>
      </c>
      <c r="AQ26" s="25"/>
      <c r="AR26" s="25"/>
      <c r="AS26" s="63">
        <f>SUM(AS14:AS25)</f>
        <v>53302.03</v>
      </c>
      <c r="AT26" s="63">
        <f t="shared" si="14"/>
        <v>2400</v>
      </c>
      <c r="AU26" s="63">
        <f t="shared" si="14"/>
        <v>10026.3654</v>
      </c>
      <c r="AV26" s="63"/>
      <c r="AW26" s="63"/>
      <c r="AX26" s="25">
        <f t="shared" si="14"/>
        <v>10176.32</v>
      </c>
      <c r="AY26" s="25">
        <f t="shared" si="14"/>
        <v>0</v>
      </c>
      <c r="AZ26" s="25">
        <f t="shared" si="14"/>
        <v>0</v>
      </c>
      <c r="BA26" s="25">
        <f t="shared" si="14"/>
        <v>0</v>
      </c>
      <c r="BB26" s="25">
        <f t="shared" si="14"/>
        <v>298371.91963592905</v>
      </c>
      <c r="BC26" s="25"/>
      <c r="BD26" s="25">
        <f>SUM(BD14:BD25)</f>
        <v>29480.903489071003</v>
      </c>
      <c r="BE26" s="26">
        <f>SUM(BE14:BE25)</f>
        <v>-9851.819999999992</v>
      </c>
    </row>
    <row r="27" spans="1:57" ht="15" customHeight="1">
      <c r="A27" s="5" t="s">
        <v>84</v>
      </c>
      <c r="B27" s="60"/>
      <c r="C27" s="14"/>
      <c r="D27" s="1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2"/>
      <c r="P27" s="16"/>
      <c r="Q27" s="15"/>
      <c r="R27" s="15"/>
      <c r="S27" s="15"/>
      <c r="T27" s="15"/>
      <c r="U27" s="28"/>
      <c r="V27" s="28"/>
      <c r="W27" s="28"/>
      <c r="X27" s="28"/>
      <c r="Y27" s="28"/>
      <c r="Z27" s="28"/>
      <c r="AA27" s="17"/>
      <c r="AB27" s="17"/>
      <c r="AC27" s="79"/>
      <c r="AD27" s="80"/>
      <c r="AE27" s="80"/>
      <c r="AF27" s="79"/>
      <c r="AG27" s="18"/>
      <c r="AH27" s="18"/>
      <c r="AI27" s="18"/>
      <c r="AJ27" s="18"/>
      <c r="AK27" s="18"/>
      <c r="AL27" s="18"/>
      <c r="AM27" s="18"/>
      <c r="AN27" s="18"/>
      <c r="AO27" s="19"/>
      <c r="AP27" s="19"/>
      <c r="AQ27" s="19"/>
      <c r="AR27" s="19"/>
      <c r="AS27" s="70"/>
      <c r="AT27" s="70"/>
      <c r="AU27" s="29"/>
      <c r="AV27" s="29"/>
      <c r="AW27" s="29"/>
      <c r="AX27" s="19"/>
      <c r="AY27" s="19"/>
      <c r="AZ27" s="19"/>
      <c r="BA27" s="18"/>
      <c r="BB27" s="18"/>
      <c r="BC27" s="18"/>
      <c r="BD27" s="18"/>
      <c r="BE27" s="20"/>
    </row>
    <row r="28" spans="1:57" ht="12.75">
      <c r="A28" s="12" t="s">
        <v>45</v>
      </c>
      <c r="B28" s="105">
        <v>3316.75</v>
      </c>
      <c r="C28" s="106">
        <f>B28*8.65</f>
        <v>28689.8875</v>
      </c>
      <c r="D28" s="107">
        <f>C28-E28-F28-G28-H28-I28-J28-K28-L28-M28-N28</f>
        <v>2914.207500000003</v>
      </c>
      <c r="E28" s="108">
        <v>2363.15</v>
      </c>
      <c r="F28" s="108">
        <v>611.94</v>
      </c>
      <c r="G28" s="108">
        <v>3200.62</v>
      </c>
      <c r="H28" s="108">
        <v>829.53</v>
      </c>
      <c r="I28" s="108">
        <v>7690.44</v>
      </c>
      <c r="J28" s="108">
        <v>1992.29</v>
      </c>
      <c r="K28" s="108">
        <v>5327.36</v>
      </c>
      <c r="L28" s="108">
        <v>1380.34</v>
      </c>
      <c r="M28" s="108">
        <v>1890.46</v>
      </c>
      <c r="N28" s="108">
        <v>489.55</v>
      </c>
      <c r="O28" s="108">
        <v>0</v>
      </c>
      <c r="P28" s="109">
        <v>0</v>
      </c>
      <c r="Q28" s="109"/>
      <c r="R28" s="109"/>
      <c r="S28" s="110">
        <f>E28+G28+I28+K28+M28+O28+Q28</f>
        <v>20472.03</v>
      </c>
      <c r="T28" s="111">
        <f>P28+N28+L28+J28+H28+F28+R28</f>
        <v>5303.65</v>
      </c>
      <c r="U28" s="110">
        <v>1866.29</v>
      </c>
      <c r="V28" s="110">
        <v>2527.82</v>
      </c>
      <c r="W28" s="110">
        <v>6073.58</v>
      </c>
      <c r="X28" s="110">
        <v>4207.52</v>
      </c>
      <c r="Y28" s="110">
        <v>1493.04</v>
      </c>
      <c r="Z28" s="110">
        <v>0</v>
      </c>
      <c r="AA28" s="112">
        <v>0</v>
      </c>
      <c r="AB28" s="112">
        <f aca="true" t="shared" si="15" ref="AB28:AB39">SUM(U28:AA28)</f>
        <v>16168.25</v>
      </c>
      <c r="AC28" s="113">
        <f>D28+T28+AB28</f>
        <v>24386.107500000002</v>
      </c>
      <c r="AD28" s="114">
        <f>P28+Z28</f>
        <v>0</v>
      </c>
      <c r="AE28" s="114">
        <f>R28+AA28</f>
        <v>0</v>
      </c>
      <c r="AF28" s="114"/>
      <c r="AG28" s="30">
        <f>0.6*B28</f>
        <v>1990.05</v>
      </c>
      <c r="AH28" s="30">
        <f>B28*0.2</f>
        <v>663.35</v>
      </c>
      <c r="AI28" s="30">
        <f>1*B28</f>
        <v>3316.75</v>
      </c>
      <c r="AJ28" s="30">
        <v>0</v>
      </c>
      <c r="AK28" s="30">
        <f>0.98*B28</f>
        <v>3250.415</v>
      </c>
      <c r="AL28" s="30">
        <v>0</v>
      </c>
      <c r="AM28" s="30">
        <f>2.25*B28</f>
        <v>7462.6875</v>
      </c>
      <c r="AN28" s="30">
        <v>0</v>
      </c>
      <c r="AO28" s="30"/>
      <c r="AP28" s="30">
        <v>0</v>
      </c>
      <c r="AQ28" s="115"/>
      <c r="AR28" s="115"/>
      <c r="AS28" s="71">
        <v>124</v>
      </c>
      <c r="AT28" s="71"/>
      <c r="AU28" s="71">
        <f>AT28*0.18</f>
        <v>0</v>
      </c>
      <c r="AV28" s="116">
        <v>508</v>
      </c>
      <c r="AW28" s="117">
        <v>1.75</v>
      </c>
      <c r="AX28" s="30">
        <f>AV28*AW28*1.4</f>
        <v>1244.6</v>
      </c>
      <c r="AY28" s="118"/>
      <c r="AZ28" s="119"/>
      <c r="BA28" s="119">
        <f>AZ28*0.18</f>
        <v>0</v>
      </c>
      <c r="BB28" s="119">
        <f>SUM(AG28:BA28)-AV28-AW28</f>
        <v>18051.852499999997</v>
      </c>
      <c r="BC28" s="120"/>
      <c r="BD28" s="18">
        <f>AC28+AF28-BB28</f>
        <v>6334.255000000005</v>
      </c>
      <c r="BE28" s="20">
        <f>AB28-S28</f>
        <v>-4303.779999999999</v>
      </c>
    </row>
    <row r="29" spans="1:57" ht="12.75">
      <c r="A29" s="12" t="s">
        <v>46</v>
      </c>
      <c r="B29" s="121">
        <v>3318.55</v>
      </c>
      <c r="C29" s="106">
        <f>B29*8.65</f>
        <v>28705.457500000004</v>
      </c>
      <c r="D29" s="107">
        <f>C29-E29-F29-G29-H29-I29-J29-K29-L29-M29-N29</f>
        <v>2929.7775000000065</v>
      </c>
      <c r="E29" s="130">
        <v>2363.15</v>
      </c>
      <c r="F29" s="131">
        <v>611.94</v>
      </c>
      <c r="G29" s="131">
        <v>3200.62</v>
      </c>
      <c r="H29" s="131">
        <v>829.53</v>
      </c>
      <c r="I29" s="131">
        <v>7690.44</v>
      </c>
      <c r="J29" s="131">
        <v>1992.29</v>
      </c>
      <c r="K29" s="131">
        <v>5327.36</v>
      </c>
      <c r="L29" s="131">
        <v>1380.34</v>
      </c>
      <c r="M29" s="131">
        <v>1890.46</v>
      </c>
      <c r="N29" s="131">
        <v>489.55</v>
      </c>
      <c r="O29" s="131">
        <v>0</v>
      </c>
      <c r="P29" s="132">
        <v>0</v>
      </c>
      <c r="Q29" s="132">
        <v>0</v>
      </c>
      <c r="R29" s="132">
        <v>0</v>
      </c>
      <c r="S29" s="110">
        <f>E29+G29+I29+K29+M29+O29+Q29</f>
        <v>20472.03</v>
      </c>
      <c r="T29" s="111">
        <f>P29+N29+L29+J29+H29+F29+R29</f>
        <v>5303.65</v>
      </c>
      <c r="U29" s="110">
        <v>1857.54</v>
      </c>
      <c r="V29" s="110">
        <v>2516.2</v>
      </c>
      <c r="W29" s="110">
        <v>6045.44</v>
      </c>
      <c r="X29" s="110">
        <v>4187.86</v>
      </c>
      <c r="Y29" s="110">
        <v>1486.11</v>
      </c>
      <c r="Z29" s="110">
        <v>0</v>
      </c>
      <c r="AA29" s="112">
        <v>0</v>
      </c>
      <c r="AB29" s="112">
        <f t="shared" si="15"/>
        <v>16093.150000000001</v>
      </c>
      <c r="AC29" s="113">
        <f>D29+T29+AB29</f>
        <v>24326.577500000007</v>
      </c>
      <c r="AD29" s="114">
        <f>P29+Z29</f>
        <v>0</v>
      </c>
      <c r="AE29" s="114">
        <f>R29+AA29</f>
        <v>0</v>
      </c>
      <c r="AF29" s="114"/>
      <c r="AG29" s="30">
        <f>0.6*B29</f>
        <v>1991.13</v>
      </c>
      <c r="AH29" s="30">
        <f>B29*0.2</f>
        <v>663.71</v>
      </c>
      <c r="AI29" s="30">
        <f>1*B29</f>
        <v>3318.55</v>
      </c>
      <c r="AJ29" s="30">
        <v>0</v>
      </c>
      <c r="AK29" s="30">
        <f>0.98*B29</f>
        <v>3252.179</v>
      </c>
      <c r="AL29" s="30">
        <v>0</v>
      </c>
      <c r="AM29" s="30">
        <f>2.25*B29</f>
        <v>7466.7375</v>
      </c>
      <c r="AN29" s="30">
        <v>0</v>
      </c>
      <c r="AO29" s="30"/>
      <c r="AP29" s="30"/>
      <c r="AQ29" s="115"/>
      <c r="AR29" s="115"/>
      <c r="AS29" s="71">
        <v>2925</v>
      </c>
      <c r="AT29" s="71"/>
      <c r="AU29" s="71">
        <f>AT29*0.18</f>
        <v>0</v>
      </c>
      <c r="AV29" s="116">
        <v>407</v>
      </c>
      <c r="AW29" s="117">
        <v>1.75</v>
      </c>
      <c r="AX29" s="30">
        <f>AV29*AW29*1.4</f>
        <v>997.15</v>
      </c>
      <c r="AY29" s="118"/>
      <c r="AZ29" s="119"/>
      <c r="BA29" s="119">
        <f>AZ29*0.18</f>
        <v>0</v>
      </c>
      <c r="BB29" s="119">
        <f>SUM(AG29:BA29)-AV29-AW29</f>
        <v>20614.4565</v>
      </c>
      <c r="BC29" s="120"/>
      <c r="BD29" s="18">
        <f aca="true" t="shared" si="16" ref="BD29:BD36">AC29+AF29-BB29</f>
        <v>3712.1210000000065</v>
      </c>
      <c r="BE29" s="20">
        <f aca="true" t="shared" si="17" ref="BE29:BE36">AB29-S29</f>
        <v>-4378.879999999997</v>
      </c>
    </row>
    <row r="30" spans="1:57" ht="12.75">
      <c r="A30" s="12" t="s">
        <v>47</v>
      </c>
      <c r="B30" s="105">
        <v>3318.55</v>
      </c>
      <c r="C30" s="106">
        <f aca="true" t="shared" si="18" ref="C30:C39">B30*8.65</f>
        <v>28705.457500000004</v>
      </c>
      <c r="D30" s="107">
        <f aca="true" t="shared" si="19" ref="D30:D38">C30-E30-F30-G30-H30-I30-J30-K30-L30-M30-N30</f>
        <v>2917.7575000000033</v>
      </c>
      <c r="E30" s="108">
        <v>2364.56</v>
      </c>
      <c r="F30" s="108">
        <v>611.94</v>
      </c>
      <c r="G30" s="108">
        <v>3202.46</v>
      </c>
      <c r="H30" s="108">
        <v>829.53</v>
      </c>
      <c r="I30" s="108">
        <v>7694.97</v>
      </c>
      <c r="J30" s="108">
        <v>1992.29</v>
      </c>
      <c r="K30" s="108">
        <v>5330.47</v>
      </c>
      <c r="L30" s="108">
        <v>1380.34</v>
      </c>
      <c r="M30" s="108">
        <v>1891.59</v>
      </c>
      <c r="N30" s="108">
        <v>489.55</v>
      </c>
      <c r="O30" s="108">
        <v>0</v>
      </c>
      <c r="P30" s="109">
        <v>0</v>
      </c>
      <c r="Q30" s="109">
        <v>0</v>
      </c>
      <c r="R30" s="109">
        <v>0</v>
      </c>
      <c r="S30" s="110">
        <f aca="true" t="shared" si="20" ref="S30:S39">E30+G30+I30+K30+M30+O30+Q30</f>
        <v>20484.050000000003</v>
      </c>
      <c r="T30" s="111">
        <f aca="true" t="shared" si="21" ref="T30:T39">P30+N30+L30+J30+H30+F30+R30</f>
        <v>5303.65</v>
      </c>
      <c r="U30" s="110">
        <v>2280.42</v>
      </c>
      <c r="V30" s="110">
        <v>3088.74</v>
      </c>
      <c r="W30" s="110">
        <v>7421.31</v>
      </c>
      <c r="X30" s="110">
        <v>5141</v>
      </c>
      <c r="Y30" s="110">
        <v>1824.28</v>
      </c>
      <c r="Z30" s="110">
        <v>0</v>
      </c>
      <c r="AA30" s="112">
        <v>0</v>
      </c>
      <c r="AB30" s="112">
        <f t="shared" si="15"/>
        <v>19755.75</v>
      </c>
      <c r="AC30" s="113">
        <f aca="true" t="shared" si="22" ref="AC30:AC39">D30+T30+AB30</f>
        <v>27977.1575</v>
      </c>
      <c r="AD30" s="114">
        <f aca="true" t="shared" si="23" ref="AD30:AD39">P30+Z30</f>
        <v>0</v>
      </c>
      <c r="AE30" s="114">
        <f aca="true" t="shared" si="24" ref="AE30:AE39">R30+AA30</f>
        <v>0</v>
      </c>
      <c r="AF30" s="114"/>
      <c r="AG30" s="30">
        <f aca="true" t="shared" si="25" ref="AG30:AG39">0.6*B30</f>
        <v>1991.13</v>
      </c>
      <c r="AH30" s="30">
        <f aca="true" t="shared" si="26" ref="AH30:AH39">B30*0.2</f>
        <v>663.71</v>
      </c>
      <c r="AI30" s="30">
        <f aca="true" t="shared" si="27" ref="AI30:AI39">1*B30</f>
        <v>3318.55</v>
      </c>
      <c r="AJ30" s="30">
        <v>0</v>
      </c>
      <c r="AK30" s="30">
        <f aca="true" t="shared" si="28" ref="AK30:AK39">0.98*B30</f>
        <v>3252.179</v>
      </c>
      <c r="AL30" s="30">
        <v>0</v>
      </c>
      <c r="AM30" s="30">
        <f aca="true" t="shared" si="29" ref="AM30:AM39">2.25*B30</f>
        <v>7466.7375</v>
      </c>
      <c r="AN30" s="30">
        <v>0</v>
      </c>
      <c r="AO30" s="30"/>
      <c r="AP30" s="30"/>
      <c r="AQ30" s="115"/>
      <c r="AR30" s="115"/>
      <c r="AS30" s="71"/>
      <c r="AT30" s="71"/>
      <c r="AU30" s="71">
        <f aca="true" t="shared" si="30" ref="AU30:AU37">AT30*0.18</f>
        <v>0</v>
      </c>
      <c r="AV30" s="116">
        <v>383</v>
      </c>
      <c r="AW30" s="117">
        <v>1.75</v>
      </c>
      <c r="AX30" s="30">
        <f aca="true" t="shared" si="31" ref="AX30:AX39">AV30*AW30*1.4</f>
        <v>938.3499999999999</v>
      </c>
      <c r="AY30" s="118"/>
      <c r="AZ30" s="119"/>
      <c r="BA30" s="119">
        <f aca="true" t="shared" si="32" ref="BA30:BA39">AZ30*0.18</f>
        <v>0</v>
      </c>
      <c r="BB30" s="119">
        <f aca="true" t="shared" si="33" ref="BB30:BB39">SUM(AG30:BA30)-AV30-AW30</f>
        <v>17630.656499999997</v>
      </c>
      <c r="BC30" s="120"/>
      <c r="BD30" s="18">
        <f t="shared" si="16"/>
        <v>10346.501000000004</v>
      </c>
      <c r="BE30" s="20">
        <f t="shared" si="17"/>
        <v>-728.3000000000029</v>
      </c>
    </row>
    <row r="31" spans="1:57" ht="12.75">
      <c r="A31" s="12" t="s">
        <v>48</v>
      </c>
      <c r="B31" s="105">
        <v>3318.55</v>
      </c>
      <c r="C31" s="106">
        <f t="shared" si="18"/>
        <v>28705.457500000004</v>
      </c>
      <c r="D31" s="107">
        <f t="shared" si="19"/>
        <v>2923.5175000000054</v>
      </c>
      <c r="E31" s="108">
        <v>2355.59</v>
      </c>
      <c r="F31" s="108">
        <v>620.23</v>
      </c>
      <c r="G31" s="108">
        <v>3190.34</v>
      </c>
      <c r="H31" s="108">
        <v>840.76</v>
      </c>
      <c r="I31" s="108">
        <v>7665.83</v>
      </c>
      <c r="J31" s="108">
        <v>2019.27</v>
      </c>
      <c r="K31" s="108">
        <v>5310.31</v>
      </c>
      <c r="L31" s="108">
        <v>1399.02</v>
      </c>
      <c r="M31" s="108">
        <v>1884.39</v>
      </c>
      <c r="N31" s="108">
        <v>496.2</v>
      </c>
      <c r="O31" s="108">
        <v>0</v>
      </c>
      <c r="P31" s="109">
        <v>0</v>
      </c>
      <c r="Q31" s="109"/>
      <c r="R31" s="109"/>
      <c r="S31" s="110">
        <f t="shared" si="20"/>
        <v>20406.46</v>
      </c>
      <c r="T31" s="111">
        <f t="shared" si="21"/>
        <v>5375.48</v>
      </c>
      <c r="U31" s="110">
        <v>2071.22</v>
      </c>
      <c r="V31" s="110">
        <v>2796.17</v>
      </c>
      <c r="W31" s="110">
        <v>6733.7</v>
      </c>
      <c r="X31" s="110">
        <v>4660.26</v>
      </c>
      <c r="Y31" s="110">
        <v>1657.03</v>
      </c>
      <c r="Z31" s="110">
        <v>0</v>
      </c>
      <c r="AA31" s="112">
        <v>0</v>
      </c>
      <c r="AB31" s="112">
        <f t="shared" si="15"/>
        <v>17918.38</v>
      </c>
      <c r="AC31" s="113">
        <f t="shared" si="22"/>
        <v>26217.377500000006</v>
      </c>
      <c r="AD31" s="114">
        <f t="shared" si="23"/>
        <v>0</v>
      </c>
      <c r="AE31" s="114">
        <f t="shared" si="24"/>
        <v>0</v>
      </c>
      <c r="AF31" s="114"/>
      <c r="AG31" s="30">
        <f t="shared" si="25"/>
        <v>1991.13</v>
      </c>
      <c r="AH31" s="30">
        <f t="shared" si="26"/>
        <v>663.71</v>
      </c>
      <c r="AI31" s="30">
        <f t="shared" si="27"/>
        <v>3318.55</v>
      </c>
      <c r="AJ31" s="30">
        <v>0</v>
      </c>
      <c r="AK31" s="30">
        <f t="shared" si="28"/>
        <v>3252.179</v>
      </c>
      <c r="AL31" s="30">
        <v>0</v>
      </c>
      <c r="AM31" s="30">
        <f t="shared" si="29"/>
        <v>7466.7375</v>
      </c>
      <c r="AN31" s="30">
        <v>0</v>
      </c>
      <c r="AO31" s="30"/>
      <c r="AP31" s="30"/>
      <c r="AQ31" s="115"/>
      <c r="AR31" s="115"/>
      <c r="AS31" s="71">
        <v>2150</v>
      </c>
      <c r="AT31" s="71"/>
      <c r="AU31" s="71">
        <f t="shared" si="30"/>
        <v>0</v>
      </c>
      <c r="AV31" s="116">
        <v>307</v>
      </c>
      <c r="AW31" s="117">
        <v>1.75</v>
      </c>
      <c r="AX31" s="30">
        <f t="shared" si="31"/>
        <v>752.15</v>
      </c>
      <c r="AY31" s="118"/>
      <c r="AZ31" s="119"/>
      <c r="BA31" s="119">
        <f t="shared" si="32"/>
        <v>0</v>
      </c>
      <c r="BB31" s="119">
        <f t="shared" si="33"/>
        <v>19594.4565</v>
      </c>
      <c r="BC31" s="120"/>
      <c r="BD31" s="18">
        <f t="shared" si="16"/>
        <v>6622.921000000006</v>
      </c>
      <c r="BE31" s="20">
        <f t="shared" si="17"/>
        <v>-2488.079999999998</v>
      </c>
    </row>
    <row r="32" spans="1:57" ht="12.75">
      <c r="A32" s="12" t="s">
        <v>49</v>
      </c>
      <c r="B32" s="105">
        <v>3321.75</v>
      </c>
      <c r="C32" s="106">
        <f t="shared" si="18"/>
        <v>28733.1375</v>
      </c>
      <c r="D32" s="107">
        <f t="shared" si="19"/>
        <v>2927.5774999999994</v>
      </c>
      <c r="E32" s="108">
        <v>2356.63</v>
      </c>
      <c r="F32" s="108">
        <v>621.89</v>
      </c>
      <c r="G32" s="108">
        <v>3191.77</v>
      </c>
      <c r="H32" s="108">
        <v>843</v>
      </c>
      <c r="I32" s="108">
        <v>7669.34</v>
      </c>
      <c r="J32" s="108">
        <v>2024.66</v>
      </c>
      <c r="K32" s="108">
        <v>5312.68</v>
      </c>
      <c r="L32" s="108">
        <v>1402.79</v>
      </c>
      <c r="M32" s="108">
        <v>1885.29</v>
      </c>
      <c r="N32" s="108">
        <v>497.51</v>
      </c>
      <c r="O32" s="108">
        <v>0</v>
      </c>
      <c r="P32" s="109">
        <v>0</v>
      </c>
      <c r="Q32" s="109"/>
      <c r="R32" s="109"/>
      <c r="S32" s="110">
        <f t="shared" si="20"/>
        <v>20415.71</v>
      </c>
      <c r="T32" s="111">
        <f t="shared" si="21"/>
        <v>5389.85</v>
      </c>
      <c r="U32" s="122">
        <v>2240.49</v>
      </c>
      <c r="V32" s="122">
        <v>3034.34</v>
      </c>
      <c r="W32" s="122">
        <v>7291.05</v>
      </c>
      <c r="X32" s="122">
        <v>5050.8</v>
      </c>
      <c r="Y32" s="122">
        <v>1792.29</v>
      </c>
      <c r="Z32" s="122">
        <v>0</v>
      </c>
      <c r="AA32" s="123">
        <v>0</v>
      </c>
      <c r="AB32" s="112">
        <f t="shared" si="15"/>
        <v>19408.97</v>
      </c>
      <c r="AC32" s="113">
        <f t="shared" si="22"/>
        <v>27726.3975</v>
      </c>
      <c r="AD32" s="114">
        <f t="shared" si="23"/>
        <v>0</v>
      </c>
      <c r="AE32" s="114">
        <f t="shared" si="24"/>
        <v>0</v>
      </c>
      <c r="AF32" s="114"/>
      <c r="AG32" s="30">
        <f t="shared" si="25"/>
        <v>1993.05</v>
      </c>
      <c r="AH32" s="30">
        <f t="shared" si="26"/>
        <v>664.35</v>
      </c>
      <c r="AI32" s="30">
        <f t="shared" si="27"/>
        <v>3321.75</v>
      </c>
      <c r="AJ32" s="30">
        <v>0</v>
      </c>
      <c r="AK32" s="30">
        <f t="shared" si="28"/>
        <v>3255.315</v>
      </c>
      <c r="AL32" s="30">
        <v>0</v>
      </c>
      <c r="AM32" s="30">
        <f t="shared" si="29"/>
        <v>7473.9375</v>
      </c>
      <c r="AN32" s="30">
        <v>0</v>
      </c>
      <c r="AO32" s="30"/>
      <c r="AP32" s="30"/>
      <c r="AQ32" s="115"/>
      <c r="AR32" s="115"/>
      <c r="AS32" s="71">
        <v>4004</v>
      </c>
      <c r="AT32" s="71"/>
      <c r="AU32" s="71">
        <f t="shared" si="30"/>
        <v>0</v>
      </c>
      <c r="AV32" s="116">
        <v>263</v>
      </c>
      <c r="AW32" s="117">
        <v>1.75</v>
      </c>
      <c r="AX32" s="30">
        <f t="shared" si="31"/>
        <v>644.3499999999999</v>
      </c>
      <c r="AY32" s="118"/>
      <c r="AZ32" s="119"/>
      <c r="BA32" s="119">
        <f t="shared" si="32"/>
        <v>0</v>
      </c>
      <c r="BB32" s="119">
        <f t="shared" si="33"/>
        <v>21356.7525</v>
      </c>
      <c r="BC32" s="120"/>
      <c r="BD32" s="18">
        <f t="shared" si="16"/>
        <v>6369.645</v>
      </c>
      <c r="BE32" s="20">
        <f t="shared" si="17"/>
        <v>-1006.739999999998</v>
      </c>
    </row>
    <row r="33" spans="1:57" ht="12.75">
      <c r="A33" s="12" t="s">
        <v>50</v>
      </c>
      <c r="B33" s="105">
        <v>3321.75</v>
      </c>
      <c r="C33" s="106">
        <f t="shared" si="18"/>
        <v>28733.1375</v>
      </c>
      <c r="D33" s="107">
        <f t="shared" si="19"/>
        <v>2896.077500000003</v>
      </c>
      <c r="E33" s="108">
        <v>2363.79</v>
      </c>
      <c r="F33" s="108">
        <v>618.42</v>
      </c>
      <c r="G33" s="108">
        <v>3201.23</v>
      </c>
      <c r="H33" s="108">
        <v>838.34</v>
      </c>
      <c r="I33" s="108">
        <v>7692.46</v>
      </c>
      <c r="J33" s="108">
        <v>2013.41</v>
      </c>
      <c r="K33" s="108">
        <v>5328.68</v>
      </c>
      <c r="L33" s="108">
        <v>1394.98</v>
      </c>
      <c r="M33" s="108">
        <v>1891.01</v>
      </c>
      <c r="N33" s="108">
        <v>494.74</v>
      </c>
      <c r="O33" s="108">
        <v>0</v>
      </c>
      <c r="P33" s="109">
        <v>0</v>
      </c>
      <c r="Q33" s="108">
        <v>0</v>
      </c>
      <c r="R33" s="109">
        <v>0</v>
      </c>
      <c r="S33" s="110">
        <f t="shared" si="20"/>
        <v>20477.17</v>
      </c>
      <c r="T33" s="111">
        <f t="shared" si="21"/>
        <v>5359.89</v>
      </c>
      <c r="U33" s="110">
        <v>1957.97</v>
      </c>
      <c r="V33" s="110">
        <v>2652.24</v>
      </c>
      <c r="W33" s="110">
        <v>6372.21</v>
      </c>
      <c r="X33" s="110">
        <v>4414.28</v>
      </c>
      <c r="Y33" s="110">
        <v>1566.27</v>
      </c>
      <c r="Z33" s="110">
        <v>0</v>
      </c>
      <c r="AA33" s="112">
        <v>0</v>
      </c>
      <c r="AB33" s="112">
        <f t="shared" si="15"/>
        <v>16962.97</v>
      </c>
      <c r="AC33" s="113">
        <f t="shared" si="22"/>
        <v>25218.937500000004</v>
      </c>
      <c r="AD33" s="114">
        <f t="shared" si="23"/>
        <v>0</v>
      </c>
      <c r="AE33" s="114">
        <f t="shared" si="24"/>
        <v>0</v>
      </c>
      <c r="AF33" s="114"/>
      <c r="AG33" s="30">
        <f t="shared" si="25"/>
        <v>1993.05</v>
      </c>
      <c r="AH33" s="30">
        <f t="shared" si="26"/>
        <v>664.35</v>
      </c>
      <c r="AI33" s="30">
        <f t="shared" si="27"/>
        <v>3321.75</v>
      </c>
      <c r="AJ33" s="30">
        <v>0</v>
      </c>
      <c r="AK33" s="30">
        <f t="shared" si="28"/>
        <v>3255.315</v>
      </c>
      <c r="AL33" s="30">
        <v>0</v>
      </c>
      <c r="AM33" s="30">
        <f t="shared" si="29"/>
        <v>7473.9375</v>
      </c>
      <c r="AN33" s="30">
        <v>0</v>
      </c>
      <c r="AO33" s="30"/>
      <c r="AP33" s="30"/>
      <c r="AQ33" s="115"/>
      <c r="AR33" s="115"/>
      <c r="AS33" s="71">
        <v>5400</v>
      </c>
      <c r="AT33" s="71">
        <v>766.27</v>
      </c>
      <c r="AU33" s="71"/>
      <c r="AV33" s="116">
        <v>233</v>
      </c>
      <c r="AW33" s="117">
        <v>1.75</v>
      </c>
      <c r="AX33" s="30">
        <f t="shared" si="31"/>
        <v>570.8499999999999</v>
      </c>
      <c r="AY33" s="118"/>
      <c r="AZ33" s="119"/>
      <c r="BA33" s="119">
        <f t="shared" si="32"/>
        <v>0</v>
      </c>
      <c r="BB33" s="119">
        <f t="shared" si="33"/>
        <v>23445.5225</v>
      </c>
      <c r="BC33" s="120"/>
      <c r="BD33" s="18">
        <f t="shared" si="16"/>
        <v>1773.4150000000045</v>
      </c>
      <c r="BE33" s="20">
        <f t="shared" si="17"/>
        <v>-3514.199999999997</v>
      </c>
    </row>
    <row r="34" spans="1:57" ht="12.75">
      <c r="A34" s="12" t="s">
        <v>51</v>
      </c>
      <c r="B34" s="105">
        <v>3321.75</v>
      </c>
      <c r="C34" s="106">
        <f t="shared" si="18"/>
        <v>28733.1375</v>
      </c>
      <c r="D34" s="107">
        <f t="shared" si="19"/>
        <v>2793.577499999999</v>
      </c>
      <c r="E34" s="124">
        <v>2994.27</v>
      </c>
      <c r="F34" s="108">
        <v>0</v>
      </c>
      <c r="G34" s="108">
        <v>4055.27</v>
      </c>
      <c r="H34" s="108">
        <v>0</v>
      </c>
      <c r="I34" s="108">
        <v>9744.45</v>
      </c>
      <c r="J34" s="108">
        <v>0</v>
      </c>
      <c r="K34" s="108">
        <v>6750.17</v>
      </c>
      <c r="L34" s="108">
        <v>0</v>
      </c>
      <c r="M34" s="108">
        <v>2395.4</v>
      </c>
      <c r="N34" s="108">
        <v>0</v>
      </c>
      <c r="O34" s="108">
        <v>0</v>
      </c>
      <c r="P34" s="109">
        <v>0</v>
      </c>
      <c r="Q34" s="109"/>
      <c r="R34" s="109"/>
      <c r="S34" s="110">
        <f t="shared" si="20"/>
        <v>25939.560000000005</v>
      </c>
      <c r="T34" s="111">
        <f t="shared" si="21"/>
        <v>0</v>
      </c>
      <c r="U34" s="125">
        <v>2347.33</v>
      </c>
      <c r="V34" s="110">
        <v>3177.37</v>
      </c>
      <c r="W34" s="110">
        <v>7637.19</v>
      </c>
      <c r="X34" s="110">
        <v>5289.94</v>
      </c>
      <c r="Y34" s="110">
        <v>1877.78</v>
      </c>
      <c r="Z34" s="110">
        <v>0</v>
      </c>
      <c r="AA34" s="112">
        <v>0</v>
      </c>
      <c r="AB34" s="112">
        <f t="shared" si="15"/>
        <v>20329.609999999997</v>
      </c>
      <c r="AC34" s="113">
        <f t="shared" si="22"/>
        <v>23123.187499999996</v>
      </c>
      <c r="AD34" s="114">
        <f t="shared" si="23"/>
        <v>0</v>
      </c>
      <c r="AE34" s="114">
        <f t="shared" si="24"/>
        <v>0</v>
      </c>
      <c r="AF34" s="114"/>
      <c r="AG34" s="30">
        <f t="shared" si="25"/>
        <v>1993.05</v>
      </c>
      <c r="AH34" s="30">
        <f t="shared" si="26"/>
        <v>664.35</v>
      </c>
      <c r="AI34" s="30">
        <f t="shared" si="27"/>
        <v>3321.75</v>
      </c>
      <c r="AJ34" s="30">
        <v>0</v>
      </c>
      <c r="AK34" s="30">
        <f t="shared" si="28"/>
        <v>3255.315</v>
      </c>
      <c r="AL34" s="30">
        <v>0</v>
      </c>
      <c r="AM34" s="30">
        <f t="shared" si="29"/>
        <v>7473.9375</v>
      </c>
      <c r="AN34" s="30">
        <v>0</v>
      </c>
      <c r="AO34" s="30">
        <v>4058.1</v>
      </c>
      <c r="AP34" s="30"/>
      <c r="AQ34" s="115"/>
      <c r="AR34" s="115"/>
      <c r="AS34" s="71"/>
      <c r="AT34" s="71"/>
      <c r="AU34" s="71">
        <f t="shared" si="30"/>
        <v>0</v>
      </c>
      <c r="AV34" s="116">
        <v>248</v>
      </c>
      <c r="AW34" s="117">
        <v>1.75</v>
      </c>
      <c r="AX34" s="30">
        <f t="shared" si="31"/>
        <v>607.5999999999999</v>
      </c>
      <c r="AY34" s="118"/>
      <c r="AZ34" s="119"/>
      <c r="BA34" s="119">
        <f t="shared" si="32"/>
        <v>0</v>
      </c>
      <c r="BB34" s="119">
        <f t="shared" si="33"/>
        <v>21374.102499999997</v>
      </c>
      <c r="BC34" s="120"/>
      <c r="BD34" s="18">
        <f t="shared" si="16"/>
        <v>1749.0849999999991</v>
      </c>
      <c r="BE34" s="20">
        <f t="shared" si="17"/>
        <v>-5609.950000000008</v>
      </c>
    </row>
    <row r="35" spans="1:57" ht="12.75">
      <c r="A35" s="12" t="s">
        <v>52</v>
      </c>
      <c r="B35" s="105">
        <v>3321.75</v>
      </c>
      <c r="C35" s="106">
        <f t="shared" si="18"/>
        <v>28733.1375</v>
      </c>
      <c r="D35" s="107">
        <f t="shared" si="19"/>
        <v>2793.5675000000006</v>
      </c>
      <c r="E35" s="124">
        <v>2994.27</v>
      </c>
      <c r="F35" s="108">
        <v>0</v>
      </c>
      <c r="G35" s="108">
        <v>4055.28</v>
      </c>
      <c r="H35" s="108">
        <v>0</v>
      </c>
      <c r="I35" s="108">
        <v>9744.45</v>
      </c>
      <c r="J35" s="108">
        <v>0</v>
      </c>
      <c r="K35" s="108">
        <v>6750.17</v>
      </c>
      <c r="L35" s="108">
        <v>0</v>
      </c>
      <c r="M35" s="108">
        <v>2395.4</v>
      </c>
      <c r="N35" s="108">
        <v>0</v>
      </c>
      <c r="O35" s="108">
        <v>0</v>
      </c>
      <c r="P35" s="109">
        <v>0</v>
      </c>
      <c r="Q35" s="109"/>
      <c r="R35" s="109"/>
      <c r="S35" s="110">
        <f t="shared" si="20"/>
        <v>25939.57</v>
      </c>
      <c r="T35" s="111">
        <f t="shared" si="21"/>
        <v>0</v>
      </c>
      <c r="U35" s="122">
        <v>2582.66</v>
      </c>
      <c r="V35" s="122">
        <v>3499.71</v>
      </c>
      <c r="W35" s="122">
        <v>8407.76</v>
      </c>
      <c r="X35" s="122">
        <v>5824.07</v>
      </c>
      <c r="Y35" s="122">
        <v>2066.32</v>
      </c>
      <c r="Z35" s="122">
        <v>0</v>
      </c>
      <c r="AA35" s="123">
        <v>0</v>
      </c>
      <c r="AB35" s="112">
        <f t="shared" si="15"/>
        <v>22380.52</v>
      </c>
      <c r="AC35" s="113">
        <f t="shared" si="22"/>
        <v>25174.0875</v>
      </c>
      <c r="AD35" s="114">
        <f t="shared" si="23"/>
        <v>0</v>
      </c>
      <c r="AE35" s="114">
        <f t="shared" si="24"/>
        <v>0</v>
      </c>
      <c r="AF35" s="114"/>
      <c r="AG35" s="30">
        <f t="shared" si="25"/>
        <v>1993.05</v>
      </c>
      <c r="AH35" s="30">
        <f t="shared" si="26"/>
        <v>664.35</v>
      </c>
      <c r="AI35" s="30">
        <f t="shared" si="27"/>
        <v>3321.75</v>
      </c>
      <c r="AJ35" s="30">
        <v>0</v>
      </c>
      <c r="AK35" s="30">
        <f t="shared" si="28"/>
        <v>3255.315</v>
      </c>
      <c r="AL35" s="30">
        <v>0</v>
      </c>
      <c r="AM35" s="30">
        <f t="shared" si="29"/>
        <v>7473.9375</v>
      </c>
      <c r="AN35" s="30">
        <v>0</v>
      </c>
      <c r="AO35" s="30"/>
      <c r="AP35" s="30"/>
      <c r="AQ35" s="115"/>
      <c r="AR35" s="115"/>
      <c r="AS35" s="71"/>
      <c r="AT35" s="71">
        <f>47.8+42</f>
        <v>89.8</v>
      </c>
      <c r="AU35" s="71"/>
      <c r="AV35" s="116">
        <v>293</v>
      </c>
      <c r="AW35" s="117">
        <v>1.75</v>
      </c>
      <c r="AX35" s="30">
        <f t="shared" si="31"/>
        <v>717.8499999999999</v>
      </c>
      <c r="AY35" s="118"/>
      <c r="AZ35" s="119"/>
      <c r="BA35" s="119">
        <f t="shared" si="32"/>
        <v>0</v>
      </c>
      <c r="BB35" s="119">
        <f t="shared" si="33"/>
        <v>17516.052499999998</v>
      </c>
      <c r="BC35" s="120"/>
      <c r="BD35" s="18">
        <f t="shared" si="16"/>
        <v>7658.0350000000035</v>
      </c>
      <c r="BE35" s="20">
        <f t="shared" si="17"/>
        <v>-3559.0499999999993</v>
      </c>
    </row>
    <row r="36" spans="1:57" ht="12.75">
      <c r="A36" s="66" t="s">
        <v>53</v>
      </c>
      <c r="B36" s="105">
        <v>3321.75</v>
      </c>
      <c r="C36" s="106">
        <f t="shared" si="18"/>
        <v>28733.1375</v>
      </c>
      <c r="D36" s="107">
        <f t="shared" si="19"/>
        <v>2793.5574999999985</v>
      </c>
      <c r="E36" s="108">
        <v>2994.27</v>
      </c>
      <c r="F36" s="108">
        <v>0</v>
      </c>
      <c r="G36" s="108">
        <v>4055.31</v>
      </c>
      <c r="H36" s="108">
        <v>0</v>
      </c>
      <c r="I36" s="108">
        <v>9744.45</v>
      </c>
      <c r="J36" s="108">
        <v>0</v>
      </c>
      <c r="K36" s="108">
        <v>6750.16</v>
      </c>
      <c r="L36" s="108">
        <v>0</v>
      </c>
      <c r="M36" s="108">
        <v>2395.39</v>
      </c>
      <c r="N36" s="108">
        <v>0</v>
      </c>
      <c r="O36" s="108">
        <v>0</v>
      </c>
      <c r="P36" s="109">
        <v>0</v>
      </c>
      <c r="Q36" s="109"/>
      <c r="R36" s="109"/>
      <c r="S36" s="110">
        <f t="shared" si="20"/>
        <v>25939.579999999998</v>
      </c>
      <c r="T36" s="111">
        <f t="shared" si="21"/>
        <v>0</v>
      </c>
      <c r="U36" s="110">
        <v>2833.52</v>
      </c>
      <c r="V36" s="110">
        <v>3836.85</v>
      </c>
      <c r="W36" s="110">
        <v>9219.39</v>
      </c>
      <c r="X36" s="110">
        <v>6386.87</v>
      </c>
      <c r="Y36" s="110">
        <v>2266.58</v>
      </c>
      <c r="Z36" s="110">
        <v>0</v>
      </c>
      <c r="AA36" s="112">
        <v>0</v>
      </c>
      <c r="AB36" s="112">
        <f t="shared" si="15"/>
        <v>24543.21</v>
      </c>
      <c r="AC36" s="113">
        <f t="shared" si="22"/>
        <v>27336.767499999998</v>
      </c>
      <c r="AD36" s="114">
        <f t="shared" si="23"/>
        <v>0</v>
      </c>
      <c r="AE36" s="114">
        <f t="shared" si="24"/>
        <v>0</v>
      </c>
      <c r="AF36" s="114"/>
      <c r="AG36" s="30">
        <f t="shared" si="25"/>
        <v>1993.05</v>
      </c>
      <c r="AH36" s="30">
        <f t="shared" si="26"/>
        <v>664.35</v>
      </c>
      <c r="AI36" s="30">
        <f t="shared" si="27"/>
        <v>3321.75</v>
      </c>
      <c r="AJ36" s="30">
        <v>0</v>
      </c>
      <c r="AK36" s="30">
        <f t="shared" si="28"/>
        <v>3255.315</v>
      </c>
      <c r="AL36" s="30">
        <v>0</v>
      </c>
      <c r="AM36" s="30">
        <f t="shared" si="29"/>
        <v>7473.9375</v>
      </c>
      <c r="AN36" s="30">
        <v>0</v>
      </c>
      <c r="AO36" s="30"/>
      <c r="AP36" s="30"/>
      <c r="AQ36" s="115"/>
      <c r="AR36" s="115"/>
      <c r="AS36" s="71">
        <v>5587</v>
      </c>
      <c r="AT36" s="71"/>
      <c r="AU36" s="126">
        <f t="shared" si="30"/>
        <v>0</v>
      </c>
      <c r="AV36" s="116">
        <v>349</v>
      </c>
      <c r="AW36" s="117">
        <v>1.75</v>
      </c>
      <c r="AX36" s="30">
        <f t="shared" si="31"/>
        <v>855.05</v>
      </c>
      <c r="AY36" s="118"/>
      <c r="AZ36" s="119"/>
      <c r="BA36" s="119">
        <f t="shared" si="32"/>
        <v>0</v>
      </c>
      <c r="BB36" s="119">
        <f t="shared" si="33"/>
        <v>23150.4525</v>
      </c>
      <c r="BC36" s="120"/>
      <c r="BD36" s="18">
        <f t="shared" si="16"/>
        <v>4186.314999999999</v>
      </c>
      <c r="BE36" s="20">
        <f t="shared" si="17"/>
        <v>-1396.369999999999</v>
      </c>
    </row>
    <row r="37" spans="1:57" ht="12.75">
      <c r="A37" s="66" t="s">
        <v>41</v>
      </c>
      <c r="B37" s="105">
        <v>3321.75</v>
      </c>
      <c r="C37" s="106">
        <f t="shared" si="18"/>
        <v>28733.1375</v>
      </c>
      <c r="D37" s="107">
        <f t="shared" si="19"/>
        <v>2778.0974999999985</v>
      </c>
      <c r="E37" s="127">
        <v>2996.09</v>
      </c>
      <c r="F37" s="127">
        <v>0</v>
      </c>
      <c r="G37" s="127">
        <v>4057.65</v>
      </c>
      <c r="H37" s="127">
        <v>0</v>
      </c>
      <c r="I37" s="127">
        <v>9750.26</v>
      </c>
      <c r="J37" s="127">
        <v>0</v>
      </c>
      <c r="K37" s="127">
        <v>6754.18</v>
      </c>
      <c r="L37" s="127">
        <v>0</v>
      </c>
      <c r="M37" s="127">
        <v>2396.86</v>
      </c>
      <c r="N37" s="127">
        <v>0</v>
      </c>
      <c r="O37" s="127">
        <v>0</v>
      </c>
      <c r="P37" s="128">
        <v>0</v>
      </c>
      <c r="Q37" s="128"/>
      <c r="R37" s="128"/>
      <c r="S37" s="110">
        <f t="shared" si="20"/>
        <v>25955.04</v>
      </c>
      <c r="T37" s="111">
        <f t="shared" si="21"/>
        <v>0</v>
      </c>
      <c r="U37" s="110">
        <v>3019.6</v>
      </c>
      <c r="V37" s="110">
        <v>4089.99</v>
      </c>
      <c r="W37" s="110">
        <v>10654.19</v>
      </c>
      <c r="X37" s="110">
        <v>6807.55</v>
      </c>
      <c r="Y37" s="110">
        <v>2415.65</v>
      </c>
      <c r="Z37" s="110">
        <v>0</v>
      </c>
      <c r="AA37" s="112">
        <v>0</v>
      </c>
      <c r="AB37" s="112">
        <f t="shared" si="15"/>
        <v>26986.98</v>
      </c>
      <c r="AC37" s="113">
        <f t="shared" si="22"/>
        <v>29765.0775</v>
      </c>
      <c r="AD37" s="114">
        <f t="shared" si="23"/>
        <v>0</v>
      </c>
      <c r="AE37" s="114">
        <f t="shared" si="24"/>
        <v>0</v>
      </c>
      <c r="AF37" s="114">
        <f>100</f>
        <v>100</v>
      </c>
      <c r="AG37" s="30">
        <f t="shared" si="25"/>
        <v>1993.05</v>
      </c>
      <c r="AH37" s="30">
        <f t="shared" si="26"/>
        <v>664.35</v>
      </c>
      <c r="AI37" s="30">
        <f t="shared" si="27"/>
        <v>3321.75</v>
      </c>
      <c r="AJ37" s="30">
        <v>0</v>
      </c>
      <c r="AK37" s="30">
        <f t="shared" si="28"/>
        <v>3255.315</v>
      </c>
      <c r="AL37" s="30">
        <v>0</v>
      </c>
      <c r="AM37" s="30">
        <f t="shared" si="29"/>
        <v>7473.9375</v>
      </c>
      <c r="AN37" s="30">
        <v>0</v>
      </c>
      <c r="AO37" s="30"/>
      <c r="AP37" s="30"/>
      <c r="AQ37" s="115"/>
      <c r="AR37" s="115"/>
      <c r="AS37" s="71">
        <v>299</v>
      </c>
      <c r="AT37" s="71">
        <v>60</v>
      </c>
      <c r="AU37" s="71"/>
      <c r="AV37" s="116">
        <v>425</v>
      </c>
      <c r="AW37" s="117">
        <v>1.75</v>
      </c>
      <c r="AX37" s="30">
        <f t="shared" si="31"/>
        <v>1041.25</v>
      </c>
      <c r="AY37" s="118"/>
      <c r="AZ37" s="119"/>
      <c r="BA37" s="119">
        <f t="shared" si="32"/>
        <v>0</v>
      </c>
      <c r="BB37" s="119">
        <f t="shared" si="33"/>
        <v>18108.6525</v>
      </c>
      <c r="BC37" s="120">
        <v>25</v>
      </c>
      <c r="BD37" s="18">
        <f>AC37+AF37-BB37-BC37</f>
        <v>11731.425</v>
      </c>
      <c r="BE37" s="20">
        <f>AB37-S37</f>
        <v>1031.9399999999987</v>
      </c>
    </row>
    <row r="38" spans="1:57" ht="12.75">
      <c r="A38" s="66" t="s">
        <v>42</v>
      </c>
      <c r="B38" s="105">
        <v>3321.75</v>
      </c>
      <c r="C38" s="106">
        <f t="shared" si="18"/>
        <v>28733.1375</v>
      </c>
      <c r="D38" s="107">
        <f t="shared" si="19"/>
        <v>2774.8175</v>
      </c>
      <c r="E38" s="108">
        <v>2996.48</v>
      </c>
      <c r="F38" s="108">
        <v>0</v>
      </c>
      <c r="G38" s="108">
        <v>4058.15</v>
      </c>
      <c r="H38" s="108">
        <v>0</v>
      </c>
      <c r="I38" s="108">
        <v>9751.5</v>
      </c>
      <c r="J38" s="108">
        <v>0</v>
      </c>
      <c r="K38" s="108">
        <v>6755.03</v>
      </c>
      <c r="L38" s="108">
        <v>0</v>
      </c>
      <c r="M38" s="108">
        <v>2397.16</v>
      </c>
      <c r="N38" s="108">
        <v>0</v>
      </c>
      <c r="O38" s="108">
        <v>0</v>
      </c>
      <c r="P38" s="109">
        <v>0</v>
      </c>
      <c r="Q38" s="109"/>
      <c r="R38" s="109"/>
      <c r="S38" s="110">
        <f t="shared" si="20"/>
        <v>25958.32</v>
      </c>
      <c r="T38" s="111">
        <f t="shared" si="21"/>
        <v>0</v>
      </c>
      <c r="U38" s="125">
        <v>3524.19</v>
      </c>
      <c r="V38" s="110">
        <v>4772.55</v>
      </c>
      <c r="W38" s="110">
        <v>14468.25</v>
      </c>
      <c r="X38" s="110">
        <v>7944.36</v>
      </c>
      <c r="Y38" s="110">
        <v>2819.35</v>
      </c>
      <c r="Z38" s="110">
        <v>0</v>
      </c>
      <c r="AA38" s="112">
        <v>0</v>
      </c>
      <c r="AB38" s="112">
        <f t="shared" si="15"/>
        <v>33528.7</v>
      </c>
      <c r="AC38" s="113">
        <f t="shared" si="22"/>
        <v>36303.517499999994</v>
      </c>
      <c r="AD38" s="114">
        <f t="shared" si="23"/>
        <v>0</v>
      </c>
      <c r="AE38" s="114">
        <f t="shared" si="24"/>
        <v>0</v>
      </c>
      <c r="AF38" s="114">
        <f>100</f>
        <v>100</v>
      </c>
      <c r="AG38" s="30">
        <f t="shared" si="25"/>
        <v>1993.05</v>
      </c>
      <c r="AH38" s="30">
        <f t="shared" si="26"/>
        <v>664.35</v>
      </c>
      <c r="AI38" s="30">
        <f t="shared" si="27"/>
        <v>3321.75</v>
      </c>
      <c r="AJ38" s="30">
        <v>0</v>
      </c>
      <c r="AK38" s="30">
        <f t="shared" si="28"/>
        <v>3255.315</v>
      </c>
      <c r="AL38" s="30">
        <v>0</v>
      </c>
      <c r="AM38" s="30">
        <f t="shared" si="29"/>
        <v>7473.9375</v>
      </c>
      <c r="AN38" s="30">
        <v>0</v>
      </c>
      <c r="AO38" s="30"/>
      <c r="AP38" s="30"/>
      <c r="AQ38" s="115"/>
      <c r="AR38" s="115"/>
      <c r="AS38" s="71">
        <v>963</v>
      </c>
      <c r="AT38" s="71">
        <f>839+25</f>
        <v>864</v>
      </c>
      <c r="AU38" s="71"/>
      <c r="AV38" s="116">
        <v>470</v>
      </c>
      <c r="AW38" s="117">
        <v>1.75</v>
      </c>
      <c r="AX38" s="30">
        <f t="shared" si="31"/>
        <v>1151.5</v>
      </c>
      <c r="AY38" s="118"/>
      <c r="AZ38" s="119"/>
      <c r="BA38" s="119">
        <f t="shared" si="32"/>
        <v>0</v>
      </c>
      <c r="BB38" s="119">
        <f t="shared" si="33"/>
        <v>19686.9025</v>
      </c>
      <c r="BC38" s="120">
        <f>25</f>
        <v>25</v>
      </c>
      <c r="BD38" s="18">
        <f>AC38+AF38-BB38-BC38</f>
        <v>16691.614999999994</v>
      </c>
      <c r="BE38" s="20">
        <f>AB38-S38</f>
        <v>7570.379999999997</v>
      </c>
    </row>
    <row r="39" spans="1:57" ht="12.75">
      <c r="A39" s="12" t="s">
        <v>43</v>
      </c>
      <c r="B39" s="105">
        <v>3321.75</v>
      </c>
      <c r="C39" s="106">
        <f t="shared" si="18"/>
        <v>28733.1375</v>
      </c>
      <c r="D39" s="129">
        <f>C39-E39-F39-G39-H39-I39-J39-K39-L39-M39-N39+40000</f>
        <v>42786.3075</v>
      </c>
      <c r="E39" s="108">
        <v>2995.13</v>
      </c>
      <c r="F39" s="108">
        <v>0</v>
      </c>
      <c r="G39" s="108">
        <v>4056.39</v>
      </c>
      <c r="H39" s="108">
        <v>0</v>
      </c>
      <c r="I39" s="108">
        <v>9747.18</v>
      </c>
      <c r="J39" s="108">
        <v>0</v>
      </c>
      <c r="K39" s="108">
        <v>6752.05</v>
      </c>
      <c r="L39" s="108">
        <v>0</v>
      </c>
      <c r="M39" s="108">
        <v>2396.08</v>
      </c>
      <c r="N39" s="108">
        <v>0</v>
      </c>
      <c r="O39" s="108">
        <v>0</v>
      </c>
      <c r="P39" s="109">
        <v>0</v>
      </c>
      <c r="Q39" s="109"/>
      <c r="R39" s="109"/>
      <c r="S39" s="110">
        <f t="shared" si="20"/>
        <v>25946.83</v>
      </c>
      <c r="T39" s="111">
        <f t="shared" si="21"/>
        <v>0</v>
      </c>
      <c r="U39" s="110">
        <v>3876.61</v>
      </c>
      <c r="V39" s="110">
        <v>5248.73</v>
      </c>
      <c r="W39" s="110">
        <v>12614.22</v>
      </c>
      <c r="X39" s="110">
        <v>8737.69</v>
      </c>
      <c r="Y39" s="110">
        <v>3926.31</v>
      </c>
      <c r="Z39" s="110">
        <v>0</v>
      </c>
      <c r="AA39" s="112">
        <v>0</v>
      </c>
      <c r="AB39" s="112">
        <f t="shared" si="15"/>
        <v>34403.56</v>
      </c>
      <c r="AC39" s="113">
        <f t="shared" si="22"/>
        <v>77189.8675</v>
      </c>
      <c r="AD39" s="114">
        <f t="shared" si="23"/>
        <v>0</v>
      </c>
      <c r="AE39" s="114">
        <f t="shared" si="24"/>
        <v>0</v>
      </c>
      <c r="AF39" s="114">
        <f>100</f>
        <v>100</v>
      </c>
      <c r="AG39" s="30">
        <f t="shared" si="25"/>
        <v>1993.05</v>
      </c>
      <c r="AH39" s="30">
        <f t="shared" si="26"/>
        <v>664.35</v>
      </c>
      <c r="AI39" s="30">
        <f t="shared" si="27"/>
        <v>3321.75</v>
      </c>
      <c r="AJ39" s="30">
        <v>0</v>
      </c>
      <c r="AK39" s="30">
        <f t="shared" si="28"/>
        <v>3255.315</v>
      </c>
      <c r="AL39" s="30">
        <v>0</v>
      </c>
      <c r="AM39" s="30">
        <f t="shared" si="29"/>
        <v>7473.9375</v>
      </c>
      <c r="AN39" s="30">
        <v>0</v>
      </c>
      <c r="AO39" s="30"/>
      <c r="AP39" s="30"/>
      <c r="AQ39" s="115"/>
      <c r="AR39" s="115"/>
      <c r="AS39" s="71"/>
      <c r="AT39" s="71">
        <v>715.21</v>
      </c>
      <c r="AU39" s="71">
        <f>AT39*0.18</f>
        <v>128.7378</v>
      </c>
      <c r="AV39" s="116">
        <v>514</v>
      </c>
      <c r="AW39" s="117">
        <v>1.75</v>
      </c>
      <c r="AX39" s="30">
        <f t="shared" si="31"/>
        <v>1259.3</v>
      </c>
      <c r="AY39" s="118"/>
      <c r="AZ39" s="119"/>
      <c r="BA39" s="119">
        <f t="shared" si="32"/>
        <v>0</v>
      </c>
      <c r="BB39" s="119">
        <f t="shared" si="33"/>
        <v>18811.650299999998</v>
      </c>
      <c r="BC39" s="120">
        <v>25</v>
      </c>
      <c r="BD39" s="18">
        <f>AC39+AF39-BB39-BC39</f>
        <v>58453.2172</v>
      </c>
      <c r="BE39" s="20">
        <f>AB39-S39</f>
        <v>8456.729999999996</v>
      </c>
    </row>
    <row r="40" spans="1:57" s="27" customFormat="1" ht="12.75">
      <c r="A40" s="21" t="s">
        <v>5</v>
      </c>
      <c r="B40" s="22"/>
      <c r="C40" s="22">
        <f aca="true" t="shared" si="34" ref="C40:AP40">SUM(C28:C39)</f>
        <v>344671.3600000001</v>
      </c>
      <c r="D40" s="22">
        <f t="shared" si="34"/>
        <v>74228.84000000003</v>
      </c>
      <c r="E40" s="23">
        <f t="shared" si="34"/>
        <v>32137.380000000005</v>
      </c>
      <c r="F40" s="23">
        <f t="shared" si="34"/>
        <v>3696.36</v>
      </c>
      <c r="G40" s="23">
        <f t="shared" si="34"/>
        <v>43525.090000000004</v>
      </c>
      <c r="H40" s="23">
        <f t="shared" si="34"/>
        <v>5010.6900000000005</v>
      </c>
      <c r="I40" s="23">
        <f t="shared" si="34"/>
        <v>104585.76999999999</v>
      </c>
      <c r="J40" s="23">
        <f t="shared" si="34"/>
        <v>12034.21</v>
      </c>
      <c r="K40" s="23">
        <f t="shared" si="34"/>
        <v>72448.62000000001</v>
      </c>
      <c r="L40" s="23">
        <f t="shared" si="34"/>
        <v>8337.81</v>
      </c>
      <c r="M40" s="23">
        <f t="shared" si="34"/>
        <v>25709.489999999998</v>
      </c>
      <c r="N40" s="23">
        <f t="shared" si="34"/>
        <v>2957.1000000000004</v>
      </c>
      <c r="O40" s="23">
        <f t="shared" si="34"/>
        <v>0</v>
      </c>
      <c r="P40" s="23">
        <f t="shared" si="34"/>
        <v>0</v>
      </c>
      <c r="Q40" s="23">
        <f t="shared" si="34"/>
        <v>0</v>
      </c>
      <c r="R40" s="23">
        <f t="shared" si="34"/>
        <v>0</v>
      </c>
      <c r="S40" s="23">
        <f t="shared" si="34"/>
        <v>278406.35000000003</v>
      </c>
      <c r="T40" s="23">
        <f t="shared" si="34"/>
        <v>32036.17</v>
      </c>
      <c r="U40" s="24">
        <f t="shared" si="34"/>
        <v>30457.839999999997</v>
      </c>
      <c r="V40" s="24">
        <f t="shared" si="34"/>
        <v>41240.71000000001</v>
      </c>
      <c r="W40" s="24">
        <f t="shared" si="34"/>
        <v>102938.29000000001</v>
      </c>
      <c r="X40" s="24">
        <f t="shared" si="34"/>
        <v>68652.2</v>
      </c>
      <c r="Y40" s="24">
        <f t="shared" si="34"/>
        <v>25191.010000000002</v>
      </c>
      <c r="Z40" s="24">
        <f t="shared" si="34"/>
        <v>0</v>
      </c>
      <c r="AA40" s="24">
        <f t="shared" si="34"/>
        <v>0</v>
      </c>
      <c r="AB40" s="24">
        <f t="shared" si="34"/>
        <v>268480.05</v>
      </c>
      <c r="AC40" s="24">
        <f t="shared" si="34"/>
        <v>374745.06</v>
      </c>
      <c r="AD40" s="81">
        <f t="shared" si="34"/>
        <v>0</v>
      </c>
      <c r="AE40" s="81">
        <f t="shared" si="34"/>
        <v>0</v>
      </c>
      <c r="AF40" s="24">
        <f t="shared" si="34"/>
        <v>300</v>
      </c>
      <c r="AG40" s="25">
        <f t="shared" si="34"/>
        <v>23907.839999999997</v>
      </c>
      <c r="AH40" s="25">
        <f t="shared" si="34"/>
        <v>7969.280000000002</v>
      </c>
      <c r="AI40" s="25">
        <f t="shared" si="34"/>
        <v>39846.4</v>
      </c>
      <c r="AJ40" s="25">
        <f t="shared" si="34"/>
        <v>0</v>
      </c>
      <c r="AK40" s="25">
        <f t="shared" si="34"/>
        <v>39049.472</v>
      </c>
      <c r="AL40" s="25">
        <f t="shared" si="34"/>
        <v>0</v>
      </c>
      <c r="AM40" s="25">
        <f t="shared" si="34"/>
        <v>89654.4</v>
      </c>
      <c r="AN40" s="25">
        <f t="shared" si="34"/>
        <v>0</v>
      </c>
      <c r="AO40" s="25">
        <f t="shared" si="34"/>
        <v>4058.1</v>
      </c>
      <c r="AP40" s="25">
        <f t="shared" si="34"/>
        <v>0</v>
      </c>
      <c r="AQ40" s="25"/>
      <c r="AR40" s="25"/>
      <c r="AS40" s="63">
        <f>SUM(AS28:AS39)</f>
        <v>21452</v>
      </c>
      <c r="AT40" s="63">
        <f>SUM(AT28:AT39)</f>
        <v>2495.2799999999997</v>
      </c>
      <c r="AU40" s="63">
        <f>SUM(AU28:AU39)</f>
        <v>128.7378</v>
      </c>
      <c r="AV40" s="63"/>
      <c r="AW40" s="63"/>
      <c r="AX40" s="25">
        <f>SUM(AX28:AX39)</f>
        <v>10780</v>
      </c>
      <c r="AY40" s="25">
        <f>SUM(AY28:AY39)</f>
        <v>0</v>
      </c>
      <c r="AZ40" s="25">
        <f>SUM(AZ28:AZ39)</f>
        <v>0</v>
      </c>
      <c r="BA40" s="25">
        <f>SUM(BA28:BA39)</f>
        <v>0</v>
      </c>
      <c r="BB40" s="25">
        <f>SUM(BB28:BB39)</f>
        <v>239341.50979999997</v>
      </c>
      <c r="BC40" s="25">
        <f>SUM(BC28:BC39)</f>
        <v>75</v>
      </c>
      <c r="BD40" s="25">
        <f>SUM(BD28:BD39)</f>
        <v>135628.5502</v>
      </c>
      <c r="BE40" s="26">
        <f>SUM(BE28:BE39)</f>
        <v>-9926.300000000007</v>
      </c>
    </row>
    <row r="41" spans="1:57" s="27" customFormat="1" ht="12.75">
      <c r="A41" s="21"/>
      <c r="B41" s="22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81"/>
      <c r="AE41" s="81"/>
      <c r="AF41" s="82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63"/>
      <c r="AT41" s="63"/>
      <c r="AU41" s="63"/>
      <c r="AV41" s="63"/>
      <c r="AW41" s="63"/>
      <c r="AX41" s="25"/>
      <c r="AY41" s="25"/>
      <c r="AZ41" s="25"/>
      <c r="BA41" s="25"/>
      <c r="BB41" s="25"/>
      <c r="BC41" s="25"/>
      <c r="BD41" s="25"/>
      <c r="BE41" s="26"/>
    </row>
    <row r="42" spans="1:57" s="27" customFormat="1" ht="13.5" thickBot="1">
      <c r="A42" s="31" t="s">
        <v>54</v>
      </c>
      <c r="B42" s="32"/>
      <c r="C42" s="32">
        <f>C12+C26+C40</f>
        <v>775011.4550000002</v>
      </c>
      <c r="D42" s="32">
        <f aca="true" t="shared" si="35" ref="D42:BE42">D12+D26+D40</f>
        <v>133467.16084990004</v>
      </c>
      <c r="E42" s="32">
        <f t="shared" si="35"/>
        <v>65697.61</v>
      </c>
      <c r="F42" s="32">
        <f t="shared" si="35"/>
        <v>12696.99</v>
      </c>
      <c r="G42" s="32">
        <f t="shared" si="35"/>
        <v>88914.56000000001</v>
      </c>
      <c r="H42" s="32">
        <f t="shared" si="35"/>
        <v>17189.93</v>
      </c>
      <c r="I42" s="32">
        <f t="shared" si="35"/>
        <v>213738.66999999998</v>
      </c>
      <c r="J42" s="32">
        <f t="shared" si="35"/>
        <v>41315.05</v>
      </c>
      <c r="K42" s="32">
        <f t="shared" si="35"/>
        <v>148041.7</v>
      </c>
      <c r="L42" s="32">
        <f t="shared" si="35"/>
        <v>28618.03</v>
      </c>
      <c r="M42" s="32">
        <f t="shared" si="35"/>
        <v>52557.57</v>
      </c>
      <c r="N42" s="32">
        <f t="shared" si="35"/>
        <v>10157.35</v>
      </c>
      <c r="O42" s="32">
        <f t="shared" si="35"/>
        <v>0</v>
      </c>
      <c r="P42" s="32">
        <f t="shared" si="35"/>
        <v>0</v>
      </c>
      <c r="Q42" s="32">
        <f t="shared" si="35"/>
        <v>0</v>
      </c>
      <c r="R42" s="32">
        <f t="shared" si="35"/>
        <v>0</v>
      </c>
      <c r="S42" s="32">
        <f t="shared" si="35"/>
        <v>568950.1100000001</v>
      </c>
      <c r="T42" s="32">
        <f t="shared" si="35"/>
        <v>109977.35</v>
      </c>
      <c r="U42" s="32">
        <f t="shared" si="35"/>
        <v>60347.14</v>
      </c>
      <c r="V42" s="32">
        <f t="shared" si="35"/>
        <v>81658.39000000001</v>
      </c>
      <c r="W42" s="32">
        <f t="shared" si="35"/>
        <v>200145.86000000002</v>
      </c>
      <c r="X42" s="32">
        <f t="shared" si="35"/>
        <v>135969.72999999998</v>
      </c>
      <c r="Y42" s="32">
        <f t="shared" si="35"/>
        <v>49102.40000000001</v>
      </c>
      <c r="Z42" s="32">
        <f t="shared" si="35"/>
        <v>0</v>
      </c>
      <c r="AA42" s="32">
        <f t="shared" si="35"/>
        <v>0</v>
      </c>
      <c r="AB42" s="32">
        <f t="shared" si="35"/>
        <v>527223.52</v>
      </c>
      <c r="AC42" s="32">
        <f t="shared" si="35"/>
        <v>770668.0308499</v>
      </c>
      <c r="AD42" s="32">
        <f t="shared" si="35"/>
        <v>0</v>
      </c>
      <c r="AE42" s="32">
        <f t="shared" si="35"/>
        <v>0</v>
      </c>
      <c r="AF42" s="32">
        <f t="shared" si="35"/>
        <v>300</v>
      </c>
      <c r="AG42" s="32">
        <f t="shared" si="35"/>
        <v>52962.02999999999</v>
      </c>
      <c r="AH42" s="32">
        <f t="shared" si="35"/>
        <v>17746.577016500003</v>
      </c>
      <c r="AI42" s="32">
        <f t="shared" si="35"/>
        <v>80586.02111112501</v>
      </c>
      <c r="AJ42" s="32">
        <f t="shared" si="35"/>
        <v>7333.1318000024985</v>
      </c>
      <c r="AK42" s="32">
        <f t="shared" si="35"/>
        <v>80271.393278995</v>
      </c>
      <c r="AL42" s="32">
        <f t="shared" si="35"/>
        <v>7419.945830219101</v>
      </c>
      <c r="AM42" s="32">
        <f t="shared" si="35"/>
        <v>199467.54966820794</v>
      </c>
      <c r="AN42" s="32">
        <f t="shared" si="35"/>
        <v>19766.36874027743</v>
      </c>
      <c r="AO42" s="32">
        <f t="shared" si="35"/>
        <v>11117.49</v>
      </c>
      <c r="AP42" s="32">
        <f t="shared" si="35"/>
        <v>1270.6902</v>
      </c>
      <c r="AQ42" s="32">
        <f t="shared" si="35"/>
        <v>0</v>
      </c>
      <c r="AR42" s="32">
        <f t="shared" si="35"/>
        <v>0</v>
      </c>
      <c r="AS42" s="32">
        <f t="shared" si="35"/>
        <v>78687.03</v>
      </c>
      <c r="AT42" s="32">
        <f t="shared" si="35"/>
        <v>4895.28</v>
      </c>
      <c r="AU42" s="32">
        <f t="shared" si="35"/>
        <v>10863.043200000002</v>
      </c>
      <c r="AV42" s="32">
        <f t="shared" si="35"/>
        <v>0</v>
      </c>
      <c r="AW42" s="32">
        <f t="shared" si="35"/>
        <v>0</v>
      </c>
      <c r="AX42" s="32">
        <f t="shared" si="35"/>
        <v>20956.32</v>
      </c>
      <c r="AY42" s="32">
        <f t="shared" si="35"/>
        <v>0</v>
      </c>
      <c r="AZ42" s="32">
        <f t="shared" si="35"/>
        <v>0</v>
      </c>
      <c r="BA42" s="32">
        <f t="shared" si="35"/>
        <v>0</v>
      </c>
      <c r="BB42" s="32">
        <f t="shared" si="35"/>
        <v>593342.870845327</v>
      </c>
      <c r="BC42" s="32">
        <f t="shared" si="35"/>
        <v>75</v>
      </c>
      <c r="BD42" s="32">
        <f t="shared" si="35"/>
        <v>177550.160004573</v>
      </c>
      <c r="BE42" s="32">
        <f t="shared" si="35"/>
        <v>-41726.59</v>
      </c>
    </row>
  </sheetData>
  <sheetProtection/>
  <mergeCells count="67">
    <mergeCell ref="AF3:AF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5:K6"/>
    <mergeCell ref="AC3:AC6"/>
    <mergeCell ref="M4:N4"/>
    <mergeCell ref="O4:P4"/>
    <mergeCell ref="Q4:R4"/>
    <mergeCell ref="M5:M6"/>
    <mergeCell ref="N5:N6"/>
    <mergeCell ref="O5:O6"/>
    <mergeCell ref="AB5:AB6"/>
    <mergeCell ref="S3:T4"/>
    <mergeCell ref="U3:AB4"/>
    <mergeCell ref="X5:X6"/>
    <mergeCell ref="Y5:Y6"/>
    <mergeCell ref="Z5:Z6"/>
    <mergeCell ref="AA5:AA6"/>
    <mergeCell ref="V5:V6"/>
    <mergeCell ref="W5:W6"/>
    <mergeCell ref="J5:J6"/>
    <mergeCell ref="BD3:BD6"/>
    <mergeCell ref="BE3:BE6"/>
    <mergeCell ref="AH5:AH6"/>
    <mergeCell ref="AI5:AI6"/>
    <mergeCell ref="AJ5:AJ6"/>
    <mergeCell ref="AK5:AK6"/>
    <mergeCell ref="AL5:AL6"/>
    <mergeCell ref="AM5:AM6"/>
    <mergeCell ref="K4:L4"/>
    <mergeCell ref="S5:S6"/>
    <mergeCell ref="AD3:AD6"/>
    <mergeCell ref="T5:T6"/>
    <mergeCell ref="U5:U6"/>
    <mergeCell ref="AG5:AG6"/>
    <mergeCell ref="E5:E6"/>
    <mergeCell ref="F5:F6"/>
    <mergeCell ref="G5:G6"/>
    <mergeCell ref="H5:H6"/>
    <mergeCell ref="I5:I6"/>
    <mergeCell ref="AS5:AS6"/>
    <mergeCell ref="AU5:AU6"/>
    <mergeCell ref="BA5:BA6"/>
    <mergeCell ref="BB5:BB6"/>
    <mergeCell ref="AV5:AX5"/>
    <mergeCell ref="L5:L6"/>
    <mergeCell ref="AY5:AY6"/>
    <mergeCell ref="P5:P6"/>
    <mergeCell ref="Q5:Q6"/>
    <mergeCell ref="R5:R6"/>
    <mergeCell ref="AQ5:AQ6"/>
    <mergeCell ref="AR5:AR6"/>
    <mergeCell ref="BC3:BC6"/>
    <mergeCell ref="AZ5:AZ6"/>
    <mergeCell ref="AT5:AT6"/>
    <mergeCell ref="AE3:AE6"/>
    <mergeCell ref="AG3:BB4"/>
    <mergeCell ref="AN5:AN6"/>
    <mergeCell ref="AO5:AO6"/>
    <mergeCell ref="AP5:A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2">
      <selection activeCell="B51" sqref="B5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9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10.875" style="2" customWidth="1"/>
    <col min="11" max="11" width="10.375" style="2" customWidth="1"/>
    <col min="12" max="13" width="10.12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33" t="s">
        <v>55</v>
      </c>
    </row>
    <row r="2" ht="18.75">
      <c r="E2" s="33" t="s">
        <v>56</v>
      </c>
    </row>
    <row r="4" spans="1:15" ht="12.75">
      <c r="A4" s="183" t="s">
        <v>82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2.75">
      <c r="A5" s="179" t="s">
        <v>92</v>
      </c>
      <c r="B5" s="179"/>
      <c r="C5" s="179"/>
      <c r="D5" s="179"/>
      <c r="E5" s="179"/>
      <c r="F5" s="179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5" ht="13.5" thickBot="1">
      <c r="A7" s="89" t="s">
        <v>57</v>
      </c>
      <c r="D7" s="4"/>
      <c r="E7" s="89">
        <v>8.65</v>
      </c>
    </row>
    <row r="8" spans="1:16" ht="12.75" customHeight="1">
      <c r="A8" s="167" t="s">
        <v>58</v>
      </c>
      <c r="B8" s="185" t="s">
        <v>1</v>
      </c>
      <c r="C8" s="185" t="s">
        <v>59</v>
      </c>
      <c r="D8" s="185" t="s">
        <v>3</v>
      </c>
      <c r="E8" s="153" t="s">
        <v>60</v>
      </c>
      <c r="F8" s="153"/>
      <c r="G8" s="177" t="s">
        <v>76</v>
      </c>
      <c r="H8" s="177"/>
      <c r="I8" s="145" t="s">
        <v>10</v>
      </c>
      <c r="J8" s="145"/>
      <c r="K8" s="145"/>
      <c r="L8" s="145"/>
      <c r="M8" s="145"/>
      <c r="N8" s="145"/>
      <c r="O8" s="153" t="s">
        <v>61</v>
      </c>
      <c r="P8" s="156" t="s">
        <v>12</v>
      </c>
    </row>
    <row r="9" spans="1:16" ht="12.75" customHeight="1">
      <c r="A9" s="168"/>
      <c r="B9" s="186"/>
      <c r="C9" s="186"/>
      <c r="D9" s="186"/>
      <c r="E9" s="154"/>
      <c r="F9" s="154"/>
      <c r="G9" s="178"/>
      <c r="H9" s="178"/>
      <c r="I9" s="138"/>
      <c r="J9" s="138"/>
      <c r="K9" s="138"/>
      <c r="L9" s="138"/>
      <c r="M9" s="138"/>
      <c r="N9" s="138"/>
      <c r="O9" s="154"/>
      <c r="P9" s="157"/>
    </row>
    <row r="10" spans="1:16" ht="26.25" customHeight="1">
      <c r="A10" s="168"/>
      <c r="B10" s="186"/>
      <c r="C10" s="186"/>
      <c r="D10" s="186"/>
      <c r="E10" s="154" t="s">
        <v>62</v>
      </c>
      <c r="F10" s="154"/>
      <c r="G10" s="90" t="s">
        <v>63</v>
      </c>
      <c r="H10" s="175" t="s">
        <v>7</v>
      </c>
      <c r="I10" s="175" t="s">
        <v>64</v>
      </c>
      <c r="J10" s="175" t="s">
        <v>32</v>
      </c>
      <c r="K10" s="175" t="s">
        <v>65</v>
      </c>
      <c r="L10" s="175" t="s">
        <v>37</v>
      </c>
      <c r="M10" s="175" t="s">
        <v>66</v>
      </c>
      <c r="N10" s="175" t="s">
        <v>39</v>
      </c>
      <c r="O10" s="154"/>
      <c r="P10" s="157"/>
    </row>
    <row r="11" spans="1:16" ht="66.75" customHeight="1" thickBot="1">
      <c r="A11" s="184"/>
      <c r="B11" s="187"/>
      <c r="C11" s="187"/>
      <c r="D11" s="187"/>
      <c r="E11" s="35" t="s">
        <v>67</v>
      </c>
      <c r="F11" s="91" t="s">
        <v>21</v>
      </c>
      <c r="G11" s="73" t="s">
        <v>77</v>
      </c>
      <c r="H11" s="176"/>
      <c r="I11" s="176"/>
      <c r="J11" s="176"/>
      <c r="K11" s="176"/>
      <c r="L11" s="176"/>
      <c r="M11" s="176"/>
      <c r="N11" s="176"/>
      <c r="O11" s="188"/>
      <c r="P11" s="174"/>
    </row>
    <row r="12" spans="1:16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8">
        <v>16</v>
      </c>
    </row>
    <row r="13" spans="1:16" ht="12.75" hidden="1">
      <c r="A13" s="8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2"/>
    </row>
    <row r="14" spans="1:16" ht="12.75" hidden="1">
      <c r="A14" s="12" t="s">
        <v>41</v>
      </c>
      <c r="B14" s="13">
        <f>Лист1!B9</f>
        <v>3316.6</v>
      </c>
      <c r="C14" s="77">
        <f>Лист1!C9</f>
        <v>28688.59</v>
      </c>
      <c r="D14" s="77">
        <f>Лист1!D9</f>
        <v>6910.5075592</v>
      </c>
      <c r="E14" s="18">
        <f>Лист1!S9</f>
        <v>18866.84</v>
      </c>
      <c r="F14" s="18">
        <f>Лист1!T9</f>
        <v>4925.07</v>
      </c>
      <c r="G14" s="18">
        <f>Лист1!AB9</f>
        <v>475.03999999999996</v>
      </c>
      <c r="H14" s="101">
        <f>Лист1!AC9</f>
        <v>12310.6175592</v>
      </c>
      <c r="I14" s="18">
        <f>Лист1!AG9</f>
        <v>1989.96</v>
      </c>
      <c r="J14" s="18">
        <f>Лист1!AI9+Лист1!AJ9</f>
        <v>3333.5942583999995</v>
      </c>
      <c r="K14" s="18">
        <f>Лист1!AH9+Лист1!AK9+Лист1!AL9+Лист1!AM9+Лист1!AN9+Лист1!AO9+Лист1!AP9</f>
        <v>11705.58515546</v>
      </c>
      <c r="L14" s="19">
        <f>Лист1!AS9+Лист1!AT9+Лист1!AU9</f>
        <v>0</v>
      </c>
      <c r="M14" s="19">
        <f>Лист1!AX9</f>
        <v>0</v>
      </c>
      <c r="N14" s="101">
        <f>Лист1!BB9</f>
        <v>17029.139413859997</v>
      </c>
      <c r="O14" s="18">
        <f>Лист1!BD9</f>
        <v>-4718.521854659997</v>
      </c>
      <c r="P14" s="20">
        <f>Лист1!BE9</f>
        <v>-18391.8</v>
      </c>
    </row>
    <row r="15" spans="1:16" ht="12.75" hidden="1">
      <c r="A15" s="12" t="s">
        <v>42</v>
      </c>
      <c r="B15" s="13">
        <f>Лист1!B10</f>
        <v>3316.6</v>
      </c>
      <c r="C15" s="77">
        <f>Лист1!C10</f>
        <v>28688.59</v>
      </c>
      <c r="D15" s="77">
        <f>Лист1!D10</f>
        <v>6910.5075592</v>
      </c>
      <c r="E15" s="18">
        <f>Лист1!S10</f>
        <v>17903.91</v>
      </c>
      <c r="F15" s="18">
        <f>Лист1!T10</f>
        <v>4715.59</v>
      </c>
      <c r="G15" s="18">
        <f>Лист1!AB10</f>
        <v>11965.98</v>
      </c>
      <c r="H15" s="101">
        <f>Лист1!AC10</f>
        <v>23592.0775592</v>
      </c>
      <c r="I15" s="18">
        <f>Лист1!AG10</f>
        <v>1989.96</v>
      </c>
      <c r="J15" s="18">
        <f>Лист1!AI10+Лист1!AJ10</f>
        <v>3333.5942583999995</v>
      </c>
      <c r="K15" s="18">
        <f>Лист1!AH10+Лист1!AK10+Лист1!AL10+Лист1!AM10+Лист1!AN10+Лист1!AO10+Лист1!AP10</f>
        <v>11670.256732259999</v>
      </c>
      <c r="L15" s="19">
        <f>Лист1!AS10+Лист1!AT10+Лист1!AU10</f>
        <v>3445.6</v>
      </c>
      <c r="M15" s="19">
        <f>Лист1!AX10</f>
        <v>0</v>
      </c>
      <c r="N15" s="101">
        <f>Лист1!BB10</f>
        <v>20439.410990659995</v>
      </c>
      <c r="O15" s="18">
        <f>Лист1!BD10</f>
        <v>3152.666568540004</v>
      </c>
      <c r="P15" s="20">
        <f>Лист1!BE10</f>
        <v>-5937.93</v>
      </c>
    </row>
    <row r="16" spans="1:18" ht="13.5" hidden="1" thickBot="1">
      <c r="A16" s="40" t="s">
        <v>43</v>
      </c>
      <c r="B16" s="52">
        <f>Лист1!B11</f>
        <v>3316.6</v>
      </c>
      <c r="C16" s="93">
        <f>Лист1!C11</f>
        <v>28688.59</v>
      </c>
      <c r="D16" s="93">
        <f>Лист1!D11</f>
        <v>6895.3026065</v>
      </c>
      <c r="E16" s="53">
        <f>Лист1!S11</f>
        <v>18064.17</v>
      </c>
      <c r="F16" s="53">
        <f>Лист1!T11</f>
        <v>4826.719999999999</v>
      </c>
      <c r="G16" s="53">
        <f>Лист1!AB11</f>
        <v>20445.429999999997</v>
      </c>
      <c r="H16" s="102">
        <f>Лист1!AC11</f>
        <v>32167.452606499995</v>
      </c>
      <c r="I16" s="53">
        <f>Лист1!AG11</f>
        <v>1989.96</v>
      </c>
      <c r="J16" s="53">
        <f>Лист1!AI11+Лист1!AJ11</f>
        <v>3323.8885601599995</v>
      </c>
      <c r="K16" s="53">
        <f>Лист1!AH11+Лист1!AK11+Лист1!AL11+Лист1!AM11+Лист1!AN11+Лист1!AO11+Лист1!AP11</f>
        <v>11651.702444718</v>
      </c>
      <c r="L16" s="54">
        <f>Лист1!AS11+Лист1!AT11+Лист1!AU11</f>
        <v>1195.34</v>
      </c>
      <c r="M16" s="54">
        <f>Лист1!AX11</f>
        <v>0</v>
      </c>
      <c r="N16" s="102">
        <f>Лист1!BB11</f>
        <v>18160.891004877998</v>
      </c>
      <c r="O16" s="53">
        <f>Лист1!BD11</f>
        <v>14006.561601621997</v>
      </c>
      <c r="P16" s="55">
        <f>Лист1!BE11</f>
        <v>2381.2599999999984</v>
      </c>
      <c r="Q16" s="1"/>
      <c r="R16" s="1"/>
    </row>
    <row r="17" spans="1:18" s="27" customFormat="1" ht="13.5" hidden="1" thickBot="1">
      <c r="A17" s="41" t="s">
        <v>5</v>
      </c>
      <c r="B17" s="58"/>
      <c r="C17" s="95">
        <f>SUM(C14:C16)</f>
        <v>86065.77</v>
      </c>
      <c r="D17" s="95">
        <f aca="true" t="shared" si="0" ref="D17:P17">SUM(D14:D16)</f>
        <v>20716.3177249</v>
      </c>
      <c r="E17" s="95">
        <f t="shared" si="0"/>
        <v>54834.92</v>
      </c>
      <c r="F17" s="95">
        <f t="shared" si="0"/>
        <v>14467.38</v>
      </c>
      <c r="G17" s="95">
        <f t="shared" si="0"/>
        <v>32886.45</v>
      </c>
      <c r="H17" s="95">
        <f t="shared" si="0"/>
        <v>68070.14772489999</v>
      </c>
      <c r="I17" s="95">
        <f t="shared" si="0"/>
        <v>5969.88</v>
      </c>
      <c r="J17" s="95">
        <f t="shared" si="0"/>
        <v>9991.077076959999</v>
      </c>
      <c r="K17" s="95">
        <f t="shared" si="0"/>
        <v>35027.544332437996</v>
      </c>
      <c r="L17" s="95">
        <f t="shared" si="0"/>
        <v>4640.94</v>
      </c>
      <c r="M17" s="95">
        <f t="shared" si="0"/>
        <v>0</v>
      </c>
      <c r="N17" s="95">
        <f t="shared" si="0"/>
        <v>55629.44140939799</v>
      </c>
      <c r="O17" s="95">
        <f t="shared" si="0"/>
        <v>12440.706315502004</v>
      </c>
      <c r="P17" s="59">
        <f t="shared" si="0"/>
        <v>-21948.47</v>
      </c>
      <c r="Q17" s="44"/>
      <c r="R17" s="45"/>
    </row>
    <row r="18" spans="1:18" ht="12.75" hidden="1">
      <c r="A18" s="8" t="s">
        <v>44</v>
      </c>
      <c r="B18" s="56"/>
      <c r="C18" s="94"/>
      <c r="D18" s="94"/>
      <c r="E18" s="46"/>
      <c r="F18" s="46"/>
      <c r="G18" s="46"/>
      <c r="H18" s="103"/>
      <c r="I18" s="46"/>
      <c r="J18" s="46"/>
      <c r="K18" s="46"/>
      <c r="L18" s="57"/>
      <c r="M18" s="57"/>
      <c r="N18" s="103"/>
      <c r="O18" s="46"/>
      <c r="P18" s="47"/>
      <c r="Q18" s="1"/>
      <c r="R18" s="1"/>
    </row>
    <row r="19" spans="1:18" ht="12.75" hidden="1">
      <c r="A19" s="12" t="s">
        <v>45</v>
      </c>
      <c r="B19" s="13">
        <f>Лист1!B14</f>
        <v>3316.6</v>
      </c>
      <c r="C19" s="77">
        <f>Лист1!C14</f>
        <v>28688.59</v>
      </c>
      <c r="D19" s="77">
        <f>Лист1!D14</f>
        <v>3586.07375</v>
      </c>
      <c r="E19" s="18">
        <f>Лист1!S14</f>
        <v>18557.12</v>
      </c>
      <c r="F19" s="18">
        <f>Лист1!T14</f>
        <v>4753.21</v>
      </c>
      <c r="G19" s="18">
        <f>Лист1!AB14</f>
        <v>11397.38</v>
      </c>
      <c r="H19" s="101">
        <f>Лист1!AC14</f>
        <v>19736.66375</v>
      </c>
      <c r="I19" s="18">
        <f>Лист1!AG14</f>
        <v>1790.964</v>
      </c>
      <c r="J19" s="18">
        <f>Лист1!AI14+Лист1!AJ14</f>
        <v>2884.0950765999996</v>
      </c>
      <c r="K19" s="18">
        <f>Лист1!AH14+Лист1!AK14+Лист1!AL14+Лист1!AM14+Лист1!AN14+Лист1!AO14+Лист1!AP14</f>
        <v>9904.891843028</v>
      </c>
      <c r="L19" s="19">
        <f>Лист1!AS14+Лист1!AT14+Лист1!AU14</f>
        <v>0</v>
      </c>
      <c r="M19" s="19">
        <f>Лист1!AX14</f>
        <v>1174.9024</v>
      </c>
      <c r="N19" s="101">
        <f>Лист1!BB14</f>
        <v>15754.853319628</v>
      </c>
      <c r="O19" s="18">
        <f>Лист1!BD14</f>
        <v>3981.8104303719992</v>
      </c>
      <c r="P19" s="20">
        <f>Лист1!BE14</f>
        <v>-7159.74</v>
      </c>
      <c r="Q19" s="1"/>
      <c r="R19" s="1"/>
    </row>
    <row r="20" spans="1:18" ht="12.75" hidden="1">
      <c r="A20" s="12" t="s">
        <v>46</v>
      </c>
      <c r="B20" s="13">
        <f>Лист1!B15</f>
        <v>3316.6</v>
      </c>
      <c r="C20" s="77">
        <f>Лист1!C15</f>
        <v>28688.59</v>
      </c>
      <c r="D20" s="77">
        <f>Лист1!D15</f>
        <v>3586.07375</v>
      </c>
      <c r="E20" s="18">
        <f>Лист1!S15</f>
        <v>18632.94</v>
      </c>
      <c r="F20" s="18">
        <f>Лист1!T15</f>
        <v>4781.42</v>
      </c>
      <c r="G20" s="18">
        <f>Лист1!AB15</f>
        <v>14857.180000000002</v>
      </c>
      <c r="H20" s="101">
        <f>Лист1!AC15</f>
        <v>23224.67375</v>
      </c>
      <c r="I20" s="18">
        <f>Лист1!AG15</f>
        <v>1790.964</v>
      </c>
      <c r="J20" s="18">
        <f>Лист1!AI15+Лист1!AJ15</f>
        <v>2884.1186766</v>
      </c>
      <c r="K20" s="18">
        <f>Лист1!AH15+Лист1!AK15+Лист1!AL15+Лист1!AM15+Лист1!AN15+Лист1!AO15+Лист1!AP15</f>
        <v>9919.190700607998</v>
      </c>
      <c r="L20" s="19">
        <f>Лист1!AS15+Лист1!AT15+Лист1!AU15</f>
        <v>0</v>
      </c>
      <c r="M20" s="19">
        <f>Лист1!AX15</f>
        <v>941.3095999999999</v>
      </c>
      <c r="N20" s="101">
        <f>Лист1!BB15</f>
        <v>15535.582977207998</v>
      </c>
      <c r="O20" s="18">
        <f>Лист1!BD15</f>
        <v>7689.090772792004</v>
      </c>
      <c r="P20" s="20">
        <f>Лист1!BE15</f>
        <v>-3775.7599999999966</v>
      </c>
      <c r="Q20" s="1"/>
      <c r="R20" s="1"/>
    </row>
    <row r="21" spans="1:18" ht="12.75" hidden="1">
      <c r="A21" s="12" t="s">
        <v>47</v>
      </c>
      <c r="B21" s="13">
        <f>Лист1!B16</f>
        <v>3316.65</v>
      </c>
      <c r="C21" s="77">
        <f>Лист1!C16</f>
        <v>28689.022500000003</v>
      </c>
      <c r="D21" s="77">
        <f>Лист1!D16</f>
        <v>3586.1278125000003</v>
      </c>
      <c r="E21" s="18">
        <f>Лист1!S16</f>
        <v>18319.820000000003</v>
      </c>
      <c r="F21" s="18">
        <f>Лист1!T16</f>
        <v>4796.790000000001</v>
      </c>
      <c r="G21" s="18">
        <f>Лист1!AB16</f>
        <v>16540.989999999998</v>
      </c>
      <c r="H21" s="101">
        <f>Лист1!AC16</f>
        <v>24923.907812499998</v>
      </c>
      <c r="I21" s="18">
        <f>Лист1!AG16</f>
        <v>1790.991</v>
      </c>
      <c r="J21" s="18">
        <f>Лист1!AI16+Лист1!AJ16</f>
        <v>2885.8254566250007</v>
      </c>
      <c r="K21" s="18">
        <f>Лист1!AH16+Лист1!AK16+Лист1!AL16+Лист1!AM16+Лист1!AN16+Лист1!AO16+Лист1!AP16</f>
        <v>13760.509962217</v>
      </c>
      <c r="L21" s="19">
        <f>Лист1!AS16+Лист1!AT16+Лист1!AU16</f>
        <v>0</v>
      </c>
      <c r="M21" s="19">
        <f>Лист1!AX16</f>
        <v>885.8024</v>
      </c>
      <c r="N21" s="101">
        <f>Лист1!BB16</f>
        <v>19323.128818842</v>
      </c>
      <c r="O21" s="18">
        <f>Лист1!BD16</f>
        <v>5600.7789936579975</v>
      </c>
      <c r="P21" s="20">
        <f>Лист1!BE16</f>
        <v>-1778.8300000000054</v>
      </c>
      <c r="Q21" s="1"/>
      <c r="R21" s="1"/>
    </row>
    <row r="22" spans="1:18" ht="12.75" hidden="1">
      <c r="A22" s="12" t="s">
        <v>48</v>
      </c>
      <c r="B22" s="13">
        <f>Лист1!B17</f>
        <v>3316.65</v>
      </c>
      <c r="C22" s="77">
        <f>Лист1!C17</f>
        <v>28689.022500000003</v>
      </c>
      <c r="D22" s="77">
        <f>Лист1!D17</f>
        <v>3586.1278125000003</v>
      </c>
      <c r="E22" s="18">
        <f>Лист1!S17</f>
        <v>19188.859999999997</v>
      </c>
      <c r="F22" s="18">
        <f>Лист1!T17</f>
        <v>4810.98</v>
      </c>
      <c r="G22" s="18">
        <f>Лист1!AB17</f>
        <v>17918.38</v>
      </c>
      <c r="H22" s="101">
        <f>Лист1!AC17</f>
        <v>26315.4878125</v>
      </c>
      <c r="I22" s="18">
        <f>Лист1!AG17</f>
        <v>1790.991</v>
      </c>
      <c r="J22" s="18">
        <f>Лист1!AI17+Лист1!AJ17</f>
        <v>2971.98439533</v>
      </c>
      <c r="K22" s="18">
        <f>Лист1!AH17+Лист1!AK17+Лист1!AL17+Лист1!AM17+Лист1!AN17+Лист1!AO17+Лист1!AP17</f>
        <v>14377.328106444</v>
      </c>
      <c r="L22" s="19">
        <f>Лист1!AS17+Лист1!AT17+Лист1!AU17</f>
        <v>39776.8914</v>
      </c>
      <c r="M22" s="19">
        <f>Лист1!AX17</f>
        <v>710.0296</v>
      </c>
      <c r="N22" s="101">
        <f>Лист1!BB17</f>
        <v>59627.224501774</v>
      </c>
      <c r="O22" s="18">
        <f>Лист1!BD17</f>
        <v>-33311.736689273996</v>
      </c>
      <c r="P22" s="20">
        <f>Лист1!BE17</f>
        <v>-1270.479999999996</v>
      </c>
      <c r="Q22" s="1"/>
      <c r="R22" s="1"/>
    </row>
    <row r="23" spans="1:18" ht="12.75" hidden="1">
      <c r="A23" s="12" t="s">
        <v>49</v>
      </c>
      <c r="B23" s="13">
        <f>Лист1!B18</f>
        <v>3316.75</v>
      </c>
      <c r="C23" s="77">
        <f>Лист1!C18</f>
        <v>28689.8875</v>
      </c>
      <c r="D23" s="77">
        <f>Лист1!D18</f>
        <v>3125.667500000001</v>
      </c>
      <c r="E23" s="18">
        <f>Лист1!S18</f>
        <v>20137.7</v>
      </c>
      <c r="F23" s="18">
        <f>Лист1!T18</f>
        <v>5426.52</v>
      </c>
      <c r="G23" s="18">
        <f>Лист1!AB18</f>
        <v>19480.09</v>
      </c>
      <c r="H23" s="101">
        <f>Лист1!AC18</f>
        <v>28032.2775</v>
      </c>
      <c r="I23" s="18">
        <f>Лист1!AG18</f>
        <v>1990.05</v>
      </c>
      <c r="J23" s="18">
        <f>Лист1!AI18+Лист1!AJ18</f>
        <v>3326.70025</v>
      </c>
      <c r="K23" s="18">
        <f>Лист1!AH18+Лист1!AK18+Лист1!AL18+Лист1!AM18+Лист1!AN18+Лист1!AO18+Лист1!AP18</f>
        <v>11393.6996</v>
      </c>
      <c r="L23" s="19">
        <f>Лист1!AS18+Лист1!AT18+Лист1!AU18</f>
        <v>6548.528</v>
      </c>
      <c r="M23" s="19">
        <f>Лист1!AX18</f>
        <v>608.2664</v>
      </c>
      <c r="N23" s="101">
        <f>Лист1!BB18</f>
        <v>23867.244250000003</v>
      </c>
      <c r="O23" s="18">
        <f>Лист1!BD18</f>
        <v>4165.033249999997</v>
      </c>
      <c r="P23" s="20">
        <f>Лист1!BE18</f>
        <v>-657.6100000000006</v>
      </c>
      <c r="Q23" s="1"/>
      <c r="R23" s="1"/>
    </row>
    <row r="24" spans="1:18" ht="12.75" hidden="1">
      <c r="A24" s="12" t="s">
        <v>50</v>
      </c>
      <c r="B24" s="13">
        <f>Лист1!B19</f>
        <v>3316.75</v>
      </c>
      <c r="C24" s="77">
        <f>Лист1!C19</f>
        <v>28689.8875</v>
      </c>
      <c r="D24" s="77">
        <f>Лист1!D19</f>
        <v>3280.0074999999983</v>
      </c>
      <c r="E24" s="18">
        <f>Лист1!S19</f>
        <v>19801.45</v>
      </c>
      <c r="F24" s="18">
        <f>Лист1!T19</f>
        <v>5608.43</v>
      </c>
      <c r="G24" s="18">
        <f>Лист1!AB19</f>
        <v>19892.090000000004</v>
      </c>
      <c r="H24" s="101">
        <f>Лист1!AC19</f>
        <v>28780.527500000004</v>
      </c>
      <c r="I24" s="18">
        <f>Лист1!AG19</f>
        <v>1990.05</v>
      </c>
      <c r="J24" s="18">
        <f>Лист1!AI19+Лист1!AJ19</f>
        <v>3326.70025</v>
      </c>
      <c r="K24" s="18">
        <f>Лист1!AH19+Лист1!AK19+Лист1!AL19+Лист1!AM19+Лист1!AN19+Лист1!AO19+Лист1!AP19</f>
        <v>11393.9981075</v>
      </c>
      <c r="L24" s="19">
        <f>Лист1!AS19+Лист1!AT19+Лист1!AU19</f>
        <v>6414.5862</v>
      </c>
      <c r="M24" s="19">
        <f>Лист1!AX19</f>
        <v>538.8824000000001</v>
      </c>
      <c r="N24" s="101">
        <f>Лист1!BB19</f>
        <v>23664.2169575</v>
      </c>
      <c r="O24" s="18">
        <f>Лист1!BD19</f>
        <v>5116.310542500003</v>
      </c>
      <c r="P24" s="20">
        <f>Лист1!BE19</f>
        <v>90.64000000000306</v>
      </c>
      <c r="Q24" s="1"/>
      <c r="R24" s="1"/>
    </row>
    <row r="25" spans="1:18" ht="12.75" hidden="1">
      <c r="A25" s="12" t="s">
        <v>51</v>
      </c>
      <c r="B25" s="13">
        <f>Лист1!B20</f>
        <v>3316.75</v>
      </c>
      <c r="C25" s="77">
        <f>Лист1!C20</f>
        <v>28689.8875</v>
      </c>
      <c r="D25" s="77">
        <f>Лист1!D20</f>
        <v>2966.4275000000002</v>
      </c>
      <c r="E25" s="18">
        <f>Лист1!S20</f>
        <v>20115.99</v>
      </c>
      <c r="F25" s="18">
        <f>Лист1!T20</f>
        <v>5607.47</v>
      </c>
      <c r="G25" s="18">
        <f>Лист1!AB20</f>
        <v>16129.590000000002</v>
      </c>
      <c r="H25" s="101">
        <f>Лист1!AC20</f>
        <v>24703.487500000003</v>
      </c>
      <c r="I25" s="18">
        <f>Лист1!AG20</f>
        <v>1990.05</v>
      </c>
      <c r="J25" s="18">
        <f>Лист1!AI20+Лист1!AJ20</f>
        <v>3279.1284364249996</v>
      </c>
      <c r="K25" s="18">
        <f>Лист1!AH20+Лист1!AK20+Лист1!AL20+Лист1!AM20+Лист1!AN20+Лист1!AO20+Лист1!AP20</f>
        <v>11280.629005435</v>
      </c>
      <c r="L25" s="19">
        <f>Лист1!AS20+Лист1!AT20+Лист1!AU20</f>
        <v>2099.456</v>
      </c>
      <c r="M25" s="19">
        <f>Лист1!AX20</f>
        <v>573.5744</v>
      </c>
      <c r="N25" s="101">
        <f>Лист1!BB20</f>
        <v>19222.83784186</v>
      </c>
      <c r="O25" s="18">
        <f>Лист1!BD20</f>
        <v>5480.649658140002</v>
      </c>
      <c r="P25" s="20">
        <f>Лист1!BE20</f>
        <v>-3986.3999999999996</v>
      </c>
      <c r="Q25" s="1"/>
      <c r="R25" s="1"/>
    </row>
    <row r="26" spans="1:18" ht="12.75" hidden="1">
      <c r="A26" s="12" t="s">
        <v>52</v>
      </c>
      <c r="B26" s="13">
        <f>Лист1!B21</f>
        <v>3316.75</v>
      </c>
      <c r="C26" s="77">
        <f>Лист1!C21</f>
        <v>28689.8875</v>
      </c>
      <c r="D26" s="77">
        <f>Лист1!D21</f>
        <v>2966.447499999997</v>
      </c>
      <c r="E26" s="18">
        <f>Лист1!S21</f>
        <v>20115.969999999998</v>
      </c>
      <c r="F26" s="18">
        <f>Лист1!T21</f>
        <v>5607.47</v>
      </c>
      <c r="G26" s="18">
        <f>Лист1!AB21</f>
        <v>19952.21</v>
      </c>
      <c r="H26" s="101">
        <f>Лист1!AC21</f>
        <v>28526.1275</v>
      </c>
      <c r="I26" s="18">
        <f>Лист1!AG21</f>
        <v>1990.05</v>
      </c>
      <c r="J26" s="18">
        <f>Лист1!AI21+Лист1!AJ21</f>
        <v>3277.6646883149997</v>
      </c>
      <c r="K26" s="18">
        <f>Лист1!AH21+Лист1!AK21+Лист1!AL21+Лист1!AM21+Лист1!AN21+Лист1!AO21+Лист1!AP21</f>
        <v>11278.999751499998</v>
      </c>
      <c r="L26" s="19">
        <f>Лист1!AS21+Лист1!AT21+Лист1!AU21</f>
        <v>0</v>
      </c>
      <c r="M26" s="19">
        <f>Лист1!AX21</f>
        <v>677.6504000000001</v>
      </c>
      <c r="N26" s="101">
        <f>Лист1!BB21</f>
        <v>17224.364839814996</v>
      </c>
      <c r="O26" s="18">
        <f>Лист1!BD21</f>
        <v>11301.762660185002</v>
      </c>
      <c r="P26" s="20">
        <f>Лист1!BE21</f>
        <v>-163.7599999999984</v>
      </c>
      <c r="Q26" s="1"/>
      <c r="R26" s="1"/>
    </row>
    <row r="27" spans="1:18" ht="12.75" hidden="1">
      <c r="A27" s="12" t="s">
        <v>53</v>
      </c>
      <c r="B27" s="13">
        <f>Лист1!B22</f>
        <v>3316.75</v>
      </c>
      <c r="C27" s="77">
        <f>Лист1!C22</f>
        <v>28689.8875</v>
      </c>
      <c r="D27" s="77">
        <f>Лист1!D22</f>
        <v>2966.5375000000026</v>
      </c>
      <c r="E27" s="18">
        <f>Лист1!S22</f>
        <v>20115.88</v>
      </c>
      <c r="F27" s="18">
        <f>Лист1!T22</f>
        <v>5607.469999999999</v>
      </c>
      <c r="G27" s="18">
        <f>Лист1!AB22</f>
        <v>16400.87</v>
      </c>
      <c r="H27" s="101">
        <f>Лист1!AC22</f>
        <v>24974.8775</v>
      </c>
      <c r="I27" s="18">
        <f>Лист1!AG22</f>
        <v>1990.05</v>
      </c>
      <c r="J27" s="18">
        <f>Лист1!AI22+Лист1!AJ22</f>
        <v>3277.0991492724997</v>
      </c>
      <c r="K27" s="18">
        <f>Лист1!AH22+Лист1!AK22+Лист1!AL22+Лист1!AM22+Лист1!AN22+Лист1!AO22+Лист1!AP22</f>
        <v>15436.4866750295</v>
      </c>
      <c r="L27" s="19">
        <f>Лист1!AS22+Лист1!AT22+Лист1!AU22</f>
        <v>0</v>
      </c>
      <c r="M27" s="19">
        <f>Лист1!AX22</f>
        <v>807.1672000000001</v>
      </c>
      <c r="N27" s="101">
        <f>Лист1!BB22</f>
        <v>21510.803024302</v>
      </c>
      <c r="O27" s="18">
        <f>Лист1!BD22</f>
        <v>3464.0744756979984</v>
      </c>
      <c r="P27" s="20">
        <f>Лист1!BE22</f>
        <v>-3715.010000000002</v>
      </c>
      <c r="Q27" s="1"/>
      <c r="R27" s="1"/>
    </row>
    <row r="28" spans="1:18" ht="12.75" hidden="1">
      <c r="A28" s="12" t="s">
        <v>41</v>
      </c>
      <c r="B28" s="13">
        <f>Лист1!B23</f>
        <v>3316.75</v>
      </c>
      <c r="C28" s="77">
        <f>Лист1!C23</f>
        <v>28689.8875</v>
      </c>
      <c r="D28" s="77">
        <f>Лист1!D23</f>
        <v>2972.8375</v>
      </c>
      <c r="E28" s="18">
        <f>Лист1!S23</f>
        <v>20112.77</v>
      </c>
      <c r="F28" s="18">
        <f>Лист1!T23</f>
        <v>5604.28</v>
      </c>
      <c r="G28" s="18">
        <f>Лист1!AB23</f>
        <v>24687.800000000003</v>
      </c>
      <c r="H28" s="101">
        <f>Лист1!AC23</f>
        <v>33264.9175</v>
      </c>
      <c r="I28" s="18">
        <f>Лист1!AG23</f>
        <v>1990.05</v>
      </c>
      <c r="J28" s="18">
        <f>Лист1!AI23+Лист1!AJ23</f>
        <v>3314.958955</v>
      </c>
      <c r="K28" s="18">
        <f>Лист1!AH23+Лист1!AK23+Лист1!AL23+Лист1!AM23+Лист1!AN23+Лист1!AO23+Лист1!AP23</f>
        <v>29781.35245</v>
      </c>
      <c r="L28" s="19">
        <f>Лист1!AS23+Лист1!AT23+Лист1!AU23</f>
        <v>149.75379999999998</v>
      </c>
      <c r="M28" s="19">
        <f>Лист1!AX23</f>
        <v>982.94</v>
      </c>
      <c r="N28" s="101">
        <f>Лист1!BB23</f>
        <v>36219.055205000004</v>
      </c>
      <c r="O28" s="18">
        <f>Лист1!BD23</f>
        <v>-2954.137705000001</v>
      </c>
      <c r="P28" s="20">
        <f>Лист1!BE23</f>
        <v>4575.0300000000025</v>
      </c>
      <c r="Q28" s="1"/>
      <c r="R28" s="1"/>
    </row>
    <row r="29" spans="1:18" ht="12.75" hidden="1">
      <c r="A29" s="12" t="s">
        <v>42</v>
      </c>
      <c r="B29" s="13">
        <f>Лист1!B24</f>
        <v>3316.75</v>
      </c>
      <c r="C29" s="77">
        <f>Лист1!C24</f>
        <v>28689.8875</v>
      </c>
      <c r="D29" s="77">
        <f>Лист1!D24</f>
        <v>2956.4774999999986</v>
      </c>
      <c r="E29" s="18">
        <f>Лист1!S24</f>
        <v>20235.91</v>
      </c>
      <c r="F29" s="18">
        <f>Лист1!T24</f>
        <v>5497.5</v>
      </c>
      <c r="G29" s="18">
        <f>Лист1!AB24</f>
        <v>21344.67</v>
      </c>
      <c r="H29" s="101">
        <f>Лист1!AC24</f>
        <v>29798.647499999995</v>
      </c>
      <c r="I29" s="18">
        <f>Лист1!AG24</f>
        <v>1990.05</v>
      </c>
      <c r="J29" s="18">
        <f>Лист1!AI24+Лист1!AJ24</f>
        <v>3326.70025</v>
      </c>
      <c r="K29" s="18">
        <f>Лист1!AH24+Лист1!AK24+Лист1!AL24+Лист1!AM24+Лист1!AN24+Лист1!AO24+Лист1!AP24</f>
        <v>11387.0661</v>
      </c>
      <c r="L29" s="19">
        <f>Лист1!AS24+Лист1!AT24+Лист1!AU24</f>
        <v>1249.62</v>
      </c>
      <c r="M29" s="19">
        <f>Лист1!AX24</f>
        <v>1087.016</v>
      </c>
      <c r="N29" s="101">
        <f>Лист1!BB24</f>
        <v>19040.45235</v>
      </c>
      <c r="O29" s="18">
        <f>Лист1!BD24</f>
        <v>10758.195149999996</v>
      </c>
      <c r="P29" s="20">
        <f>Лист1!BE24</f>
        <v>1108.7599999999984</v>
      </c>
      <c r="Q29" s="1"/>
      <c r="R29" s="1"/>
    </row>
    <row r="30" spans="1:18" ht="13.5" hidden="1" thickBot="1">
      <c r="A30" s="40" t="s">
        <v>43</v>
      </c>
      <c r="B30" s="52">
        <f>Лист1!B25</f>
        <v>3316.75</v>
      </c>
      <c r="C30" s="93">
        <f>Лист1!C25</f>
        <v>28689.8875</v>
      </c>
      <c r="D30" s="93">
        <f>Лист1!D25</f>
        <v>2943.1975000000048</v>
      </c>
      <c r="E30" s="53">
        <f>Лист1!S25</f>
        <v>20374.43</v>
      </c>
      <c r="F30" s="53">
        <f>Лист1!T25</f>
        <v>5372.26</v>
      </c>
      <c r="G30" s="53">
        <f>Лист1!AB25</f>
        <v>27255.77</v>
      </c>
      <c r="H30" s="102">
        <f>Лист1!AC25</f>
        <v>35571.2275</v>
      </c>
      <c r="I30" s="53">
        <f>Лист1!AG25</f>
        <v>1990.05</v>
      </c>
      <c r="J30" s="53">
        <f>Лист1!AI25+Лист1!AJ25</f>
        <v>3326.70025</v>
      </c>
      <c r="K30" s="53">
        <f>Лист1!AH25+Лист1!AK25+Лист1!AL25+Лист1!AM25+Лист1!AN25+Лист1!AO25+Лист1!AP25</f>
        <v>11387.0661</v>
      </c>
      <c r="L30" s="54">
        <f>Лист1!AS25+Лист1!AT25+Лист1!AU25</f>
        <v>9489.56</v>
      </c>
      <c r="M30" s="54">
        <f>Лист1!AX25</f>
        <v>1188.7792</v>
      </c>
      <c r="N30" s="102">
        <f>Лист1!BB25</f>
        <v>27382.155550000003</v>
      </c>
      <c r="O30" s="53">
        <f>Лист1!BD25</f>
        <v>8189.071949999998</v>
      </c>
      <c r="P30" s="55">
        <f>Лист1!BE25</f>
        <v>6881.34</v>
      </c>
      <c r="Q30" s="1"/>
      <c r="R30" s="1"/>
    </row>
    <row r="31" spans="1:18" s="27" customFormat="1" ht="13.5" hidden="1" thickBot="1">
      <c r="A31" s="41" t="s">
        <v>5</v>
      </c>
      <c r="B31" s="42"/>
      <c r="C31" s="42">
        <f aca="true" t="shared" si="1" ref="C31:P31">SUM(C19:C30)</f>
        <v>344274.32500000007</v>
      </c>
      <c r="D31" s="42">
        <f t="shared" si="1"/>
        <v>38522.003125</v>
      </c>
      <c r="E31" s="42">
        <f t="shared" si="1"/>
        <v>235708.84</v>
      </c>
      <c r="F31" s="42">
        <f t="shared" si="1"/>
        <v>63473.8</v>
      </c>
      <c r="G31" s="42">
        <f t="shared" si="1"/>
        <v>225857.02</v>
      </c>
      <c r="H31" s="42">
        <f t="shared" si="1"/>
        <v>327852.823125</v>
      </c>
      <c r="I31" s="42">
        <f>SUM(I19:I30)</f>
        <v>23084.309999999994</v>
      </c>
      <c r="J31" s="42">
        <f t="shared" si="1"/>
        <v>38081.6758341675</v>
      </c>
      <c r="K31" s="42">
        <f t="shared" si="1"/>
        <v>161301.2184017615</v>
      </c>
      <c r="L31" s="42">
        <f t="shared" si="1"/>
        <v>65728.3954</v>
      </c>
      <c r="M31" s="42">
        <f t="shared" si="1"/>
        <v>10176.32</v>
      </c>
      <c r="N31" s="42">
        <f t="shared" si="1"/>
        <v>298371.91963592905</v>
      </c>
      <c r="O31" s="42">
        <f>SUM(O19:O30)</f>
        <v>29480.903489071003</v>
      </c>
      <c r="P31" s="43">
        <f t="shared" si="1"/>
        <v>-9851.819999999992</v>
      </c>
      <c r="Q31" s="45"/>
      <c r="R31" s="45"/>
    </row>
    <row r="32" spans="1:18" ht="12.75">
      <c r="A32" s="8" t="s">
        <v>84</v>
      </c>
      <c r="B32" s="56"/>
      <c r="C32" s="94"/>
      <c r="D32" s="94"/>
      <c r="E32" s="46"/>
      <c r="F32" s="46"/>
      <c r="G32" s="46"/>
      <c r="H32" s="103"/>
      <c r="I32" s="46"/>
      <c r="J32" s="46"/>
      <c r="K32" s="46"/>
      <c r="L32" s="57"/>
      <c r="M32" s="57"/>
      <c r="N32" s="103"/>
      <c r="O32" s="46"/>
      <c r="P32" s="47"/>
      <c r="Q32" s="1"/>
      <c r="R32" s="1"/>
    </row>
    <row r="33" spans="1:18" ht="12.75">
      <c r="A33" s="12" t="s">
        <v>45</v>
      </c>
      <c r="B33" s="13">
        <f>Лист1!B28</f>
        <v>3316.75</v>
      </c>
      <c r="C33" s="77">
        <f>Лист1!C28</f>
        <v>28689.8875</v>
      </c>
      <c r="D33" s="77">
        <f>Лист1!D28</f>
        <v>2914.207500000003</v>
      </c>
      <c r="E33" s="18">
        <f>Лист1!S28</f>
        <v>20472.03</v>
      </c>
      <c r="F33" s="18">
        <f>Лист1!T28</f>
        <v>5303.65</v>
      </c>
      <c r="G33" s="18">
        <f>Лист1!AB28</f>
        <v>16168.25</v>
      </c>
      <c r="H33" s="101">
        <f>Лист1!AC28</f>
        <v>24386.107500000002</v>
      </c>
      <c r="I33" s="18">
        <f>Лист1!AG28</f>
        <v>1990.05</v>
      </c>
      <c r="J33" s="18">
        <f>Лист1!AI28+Лист1!AJ28</f>
        <v>3316.75</v>
      </c>
      <c r="K33" s="18">
        <f>Лист1!AH28+Лист1!AK28+Лист1!AL28+Лист1!AM28+Лист1!AN28+Лист1!AO28+Лист1!AP28</f>
        <v>11376.4525</v>
      </c>
      <c r="L33" s="19">
        <f>Лист1!AS28+Лист1!AT28+Лист1!AU28</f>
        <v>124</v>
      </c>
      <c r="M33" s="19">
        <f>Лист1!AX28</f>
        <v>1244.6</v>
      </c>
      <c r="N33" s="101">
        <f>Лист1!BB28</f>
        <v>18051.852499999997</v>
      </c>
      <c r="O33" s="18">
        <f>Лист1!BD28</f>
        <v>6334.255000000005</v>
      </c>
      <c r="P33" s="20">
        <f>Лист1!BE28</f>
        <v>-4303.779999999999</v>
      </c>
      <c r="Q33" s="1"/>
      <c r="R33" s="1"/>
    </row>
    <row r="34" spans="1:18" ht="12.75">
      <c r="A34" s="12" t="s">
        <v>46</v>
      </c>
      <c r="B34" s="13">
        <f>Лист1!B29</f>
        <v>3318.55</v>
      </c>
      <c r="C34" s="77">
        <f>Лист1!C29</f>
        <v>28705.457500000004</v>
      </c>
      <c r="D34" s="77">
        <f>Лист1!D29</f>
        <v>2929.7775000000065</v>
      </c>
      <c r="E34" s="18">
        <f>Лист1!S29</f>
        <v>20472.03</v>
      </c>
      <c r="F34" s="18">
        <f>Лист1!T29</f>
        <v>5303.65</v>
      </c>
      <c r="G34" s="18">
        <f>Лист1!AB29</f>
        <v>16093.150000000001</v>
      </c>
      <c r="H34" s="101">
        <f>Лист1!AC29</f>
        <v>24326.577500000007</v>
      </c>
      <c r="I34" s="18">
        <f>Лист1!AG29</f>
        <v>1991.13</v>
      </c>
      <c r="J34" s="18">
        <f>Лист1!AI29+Лист1!AJ29</f>
        <v>3318.55</v>
      </c>
      <c r="K34" s="18">
        <f>Лист1!AH29+Лист1!AK29+Лист1!AL29+Лист1!AM29+Лист1!AN29+Лист1!AO29+Лист1!AP29</f>
        <v>11382.6265</v>
      </c>
      <c r="L34" s="19">
        <f>Лист1!AS29+Лист1!AT29+Лист1!AU29</f>
        <v>2925</v>
      </c>
      <c r="M34" s="19">
        <f>Лист1!AX29</f>
        <v>997.15</v>
      </c>
      <c r="N34" s="101">
        <f>Лист1!BB29</f>
        <v>20614.4565</v>
      </c>
      <c r="O34" s="18">
        <f>Лист1!BD29</f>
        <v>3712.1210000000065</v>
      </c>
      <c r="P34" s="20">
        <f>Лист1!BE29</f>
        <v>-4378.879999999997</v>
      </c>
      <c r="Q34" s="1"/>
      <c r="R34" s="1"/>
    </row>
    <row r="35" spans="1:18" ht="12.75">
      <c r="A35" s="12" t="s">
        <v>47</v>
      </c>
      <c r="B35" s="13">
        <f>Лист1!B30</f>
        <v>3318.55</v>
      </c>
      <c r="C35" s="77">
        <f>Лист1!C30</f>
        <v>28705.457500000004</v>
      </c>
      <c r="D35" s="77">
        <f>Лист1!D30</f>
        <v>2917.7575000000033</v>
      </c>
      <c r="E35" s="18">
        <f>Лист1!S30</f>
        <v>20484.050000000003</v>
      </c>
      <c r="F35" s="18">
        <f>Лист1!T30</f>
        <v>5303.65</v>
      </c>
      <c r="G35" s="18">
        <f>Лист1!AB30</f>
        <v>19755.75</v>
      </c>
      <c r="H35" s="101">
        <f>Лист1!AC30</f>
        <v>27977.1575</v>
      </c>
      <c r="I35" s="18">
        <f>Лист1!AG30</f>
        <v>1991.13</v>
      </c>
      <c r="J35" s="18">
        <f>Лист1!AI30+Лист1!AJ30</f>
        <v>3318.55</v>
      </c>
      <c r="K35" s="18">
        <f>Лист1!AH30+Лист1!AK30+Лист1!AL30+Лист1!AM30+Лист1!AN30+Лист1!AO30+Лист1!AP30</f>
        <v>11382.6265</v>
      </c>
      <c r="L35" s="19">
        <f>Лист1!AS30+Лист1!AT30+Лист1!AU30</f>
        <v>0</v>
      </c>
      <c r="M35" s="19">
        <f>Лист1!AX30</f>
        <v>938.3499999999999</v>
      </c>
      <c r="N35" s="101">
        <f>Лист1!BB30</f>
        <v>17630.656499999997</v>
      </c>
      <c r="O35" s="18">
        <f>Лист1!BD30</f>
        <v>10346.501000000004</v>
      </c>
      <c r="P35" s="20">
        <f>Лист1!BE30</f>
        <v>-728.3000000000029</v>
      </c>
      <c r="Q35" s="1"/>
      <c r="R35" s="1"/>
    </row>
    <row r="36" spans="1:18" ht="12.75">
      <c r="A36" s="12" t="s">
        <v>48</v>
      </c>
      <c r="B36" s="13">
        <f>Лист1!B31</f>
        <v>3318.55</v>
      </c>
      <c r="C36" s="77">
        <f>Лист1!C31</f>
        <v>28705.457500000004</v>
      </c>
      <c r="D36" s="77">
        <f>Лист1!D31</f>
        <v>2923.5175000000054</v>
      </c>
      <c r="E36" s="18">
        <f>Лист1!S31</f>
        <v>20406.46</v>
      </c>
      <c r="F36" s="18">
        <f>Лист1!T31</f>
        <v>5375.48</v>
      </c>
      <c r="G36" s="18">
        <f>Лист1!AB31</f>
        <v>17918.38</v>
      </c>
      <c r="H36" s="101">
        <f>Лист1!AC31</f>
        <v>26217.377500000006</v>
      </c>
      <c r="I36" s="18">
        <f>Лист1!AG31</f>
        <v>1991.13</v>
      </c>
      <c r="J36" s="18">
        <f>Лист1!AI31+Лист1!AJ31</f>
        <v>3318.55</v>
      </c>
      <c r="K36" s="18">
        <f>Лист1!AH31+Лист1!AK31+Лист1!AL31+Лист1!AM31+Лист1!AN31+Лист1!AO31+Лист1!AP31</f>
        <v>11382.6265</v>
      </c>
      <c r="L36" s="19">
        <f>Лист1!AS31+Лист1!AT31+Лист1!AU31</f>
        <v>2150</v>
      </c>
      <c r="M36" s="19">
        <f>Лист1!AX31</f>
        <v>752.15</v>
      </c>
      <c r="N36" s="101">
        <f>Лист1!BB31</f>
        <v>19594.4565</v>
      </c>
      <c r="O36" s="18">
        <f>Лист1!BD31</f>
        <v>6622.921000000006</v>
      </c>
      <c r="P36" s="20">
        <f>Лист1!BE31</f>
        <v>-2488.079999999998</v>
      </c>
      <c r="Q36" s="1"/>
      <c r="R36" s="1"/>
    </row>
    <row r="37" spans="1:18" ht="12.75">
      <c r="A37" s="12" t="s">
        <v>49</v>
      </c>
      <c r="B37" s="13">
        <f>Лист1!B32</f>
        <v>3321.75</v>
      </c>
      <c r="C37" s="77">
        <f>Лист1!C32</f>
        <v>28733.1375</v>
      </c>
      <c r="D37" s="77">
        <f>Лист1!D32</f>
        <v>2927.5774999999994</v>
      </c>
      <c r="E37" s="18">
        <f>Лист1!S32</f>
        <v>20415.71</v>
      </c>
      <c r="F37" s="18">
        <f>Лист1!T32</f>
        <v>5389.85</v>
      </c>
      <c r="G37" s="18">
        <f>Лист1!AB32</f>
        <v>19408.97</v>
      </c>
      <c r="H37" s="101">
        <f>Лист1!AC32</f>
        <v>27726.3975</v>
      </c>
      <c r="I37" s="18">
        <f>Лист1!AG32</f>
        <v>1993.05</v>
      </c>
      <c r="J37" s="18">
        <f>Лист1!AI32+Лист1!AJ32</f>
        <v>3321.75</v>
      </c>
      <c r="K37" s="18">
        <f>Лист1!AH32+Лист1!AK32+Лист1!AL32+Лист1!AM32+Лист1!AN32+Лист1!AO32+Лист1!AP32</f>
        <v>11393.6025</v>
      </c>
      <c r="L37" s="19">
        <f>Лист1!AS32+Лист1!AT32+Лист1!AU32</f>
        <v>4004</v>
      </c>
      <c r="M37" s="19">
        <f>Лист1!AX32</f>
        <v>644.3499999999999</v>
      </c>
      <c r="N37" s="101">
        <f>Лист1!BB32</f>
        <v>21356.7525</v>
      </c>
      <c r="O37" s="18">
        <f>Лист1!BD32</f>
        <v>6369.645</v>
      </c>
      <c r="P37" s="20">
        <f>Лист1!BE32</f>
        <v>-1006.739999999998</v>
      </c>
      <c r="Q37" s="1"/>
      <c r="R37" s="1"/>
    </row>
    <row r="38" spans="1:18" ht="12.75">
      <c r="A38" s="12" t="s">
        <v>50</v>
      </c>
      <c r="B38" s="13">
        <f>Лист1!B33</f>
        <v>3321.75</v>
      </c>
      <c r="C38" s="77">
        <f>Лист1!C33</f>
        <v>28733.1375</v>
      </c>
      <c r="D38" s="77">
        <f>Лист1!D33</f>
        <v>2896.077500000003</v>
      </c>
      <c r="E38" s="18">
        <f>Лист1!S33</f>
        <v>20477.17</v>
      </c>
      <c r="F38" s="18">
        <f>Лист1!T33</f>
        <v>5359.89</v>
      </c>
      <c r="G38" s="18">
        <f>Лист1!AB33</f>
        <v>16962.97</v>
      </c>
      <c r="H38" s="101">
        <f>Лист1!AC33</f>
        <v>25218.937500000004</v>
      </c>
      <c r="I38" s="18">
        <f>Лист1!AG33</f>
        <v>1993.05</v>
      </c>
      <c r="J38" s="18">
        <f>Лист1!AI33+Лист1!AJ33</f>
        <v>3321.75</v>
      </c>
      <c r="K38" s="18">
        <f>Лист1!AH33+Лист1!AK33+Лист1!AL33+Лист1!AM33+Лист1!AN33+Лист1!AO33+Лист1!AP33</f>
        <v>11393.6025</v>
      </c>
      <c r="L38" s="19">
        <f>Лист1!AS33+Лист1!AT33+Лист1!AU33</f>
        <v>6166.27</v>
      </c>
      <c r="M38" s="19">
        <f>Лист1!AX33</f>
        <v>570.8499999999999</v>
      </c>
      <c r="N38" s="101">
        <f>Лист1!BB33</f>
        <v>23445.5225</v>
      </c>
      <c r="O38" s="18">
        <f>Лист1!BD33</f>
        <v>1773.4150000000045</v>
      </c>
      <c r="P38" s="20">
        <f>Лист1!BE33</f>
        <v>-3514.199999999997</v>
      </c>
      <c r="Q38" s="1"/>
      <c r="R38" s="1"/>
    </row>
    <row r="39" spans="1:18" ht="12.75">
      <c r="A39" s="12" t="s">
        <v>51</v>
      </c>
      <c r="B39" s="13">
        <f>Лист1!B34</f>
        <v>3321.75</v>
      </c>
      <c r="C39" s="77">
        <f>Лист1!C34</f>
        <v>28733.1375</v>
      </c>
      <c r="D39" s="77">
        <f>Лист1!D34</f>
        <v>2793.577499999999</v>
      </c>
      <c r="E39" s="18">
        <f>Лист1!S34</f>
        <v>25939.560000000005</v>
      </c>
      <c r="F39" s="18">
        <f>Лист1!T34</f>
        <v>0</v>
      </c>
      <c r="G39" s="18">
        <f>Лист1!AB34</f>
        <v>20329.609999999997</v>
      </c>
      <c r="H39" s="101">
        <f>Лист1!AC34</f>
        <v>23123.187499999996</v>
      </c>
      <c r="I39" s="18">
        <f>Лист1!AG34</f>
        <v>1993.05</v>
      </c>
      <c r="J39" s="18">
        <f>Лист1!AI34+Лист1!AJ34</f>
        <v>3321.75</v>
      </c>
      <c r="K39" s="18">
        <f>Лист1!AH34+Лист1!AK34+Лист1!AL34+Лист1!AM34+Лист1!AN34+Лист1!AO34+Лист1!AP34</f>
        <v>15451.702500000001</v>
      </c>
      <c r="L39" s="19">
        <f>Лист1!AS34+Лист1!AT34+Лист1!AU34</f>
        <v>0</v>
      </c>
      <c r="M39" s="19">
        <f>Лист1!AX34</f>
        <v>607.5999999999999</v>
      </c>
      <c r="N39" s="101">
        <f>Лист1!BB34</f>
        <v>21374.102499999997</v>
      </c>
      <c r="O39" s="18">
        <f>Лист1!BD34</f>
        <v>1749.0849999999991</v>
      </c>
      <c r="P39" s="20">
        <f>Лист1!BE34</f>
        <v>-5609.950000000008</v>
      </c>
      <c r="Q39" s="1"/>
      <c r="R39" s="1"/>
    </row>
    <row r="40" spans="1:18" ht="12.75">
      <c r="A40" s="12" t="s">
        <v>52</v>
      </c>
      <c r="B40" s="13">
        <f>Лист1!B35</f>
        <v>3321.75</v>
      </c>
      <c r="C40" s="77">
        <f>Лист1!C35</f>
        <v>28733.1375</v>
      </c>
      <c r="D40" s="77">
        <f>Лист1!D35</f>
        <v>2793.5675000000006</v>
      </c>
      <c r="E40" s="18">
        <f>Лист1!S35</f>
        <v>25939.57</v>
      </c>
      <c r="F40" s="18">
        <f>Лист1!T35</f>
        <v>0</v>
      </c>
      <c r="G40" s="18">
        <f>Лист1!AB35</f>
        <v>22380.52</v>
      </c>
      <c r="H40" s="101">
        <f>Лист1!AC35</f>
        <v>25174.0875</v>
      </c>
      <c r="I40" s="18">
        <f>Лист1!AG35</f>
        <v>1993.05</v>
      </c>
      <c r="J40" s="18">
        <f>Лист1!AI35+Лист1!AJ35</f>
        <v>3321.75</v>
      </c>
      <c r="K40" s="18">
        <f>Лист1!AH35+Лист1!AK35+Лист1!AL35+Лист1!AM35+Лист1!AN35+Лист1!AO35+Лист1!AP35</f>
        <v>11393.6025</v>
      </c>
      <c r="L40" s="19">
        <f>Лист1!AS35+Лист1!AT35+Лист1!AU35</f>
        <v>89.8</v>
      </c>
      <c r="M40" s="19">
        <f>Лист1!AX35</f>
        <v>717.8499999999999</v>
      </c>
      <c r="N40" s="101">
        <f>Лист1!BB35</f>
        <v>17516.052499999998</v>
      </c>
      <c r="O40" s="18">
        <f>Лист1!BD35</f>
        <v>7658.0350000000035</v>
      </c>
      <c r="P40" s="20">
        <f>Лист1!BE35</f>
        <v>-3559.0499999999993</v>
      </c>
      <c r="Q40" s="1"/>
      <c r="R40" s="1"/>
    </row>
    <row r="41" spans="1:18" ht="12.75">
      <c r="A41" s="12" t="s">
        <v>53</v>
      </c>
      <c r="B41" s="13">
        <f>Лист1!B36</f>
        <v>3321.75</v>
      </c>
      <c r="C41" s="77">
        <f>Лист1!C36</f>
        <v>28733.1375</v>
      </c>
      <c r="D41" s="77">
        <f>Лист1!D36</f>
        <v>2793.5574999999985</v>
      </c>
      <c r="E41" s="18">
        <f>Лист1!S36</f>
        <v>25939.579999999998</v>
      </c>
      <c r="F41" s="18">
        <f>Лист1!T36</f>
        <v>0</v>
      </c>
      <c r="G41" s="18">
        <f>Лист1!AB36</f>
        <v>24543.21</v>
      </c>
      <c r="H41" s="101">
        <f>Лист1!AC36</f>
        <v>27336.767499999998</v>
      </c>
      <c r="I41" s="18">
        <f>Лист1!AG36</f>
        <v>1993.05</v>
      </c>
      <c r="J41" s="18">
        <f>Лист1!AI36+Лист1!AJ36</f>
        <v>3321.75</v>
      </c>
      <c r="K41" s="18">
        <f>Лист1!AH36+Лист1!AK36+Лист1!AL36+Лист1!AM36+Лист1!AN36+Лист1!AO36+Лист1!AP36</f>
        <v>11393.6025</v>
      </c>
      <c r="L41" s="19">
        <f>Лист1!AS36+Лист1!AT36+Лист1!AU36</f>
        <v>5587</v>
      </c>
      <c r="M41" s="19">
        <f>Лист1!AX36</f>
        <v>855.05</v>
      </c>
      <c r="N41" s="101">
        <f>Лист1!BB36</f>
        <v>23150.4525</v>
      </c>
      <c r="O41" s="18">
        <f>Лист1!BD36</f>
        <v>4186.314999999999</v>
      </c>
      <c r="P41" s="20">
        <f>Лист1!BE36</f>
        <v>-1396.369999999999</v>
      </c>
      <c r="Q41" s="1"/>
      <c r="R41" s="1"/>
    </row>
    <row r="42" spans="1:18" ht="12.75">
      <c r="A42" s="12" t="s">
        <v>41</v>
      </c>
      <c r="B42" s="13">
        <f>Лист1!B37</f>
        <v>3321.75</v>
      </c>
      <c r="C42" s="77">
        <f>Лист1!C37</f>
        <v>28733.1375</v>
      </c>
      <c r="D42" s="77">
        <f>Лист1!D37</f>
        <v>2778.0974999999985</v>
      </c>
      <c r="E42" s="18">
        <f>Лист1!S37</f>
        <v>25955.04</v>
      </c>
      <c r="F42" s="18">
        <f>Лист1!T37</f>
        <v>0</v>
      </c>
      <c r="G42" s="18">
        <f>Лист1!AB37</f>
        <v>26986.98</v>
      </c>
      <c r="H42" s="101">
        <f>Лист1!AC37</f>
        <v>29765.0775</v>
      </c>
      <c r="I42" s="18">
        <f>Лист1!AG37</f>
        <v>1993.05</v>
      </c>
      <c r="J42" s="18">
        <f>Лист1!AI37+Лист1!AJ37</f>
        <v>3321.75</v>
      </c>
      <c r="K42" s="18">
        <f>Лист1!AH37+Лист1!AK37+Лист1!AL37+Лист1!AM37+Лист1!AN37+Лист1!AO37+Лист1!AP37</f>
        <v>11393.6025</v>
      </c>
      <c r="L42" s="19">
        <f>Лист1!AS37+Лист1!AT37+Лист1!AU37</f>
        <v>359</v>
      </c>
      <c r="M42" s="19">
        <f>Лист1!AX37</f>
        <v>1041.25</v>
      </c>
      <c r="N42" s="101">
        <f>Лист1!BB37</f>
        <v>18108.6525</v>
      </c>
      <c r="O42" s="18">
        <f>Лист1!BD37</f>
        <v>11731.425</v>
      </c>
      <c r="P42" s="20">
        <f>Лист1!BE37</f>
        <v>1031.9399999999987</v>
      </c>
      <c r="Q42" s="1"/>
      <c r="R42" s="1"/>
    </row>
    <row r="43" spans="1:18" ht="12.75">
      <c r="A43" s="12" t="s">
        <v>42</v>
      </c>
      <c r="B43" s="13">
        <f>Лист1!B38</f>
        <v>3321.75</v>
      </c>
      <c r="C43" s="77">
        <f>Лист1!C38</f>
        <v>28733.1375</v>
      </c>
      <c r="D43" s="77">
        <f>Лист1!D38</f>
        <v>2774.8175</v>
      </c>
      <c r="E43" s="18">
        <f>Лист1!S38</f>
        <v>25958.32</v>
      </c>
      <c r="F43" s="18">
        <f>Лист1!T38</f>
        <v>0</v>
      </c>
      <c r="G43" s="18">
        <f>Лист1!AB38</f>
        <v>33528.7</v>
      </c>
      <c r="H43" s="101">
        <f>Лист1!AC38</f>
        <v>36303.517499999994</v>
      </c>
      <c r="I43" s="18">
        <f>Лист1!AG38</f>
        <v>1993.05</v>
      </c>
      <c r="J43" s="18">
        <f>Лист1!AI38+Лист1!AJ38</f>
        <v>3321.75</v>
      </c>
      <c r="K43" s="18">
        <f>Лист1!AH38+Лист1!AK38+Лист1!AL38+Лист1!AM38+Лист1!AN38+Лист1!AO38+Лист1!AP38</f>
        <v>11393.6025</v>
      </c>
      <c r="L43" s="19">
        <f>Лист1!AS38+Лист1!AT38+Лист1!AU38</f>
        <v>1827</v>
      </c>
      <c r="M43" s="19">
        <f>Лист1!AX38</f>
        <v>1151.5</v>
      </c>
      <c r="N43" s="101">
        <f>Лист1!BB38</f>
        <v>19686.9025</v>
      </c>
      <c r="O43" s="18">
        <f>Лист1!BD38</f>
        <v>16691.614999999994</v>
      </c>
      <c r="P43" s="20">
        <f>Лист1!BE38</f>
        <v>7570.379999999997</v>
      </c>
      <c r="Q43" s="1"/>
      <c r="R43" s="1"/>
    </row>
    <row r="44" spans="1:18" ht="13.5" thickBot="1">
      <c r="A44" s="40" t="s">
        <v>43</v>
      </c>
      <c r="B44" s="52">
        <f>Лист1!B39</f>
        <v>3321.75</v>
      </c>
      <c r="C44" s="93">
        <f>Лист1!C39</f>
        <v>28733.1375</v>
      </c>
      <c r="D44" s="93">
        <f>Лист1!D39</f>
        <v>42786.3075</v>
      </c>
      <c r="E44" s="53">
        <f>Лист1!S39</f>
        <v>25946.83</v>
      </c>
      <c r="F44" s="53">
        <f>Лист1!T39</f>
        <v>0</v>
      </c>
      <c r="G44" s="53">
        <f>Лист1!AB39</f>
        <v>34403.56</v>
      </c>
      <c r="H44" s="102">
        <f>Лист1!AC39</f>
        <v>77189.8675</v>
      </c>
      <c r="I44" s="53">
        <f>Лист1!AG39</f>
        <v>1993.05</v>
      </c>
      <c r="J44" s="53">
        <f>Лист1!AI39+Лист1!AJ39</f>
        <v>3321.75</v>
      </c>
      <c r="K44" s="53">
        <f>Лист1!AH39+Лист1!AK39+Лист1!AL39+Лист1!AM39+Лист1!AN39+Лист1!AO39+Лист1!AP39</f>
        <v>11393.6025</v>
      </c>
      <c r="L44" s="54">
        <f>Лист1!AS39+Лист1!AT39+Лист1!AU39</f>
        <v>843.9478</v>
      </c>
      <c r="M44" s="54">
        <f>Лист1!AX39</f>
        <v>1259.3</v>
      </c>
      <c r="N44" s="102">
        <f>Лист1!BB39</f>
        <v>18811.650299999998</v>
      </c>
      <c r="O44" s="53">
        <f>Лист1!BD39</f>
        <v>58453.2172</v>
      </c>
      <c r="P44" s="55">
        <f>Лист1!BE39</f>
        <v>8456.729999999996</v>
      </c>
      <c r="Q44" s="1"/>
      <c r="R44" s="1"/>
    </row>
    <row r="45" spans="1:18" s="27" customFormat="1" ht="13.5" thickBot="1">
      <c r="A45" s="41" t="s">
        <v>5</v>
      </c>
      <c r="B45" s="42"/>
      <c r="C45" s="42">
        <f aca="true" t="shared" si="2" ref="C45:P45">SUM(C33:C44)</f>
        <v>344671.3600000001</v>
      </c>
      <c r="D45" s="42">
        <f t="shared" si="2"/>
        <v>74228.84000000003</v>
      </c>
      <c r="E45" s="42">
        <f t="shared" si="2"/>
        <v>278406.35000000003</v>
      </c>
      <c r="F45" s="42">
        <f t="shared" si="2"/>
        <v>32036.17</v>
      </c>
      <c r="G45" s="42">
        <f t="shared" si="2"/>
        <v>268480.05</v>
      </c>
      <c r="H45" s="42">
        <f t="shared" si="2"/>
        <v>374745.06</v>
      </c>
      <c r="I45" s="42">
        <f t="shared" si="2"/>
        <v>23907.839999999997</v>
      </c>
      <c r="J45" s="42">
        <f t="shared" si="2"/>
        <v>39846.4</v>
      </c>
      <c r="K45" s="42">
        <f t="shared" si="2"/>
        <v>140731.25200000004</v>
      </c>
      <c r="L45" s="42">
        <f t="shared" si="2"/>
        <v>24076.0178</v>
      </c>
      <c r="M45" s="42">
        <f t="shared" si="2"/>
        <v>10780</v>
      </c>
      <c r="N45" s="42">
        <f t="shared" si="2"/>
        <v>239341.50979999997</v>
      </c>
      <c r="O45" s="42">
        <f t="shared" si="2"/>
        <v>135628.5502</v>
      </c>
      <c r="P45" s="43">
        <f t="shared" si="2"/>
        <v>-9926.300000000007</v>
      </c>
      <c r="Q45" s="45"/>
      <c r="R45" s="45"/>
    </row>
    <row r="46" spans="1:18" ht="13.5" thickBot="1">
      <c r="A46" s="96" t="s">
        <v>68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7"/>
      <c r="Q46" s="1"/>
      <c r="R46" s="1"/>
    </row>
    <row r="47" spans="1:18" s="27" customFormat="1" ht="13.5" thickBot="1">
      <c r="A47" s="48" t="s">
        <v>54</v>
      </c>
      <c r="B47" s="49"/>
      <c r="C47" s="49">
        <f>C17+C31+C45</f>
        <v>775011.4550000002</v>
      </c>
      <c r="D47" s="49">
        <f aca="true" t="shared" si="3" ref="D47:P47">D17+D31+D45</f>
        <v>133467.16084990004</v>
      </c>
      <c r="E47" s="49">
        <f t="shared" si="3"/>
        <v>568950.1100000001</v>
      </c>
      <c r="F47" s="49">
        <f t="shared" si="3"/>
        <v>109977.35</v>
      </c>
      <c r="G47" s="49">
        <f t="shared" si="3"/>
        <v>527223.52</v>
      </c>
      <c r="H47" s="49">
        <f t="shared" si="3"/>
        <v>770668.0308499</v>
      </c>
      <c r="I47" s="49">
        <f t="shared" si="3"/>
        <v>52962.02999999999</v>
      </c>
      <c r="J47" s="49">
        <f t="shared" si="3"/>
        <v>87919.1529111275</v>
      </c>
      <c r="K47" s="49">
        <f t="shared" si="3"/>
        <v>337060.0147341995</v>
      </c>
      <c r="L47" s="49">
        <f t="shared" si="3"/>
        <v>94445.3532</v>
      </c>
      <c r="M47" s="49">
        <f t="shared" si="3"/>
        <v>20956.32</v>
      </c>
      <c r="N47" s="49">
        <f t="shared" si="3"/>
        <v>593342.870845327</v>
      </c>
      <c r="O47" s="49">
        <f>O17+O31+O45</f>
        <v>177550.160004573</v>
      </c>
      <c r="P47" s="49">
        <f t="shared" si="3"/>
        <v>-41726.59</v>
      </c>
      <c r="Q47" s="50"/>
      <c r="R47" s="45"/>
    </row>
    <row r="48" spans="1:18" s="27" customFormat="1" ht="8.25" customHeight="1">
      <c r="A48" s="3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45"/>
    </row>
    <row r="49" spans="1:18" ht="12.75">
      <c r="A49" s="27" t="s">
        <v>69</v>
      </c>
      <c r="D49" s="2" t="s">
        <v>91</v>
      </c>
      <c r="Q49" s="1"/>
      <c r="R49" s="1"/>
    </row>
    <row r="50" spans="1:18" ht="12.75">
      <c r="A50" s="98" t="s">
        <v>70</v>
      </c>
      <c r="B50" s="98" t="s">
        <v>71</v>
      </c>
      <c r="C50" s="180" t="s">
        <v>72</v>
      </c>
      <c r="D50" s="180"/>
      <c r="Q50" s="1"/>
      <c r="R50" s="1"/>
    </row>
    <row r="51" spans="1:18" ht="12.75">
      <c r="A51" s="18">
        <v>205620.75</v>
      </c>
      <c r="B51" s="99">
        <v>161725.34</v>
      </c>
      <c r="C51" s="181">
        <f>A51-B51</f>
        <v>43895.41</v>
      </c>
      <c r="D51" s="182"/>
      <c r="Q51" s="1"/>
      <c r="R51" s="1"/>
    </row>
    <row r="52" spans="1:18" ht="12.75">
      <c r="A52" s="51"/>
      <c r="Q52" s="1"/>
      <c r="R52" s="1"/>
    </row>
    <row r="53" spans="1:18" ht="12.75">
      <c r="A53" s="51"/>
      <c r="Q53" s="1"/>
      <c r="R53" s="1"/>
    </row>
    <row r="54" spans="1:18" ht="12.75">
      <c r="A54" s="2" t="s">
        <v>73</v>
      </c>
      <c r="G54" s="2" t="s">
        <v>74</v>
      </c>
      <c r="Q54" s="1"/>
      <c r="R54" s="1"/>
    </row>
    <row r="55" ht="12.75">
      <c r="A55" s="1"/>
    </row>
    <row r="56" ht="12.75">
      <c r="A56" s="1"/>
    </row>
    <row r="57" ht="12.75">
      <c r="A57" s="1" t="s">
        <v>83</v>
      </c>
    </row>
    <row r="58" ht="12.75">
      <c r="A58" s="2" t="s">
        <v>75</v>
      </c>
    </row>
  </sheetData>
  <sheetProtection/>
  <mergeCells count="21">
    <mergeCell ref="O8:O11"/>
    <mergeCell ref="G8:H9"/>
    <mergeCell ref="A5:F5"/>
    <mergeCell ref="C50:D50"/>
    <mergeCell ref="C51:D51"/>
    <mergeCell ref="A4:O4"/>
    <mergeCell ref="A8:A11"/>
    <mergeCell ref="B8:B11"/>
    <mergeCell ref="C8:C11"/>
    <mergeCell ref="D8:D11"/>
    <mergeCell ref="I8:N9"/>
    <mergeCell ref="P8:P11"/>
    <mergeCell ref="K10:K11"/>
    <mergeCell ref="L10:L11"/>
    <mergeCell ref="M10:M11"/>
    <mergeCell ref="E8:F9"/>
    <mergeCell ref="N10:N11"/>
    <mergeCell ref="E10:F10"/>
    <mergeCell ref="H10:H11"/>
    <mergeCell ref="I10:I11"/>
    <mergeCell ref="J10:J11"/>
  </mergeCells>
  <printOptions/>
  <pageMargins left="0.31" right="0.16" top="0.17" bottom="0.16" header="0.17" footer="0.1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24" sqref="AK24:BB24"/>
    </sheetView>
  </sheetViews>
  <sheetFormatPr defaultColWidth="9.00390625" defaultRowHeight="12.75"/>
  <cols>
    <col min="1" max="1" width="8.75390625" style="190" bestFit="1" customWidth="1"/>
    <col min="2" max="2" width="9.125" style="190" customWidth="1"/>
    <col min="3" max="3" width="11.375" style="190" customWidth="1"/>
    <col min="4" max="4" width="10.375" style="190" customWidth="1"/>
    <col min="5" max="6" width="9.125" style="190" customWidth="1"/>
    <col min="7" max="7" width="10.25390625" style="190" customWidth="1"/>
    <col min="8" max="8" width="9.125" style="190" customWidth="1"/>
    <col min="9" max="9" width="9.875" style="190" customWidth="1"/>
    <col min="10" max="10" width="9.125" style="190" customWidth="1"/>
    <col min="11" max="11" width="10.375" style="190" customWidth="1"/>
    <col min="12" max="12" width="9.125" style="190" customWidth="1"/>
    <col min="13" max="13" width="10.125" style="190" bestFit="1" customWidth="1"/>
    <col min="14" max="14" width="9.125" style="190" customWidth="1"/>
    <col min="15" max="15" width="10.125" style="190" bestFit="1" customWidth="1"/>
    <col min="16" max="18" width="9.125" style="190" customWidth="1"/>
    <col min="19" max="19" width="10.125" style="190" bestFit="1" customWidth="1"/>
    <col min="20" max="20" width="10.125" style="190" customWidth="1"/>
    <col min="21" max="21" width="10.125" style="190" bestFit="1" customWidth="1"/>
    <col min="22" max="22" width="10.25390625" style="190" customWidth="1"/>
    <col min="23" max="23" width="10.625" style="190" customWidth="1"/>
    <col min="24" max="24" width="10.125" style="190" customWidth="1"/>
    <col min="25" max="28" width="10.125" style="190" bestFit="1" customWidth="1"/>
    <col min="29" max="30" width="11.375" style="190" customWidth="1"/>
    <col min="31" max="31" width="9.25390625" style="190" bestFit="1" customWidth="1"/>
    <col min="32" max="32" width="10.125" style="190" bestFit="1" customWidth="1"/>
    <col min="33" max="33" width="11.00390625" style="190" customWidth="1"/>
    <col min="34" max="35" width="9.25390625" style="190" bestFit="1" customWidth="1"/>
    <col min="36" max="36" width="12.625" style="190" customWidth="1"/>
    <col min="37" max="38" width="9.25390625" style="190" bestFit="1" customWidth="1"/>
    <col min="39" max="39" width="10.125" style="190" bestFit="1" customWidth="1"/>
    <col min="40" max="40" width="9.25390625" style="190" bestFit="1" customWidth="1"/>
    <col min="41" max="42" width="10.125" style="190" bestFit="1" customWidth="1"/>
    <col min="43" max="44" width="9.25390625" style="190" customWidth="1"/>
    <col min="45" max="45" width="10.125" style="190" bestFit="1" customWidth="1"/>
    <col min="46" max="46" width="11.625" style="190" customWidth="1"/>
    <col min="47" max="47" width="10.875" style="190" customWidth="1"/>
    <col min="48" max="48" width="10.625" style="190" customWidth="1"/>
    <col min="49" max="49" width="10.25390625" style="190" customWidth="1"/>
    <col min="50" max="50" width="10.625" style="190" customWidth="1"/>
    <col min="51" max="51" width="9.25390625" style="190" bestFit="1" customWidth="1"/>
    <col min="52" max="53" width="10.125" style="190" bestFit="1" customWidth="1"/>
    <col min="54" max="54" width="11.625" style="190" customWidth="1"/>
    <col min="55" max="55" width="11.75390625" style="190" customWidth="1"/>
    <col min="56" max="56" width="12.125" style="190" customWidth="1"/>
    <col min="57" max="57" width="13.625" style="190" customWidth="1"/>
    <col min="58" max="58" width="11.00390625" style="190" customWidth="1"/>
    <col min="59" max="59" width="10.625" style="190" customWidth="1"/>
    <col min="60" max="16384" width="9.125" style="190" customWidth="1"/>
  </cols>
  <sheetData>
    <row r="1" spans="1:18" ht="21" customHeight="1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89"/>
      <c r="P1" s="189"/>
      <c r="Q1" s="189"/>
      <c r="R1" s="189"/>
    </row>
    <row r="2" spans="1:18" ht="13.5" thickBot="1">
      <c r="A2" s="189"/>
      <c r="B2" s="191"/>
      <c r="C2" s="192"/>
      <c r="D2" s="192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59" ht="29.25" customHeight="1" thickBot="1">
      <c r="A3" s="193" t="s">
        <v>0</v>
      </c>
      <c r="B3" s="194" t="s">
        <v>1</v>
      </c>
      <c r="C3" s="195" t="s">
        <v>2</v>
      </c>
      <c r="D3" s="196" t="s">
        <v>3</v>
      </c>
      <c r="E3" s="193" t="s">
        <v>94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  <c r="S3" s="193"/>
      <c r="T3" s="197"/>
      <c r="U3" s="193" t="s">
        <v>5</v>
      </c>
      <c r="V3" s="197"/>
      <c r="W3" s="199" t="s">
        <v>6</v>
      </c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1"/>
      <c r="AJ3" s="202" t="s">
        <v>78</v>
      </c>
      <c r="AK3" s="203" t="s">
        <v>10</v>
      </c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5"/>
      <c r="BF3" s="206" t="s">
        <v>11</v>
      </c>
      <c r="BG3" s="207" t="s">
        <v>12</v>
      </c>
    </row>
    <row r="4" spans="1:59" ht="51.75" customHeight="1" hidden="1" thickBot="1">
      <c r="A4" s="208"/>
      <c r="B4" s="209"/>
      <c r="C4" s="210"/>
      <c r="D4" s="211"/>
      <c r="E4" s="208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  <c r="S4" s="214"/>
      <c r="T4" s="215"/>
      <c r="U4" s="214"/>
      <c r="V4" s="215"/>
      <c r="W4" s="216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8"/>
      <c r="AJ4" s="219"/>
      <c r="AK4" s="220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2"/>
      <c r="BF4" s="223"/>
      <c r="BG4" s="224"/>
    </row>
    <row r="5" spans="1:61" ht="19.5" customHeight="1">
      <c r="A5" s="208"/>
      <c r="B5" s="209"/>
      <c r="C5" s="210"/>
      <c r="D5" s="211"/>
      <c r="E5" s="225" t="s">
        <v>13</v>
      </c>
      <c r="F5" s="226"/>
      <c r="G5" s="225" t="s">
        <v>95</v>
      </c>
      <c r="H5" s="226"/>
      <c r="I5" s="225" t="s">
        <v>14</v>
      </c>
      <c r="J5" s="226"/>
      <c r="K5" s="225" t="s">
        <v>16</v>
      </c>
      <c r="L5" s="226"/>
      <c r="M5" s="225" t="s">
        <v>15</v>
      </c>
      <c r="N5" s="226"/>
      <c r="O5" s="227" t="s">
        <v>17</v>
      </c>
      <c r="P5" s="227"/>
      <c r="Q5" s="225" t="s">
        <v>96</v>
      </c>
      <c r="R5" s="226"/>
      <c r="S5" s="227" t="s">
        <v>97</v>
      </c>
      <c r="T5" s="226"/>
      <c r="U5" s="228" t="s">
        <v>20</v>
      </c>
      <c r="V5" s="229" t="s">
        <v>21</v>
      </c>
      <c r="W5" s="230" t="s">
        <v>22</v>
      </c>
      <c r="X5" s="230" t="s">
        <v>98</v>
      </c>
      <c r="Y5" s="230" t="s">
        <v>23</v>
      </c>
      <c r="Z5" s="230" t="s">
        <v>25</v>
      </c>
      <c r="AA5" s="230" t="s">
        <v>24</v>
      </c>
      <c r="AB5" s="230" t="s">
        <v>26</v>
      </c>
      <c r="AC5" s="230" t="s">
        <v>27</v>
      </c>
      <c r="AD5" s="231" t="s">
        <v>28</v>
      </c>
      <c r="AE5" s="231" t="s">
        <v>99</v>
      </c>
      <c r="AF5" s="232" t="s">
        <v>29</v>
      </c>
      <c r="AG5" s="233" t="s">
        <v>100</v>
      </c>
      <c r="AH5" s="234" t="s">
        <v>8</v>
      </c>
      <c r="AI5" s="235" t="s">
        <v>9</v>
      </c>
      <c r="AJ5" s="219"/>
      <c r="AK5" s="236" t="s">
        <v>101</v>
      </c>
      <c r="AL5" s="237" t="s">
        <v>102</v>
      </c>
      <c r="AM5" s="237" t="s">
        <v>103</v>
      </c>
      <c r="AN5" s="238" t="s">
        <v>104</v>
      </c>
      <c r="AO5" s="237" t="s">
        <v>105</v>
      </c>
      <c r="AP5" s="238" t="s">
        <v>106</v>
      </c>
      <c r="AQ5" s="238" t="s">
        <v>107</v>
      </c>
      <c r="AR5" s="238" t="s">
        <v>108</v>
      </c>
      <c r="AS5" s="238" t="s">
        <v>109</v>
      </c>
      <c r="AT5" s="238" t="s">
        <v>36</v>
      </c>
      <c r="AU5" s="140" t="s">
        <v>110</v>
      </c>
      <c r="AV5" s="133" t="s">
        <v>111</v>
      </c>
      <c r="AW5" s="140" t="s">
        <v>112</v>
      </c>
      <c r="AX5" s="239" t="s">
        <v>113</v>
      </c>
      <c r="AY5" s="240"/>
      <c r="AZ5" s="241" t="s">
        <v>19</v>
      </c>
      <c r="BA5" s="238" t="s">
        <v>38</v>
      </c>
      <c r="BB5" s="238" t="s">
        <v>33</v>
      </c>
      <c r="BC5" s="242" t="s">
        <v>39</v>
      </c>
      <c r="BD5" s="243" t="s">
        <v>90</v>
      </c>
      <c r="BE5" s="238" t="s">
        <v>114</v>
      </c>
      <c r="BF5" s="223"/>
      <c r="BG5" s="224"/>
      <c r="BH5" s="244"/>
      <c r="BI5" s="245"/>
    </row>
    <row r="6" spans="1:61" ht="56.25" customHeight="1" thickBot="1">
      <c r="A6" s="208"/>
      <c r="B6" s="209"/>
      <c r="C6" s="210"/>
      <c r="D6" s="211"/>
      <c r="E6" s="246"/>
      <c r="F6" s="247"/>
      <c r="G6" s="246"/>
      <c r="H6" s="247"/>
      <c r="I6" s="246"/>
      <c r="J6" s="247"/>
      <c r="K6" s="246"/>
      <c r="L6" s="247"/>
      <c r="M6" s="246"/>
      <c r="N6" s="247"/>
      <c r="O6" s="248"/>
      <c r="P6" s="248"/>
      <c r="Q6" s="246"/>
      <c r="R6" s="247"/>
      <c r="S6" s="249"/>
      <c r="T6" s="247"/>
      <c r="U6" s="250"/>
      <c r="V6" s="251"/>
      <c r="W6" s="252"/>
      <c r="X6" s="252"/>
      <c r="Y6" s="252"/>
      <c r="Z6" s="252"/>
      <c r="AA6" s="252"/>
      <c r="AB6" s="252"/>
      <c r="AC6" s="252"/>
      <c r="AD6" s="253"/>
      <c r="AE6" s="253"/>
      <c r="AF6" s="254"/>
      <c r="AG6" s="255"/>
      <c r="AH6" s="256"/>
      <c r="AI6" s="257"/>
      <c r="AJ6" s="258"/>
      <c r="AK6" s="259"/>
      <c r="AL6" s="260"/>
      <c r="AM6" s="260"/>
      <c r="AN6" s="261"/>
      <c r="AO6" s="260"/>
      <c r="AP6" s="261"/>
      <c r="AQ6" s="261"/>
      <c r="AR6" s="261"/>
      <c r="AS6" s="261"/>
      <c r="AT6" s="261"/>
      <c r="AU6" s="141"/>
      <c r="AV6" s="134"/>
      <c r="AW6" s="141"/>
      <c r="AX6" s="262"/>
      <c r="AY6" s="263" t="s">
        <v>115</v>
      </c>
      <c r="AZ6" s="264"/>
      <c r="BA6" s="261"/>
      <c r="BB6" s="261"/>
      <c r="BC6" s="265"/>
      <c r="BD6" s="266"/>
      <c r="BE6" s="261"/>
      <c r="BF6" s="267"/>
      <c r="BG6" s="268"/>
      <c r="BH6" s="244"/>
      <c r="BI6" s="245"/>
    </row>
    <row r="7" spans="1:61" ht="19.5" customHeight="1" thickBot="1">
      <c r="A7" s="269">
        <v>1</v>
      </c>
      <c r="B7" s="270">
        <v>2</v>
      </c>
      <c r="C7" s="270">
        <v>3</v>
      </c>
      <c r="D7" s="269">
        <v>4</v>
      </c>
      <c r="E7" s="270">
        <v>5</v>
      </c>
      <c r="F7" s="270">
        <v>6</v>
      </c>
      <c r="G7" s="269">
        <v>7</v>
      </c>
      <c r="H7" s="270">
        <v>8</v>
      </c>
      <c r="I7" s="270">
        <v>9</v>
      </c>
      <c r="J7" s="269">
        <v>10</v>
      </c>
      <c r="K7" s="270">
        <v>11</v>
      </c>
      <c r="L7" s="270">
        <v>12</v>
      </c>
      <c r="M7" s="269">
        <v>13</v>
      </c>
      <c r="N7" s="270">
        <v>14</v>
      </c>
      <c r="O7" s="270">
        <v>15</v>
      </c>
      <c r="P7" s="269">
        <v>16</v>
      </c>
      <c r="Q7" s="270">
        <v>17</v>
      </c>
      <c r="R7" s="270">
        <v>18</v>
      </c>
      <c r="S7" s="269">
        <v>19</v>
      </c>
      <c r="T7" s="270">
        <v>20</v>
      </c>
      <c r="U7" s="270">
        <v>21</v>
      </c>
      <c r="V7" s="269">
        <v>22</v>
      </c>
      <c r="W7" s="270">
        <v>23</v>
      </c>
      <c r="X7" s="269">
        <v>24</v>
      </c>
      <c r="Y7" s="270">
        <v>25</v>
      </c>
      <c r="Z7" s="269">
        <v>26</v>
      </c>
      <c r="AA7" s="270">
        <v>27</v>
      </c>
      <c r="AB7" s="269">
        <v>28</v>
      </c>
      <c r="AC7" s="270">
        <v>29</v>
      </c>
      <c r="AD7" s="269">
        <v>30</v>
      </c>
      <c r="AE7" s="269">
        <v>31</v>
      </c>
      <c r="AF7" s="270">
        <v>32</v>
      </c>
      <c r="AG7" s="269">
        <v>33</v>
      </c>
      <c r="AH7" s="270">
        <v>34</v>
      </c>
      <c r="AI7" s="269">
        <v>35</v>
      </c>
      <c r="AJ7" s="270">
        <v>36</v>
      </c>
      <c r="AK7" s="269">
        <v>37</v>
      </c>
      <c r="AL7" s="270">
        <v>38</v>
      </c>
      <c r="AM7" s="269">
        <v>39</v>
      </c>
      <c r="AN7" s="269">
        <v>40</v>
      </c>
      <c r="AO7" s="270">
        <v>41</v>
      </c>
      <c r="AP7" s="269">
        <v>42</v>
      </c>
      <c r="AQ7" s="270">
        <v>43</v>
      </c>
      <c r="AR7" s="269"/>
      <c r="AS7" s="269">
        <v>44</v>
      </c>
      <c r="AT7" s="270">
        <v>45</v>
      </c>
      <c r="AU7" s="269">
        <v>46</v>
      </c>
      <c r="AV7" s="270">
        <v>47</v>
      </c>
      <c r="AW7" s="269">
        <v>48</v>
      </c>
      <c r="AX7" s="269">
        <v>49</v>
      </c>
      <c r="AY7" s="270"/>
      <c r="AZ7" s="270">
        <v>50</v>
      </c>
      <c r="BA7" s="270">
        <v>51</v>
      </c>
      <c r="BB7" s="270">
        <v>52</v>
      </c>
      <c r="BC7" s="270">
        <v>53</v>
      </c>
      <c r="BD7" s="270">
        <v>54</v>
      </c>
      <c r="BE7" s="270"/>
      <c r="BF7" s="270">
        <v>55</v>
      </c>
      <c r="BG7" s="270">
        <v>56</v>
      </c>
      <c r="BH7" s="245"/>
      <c r="BI7" s="245"/>
    </row>
    <row r="8" spans="1:59" s="27" customFormat="1" ht="13.5" thickBot="1">
      <c r="A8" s="31" t="s">
        <v>54</v>
      </c>
      <c r="B8" s="102"/>
      <c r="C8" s="102">
        <f>Лист1!C42</f>
        <v>775011.4550000002</v>
      </c>
      <c r="D8" s="102">
        <f>Лист1!D42</f>
        <v>133467.16084990004</v>
      </c>
      <c r="E8" s="102">
        <f>Лист1!E42</f>
        <v>65697.61</v>
      </c>
      <c r="F8" s="102">
        <f>Лист1!F42</f>
        <v>12696.99</v>
      </c>
      <c r="G8" s="102">
        <f>0</f>
        <v>0</v>
      </c>
      <c r="H8" s="102">
        <f>0</f>
        <v>0</v>
      </c>
      <c r="I8" s="102">
        <f>Лист1!G42</f>
        <v>88914.56000000001</v>
      </c>
      <c r="J8" s="102">
        <f>Лист1!H42</f>
        <v>17189.93</v>
      </c>
      <c r="K8" s="102">
        <f>Лист1!K42</f>
        <v>148041.7</v>
      </c>
      <c r="L8" s="102">
        <f>Лист1!L42</f>
        <v>28618.03</v>
      </c>
      <c r="M8" s="102">
        <f>Лист1!I42</f>
        <v>213738.66999999998</v>
      </c>
      <c r="N8" s="102">
        <f>Лист1!J42</f>
        <v>41315.05</v>
      </c>
      <c r="O8" s="102">
        <f>Лист1!M42</f>
        <v>52557.57</v>
      </c>
      <c r="P8" s="102">
        <f>Лист1!N42</f>
        <v>10157.35</v>
      </c>
      <c r="Q8" s="102">
        <f>'[2]Лист1'!O44</f>
        <v>0</v>
      </c>
      <c r="R8" s="102">
        <f>'[2]Лист1'!P44</f>
        <v>0</v>
      </c>
      <c r="S8" s="102">
        <f>'[2]Лист1'!Q44</f>
        <v>0</v>
      </c>
      <c r="T8" s="102">
        <f>'[2]Лист1'!R44</f>
        <v>0</v>
      </c>
      <c r="U8" s="102">
        <f>Лист1!S42</f>
        <v>568950.1100000001</v>
      </c>
      <c r="V8" s="102">
        <f>Лист1!T42</f>
        <v>109977.35</v>
      </c>
      <c r="W8" s="102">
        <f>Лист1!U42</f>
        <v>60347.14</v>
      </c>
      <c r="X8" s="102">
        <v>0</v>
      </c>
      <c r="Y8" s="102">
        <f>Лист1!V42</f>
        <v>81658.39000000001</v>
      </c>
      <c r="Z8" s="102">
        <f>Лист1!X42</f>
        <v>135969.72999999998</v>
      </c>
      <c r="AA8" s="102">
        <f>Лист1!W42</f>
        <v>200145.86000000002</v>
      </c>
      <c r="AB8" s="102">
        <f>Лист1!Y42</f>
        <v>49102.40000000001</v>
      </c>
      <c r="AC8" s="102">
        <f>'[3]Лист1'!Z42</f>
        <v>0</v>
      </c>
      <c r="AD8" s="102">
        <f>'[3]Лист1'!AA42</f>
        <v>0</v>
      </c>
      <c r="AE8" s="102">
        <f>'[4]Лист1'!AA44</f>
        <v>0</v>
      </c>
      <c r="AF8" s="102">
        <f>Лист1!AB42</f>
        <v>527223.52</v>
      </c>
      <c r="AG8" s="102">
        <f>Лист1!AC42</f>
        <v>770668.0308499</v>
      </c>
      <c r="AH8" s="102">
        <f>'[5]Лист1 (2)'!AD44</f>
        <v>0</v>
      </c>
      <c r="AI8" s="102">
        <f>'[3]Лист1'!AE42</f>
        <v>0</v>
      </c>
      <c r="AJ8" s="102">
        <f>Лист1!AF42</f>
        <v>300</v>
      </c>
      <c r="AK8" s="102">
        <f>Лист1!AG42</f>
        <v>52962.02999999999</v>
      </c>
      <c r="AL8" s="102">
        <f>Лист1!AH42</f>
        <v>17746.577016500003</v>
      </c>
      <c r="AM8" s="102">
        <f>Лист1!AI42+Лист1!AJ42</f>
        <v>87919.15291112752</v>
      </c>
      <c r="AN8" s="102">
        <v>0</v>
      </c>
      <c r="AO8" s="102">
        <f>Лист1!AK42+Лист1!AL42</f>
        <v>87691.33910921411</v>
      </c>
      <c r="AP8" s="102">
        <f>Лист1!AM42+Лист1!AN42</f>
        <v>219233.91840848536</v>
      </c>
      <c r="AQ8" s="102">
        <v>0</v>
      </c>
      <c r="AR8" s="102">
        <v>0</v>
      </c>
      <c r="AS8" s="102">
        <v>0</v>
      </c>
      <c r="AT8" s="102">
        <f>Лист1!AO42+Лист1!AP42</f>
        <v>12388.180199999999</v>
      </c>
      <c r="AU8" s="102">
        <f>Лист1!AS42+Лист1!AU42</f>
        <v>89550.0732</v>
      </c>
      <c r="AV8" s="102">
        <v>0</v>
      </c>
      <c r="AW8" s="102">
        <f>Лист1!AT42</f>
        <v>4895.28</v>
      </c>
      <c r="AX8" s="102">
        <f>Лист1!AQ42+Лист1!AR42</f>
        <v>0</v>
      </c>
      <c r="AY8" s="271">
        <f>Лист1!AX42</f>
        <v>20956.32</v>
      </c>
      <c r="AZ8" s="271">
        <f>'[2]Лист1'!AY44</f>
        <v>0</v>
      </c>
      <c r="BA8" s="271">
        <v>0</v>
      </c>
      <c r="BB8" s="271">
        <v>0</v>
      </c>
      <c r="BC8" s="271">
        <f>Лист1!BB42</f>
        <v>593342.870845327</v>
      </c>
      <c r="BD8" s="102">
        <f>Лист1!BC42</f>
        <v>75</v>
      </c>
      <c r="BE8" s="272">
        <f>BC8+BD8</f>
        <v>593417.870845327</v>
      </c>
      <c r="BF8" s="272">
        <f>Лист1!BD42</f>
        <v>177550.160004573</v>
      </c>
      <c r="BG8" s="272">
        <f>Лист1!BE42</f>
        <v>-41726.59</v>
      </c>
    </row>
    <row r="9" spans="1:63" ht="12.75">
      <c r="A9" s="5" t="s">
        <v>116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4"/>
      <c r="BF9" s="103"/>
      <c r="BG9" s="275"/>
      <c r="BI9" s="189"/>
      <c r="BJ9" s="189"/>
      <c r="BK9" s="189"/>
    </row>
    <row r="10" spans="1:74" ht="12.75">
      <c r="A10" s="276" t="s">
        <v>45</v>
      </c>
      <c r="B10" s="277">
        <v>3321.75</v>
      </c>
      <c r="C10" s="106">
        <f>B10*8.55</f>
        <v>28400.9625</v>
      </c>
      <c r="D10" s="278">
        <v>186.4302</v>
      </c>
      <c r="E10" s="280">
        <v>0</v>
      </c>
      <c r="F10" s="281">
        <v>0</v>
      </c>
      <c r="G10" s="280">
        <v>17558.4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8356.31</v>
      </c>
      <c r="N10" s="280">
        <v>0</v>
      </c>
      <c r="O10" s="280">
        <v>2898.37</v>
      </c>
      <c r="P10" s="281">
        <v>0</v>
      </c>
      <c r="Q10" s="282">
        <v>0</v>
      </c>
      <c r="R10" s="283">
        <v>0</v>
      </c>
      <c r="S10" s="282">
        <v>0</v>
      </c>
      <c r="T10" s="283">
        <v>0</v>
      </c>
      <c r="U10" s="284">
        <f aca="true" t="shared" si="0" ref="U10:V21">E10+G10+I10+K10+M10+O10+Q10+S10</f>
        <v>28813.079999999998</v>
      </c>
      <c r="V10" s="285">
        <f t="shared" si="0"/>
        <v>0</v>
      </c>
      <c r="W10" s="286">
        <v>2673.17</v>
      </c>
      <c r="X10" s="286"/>
      <c r="Y10" s="286">
        <v>2502.28</v>
      </c>
      <c r="Z10" s="286">
        <v>4164.69</v>
      </c>
      <c r="AA10" s="286">
        <v>6011.88</v>
      </c>
      <c r="AB10" s="286">
        <v>1477.71</v>
      </c>
      <c r="AC10" s="286">
        <v>0</v>
      </c>
      <c r="AD10" s="279">
        <v>0</v>
      </c>
      <c r="AE10" s="287">
        <v>0</v>
      </c>
      <c r="AF10" s="287">
        <f>SUM(W10:AE10)</f>
        <v>16829.73</v>
      </c>
      <c r="AG10" s="288">
        <f>AF10+V10+D10</f>
        <v>17016.1602</v>
      </c>
      <c r="AH10" s="289">
        <f aca="true" t="shared" si="1" ref="AH10:AI17">AC10</f>
        <v>0</v>
      </c>
      <c r="AI10" s="289">
        <f t="shared" si="1"/>
        <v>0</v>
      </c>
      <c r="AJ10" s="290">
        <f>'[6]Т01'!$I$140</f>
        <v>100</v>
      </c>
      <c r="AK10" s="291">
        <f aca="true" t="shared" si="2" ref="AK10:AK21">0.67*B10</f>
        <v>2225.5725</v>
      </c>
      <c r="AL10" s="291">
        <f aca="true" t="shared" si="3" ref="AL10:AL21">B10*0.2</f>
        <v>664.35</v>
      </c>
      <c r="AM10" s="291">
        <f>B10*1</f>
        <v>3321.75</v>
      </c>
      <c r="AN10" s="291">
        <f>B10*0.21</f>
        <v>697.5675</v>
      </c>
      <c r="AO10" s="291">
        <f>2.02*B10</f>
        <v>6709.935</v>
      </c>
      <c r="AP10" s="291">
        <f>B10*1.03</f>
        <v>3421.4025</v>
      </c>
      <c r="AQ10" s="291">
        <f>B10*0.75</f>
        <v>2491.3125</v>
      </c>
      <c r="AR10" s="291">
        <f>B10*0.75</f>
        <v>2491.3125</v>
      </c>
      <c r="AS10" s="291">
        <f>B10*1.15</f>
        <v>3820.0125</v>
      </c>
      <c r="AT10" s="291">
        <f>0.45*751.5</f>
        <v>338.175</v>
      </c>
      <c r="AU10" s="292">
        <v>2418</v>
      </c>
      <c r="AV10" s="293">
        <v>2050</v>
      </c>
      <c r="AW10" s="292"/>
      <c r="AX10" s="292">
        <f>38.8+32.2+20.8</f>
        <v>91.8</v>
      </c>
      <c r="AY10" s="292"/>
      <c r="AZ10" s="118"/>
      <c r="BA10" s="294"/>
      <c r="BB10" s="294">
        <f>BA10*0.18</f>
        <v>0</v>
      </c>
      <c r="BC10" s="294">
        <f>SUM(AK10:BB10)</f>
        <v>30741.19</v>
      </c>
      <c r="BD10" s="295">
        <f>'[6]Т01'!$R$140</f>
        <v>25</v>
      </c>
      <c r="BE10" s="295">
        <f>BC10+BD10</f>
        <v>30766.19</v>
      </c>
      <c r="BF10" s="295">
        <f>AG10+AJ10-BE10</f>
        <v>-13650.0298</v>
      </c>
      <c r="BG10" s="295">
        <f>AF10-U10</f>
        <v>-11983.349999999999</v>
      </c>
      <c r="BH10" s="295"/>
      <c r="BI10" s="295"/>
      <c r="BJ10" s="295"/>
      <c r="BK10" s="295"/>
      <c r="BL10" s="296"/>
      <c r="BM10" s="297"/>
      <c r="BN10" s="297"/>
      <c r="BO10" s="297"/>
      <c r="BP10" s="298"/>
      <c r="BQ10" s="271"/>
      <c r="BR10" s="299"/>
      <c r="BS10" s="102"/>
      <c r="BT10" s="300"/>
      <c r="BU10" s="301"/>
      <c r="BV10" s="302"/>
    </row>
    <row r="11" spans="1:72" ht="12.75">
      <c r="A11" s="276" t="s">
        <v>46</v>
      </c>
      <c r="B11" s="277">
        <v>3321.55</v>
      </c>
      <c r="C11" s="106">
        <f>B11*8.55</f>
        <v>28399.252500000002</v>
      </c>
      <c r="D11" s="278">
        <v>186.4302</v>
      </c>
      <c r="E11" s="280">
        <v>0</v>
      </c>
      <c r="F11" s="281">
        <v>0</v>
      </c>
      <c r="G11" s="280">
        <v>16855.77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8355.84</v>
      </c>
      <c r="N11" s="280">
        <v>0</v>
      </c>
      <c r="O11" s="280">
        <v>2898.2</v>
      </c>
      <c r="P11" s="280">
        <v>0</v>
      </c>
      <c r="Q11" s="281">
        <v>0</v>
      </c>
      <c r="R11" s="281">
        <v>0</v>
      </c>
      <c r="S11" s="279">
        <v>0</v>
      </c>
      <c r="T11" s="286">
        <v>0</v>
      </c>
      <c r="U11" s="303">
        <f t="shared" si="0"/>
        <v>28109.81</v>
      </c>
      <c r="V11" s="285">
        <f t="shared" si="0"/>
        <v>0</v>
      </c>
      <c r="W11" s="286">
        <v>736.54</v>
      </c>
      <c r="X11" s="279">
        <v>12246.27</v>
      </c>
      <c r="Y11" s="286">
        <v>1882.88</v>
      </c>
      <c r="Z11" s="286">
        <v>1659.92</v>
      </c>
      <c r="AA11" s="286">
        <v>8073.32</v>
      </c>
      <c r="AB11" s="286">
        <v>2663.7</v>
      </c>
      <c r="AC11" s="286">
        <v>0</v>
      </c>
      <c r="AD11" s="279">
        <v>0</v>
      </c>
      <c r="AE11" s="279">
        <v>0</v>
      </c>
      <c r="AF11" s="287">
        <f>SUM(W11:AE11)</f>
        <v>27262.63</v>
      </c>
      <c r="AG11" s="288">
        <f>AF11+V11+D11</f>
        <v>27449.0602</v>
      </c>
      <c r="AH11" s="289">
        <f t="shared" si="1"/>
        <v>0</v>
      </c>
      <c r="AI11" s="289">
        <f t="shared" si="1"/>
        <v>0</v>
      </c>
      <c r="AJ11" s="290">
        <f>'[6]Т02'!$J$142</f>
        <v>100</v>
      </c>
      <c r="AK11" s="291">
        <f t="shared" si="2"/>
        <v>2225.4385</v>
      </c>
      <c r="AL11" s="291">
        <f t="shared" si="3"/>
        <v>664.3100000000001</v>
      </c>
      <c r="AM11" s="291">
        <f>B11*1</f>
        <v>3321.55</v>
      </c>
      <c r="AN11" s="291">
        <f>B11*0.21</f>
        <v>697.5255</v>
      </c>
      <c r="AO11" s="291">
        <f>2.02*B11</f>
        <v>6709.531000000001</v>
      </c>
      <c r="AP11" s="291">
        <f>B11*1.03</f>
        <v>3421.1965000000005</v>
      </c>
      <c r="AQ11" s="291">
        <f>B11*0.75</f>
        <v>2491.1625000000004</v>
      </c>
      <c r="AR11" s="291">
        <f>B11*0.75</f>
        <v>2491.1625000000004</v>
      </c>
      <c r="AS11" s="291">
        <f>B11*1.15</f>
        <v>3819.7825</v>
      </c>
      <c r="AT11" s="291">
        <f>0.45*751.5</f>
        <v>338.175</v>
      </c>
      <c r="AU11" s="292"/>
      <c r="AV11" s="293"/>
      <c r="AW11" s="292"/>
      <c r="AX11" s="292">
        <v>33.84</v>
      </c>
      <c r="AY11" s="292"/>
      <c r="AZ11" s="118"/>
      <c r="BA11" s="294"/>
      <c r="BB11" s="294">
        <f>BA11*0.18</f>
        <v>0</v>
      </c>
      <c r="BC11" s="294">
        <f>SUM(AK11:BB11)</f>
        <v>26213.674</v>
      </c>
      <c r="BD11" s="295">
        <f>'[6]Т02'!$S$141</f>
        <v>25</v>
      </c>
      <c r="BE11" s="295">
        <f aca="true" t="shared" si="4" ref="BE11:BE21">BC11+BD11</f>
        <v>26238.674</v>
      </c>
      <c r="BF11" s="295">
        <f aca="true" t="shared" si="5" ref="BF11:BF21">AG11+AJ11-BE11</f>
        <v>1310.3862000000008</v>
      </c>
      <c r="BG11" s="295">
        <f aca="true" t="shared" si="6" ref="BG11:BG21">AF11-U11</f>
        <v>-847.1800000000003</v>
      </c>
      <c r="BH11" s="295"/>
      <c r="BI11" s="295"/>
      <c r="BJ11" s="295"/>
      <c r="BK11" s="295"/>
      <c r="BL11" s="296"/>
      <c r="BM11" s="297"/>
      <c r="BN11" s="297"/>
      <c r="BO11" s="304"/>
      <c r="BP11" s="50"/>
      <c r="BQ11" s="302"/>
      <c r="BR11" s="302"/>
      <c r="BS11" s="302"/>
      <c r="BT11" s="189"/>
    </row>
    <row r="12" spans="1:72" ht="12.75">
      <c r="A12" s="276" t="s">
        <v>47</v>
      </c>
      <c r="B12" s="277">
        <v>3321.55</v>
      </c>
      <c r="C12" s="106">
        <f>B12*8.55</f>
        <v>28399.252500000002</v>
      </c>
      <c r="D12" s="278">
        <v>186.4302</v>
      </c>
      <c r="E12" s="280">
        <v>0</v>
      </c>
      <c r="F12" s="281">
        <v>0</v>
      </c>
      <c r="G12" s="280">
        <v>17197.94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8351.59</v>
      </c>
      <c r="N12" s="280">
        <v>0</v>
      </c>
      <c r="O12" s="280">
        <v>2896.68</v>
      </c>
      <c r="P12" s="280">
        <v>0</v>
      </c>
      <c r="Q12" s="280">
        <v>0</v>
      </c>
      <c r="R12" s="280">
        <v>0</v>
      </c>
      <c r="S12" s="286">
        <v>0</v>
      </c>
      <c r="T12" s="286">
        <v>0</v>
      </c>
      <c r="U12" s="286">
        <f t="shared" si="0"/>
        <v>28446.21</v>
      </c>
      <c r="V12" s="305">
        <f t="shared" si="0"/>
        <v>0</v>
      </c>
      <c r="W12" s="306">
        <v>767.33</v>
      </c>
      <c r="X12" s="279">
        <v>14973.71</v>
      </c>
      <c r="Y12" s="286">
        <v>1039.54</v>
      </c>
      <c r="Z12" s="286">
        <v>1835.11</v>
      </c>
      <c r="AA12" s="286">
        <v>9083.3</v>
      </c>
      <c r="AB12" s="286">
        <v>2891.33</v>
      </c>
      <c r="AC12" s="286">
        <v>0</v>
      </c>
      <c r="AD12" s="279">
        <v>0</v>
      </c>
      <c r="AE12" s="286">
        <v>0</v>
      </c>
      <c r="AF12" s="307">
        <f>SUM(W12:AE12)</f>
        <v>30590.32</v>
      </c>
      <c r="AG12" s="288">
        <f>AF12+V12+D12</f>
        <v>30776.7502</v>
      </c>
      <c r="AH12" s="289">
        <f t="shared" si="1"/>
        <v>0</v>
      </c>
      <c r="AI12" s="289">
        <f t="shared" si="1"/>
        <v>0</v>
      </c>
      <c r="AJ12" s="290">
        <f>'[6]Т03'!$J$142</f>
        <v>100</v>
      </c>
      <c r="AK12" s="291">
        <f t="shared" si="2"/>
        <v>2225.4385</v>
      </c>
      <c r="AL12" s="291">
        <f t="shared" si="3"/>
        <v>664.3100000000001</v>
      </c>
      <c r="AM12" s="291">
        <f>B12*1</f>
        <v>3321.55</v>
      </c>
      <c r="AN12" s="291">
        <f>B12*0.21</f>
        <v>697.5255</v>
      </c>
      <c r="AO12" s="291">
        <f>2.02*B12</f>
        <v>6709.531000000001</v>
      </c>
      <c r="AP12" s="291">
        <f>B12*1.03</f>
        <v>3421.1965000000005</v>
      </c>
      <c r="AQ12" s="291">
        <f>B12*0.75</f>
        <v>2491.1625000000004</v>
      </c>
      <c r="AR12" s="291">
        <f>B12*0.75</f>
        <v>2491.1625000000004</v>
      </c>
      <c r="AS12" s="291">
        <f>B12*1.15</f>
        <v>3819.7825</v>
      </c>
      <c r="AT12" s="291">
        <f>0.45*751.5</f>
        <v>338.175</v>
      </c>
      <c r="AU12" s="292">
        <v>4142</v>
      </c>
      <c r="AV12" s="293">
        <v>286</v>
      </c>
      <c r="AW12" s="292"/>
      <c r="AX12" s="292">
        <f>47+33+12+28+212</f>
        <v>332</v>
      </c>
      <c r="AY12" s="292"/>
      <c r="AZ12" s="118"/>
      <c r="BA12" s="294"/>
      <c r="BB12" s="294">
        <f>BA12*0.18</f>
        <v>0</v>
      </c>
      <c r="BC12" s="294">
        <f>SUM(AK12:BB12)</f>
        <v>30939.834</v>
      </c>
      <c r="BD12" s="295">
        <f>'[6]Т03'!$S$142</f>
        <v>25</v>
      </c>
      <c r="BE12" s="295">
        <f t="shared" si="4"/>
        <v>30964.834</v>
      </c>
      <c r="BF12" s="295">
        <f t="shared" si="5"/>
        <v>-88.08380000000034</v>
      </c>
      <c r="BG12" s="295">
        <f t="shared" si="6"/>
        <v>2144.1100000000006</v>
      </c>
      <c r="BH12" s="295"/>
      <c r="BI12" s="295"/>
      <c r="BJ12" s="295"/>
      <c r="BK12" s="295"/>
      <c r="BL12" s="296"/>
      <c r="BM12" s="297"/>
      <c r="BN12" s="297"/>
      <c r="BO12" s="304"/>
      <c r="BP12" s="50"/>
      <c r="BQ12" s="302"/>
      <c r="BR12" s="302"/>
      <c r="BS12" s="189"/>
      <c r="BT12" s="189"/>
    </row>
    <row r="13" spans="1:72" ht="12.75">
      <c r="A13" s="276" t="s">
        <v>48</v>
      </c>
      <c r="B13" s="277">
        <v>3321.55</v>
      </c>
      <c r="C13" s="106">
        <f>B13*8.55</f>
        <v>28399.252500000002</v>
      </c>
      <c r="D13" s="308">
        <v>186.4302</v>
      </c>
      <c r="E13" s="282">
        <v>-1.76</v>
      </c>
      <c r="F13" s="281">
        <v>0</v>
      </c>
      <c r="G13" s="310">
        <v>17192.29</v>
      </c>
      <c r="H13" s="280">
        <v>0</v>
      </c>
      <c r="I13" s="280">
        <v>-2.4</v>
      </c>
      <c r="J13" s="280">
        <v>0</v>
      </c>
      <c r="K13" s="280">
        <v>-3.96</v>
      </c>
      <c r="L13" s="280">
        <v>0</v>
      </c>
      <c r="M13" s="280">
        <v>8341.88</v>
      </c>
      <c r="N13" s="280">
        <v>0</v>
      </c>
      <c r="O13" s="280">
        <v>2893.86</v>
      </c>
      <c r="P13" s="280">
        <v>0</v>
      </c>
      <c r="Q13" s="311">
        <v>0</v>
      </c>
      <c r="R13" s="312">
        <v>0</v>
      </c>
      <c r="S13" s="309">
        <v>0</v>
      </c>
      <c r="T13" s="313">
        <v>0</v>
      </c>
      <c r="U13" s="303">
        <f t="shared" si="0"/>
        <v>28419.910000000003</v>
      </c>
      <c r="V13" s="305">
        <f t="shared" si="0"/>
        <v>0</v>
      </c>
      <c r="W13" s="286">
        <v>-507.75</v>
      </c>
      <c r="X13" s="279">
        <v>17555.23</v>
      </c>
      <c r="Y13" s="286">
        <v>-455.75</v>
      </c>
      <c r="Z13" s="286">
        <v>1508.87</v>
      </c>
      <c r="AA13" s="286">
        <v>8324.79</v>
      </c>
      <c r="AB13" s="279">
        <v>2266.45</v>
      </c>
      <c r="AC13" s="286">
        <v>0</v>
      </c>
      <c r="AD13" s="279">
        <v>0</v>
      </c>
      <c r="AE13" s="279">
        <v>0</v>
      </c>
      <c r="AF13" s="287">
        <f>SUM(W13:AD13)</f>
        <v>28691.84</v>
      </c>
      <c r="AG13" s="314">
        <f>AF13+V13+D13</f>
        <v>28878.2702</v>
      </c>
      <c r="AH13" s="315">
        <f t="shared" si="1"/>
        <v>0</v>
      </c>
      <c r="AI13" s="315">
        <f t="shared" si="1"/>
        <v>0</v>
      </c>
      <c r="AJ13" s="316">
        <f>'[7]Т04'!$J$144</f>
        <v>100</v>
      </c>
      <c r="AK13" s="291">
        <f t="shared" si="2"/>
        <v>2225.4385</v>
      </c>
      <c r="AL13" s="291">
        <f t="shared" si="3"/>
        <v>664.3100000000001</v>
      </c>
      <c r="AM13" s="291">
        <f>B13*1</f>
        <v>3321.55</v>
      </c>
      <c r="AN13" s="291">
        <f>B13*0.21</f>
        <v>697.5255</v>
      </c>
      <c r="AO13" s="291">
        <f>2.02*B13</f>
        <v>6709.531000000001</v>
      </c>
      <c r="AP13" s="291">
        <f>B13*1.03</f>
        <v>3421.1965000000005</v>
      </c>
      <c r="AQ13" s="291">
        <f>B13*0.75</f>
        <v>2491.1625000000004</v>
      </c>
      <c r="AR13" s="291">
        <f>B13*0.75</f>
        <v>2491.1625000000004</v>
      </c>
      <c r="AS13" s="291"/>
      <c r="AT13" s="429">
        <f>0.45*751.5</f>
        <v>338.175</v>
      </c>
      <c r="AU13" s="318">
        <v>4325</v>
      </c>
      <c r="AV13" s="318">
        <v>627</v>
      </c>
      <c r="AW13" s="318"/>
      <c r="AX13" s="318">
        <f>82.5+455</f>
        <v>537.5</v>
      </c>
      <c r="AY13" s="318"/>
      <c r="AZ13" s="118"/>
      <c r="BA13" s="317"/>
      <c r="BB13" s="317"/>
      <c r="BC13" s="280">
        <f>SUM(AK13:BB13)</f>
        <v>27849.551499999998</v>
      </c>
      <c r="BD13" s="319">
        <f>'[6]Т04'!$S$144</f>
        <v>25</v>
      </c>
      <c r="BE13" s="295">
        <f t="shared" si="4"/>
        <v>27874.551499999998</v>
      </c>
      <c r="BF13" s="295">
        <f t="shared" si="5"/>
        <v>1103.7187000000013</v>
      </c>
      <c r="BG13" s="295">
        <f t="shared" si="6"/>
        <v>271.92999999999665</v>
      </c>
      <c r="BH13" s="295"/>
      <c r="BI13" s="295"/>
      <c r="BJ13" s="295"/>
      <c r="BK13" s="295"/>
      <c r="BL13" s="296"/>
      <c r="BM13" s="297"/>
      <c r="BN13" s="297"/>
      <c r="BO13" s="304"/>
      <c r="BP13" s="50"/>
      <c r="BQ13" s="50"/>
      <c r="BR13" s="302"/>
      <c r="BS13" s="302"/>
      <c r="BT13" s="302"/>
    </row>
    <row r="14" spans="1:72" ht="12.75">
      <c r="A14" s="276" t="s">
        <v>49</v>
      </c>
      <c r="B14" s="320">
        <v>3321.55</v>
      </c>
      <c r="C14" s="106">
        <f>B14*8.55</f>
        <v>28399.252500000002</v>
      </c>
      <c r="D14" s="308">
        <v>186.4302</v>
      </c>
      <c r="E14" s="310">
        <v>0</v>
      </c>
      <c r="F14" s="281">
        <v>0</v>
      </c>
      <c r="G14" s="280">
        <v>17188.51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8346.95</v>
      </c>
      <c r="N14" s="280">
        <v>0</v>
      </c>
      <c r="O14" s="280">
        <v>2895.03</v>
      </c>
      <c r="P14" s="280">
        <v>0</v>
      </c>
      <c r="Q14" s="280">
        <v>0</v>
      </c>
      <c r="R14" s="281">
        <v>0</v>
      </c>
      <c r="S14" s="286">
        <v>0</v>
      </c>
      <c r="T14" s="279">
        <v>0</v>
      </c>
      <c r="U14" s="309">
        <f t="shared" si="0"/>
        <v>28430.489999999998</v>
      </c>
      <c r="V14" s="321">
        <f>F14+H14+J14+L14+N14++R14+T14</f>
        <v>0</v>
      </c>
      <c r="W14" s="286">
        <v>-120.23</v>
      </c>
      <c r="X14" s="279">
        <v>11763.28</v>
      </c>
      <c r="Y14" s="286">
        <v>-162.98</v>
      </c>
      <c r="Z14" s="286">
        <v>-271</v>
      </c>
      <c r="AA14" s="286">
        <v>5792.01</v>
      </c>
      <c r="AB14" s="286">
        <v>2033.24</v>
      </c>
      <c r="AC14" s="286">
        <v>0</v>
      </c>
      <c r="AD14" s="279">
        <v>0</v>
      </c>
      <c r="AE14" s="287">
        <v>0</v>
      </c>
      <c r="AF14" s="322">
        <f>SUM(W14:AE14)</f>
        <v>19034.320000000003</v>
      </c>
      <c r="AG14" s="314">
        <f>D14+V14+AF14</f>
        <v>19220.750200000002</v>
      </c>
      <c r="AH14" s="315">
        <f t="shared" si="1"/>
        <v>0</v>
      </c>
      <c r="AI14" s="315">
        <f t="shared" si="1"/>
        <v>0</v>
      </c>
      <c r="AJ14" s="316">
        <f>'[6]Т05'!$J$142</f>
        <v>100</v>
      </c>
      <c r="AK14" s="291">
        <f t="shared" si="2"/>
        <v>2225.4385</v>
      </c>
      <c r="AL14" s="291">
        <f t="shared" si="3"/>
        <v>664.3100000000001</v>
      </c>
      <c r="AM14" s="291">
        <f>B14*1</f>
        <v>3321.55</v>
      </c>
      <c r="AN14" s="291">
        <f>B14*0.21</f>
        <v>697.5255</v>
      </c>
      <c r="AO14" s="291">
        <f>2.02*B14</f>
        <v>6709.531000000001</v>
      </c>
      <c r="AP14" s="291">
        <f>B14*1.03</f>
        <v>3421.1965000000005</v>
      </c>
      <c r="AQ14" s="291">
        <f>B14*0.75</f>
        <v>2491.1625000000004</v>
      </c>
      <c r="AR14" s="291">
        <f>B14*0.75</f>
        <v>2491.1625000000004</v>
      </c>
      <c r="AS14" s="291"/>
      <c r="AT14" s="429">
        <f>0.45*751.5</f>
        <v>338.175</v>
      </c>
      <c r="AU14" s="318">
        <v>13896</v>
      </c>
      <c r="AV14" s="318"/>
      <c r="AW14" s="318">
        <v>2099</v>
      </c>
      <c r="AX14" s="318">
        <f>13+138.25+1200</f>
        <v>1351.25</v>
      </c>
      <c r="AY14" s="318"/>
      <c r="AZ14" s="118"/>
      <c r="BA14" s="317"/>
      <c r="BB14" s="317"/>
      <c r="BC14" s="280">
        <f>SUM(AK14:BB14)</f>
        <v>39706.3015</v>
      </c>
      <c r="BD14" s="319">
        <f>'[6]Т05'!$S$142</f>
        <v>25</v>
      </c>
      <c r="BE14" s="295">
        <f t="shared" si="4"/>
        <v>39731.3015</v>
      </c>
      <c r="BF14" s="295">
        <f t="shared" si="5"/>
        <v>-20410.5513</v>
      </c>
      <c r="BG14" s="295">
        <f t="shared" si="6"/>
        <v>-9396.169999999995</v>
      </c>
      <c r="BH14" s="295"/>
      <c r="BI14" s="295"/>
      <c r="BJ14" s="295"/>
      <c r="BK14" s="295"/>
      <c r="BL14" s="296"/>
      <c r="BM14" s="297"/>
      <c r="BN14" s="297"/>
      <c r="BO14" s="304"/>
      <c r="BP14" s="50"/>
      <c r="BQ14" s="302"/>
      <c r="BR14" s="302"/>
      <c r="BS14" s="302"/>
      <c r="BT14" s="189"/>
    </row>
    <row r="15" spans="1:72" ht="12.75">
      <c r="A15" s="276" t="s">
        <v>50</v>
      </c>
      <c r="B15" s="277">
        <v>3321.55</v>
      </c>
      <c r="C15" s="106">
        <f>B15*8.55</f>
        <v>28399.252500000002</v>
      </c>
      <c r="D15" s="308">
        <v>186.4302</v>
      </c>
      <c r="E15" s="323">
        <v>0</v>
      </c>
      <c r="F15" s="323"/>
      <c r="G15" s="323">
        <v>17184.69</v>
      </c>
      <c r="H15" s="323"/>
      <c r="I15" s="324">
        <v>0</v>
      </c>
      <c r="J15" s="324"/>
      <c r="K15" s="324">
        <v>0</v>
      </c>
      <c r="L15" s="324"/>
      <c r="M15" s="324">
        <v>8345.08</v>
      </c>
      <c r="N15" s="324"/>
      <c r="O15" s="324">
        <v>2894.36</v>
      </c>
      <c r="P15" s="324"/>
      <c r="Q15" s="324">
        <v>0</v>
      </c>
      <c r="R15" s="325"/>
      <c r="S15" s="325">
        <v>0</v>
      </c>
      <c r="T15" s="324"/>
      <c r="U15" s="326">
        <f t="shared" si="0"/>
        <v>28424.129999999997</v>
      </c>
      <c r="V15" s="327">
        <f t="shared" si="0"/>
        <v>0</v>
      </c>
      <c r="W15" s="328">
        <v>-58.66</v>
      </c>
      <c r="X15" s="323">
        <v>15205.65</v>
      </c>
      <c r="Y15" s="323">
        <v>-79.57</v>
      </c>
      <c r="Z15" s="323">
        <v>-132.23</v>
      </c>
      <c r="AA15" s="323">
        <v>9902.15</v>
      </c>
      <c r="AB15" s="323">
        <v>2672.9</v>
      </c>
      <c r="AC15" s="323">
        <v>0</v>
      </c>
      <c r="AD15" s="323">
        <v>0</v>
      </c>
      <c r="AE15" s="329">
        <v>0</v>
      </c>
      <c r="AF15" s="330">
        <f aca="true" t="shared" si="7" ref="AF15:AF21">SUM(W15:AE15)</f>
        <v>27510.24</v>
      </c>
      <c r="AG15" s="314">
        <f>D15+V15+AF15</f>
        <v>27696.6702</v>
      </c>
      <c r="AH15" s="315">
        <f>AC15</f>
        <v>0</v>
      </c>
      <c r="AI15" s="315">
        <f t="shared" si="1"/>
        <v>0</v>
      </c>
      <c r="AJ15" s="316">
        <f>'[6]Т06'!$J$142</f>
        <v>100</v>
      </c>
      <c r="AK15" s="291">
        <f t="shared" si="2"/>
        <v>2225.4385</v>
      </c>
      <c r="AL15" s="291">
        <f t="shared" si="3"/>
        <v>664.3100000000001</v>
      </c>
      <c r="AM15" s="291">
        <f>B15*1</f>
        <v>3321.55</v>
      </c>
      <c r="AN15" s="291">
        <f>B15*0.21</f>
        <v>697.5255</v>
      </c>
      <c r="AO15" s="291">
        <f>2.02*B15</f>
        <v>6709.531000000001</v>
      </c>
      <c r="AP15" s="291">
        <f>B15*1.03</f>
        <v>3421.1965000000005</v>
      </c>
      <c r="AQ15" s="291">
        <f>B15*0.75</f>
        <v>2491.1625000000004</v>
      </c>
      <c r="AR15" s="291">
        <f>B15*0.75</f>
        <v>2491.1625000000004</v>
      </c>
      <c r="AS15" s="291"/>
      <c r="AT15" s="429">
        <f>0.45*751.5</f>
        <v>338.175</v>
      </c>
      <c r="AU15" s="318"/>
      <c r="AV15" s="318"/>
      <c r="AW15" s="318">
        <v>16052</v>
      </c>
      <c r="AX15" s="318">
        <f>17</f>
        <v>17</v>
      </c>
      <c r="AY15" s="318"/>
      <c r="AZ15" s="291"/>
      <c r="BA15" s="317"/>
      <c r="BB15" s="317"/>
      <c r="BC15" s="331">
        <f>SUM(AK15:BB15)</f>
        <v>38429.0515</v>
      </c>
      <c r="BD15" s="319">
        <f>'[6]Т06'!$S$142</f>
        <v>25</v>
      </c>
      <c r="BE15" s="295">
        <f t="shared" si="4"/>
        <v>38454.0515</v>
      </c>
      <c r="BF15" s="295">
        <f t="shared" si="5"/>
        <v>-10657.381300000001</v>
      </c>
      <c r="BG15" s="295">
        <f t="shared" si="6"/>
        <v>-913.8899999999958</v>
      </c>
      <c r="BH15" s="295"/>
      <c r="BI15" s="295"/>
      <c r="BJ15" s="295"/>
      <c r="BK15" s="295"/>
      <c r="BL15" s="296"/>
      <c r="BM15" s="297"/>
      <c r="BN15" s="297"/>
      <c r="BO15" s="304"/>
      <c r="BP15" s="50"/>
      <c r="BQ15" s="302"/>
      <c r="BR15" s="302"/>
      <c r="BS15" s="302"/>
      <c r="BT15" s="189"/>
    </row>
    <row r="16" spans="1:72" ht="12.75">
      <c r="A16" s="276" t="s">
        <v>51</v>
      </c>
      <c r="B16" s="277">
        <v>3321.55</v>
      </c>
      <c r="C16" s="106">
        <f>B16*8.55</f>
        <v>28399.252500000002</v>
      </c>
      <c r="D16" s="308">
        <v>186.4302</v>
      </c>
      <c r="E16" s="332"/>
      <c r="F16" s="332"/>
      <c r="G16" s="332">
        <v>17189.56</v>
      </c>
      <c r="H16" s="332"/>
      <c r="I16" s="332"/>
      <c r="J16" s="332"/>
      <c r="K16" s="332"/>
      <c r="L16" s="332"/>
      <c r="M16" s="332">
        <v>8347.48</v>
      </c>
      <c r="N16" s="332"/>
      <c r="O16" s="332">
        <v>2895.21</v>
      </c>
      <c r="P16" s="332"/>
      <c r="Q16" s="332"/>
      <c r="R16" s="332"/>
      <c r="S16" s="333"/>
      <c r="T16" s="328"/>
      <c r="U16" s="334">
        <f t="shared" si="0"/>
        <v>28432.25</v>
      </c>
      <c r="V16" s="335">
        <f t="shared" si="0"/>
        <v>0</v>
      </c>
      <c r="W16" s="336">
        <v>35.98</v>
      </c>
      <c r="X16" s="332">
        <v>13904.45</v>
      </c>
      <c r="Y16" s="332">
        <v>48.79</v>
      </c>
      <c r="Z16" s="332">
        <v>81.19</v>
      </c>
      <c r="AA16" s="332">
        <v>6659.78</v>
      </c>
      <c r="AB16" s="332">
        <v>2375</v>
      </c>
      <c r="AC16" s="323"/>
      <c r="AD16" s="332"/>
      <c r="AE16" s="333"/>
      <c r="AF16" s="330">
        <f t="shared" si="7"/>
        <v>23105.190000000002</v>
      </c>
      <c r="AG16" s="337">
        <f aca="true" t="shared" si="8" ref="AG16:AG21">D16+V16+AF16</f>
        <v>23291.6202</v>
      </c>
      <c r="AH16" s="315">
        <f aca="true" t="shared" si="9" ref="AH16:AI21">AC16</f>
        <v>0</v>
      </c>
      <c r="AI16" s="315">
        <f t="shared" si="1"/>
        <v>0</v>
      </c>
      <c r="AJ16" s="316">
        <f>'[6]Т07'!$J$147</f>
        <v>100</v>
      </c>
      <c r="AK16" s="291">
        <f t="shared" si="2"/>
        <v>2225.4385</v>
      </c>
      <c r="AL16" s="291">
        <f t="shared" si="3"/>
        <v>664.3100000000001</v>
      </c>
      <c r="AM16" s="291">
        <f>B16*1</f>
        <v>3321.55</v>
      </c>
      <c r="AN16" s="291">
        <f>B16*0.21</f>
        <v>697.5255</v>
      </c>
      <c r="AO16" s="291">
        <f>2.02*B16</f>
        <v>6709.531000000001</v>
      </c>
      <c r="AP16" s="291">
        <f>B16*1.03</f>
        <v>3421.1965000000005</v>
      </c>
      <c r="AQ16" s="291">
        <f>B16*0.75</f>
        <v>2491.1625000000004</v>
      </c>
      <c r="AR16" s="291">
        <f>B16*0.75</f>
        <v>2491.1625000000004</v>
      </c>
      <c r="AS16" s="291"/>
      <c r="AT16" s="429">
        <f>0.45*751.5</f>
        <v>338.175</v>
      </c>
      <c r="AU16" s="318"/>
      <c r="AV16" s="318"/>
      <c r="AW16" s="318">
        <v>36072</v>
      </c>
      <c r="AX16" s="318">
        <f>96.43+9.43+40.7</f>
        <v>146.56</v>
      </c>
      <c r="AY16" s="318"/>
      <c r="AZ16" s="118"/>
      <c r="BA16" s="317">
        <v>12874.47</v>
      </c>
      <c r="BB16" s="317"/>
      <c r="BC16" s="280">
        <f>SUM(AK16:BB16)</f>
        <v>71453.0815</v>
      </c>
      <c r="BD16" s="319">
        <f>'[6]Т07'!$S$147</f>
        <v>25</v>
      </c>
      <c r="BE16" s="295">
        <f t="shared" si="4"/>
        <v>71478.0815</v>
      </c>
      <c r="BF16" s="295">
        <f t="shared" si="5"/>
        <v>-48086.461299999995</v>
      </c>
      <c r="BG16" s="295">
        <f t="shared" si="6"/>
        <v>-5327.059999999998</v>
      </c>
      <c r="BH16" s="295"/>
      <c r="BI16" s="295"/>
      <c r="BJ16" s="295"/>
      <c r="BK16" s="295"/>
      <c r="BL16" s="296"/>
      <c r="BM16" s="297"/>
      <c r="BN16" s="297"/>
      <c r="BO16" s="304"/>
      <c r="BP16" s="50"/>
      <c r="BQ16" s="189"/>
      <c r="BR16" s="189"/>
      <c r="BS16" s="189"/>
      <c r="BT16" s="189"/>
    </row>
    <row r="17" spans="1:72" ht="12.75">
      <c r="A17" s="276" t="s">
        <v>52</v>
      </c>
      <c r="B17" s="277">
        <v>3321.55</v>
      </c>
      <c r="C17" s="106">
        <f>B17*8.55</f>
        <v>28399.252500000002</v>
      </c>
      <c r="D17" s="308">
        <v>186.4302</v>
      </c>
      <c r="E17" s="332"/>
      <c r="F17" s="332"/>
      <c r="G17" s="332">
        <v>17196</v>
      </c>
      <c r="H17" s="332"/>
      <c r="I17" s="332"/>
      <c r="J17" s="332"/>
      <c r="K17" s="332"/>
      <c r="L17" s="332"/>
      <c r="M17" s="332">
        <v>8350.64</v>
      </c>
      <c r="N17" s="332"/>
      <c r="O17" s="332">
        <v>2896.36</v>
      </c>
      <c r="P17" s="332"/>
      <c r="Q17" s="332"/>
      <c r="R17" s="332"/>
      <c r="S17" s="333"/>
      <c r="T17" s="329"/>
      <c r="U17" s="338">
        <f t="shared" si="0"/>
        <v>28443</v>
      </c>
      <c r="V17" s="339">
        <f t="shared" si="0"/>
        <v>0</v>
      </c>
      <c r="W17" s="332">
        <v>279.98</v>
      </c>
      <c r="X17" s="332">
        <v>18288.85</v>
      </c>
      <c r="Y17" s="332">
        <v>379.36</v>
      </c>
      <c r="Z17" s="332">
        <v>631.36</v>
      </c>
      <c r="AA17" s="332">
        <v>9409.48</v>
      </c>
      <c r="AB17" s="332">
        <v>3242.59</v>
      </c>
      <c r="AC17" s="332"/>
      <c r="AD17" s="332"/>
      <c r="AE17" s="333"/>
      <c r="AF17" s="330">
        <f t="shared" si="7"/>
        <v>32231.62</v>
      </c>
      <c r="AG17" s="337">
        <f t="shared" si="8"/>
        <v>32418.050199999998</v>
      </c>
      <c r="AH17" s="315">
        <f t="shared" si="9"/>
        <v>0</v>
      </c>
      <c r="AI17" s="315">
        <f t="shared" si="1"/>
        <v>0</v>
      </c>
      <c r="AJ17" s="316">
        <f>'[6]Т08'!$J$150+'[6]Т08'!$J$221</f>
        <v>214</v>
      </c>
      <c r="AK17" s="291">
        <f t="shared" si="2"/>
        <v>2225.4385</v>
      </c>
      <c r="AL17" s="291">
        <f t="shared" si="3"/>
        <v>664.3100000000001</v>
      </c>
      <c r="AM17" s="291">
        <f>B17*1</f>
        <v>3321.55</v>
      </c>
      <c r="AN17" s="291">
        <f>B17*0.21</f>
        <v>697.5255</v>
      </c>
      <c r="AO17" s="291">
        <f>2.02*B17</f>
        <v>6709.531000000001</v>
      </c>
      <c r="AP17" s="291">
        <f>B17*1.03</f>
        <v>3421.1965000000005</v>
      </c>
      <c r="AQ17" s="291">
        <f>B17*0.75</f>
        <v>2491.1625000000004</v>
      </c>
      <c r="AR17" s="291">
        <f>B17*0.75</f>
        <v>2491.1625000000004</v>
      </c>
      <c r="AS17" s="291"/>
      <c r="AT17" s="429">
        <f>0.45*751.5</f>
        <v>338.175</v>
      </c>
      <c r="AU17" s="318"/>
      <c r="AV17" s="318"/>
      <c r="AW17" s="318">
        <v>832</v>
      </c>
      <c r="AX17" s="318">
        <f>4219.14+4497+278.55+92.62</f>
        <v>9087.31</v>
      </c>
      <c r="AY17" s="318"/>
      <c r="AZ17" s="118"/>
      <c r="BA17" s="317"/>
      <c r="BB17" s="317"/>
      <c r="BC17" s="280">
        <f>SUM(AK17:BB17)</f>
        <v>32279.3615</v>
      </c>
      <c r="BD17" s="319">
        <f>'[6]Т08'!$S$150+'[6]Т08'!$S$221</f>
        <v>53.5</v>
      </c>
      <c r="BE17" s="295">
        <f t="shared" si="4"/>
        <v>32332.8615</v>
      </c>
      <c r="BF17" s="295">
        <f t="shared" si="5"/>
        <v>299.1886999999988</v>
      </c>
      <c r="BG17" s="295">
        <f t="shared" si="6"/>
        <v>3788.619999999999</v>
      </c>
      <c r="BH17" s="295"/>
      <c r="BI17" s="295"/>
      <c r="BJ17" s="295"/>
      <c r="BK17" s="295"/>
      <c r="BL17" s="296"/>
      <c r="BM17" s="297"/>
      <c r="BN17" s="297"/>
      <c r="BO17" s="304"/>
      <c r="BP17" s="50"/>
      <c r="BQ17" s="189"/>
      <c r="BR17" s="189"/>
      <c r="BS17" s="189"/>
      <c r="BT17" s="189"/>
    </row>
    <row r="18" spans="1:72" ht="12.75">
      <c r="A18" s="276" t="s">
        <v>53</v>
      </c>
      <c r="B18" s="277">
        <v>3321.55</v>
      </c>
      <c r="C18" s="106">
        <f>B18*8.55</f>
        <v>28399.252500000002</v>
      </c>
      <c r="D18" s="308">
        <v>186.4302</v>
      </c>
      <c r="E18" s="332"/>
      <c r="F18" s="332"/>
      <c r="G18" s="332">
        <v>17568.56</v>
      </c>
      <c r="H18" s="332"/>
      <c r="I18" s="332"/>
      <c r="J18" s="332"/>
      <c r="K18" s="332"/>
      <c r="L18" s="332"/>
      <c r="M18" s="332">
        <v>8531.74</v>
      </c>
      <c r="N18" s="332"/>
      <c r="O18" s="332">
        <v>2959.27</v>
      </c>
      <c r="P18" s="332"/>
      <c r="Q18" s="332"/>
      <c r="R18" s="332"/>
      <c r="S18" s="333"/>
      <c r="T18" s="340"/>
      <c r="U18" s="340">
        <f t="shared" si="0"/>
        <v>29059.570000000003</v>
      </c>
      <c r="V18" s="341">
        <f t="shared" si="0"/>
        <v>0</v>
      </c>
      <c r="W18" s="332">
        <v>42.43</v>
      </c>
      <c r="X18" s="332">
        <v>12168.77</v>
      </c>
      <c r="Y18" s="332">
        <v>57.49</v>
      </c>
      <c r="Z18" s="332">
        <v>-801.32</v>
      </c>
      <c r="AA18" s="332">
        <v>5530.94</v>
      </c>
      <c r="AB18" s="332">
        <v>2081.84</v>
      </c>
      <c r="AC18" s="332"/>
      <c r="AD18" s="332"/>
      <c r="AE18" s="333"/>
      <c r="AF18" s="330">
        <f t="shared" si="7"/>
        <v>19080.15</v>
      </c>
      <c r="AG18" s="337">
        <f t="shared" si="8"/>
        <v>19266.5802</v>
      </c>
      <c r="AH18" s="315">
        <f t="shared" si="9"/>
        <v>0</v>
      </c>
      <c r="AI18" s="315">
        <f t="shared" si="9"/>
        <v>0</v>
      </c>
      <c r="AJ18" s="316">
        <f>'[6]Т09'!$J$150+'[6]Т09'!$J$221</f>
        <v>214</v>
      </c>
      <c r="AK18" s="291">
        <f t="shared" si="2"/>
        <v>2225.4385</v>
      </c>
      <c r="AL18" s="291">
        <f t="shared" si="3"/>
        <v>664.3100000000001</v>
      </c>
      <c r="AM18" s="291">
        <f>B18*1</f>
        <v>3321.55</v>
      </c>
      <c r="AN18" s="291">
        <f>B18*0.21</f>
        <v>697.5255</v>
      </c>
      <c r="AO18" s="291">
        <f>2.02*B18</f>
        <v>6709.531000000001</v>
      </c>
      <c r="AP18" s="291">
        <f>B18*1.03</f>
        <v>3421.1965000000005</v>
      </c>
      <c r="AQ18" s="291">
        <f>B18*0.75</f>
        <v>2491.1625000000004</v>
      </c>
      <c r="AR18" s="291">
        <f>B18*0.75</f>
        <v>2491.1625000000004</v>
      </c>
      <c r="AS18" s="291"/>
      <c r="AT18" s="429">
        <f>0.45*751.5</f>
        <v>338.175</v>
      </c>
      <c r="AU18" s="318">
        <v>1645</v>
      </c>
      <c r="AV18" s="318"/>
      <c r="AW18" s="318">
        <v>333</v>
      </c>
      <c r="AX18" s="318">
        <v>190.5</v>
      </c>
      <c r="AY18" s="318"/>
      <c r="AZ18" s="118"/>
      <c r="BA18" s="317"/>
      <c r="BB18" s="317"/>
      <c r="BC18" s="280">
        <f>SUM(AK18:BB18)</f>
        <v>24528.551499999998</v>
      </c>
      <c r="BD18" s="319">
        <f>'[6]Т08'!$S$150+'[6]Т08'!$S$221</f>
        <v>53.5</v>
      </c>
      <c r="BE18" s="295">
        <f t="shared" si="4"/>
        <v>24582.051499999998</v>
      </c>
      <c r="BF18" s="295">
        <f t="shared" si="5"/>
        <v>-5101.471299999997</v>
      </c>
      <c r="BG18" s="295">
        <f t="shared" si="6"/>
        <v>-9979.420000000002</v>
      </c>
      <c r="BH18" s="295"/>
      <c r="BI18" s="295"/>
      <c r="BJ18" s="295"/>
      <c r="BK18" s="295"/>
      <c r="BL18" s="296"/>
      <c r="BM18" s="297"/>
      <c r="BN18" s="297"/>
      <c r="BO18" s="297"/>
      <c r="BP18" s="50"/>
      <c r="BQ18" s="50"/>
      <c r="BR18" s="189"/>
      <c r="BS18" s="189"/>
      <c r="BT18" s="189"/>
    </row>
    <row r="19" spans="1:72" ht="12.75">
      <c r="A19" s="276" t="s">
        <v>41</v>
      </c>
      <c r="B19" s="277">
        <v>3321.55</v>
      </c>
      <c r="C19" s="106">
        <f>B19*8.55</f>
        <v>28399.252500000002</v>
      </c>
      <c r="D19" s="342">
        <v>186.4302</v>
      </c>
      <c r="E19" s="323"/>
      <c r="F19" s="323"/>
      <c r="G19" s="323">
        <v>17873.85</v>
      </c>
      <c r="H19" s="323"/>
      <c r="I19" s="323"/>
      <c r="J19" s="323"/>
      <c r="K19" s="323"/>
      <c r="L19" s="323"/>
      <c r="M19" s="323">
        <v>8534.34</v>
      </c>
      <c r="N19" s="323"/>
      <c r="O19" s="323">
        <v>2960.19</v>
      </c>
      <c r="P19" s="323"/>
      <c r="Q19" s="323"/>
      <c r="R19" s="323"/>
      <c r="S19" s="329"/>
      <c r="T19" s="343"/>
      <c r="U19" s="344">
        <f t="shared" si="0"/>
        <v>29368.379999999997</v>
      </c>
      <c r="V19" s="345">
        <f t="shared" si="0"/>
        <v>0</v>
      </c>
      <c r="W19" s="323">
        <v>0</v>
      </c>
      <c r="X19" s="323">
        <v>20308.63</v>
      </c>
      <c r="Y19" s="323">
        <v>0</v>
      </c>
      <c r="Z19" s="323">
        <v>0</v>
      </c>
      <c r="AA19" s="323">
        <v>8149.79</v>
      </c>
      <c r="AB19" s="323">
        <v>3118.96</v>
      </c>
      <c r="AC19" s="323"/>
      <c r="AD19" s="323"/>
      <c r="AE19" s="329"/>
      <c r="AF19" s="330">
        <f t="shared" si="7"/>
        <v>31577.38</v>
      </c>
      <c r="AG19" s="337">
        <f t="shared" si="8"/>
        <v>31763.8102</v>
      </c>
      <c r="AH19" s="315">
        <f t="shared" si="9"/>
        <v>0</v>
      </c>
      <c r="AI19" s="315">
        <f t="shared" si="9"/>
        <v>0</v>
      </c>
      <c r="AJ19" s="316">
        <f>'[8]Т10'!$J$150+'[8]Т10'!$J$221</f>
        <v>214</v>
      </c>
      <c r="AK19" s="291">
        <f t="shared" si="2"/>
        <v>2225.4385</v>
      </c>
      <c r="AL19" s="291">
        <f t="shared" si="3"/>
        <v>664.3100000000001</v>
      </c>
      <c r="AM19" s="291">
        <f>B19*1</f>
        <v>3321.55</v>
      </c>
      <c r="AN19" s="291">
        <f>B19*0.21</f>
        <v>697.5255</v>
      </c>
      <c r="AO19" s="291">
        <f>2.02*B19</f>
        <v>6709.531000000001</v>
      </c>
      <c r="AP19" s="291">
        <f>B19*1.03</f>
        <v>3421.1965000000005</v>
      </c>
      <c r="AQ19" s="291">
        <f>B19*0.75</f>
        <v>2491.1625000000004</v>
      </c>
      <c r="AR19" s="291">
        <f>B19*0.75</f>
        <v>2491.1625000000004</v>
      </c>
      <c r="AS19" s="430">
        <f>B19*1.15</f>
        <v>3819.7825</v>
      </c>
      <c r="AT19" s="429">
        <f>0.45*751.5</f>
        <v>338.175</v>
      </c>
      <c r="AU19" s="318"/>
      <c r="AV19" s="318"/>
      <c r="AW19" s="318"/>
      <c r="AX19" s="318">
        <f>1800</f>
        <v>1800</v>
      </c>
      <c r="AY19" s="318"/>
      <c r="AZ19" s="118"/>
      <c r="BA19" s="317"/>
      <c r="BB19" s="317"/>
      <c r="BC19" s="280">
        <f>SUM(AK19:BB19)</f>
        <v>27979.834</v>
      </c>
      <c r="BD19" s="319">
        <f>'[9]Т10'!$S$221+'[9]Т10'!$S$150</f>
        <v>53.5</v>
      </c>
      <c r="BE19" s="295">
        <f t="shared" si="4"/>
        <v>28033.334</v>
      </c>
      <c r="BF19" s="295">
        <f t="shared" si="5"/>
        <v>3944.476200000001</v>
      </c>
      <c r="BG19" s="295">
        <f t="shared" si="6"/>
        <v>2209.0000000000036</v>
      </c>
      <c r="BH19" s="295"/>
      <c r="BI19" s="295"/>
      <c r="BJ19" s="295"/>
      <c r="BK19" s="295"/>
      <c r="BL19" s="296"/>
      <c r="BM19" s="297"/>
      <c r="BN19" s="297"/>
      <c r="BO19" s="297"/>
      <c r="BP19" s="50"/>
      <c r="BQ19" s="50"/>
      <c r="BR19" s="189"/>
      <c r="BS19" s="189"/>
      <c r="BT19" s="189"/>
    </row>
    <row r="20" spans="1:72" ht="12.75">
      <c r="A20" s="276" t="s">
        <v>42</v>
      </c>
      <c r="B20" s="277">
        <v>3321.55</v>
      </c>
      <c r="C20" s="106">
        <f>B20*8.55</f>
        <v>28399.252500000002</v>
      </c>
      <c r="D20" s="346">
        <v>186.4302</v>
      </c>
      <c r="E20" s="323"/>
      <c r="F20" s="323"/>
      <c r="G20" s="323">
        <v>17550.07</v>
      </c>
      <c r="H20" s="323"/>
      <c r="I20" s="323"/>
      <c r="J20" s="323"/>
      <c r="K20" s="323"/>
      <c r="L20" s="323"/>
      <c r="M20" s="323">
        <v>8522.67</v>
      </c>
      <c r="N20" s="323"/>
      <c r="O20" s="323">
        <v>2956.02</v>
      </c>
      <c r="P20" s="323"/>
      <c r="Q20" s="323"/>
      <c r="R20" s="323"/>
      <c r="S20" s="329"/>
      <c r="T20" s="343"/>
      <c r="U20" s="344">
        <f t="shared" si="0"/>
        <v>29028.76</v>
      </c>
      <c r="V20" s="345">
        <f t="shared" si="0"/>
        <v>0</v>
      </c>
      <c r="W20" s="323">
        <v>0</v>
      </c>
      <c r="X20" s="323">
        <v>19023.48</v>
      </c>
      <c r="Y20" s="323">
        <v>0</v>
      </c>
      <c r="Z20" s="323">
        <v>0</v>
      </c>
      <c r="AA20" s="323">
        <v>9202.48</v>
      </c>
      <c r="AB20" s="323">
        <v>3191.53</v>
      </c>
      <c r="AC20" s="323"/>
      <c r="AD20" s="323"/>
      <c r="AE20" s="329"/>
      <c r="AF20" s="330">
        <f t="shared" si="7"/>
        <v>31417.489999999998</v>
      </c>
      <c r="AG20" s="337">
        <f t="shared" si="8"/>
        <v>31603.920199999997</v>
      </c>
      <c r="AH20" s="315">
        <f t="shared" si="9"/>
        <v>0</v>
      </c>
      <c r="AI20" s="315">
        <f t="shared" si="9"/>
        <v>0</v>
      </c>
      <c r="AJ20" s="316">
        <f>'[9]Т11'!$J$150+'[9]Т11'!$J$221</f>
        <v>214</v>
      </c>
      <c r="AK20" s="291">
        <f t="shared" si="2"/>
        <v>2225.4385</v>
      </c>
      <c r="AL20" s="291">
        <f t="shared" si="3"/>
        <v>664.3100000000001</v>
      </c>
      <c r="AM20" s="291">
        <f>B20*1</f>
        <v>3321.55</v>
      </c>
      <c r="AN20" s="291">
        <f>B20*0.21</f>
        <v>697.5255</v>
      </c>
      <c r="AO20" s="291">
        <f>2.02*B20</f>
        <v>6709.531000000001</v>
      </c>
      <c r="AP20" s="291">
        <f>B20*1.03</f>
        <v>3421.1965000000005</v>
      </c>
      <c r="AQ20" s="291">
        <f>B20*0.75</f>
        <v>2491.1625000000004</v>
      </c>
      <c r="AR20" s="291">
        <f>B20*0.75</f>
        <v>2491.1625000000004</v>
      </c>
      <c r="AS20" s="430">
        <f>B20*1.15</f>
        <v>3819.7825</v>
      </c>
      <c r="AT20" s="429">
        <f>0.45*751.5</f>
        <v>338.175</v>
      </c>
      <c r="AU20" s="318">
        <v>2836</v>
      </c>
      <c r="AV20" s="318"/>
      <c r="AW20" s="318"/>
      <c r="AX20" s="318">
        <f>8.78+74</f>
        <v>82.78</v>
      </c>
      <c r="AY20" s="318"/>
      <c r="AZ20" s="118"/>
      <c r="BA20" s="317"/>
      <c r="BB20" s="317"/>
      <c r="BC20" s="280">
        <f>SUM(AK20:BB20)</f>
        <v>29098.613999999998</v>
      </c>
      <c r="BD20" s="319">
        <f>'[9]Т11'!$S$150+'[9]Т11'!$S$221</f>
        <v>53.5</v>
      </c>
      <c r="BE20" s="295">
        <f t="shared" si="4"/>
        <v>29152.113999999998</v>
      </c>
      <c r="BF20" s="295">
        <f t="shared" si="5"/>
        <v>2665.806199999999</v>
      </c>
      <c r="BG20" s="295">
        <f t="shared" si="6"/>
        <v>2388.7299999999996</v>
      </c>
      <c r="BH20" s="295"/>
      <c r="BI20" s="295"/>
      <c r="BJ20" s="295"/>
      <c r="BK20" s="295"/>
      <c r="BL20" s="296"/>
      <c r="BM20" s="297"/>
      <c r="BN20" s="297"/>
      <c r="BO20" s="297"/>
      <c r="BP20" s="50"/>
      <c r="BQ20" s="50"/>
      <c r="BR20" s="189"/>
      <c r="BS20" s="189"/>
      <c r="BT20" s="189"/>
    </row>
    <row r="21" spans="1:72" ht="13.5" thickBot="1">
      <c r="A21" s="276" t="s">
        <v>43</v>
      </c>
      <c r="B21" s="277">
        <v>3321.55</v>
      </c>
      <c r="C21" s="106">
        <f>B21*8.55</f>
        <v>28399.252500000002</v>
      </c>
      <c r="D21" s="346">
        <v>186.4302</v>
      </c>
      <c r="E21" s="347"/>
      <c r="F21" s="347"/>
      <c r="G21" s="347">
        <v>17550.63</v>
      </c>
      <c r="H21" s="347"/>
      <c r="I21" s="347"/>
      <c r="J21" s="347"/>
      <c r="K21" s="347"/>
      <c r="L21" s="347"/>
      <c r="M21" s="347">
        <v>8522.95</v>
      </c>
      <c r="N21" s="347"/>
      <c r="O21" s="347">
        <v>2956.12</v>
      </c>
      <c r="P21" s="347"/>
      <c r="Q21" s="347"/>
      <c r="R21" s="347"/>
      <c r="S21" s="348"/>
      <c r="T21" s="349"/>
      <c r="U21" s="344">
        <f t="shared" si="0"/>
        <v>29029.7</v>
      </c>
      <c r="V21" s="345">
        <f t="shared" si="0"/>
        <v>0</v>
      </c>
      <c r="W21" s="323">
        <v>0</v>
      </c>
      <c r="X21" s="323">
        <v>18987.05</v>
      </c>
      <c r="Y21" s="323">
        <v>0</v>
      </c>
      <c r="Z21" s="323">
        <v>0</v>
      </c>
      <c r="AA21" s="323">
        <v>9498.05</v>
      </c>
      <c r="AB21" s="323">
        <v>3285.16</v>
      </c>
      <c r="AC21" s="323"/>
      <c r="AD21" s="323"/>
      <c r="AE21" s="329"/>
      <c r="AF21" s="330">
        <f t="shared" si="7"/>
        <v>31770.26</v>
      </c>
      <c r="AG21" s="337">
        <f t="shared" si="8"/>
        <v>31956.690199999997</v>
      </c>
      <c r="AH21" s="315">
        <f t="shared" si="9"/>
        <v>0</v>
      </c>
      <c r="AI21" s="315">
        <f t="shared" si="9"/>
        <v>0</v>
      </c>
      <c r="AJ21" s="316">
        <f>'[9]Т12'!$J$174+'[9]Т12'!$J$245</f>
        <v>214</v>
      </c>
      <c r="AK21" s="291">
        <f t="shared" si="2"/>
        <v>2225.4385</v>
      </c>
      <c r="AL21" s="291">
        <f t="shared" si="3"/>
        <v>664.3100000000001</v>
      </c>
      <c r="AM21" s="291">
        <f>B21*1</f>
        <v>3321.55</v>
      </c>
      <c r="AN21" s="291">
        <f>B21*0.21</f>
        <v>697.5255</v>
      </c>
      <c r="AO21" s="291">
        <f>2.02*B21</f>
        <v>6709.531000000001</v>
      </c>
      <c r="AP21" s="291">
        <f>B21*1.03</f>
        <v>3421.1965000000005</v>
      </c>
      <c r="AQ21" s="291">
        <f>B21*0.75</f>
        <v>2491.1625000000004</v>
      </c>
      <c r="AR21" s="291">
        <f>B21*0.75</f>
        <v>2491.1625000000004</v>
      </c>
      <c r="AS21" s="430">
        <f>B21*1.15</f>
        <v>3819.7825</v>
      </c>
      <c r="AT21" s="429">
        <f>0.45*751.5</f>
        <v>338.175</v>
      </c>
      <c r="AU21" s="318"/>
      <c r="AV21" s="318"/>
      <c r="AW21" s="318"/>
      <c r="AX21" s="318"/>
      <c r="AY21" s="318"/>
      <c r="AZ21" s="118"/>
      <c r="BA21" s="317"/>
      <c r="BB21" s="317"/>
      <c r="BC21" s="280">
        <f>SUM(AK21:BB21)</f>
        <v>26179.834</v>
      </c>
      <c r="BD21" s="319">
        <f>'[9]Т12'!$S$174+'[9]Т12'!$S$245</f>
        <v>53.5</v>
      </c>
      <c r="BE21" s="295">
        <f t="shared" si="4"/>
        <v>26233.334</v>
      </c>
      <c r="BF21" s="295">
        <f t="shared" si="5"/>
        <v>5937.356199999998</v>
      </c>
      <c r="BG21" s="295">
        <f t="shared" si="6"/>
        <v>2740.5599999999977</v>
      </c>
      <c r="BH21" s="295"/>
      <c r="BI21" s="295"/>
      <c r="BJ21" s="295"/>
      <c r="BK21" s="295"/>
      <c r="BL21" s="296"/>
      <c r="BM21" s="297"/>
      <c r="BN21" s="297"/>
      <c r="BO21" s="297"/>
      <c r="BP21" s="50"/>
      <c r="BQ21" s="50"/>
      <c r="BR21" s="189"/>
      <c r="BS21" s="189"/>
      <c r="BT21" s="189"/>
    </row>
    <row r="22" spans="1:63" s="27" customFormat="1" ht="13.5" thickBot="1">
      <c r="A22" s="350" t="s">
        <v>5</v>
      </c>
      <c r="B22" s="351"/>
      <c r="C22" s="352">
        <f aca="true" t="shared" si="10" ref="C22:BF22">SUM(C10:C21)</f>
        <v>340792.74</v>
      </c>
      <c r="D22" s="352">
        <f t="shared" si="10"/>
        <v>2237.1624</v>
      </c>
      <c r="E22" s="352">
        <f t="shared" si="10"/>
        <v>-1.76</v>
      </c>
      <c r="F22" s="352">
        <f t="shared" si="10"/>
        <v>0</v>
      </c>
      <c r="G22" s="352">
        <f t="shared" si="10"/>
        <v>208106.27</v>
      </c>
      <c r="H22" s="352">
        <f t="shared" si="10"/>
        <v>0</v>
      </c>
      <c r="I22" s="352">
        <f t="shared" si="10"/>
        <v>-2.4</v>
      </c>
      <c r="J22" s="352">
        <f t="shared" si="10"/>
        <v>0</v>
      </c>
      <c r="K22" s="352">
        <f t="shared" si="10"/>
        <v>-3.96</v>
      </c>
      <c r="L22" s="352">
        <f t="shared" si="10"/>
        <v>0</v>
      </c>
      <c r="M22" s="352">
        <f t="shared" si="10"/>
        <v>100907.47</v>
      </c>
      <c r="N22" s="352">
        <f t="shared" si="10"/>
        <v>0</v>
      </c>
      <c r="O22" s="352">
        <f t="shared" si="10"/>
        <v>34999.67</v>
      </c>
      <c r="P22" s="352">
        <f t="shared" si="10"/>
        <v>0</v>
      </c>
      <c r="Q22" s="352">
        <f t="shared" si="10"/>
        <v>0</v>
      </c>
      <c r="R22" s="352">
        <f t="shared" si="10"/>
        <v>0</v>
      </c>
      <c r="S22" s="352">
        <f t="shared" si="10"/>
        <v>0</v>
      </c>
      <c r="T22" s="352">
        <f t="shared" si="10"/>
        <v>0</v>
      </c>
      <c r="U22" s="352">
        <f t="shared" si="10"/>
        <v>344005.29000000004</v>
      </c>
      <c r="V22" s="352">
        <f t="shared" si="10"/>
        <v>0</v>
      </c>
      <c r="W22" s="352">
        <f t="shared" si="10"/>
        <v>3848.79</v>
      </c>
      <c r="X22" s="352">
        <f t="shared" si="10"/>
        <v>174425.37</v>
      </c>
      <c r="Y22" s="352">
        <f t="shared" si="10"/>
        <v>5212.04</v>
      </c>
      <c r="Z22" s="352">
        <f t="shared" si="10"/>
        <v>8676.590000000002</v>
      </c>
      <c r="AA22" s="352">
        <f t="shared" si="10"/>
        <v>95637.97</v>
      </c>
      <c r="AB22" s="352">
        <f t="shared" si="10"/>
        <v>31300.409999999996</v>
      </c>
      <c r="AC22" s="352">
        <f t="shared" si="10"/>
        <v>0</v>
      </c>
      <c r="AD22" s="352">
        <f t="shared" si="10"/>
        <v>0</v>
      </c>
      <c r="AE22" s="352">
        <f t="shared" si="10"/>
        <v>0</v>
      </c>
      <c r="AF22" s="352">
        <f t="shared" si="10"/>
        <v>319101.17</v>
      </c>
      <c r="AG22" s="352">
        <f t="shared" si="10"/>
        <v>321338.3324</v>
      </c>
      <c r="AH22" s="352">
        <f t="shared" si="10"/>
        <v>0</v>
      </c>
      <c r="AI22" s="352">
        <f t="shared" si="10"/>
        <v>0</v>
      </c>
      <c r="AJ22" s="352">
        <f t="shared" si="10"/>
        <v>1770</v>
      </c>
      <c r="AK22" s="352">
        <f t="shared" si="10"/>
        <v>26705.396</v>
      </c>
      <c r="AL22" s="352">
        <f t="shared" si="10"/>
        <v>7971.760000000002</v>
      </c>
      <c r="AM22" s="352">
        <f t="shared" si="10"/>
        <v>39858.8</v>
      </c>
      <c r="AN22" s="352">
        <f t="shared" si="10"/>
        <v>8370.347999999998</v>
      </c>
      <c r="AO22" s="352">
        <f t="shared" si="10"/>
        <v>80514.77600000003</v>
      </c>
      <c r="AP22" s="352">
        <f t="shared" si="10"/>
        <v>41054.564000000006</v>
      </c>
      <c r="AQ22" s="352">
        <f t="shared" si="10"/>
        <v>29894.1</v>
      </c>
      <c r="AR22" s="352">
        <f t="shared" si="10"/>
        <v>29894.1</v>
      </c>
      <c r="AS22" s="352">
        <f t="shared" si="10"/>
        <v>22918.925</v>
      </c>
      <c r="AT22" s="352">
        <f t="shared" si="10"/>
        <v>4058.100000000001</v>
      </c>
      <c r="AU22" s="352">
        <f t="shared" si="10"/>
        <v>29262</v>
      </c>
      <c r="AV22" s="352">
        <f t="shared" si="10"/>
        <v>2963</v>
      </c>
      <c r="AW22" s="352">
        <f t="shared" si="10"/>
        <v>55388</v>
      </c>
      <c r="AX22" s="352">
        <f t="shared" si="10"/>
        <v>13670.539999999999</v>
      </c>
      <c r="AY22" s="352">
        <f t="shared" si="10"/>
        <v>0</v>
      </c>
      <c r="AZ22" s="352">
        <f t="shared" si="10"/>
        <v>0</v>
      </c>
      <c r="BA22" s="352">
        <f t="shared" si="10"/>
        <v>12874.47</v>
      </c>
      <c r="BB22" s="352">
        <f t="shared" si="10"/>
        <v>0</v>
      </c>
      <c r="BC22" s="352">
        <f t="shared" si="10"/>
        <v>405398.87899999996</v>
      </c>
      <c r="BD22" s="352">
        <f t="shared" si="10"/>
        <v>442.5</v>
      </c>
      <c r="BE22" s="352">
        <f t="shared" si="10"/>
        <v>405841.37899999996</v>
      </c>
      <c r="BF22" s="352">
        <f t="shared" si="10"/>
        <v>-82733.04660000002</v>
      </c>
      <c r="BG22" s="352">
        <f>SUM(BG10:BG21)</f>
        <v>-24904.11999999999</v>
      </c>
      <c r="BH22" s="353"/>
      <c r="BI22" s="354"/>
      <c r="BJ22" s="45"/>
      <c r="BK22" s="45"/>
    </row>
    <row r="23" spans="1:63" s="27" customFormat="1" ht="13.5" thickBot="1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7"/>
      <c r="BF23" s="356"/>
      <c r="BG23" s="358"/>
      <c r="BI23" s="45"/>
      <c r="BJ23" s="45"/>
      <c r="BK23" s="45"/>
    </row>
    <row r="24" spans="1:59" s="27" customFormat="1" ht="13.5" thickBot="1">
      <c r="A24" s="31" t="s">
        <v>54</v>
      </c>
      <c r="B24" s="356"/>
      <c r="C24" s="359">
        <f aca="true" t="shared" si="11" ref="C24:L24">C22+C8</f>
        <v>1115804.1950000003</v>
      </c>
      <c r="D24" s="359">
        <f t="shared" si="11"/>
        <v>135704.32324990004</v>
      </c>
      <c r="E24" s="359">
        <f t="shared" si="11"/>
        <v>65695.85</v>
      </c>
      <c r="F24" s="359">
        <f t="shared" si="11"/>
        <v>12696.99</v>
      </c>
      <c r="G24" s="359">
        <f t="shared" si="11"/>
        <v>208106.27</v>
      </c>
      <c r="H24" s="359">
        <f t="shared" si="11"/>
        <v>0</v>
      </c>
      <c r="I24" s="359">
        <f t="shared" si="11"/>
        <v>88912.16000000002</v>
      </c>
      <c r="J24" s="359">
        <f t="shared" si="11"/>
        <v>17189.93</v>
      </c>
      <c r="K24" s="359">
        <f t="shared" si="11"/>
        <v>148037.74000000002</v>
      </c>
      <c r="L24" s="359">
        <f t="shared" si="11"/>
        <v>28618.03</v>
      </c>
      <c r="M24" s="359" t="e">
        <f>#REF!</f>
        <v>#REF!</v>
      </c>
      <c r="N24" s="359">
        <f aca="true" t="shared" si="12" ref="N24:BG24">N22+N8</f>
        <v>41315.05</v>
      </c>
      <c r="O24" s="359">
        <f t="shared" si="12"/>
        <v>87557.23999999999</v>
      </c>
      <c r="P24" s="359">
        <f t="shared" si="12"/>
        <v>10157.35</v>
      </c>
      <c r="Q24" s="359">
        <f t="shared" si="12"/>
        <v>0</v>
      </c>
      <c r="R24" s="359">
        <f t="shared" si="12"/>
        <v>0</v>
      </c>
      <c r="S24" s="359">
        <f t="shared" si="12"/>
        <v>0</v>
      </c>
      <c r="T24" s="359">
        <f t="shared" si="12"/>
        <v>0</v>
      </c>
      <c r="U24" s="359">
        <f t="shared" si="12"/>
        <v>912955.4000000001</v>
      </c>
      <c r="V24" s="359">
        <f t="shared" si="12"/>
        <v>109977.35</v>
      </c>
      <c r="W24" s="359">
        <f t="shared" si="12"/>
        <v>64195.93</v>
      </c>
      <c r="X24" s="359">
        <f t="shared" si="12"/>
        <v>174425.37</v>
      </c>
      <c r="Y24" s="359">
        <f t="shared" si="12"/>
        <v>86870.43000000001</v>
      </c>
      <c r="Z24" s="359">
        <f t="shared" si="12"/>
        <v>144646.31999999998</v>
      </c>
      <c r="AA24" s="359">
        <f t="shared" si="12"/>
        <v>295783.83</v>
      </c>
      <c r="AB24" s="359">
        <f t="shared" si="12"/>
        <v>80402.81</v>
      </c>
      <c r="AC24" s="359">
        <f t="shared" si="12"/>
        <v>0</v>
      </c>
      <c r="AD24" s="359">
        <f t="shared" si="12"/>
        <v>0</v>
      </c>
      <c r="AE24" s="359">
        <f t="shared" si="12"/>
        <v>0</v>
      </c>
      <c r="AF24" s="359">
        <f t="shared" si="12"/>
        <v>846324.69</v>
      </c>
      <c r="AG24" s="359">
        <f t="shared" si="12"/>
        <v>1092006.3632499</v>
      </c>
      <c r="AH24" s="359">
        <f t="shared" si="12"/>
        <v>0</v>
      </c>
      <c r="AI24" s="359">
        <f t="shared" si="12"/>
        <v>0</v>
      </c>
      <c r="AJ24" s="359">
        <f t="shared" si="12"/>
        <v>2070</v>
      </c>
      <c r="AK24" s="359">
        <f t="shared" si="12"/>
        <v>79667.42599999999</v>
      </c>
      <c r="AL24" s="359">
        <f t="shared" si="12"/>
        <v>25718.337016500005</v>
      </c>
      <c r="AM24" s="359">
        <f t="shared" si="12"/>
        <v>127777.95291112752</v>
      </c>
      <c r="AN24" s="359">
        <f t="shared" si="12"/>
        <v>8370.347999999998</v>
      </c>
      <c r="AO24" s="359">
        <f t="shared" si="12"/>
        <v>168206.11510921415</v>
      </c>
      <c r="AP24" s="359">
        <f t="shared" si="12"/>
        <v>260288.48240848538</v>
      </c>
      <c r="AQ24" s="359">
        <f t="shared" si="12"/>
        <v>29894.1</v>
      </c>
      <c r="AR24" s="359">
        <f t="shared" si="12"/>
        <v>29894.1</v>
      </c>
      <c r="AS24" s="359">
        <f t="shared" si="12"/>
        <v>22918.925</v>
      </c>
      <c r="AT24" s="359">
        <f t="shared" si="12"/>
        <v>16446.2802</v>
      </c>
      <c r="AU24" s="359">
        <f t="shared" si="12"/>
        <v>118812.0732</v>
      </c>
      <c r="AV24" s="359">
        <f t="shared" si="12"/>
        <v>2963</v>
      </c>
      <c r="AW24" s="360">
        <f t="shared" si="12"/>
        <v>60283.28</v>
      </c>
      <c r="AX24" s="360">
        <f t="shared" si="12"/>
        <v>13670.539999999999</v>
      </c>
      <c r="AY24" s="360">
        <f t="shared" si="12"/>
        <v>20956.32</v>
      </c>
      <c r="AZ24" s="360">
        <f t="shared" si="12"/>
        <v>0</v>
      </c>
      <c r="BA24" s="360">
        <f t="shared" si="12"/>
        <v>12874.47</v>
      </c>
      <c r="BB24" s="360">
        <f t="shared" si="12"/>
        <v>0</v>
      </c>
      <c r="BC24" s="360">
        <f t="shared" si="12"/>
        <v>998741.749845327</v>
      </c>
      <c r="BD24" s="360">
        <f t="shared" si="12"/>
        <v>517.5</v>
      </c>
      <c r="BE24" s="360">
        <f t="shared" si="12"/>
        <v>999259.249845327</v>
      </c>
      <c r="BF24" s="360">
        <f t="shared" si="12"/>
        <v>94817.11340457299</v>
      </c>
      <c r="BG24" s="360">
        <f t="shared" si="12"/>
        <v>-66630.70999999999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L34" sqref="L34"/>
    </sheetView>
  </sheetViews>
  <sheetFormatPr defaultColWidth="9.00390625" defaultRowHeight="12.75"/>
  <cols>
    <col min="1" max="1" width="10.00390625" style="190" customWidth="1"/>
    <col min="2" max="2" width="10.875" style="190" customWidth="1"/>
    <col min="3" max="3" width="12.75390625" style="190" customWidth="1"/>
    <col min="4" max="4" width="10.75390625" style="190" customWidth="1"/>
    <col min="5" max="5" width="11.625" style="190" customWidth="1"/>
    <col min="6" max="6" width="9.875" style="190" customWidth="1"/>
    <col min="7" max="7" width="11.00390625" style="190" customWidth="1"/>
    <col min="8" max="8" width="11.375" style="190" customWidth="1"/>
    <col min="9" max="9" width="9.125" style="190" customWidth="1"/>
    <col min="10" max="10" width="9.25390625" style="190" customWidth="1"/>
    <col min="11" max="11" width="9.125" style="190" customWidth="1"/>
    <col min="12" max="12" width="10.375" style="190" customWidth="1"/>
    <col min="13" max="13" width="10.125" style="190" customWidth="1"/>
    <col min="14" max="14" width="9.125" style="190" customWidth="1"/>
    <col min="15" max="15" width="11.125" style="190" customWidth="1"/>
    <col min="16" max="16" width="9.875" style="190" customWidth="1"/>
    <col min="17" max="17" width="10.00390625" style="190" customWidth="1"/>
    <col min="18" max="16384" width="9.125" style="190" customWidth="1"/>
  </cols>
  <sheetData>
    <row r="1" spans="2:9" ht="20.25" customHeight="1">
      <c r="B1" s="361" t="s">
        <v>55</v>
      </c>
      <c r="C1" s="361"/>
      <c r="D1" s="361"/>
      <c r="E1" s="361"/>
      <c r="F1" s="361"/>
      <c r="G1" s="361"/>
      <c r="H1" s="361"/>
      <c r="I1" s="33"/>
    </row>
    <row r="2" spans="2:12" ht="21" customHeight="1">
      <c r="B2" s="361" t="s">
        <v>56</v>
      </c>
      <c r="C2" s="361"/>
      <c r="D2" s="361"/>
      <c r="E2" s="361"/>
      <c r="F2" s="361"/>
      <c r="G2" s="361"/>
      <c r="H2" s="361"/>
      <c r="I2" s="33"/>
      <c r="K2" s="189"/>
      <c r="L2" s="189"/>
    </row>
    <row r="5" spans="1:14" ht="12.75">
      <c r="A5" s="183" t="s">
        <v>126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2.75">
      <c r="A6" s="362" t="s">
        <v>117</v>
      </c>
      <c r="B6" s="362"/>
      <c r="C6" s="362"/>
      <c r="D6" s="362"/>
      <c r="E6" s="362"/>
      <c r="F6" s="362"/>
      <c r="G6" s="362"/>
      <c r="H6" s="100"/>
      <c r="I6" s="100"/>
      <c r="J6" s="100"/>
      <c r="K6" s="100"/>
      <c r="L6" s="100"/>
      <c r="M6" s="100"/>
      <c r="N6" s="100"/>
    </row>
    <row r="7" spans="1:15" ht="13.5" thickBot="1">
      <c r="A7" s="363" t="s">
        <v>57</v>
      </c>
      <c r="B7" s="363"/>
      <c r="C7" s="363"/>
      <c r="D7" s="363"/>
      <c r="E7" s="363">
        <v>8.55</v>
      </c>
      <c r="F7" s="363"/>
      <c r="I7" s="364"/>
      <c r="J7" s="364"/>
      <c r="K7" s="364"/>
      <c r="L7" s="364"/>
      <c r="M7" s="364"/>
      <c r="N7" s="364"/>
      <c r="O7" s="364"/>
    </row>
    <row r="8" spans="1:17" ht="12.75" customHeight="1">
      <c r="A8" s="167" t="s">
        <v>58</v>
      </c>
      <c r="B8" s="185" t="s">
        <v>1</v>
      </c>
      <c r="C8" s="365" t="s">
        <v>59</v>
      </c>
      <c r="D8" s="366" t="s">
        <v>3</v>
      </c>
      <c r="E8" s="367" t="s">
        <v>60</v>
      </c>
      <c r="F8" s="198"/>
      <c r="G8" s="368" t="s">
        <v>118</v>
      </c>
      <c r="H8" s="369"/>
      <c r="I8" s="370"/>
      <c r="J8" s="371" t="s">
        <v>10</v>
      </c>
      <c r="K8" s="372"/>
      <c r="L8" s="372"/>
      <c r="M8" s="372"/>
      <c r="N8" s="372"/>
      <c r="O8" s="373"/>
      <c r="P8" s="374" t="s">
        <v>61</v>
      </c>
      <c r="Q8" s="374" t="s">
        <v>12</v>
      </c>
    </row>
    <row r="9" spans="1:17" ht="12.75">
      <c r="A9" s="168"/>
      <c r="B9" s="186"/>
      <c r="C9" s="375"/>
      <c r="D9" s="376"/>
      <c r="E9" s="377"/>
      <c r="F9" s="378"/>
      <c r="G9" s="379"/>
      <c r="H9" s="380"/>
      <c r="I9" s="381"/>
      <c r="J9" s="382"/>
      <c r="K9" s="383"/>
      <c r="L9" s="383"/>
      <c r="M9" s="383"/>
      <c r="N9" s="383"/>
      <c r="O9" s="384"/>
      <c r="P9" s="385"/>
      <c r="Q9" s="385"/>
    </row>
    <row r="10" spans="1:17" ht="26.25" customHeight="1">
      <c r="A10" s="168"/>
      <c r="B10" s="186"/>
      <c r="C10" s="375"/>
      <c r="D10" s="376"/>
      <c r="E10" s="386" t="s">
        <v>62</v>
      </c>
      <c r="F10" s="213"/>
      <c r="G10" s="387" t="s">
        <v>63</v>
      </c>
      <c r="H10" s="388" t="s">
        <v>7</v>
      </c>
      <c r="I10" s="389" t="s">
        <v>119</v>
      </c>
      <c r="J10" s="390" t="s">
        <v>64</v>
      </c>
      <c r="K10" s="175" t="s">
        <v>120</v>
      </c>
      <c r="L10" s="175" t="s">
        <v>65</v>
      </c>
      <c r="M10" s="175" t="s">
        <v>37</v>
      </c>
      <c r="N10" s="176" t="s">
        <v>121</v>
      </c>
      <c r="O10" s="391" t="s">
        <v>39</v>
      </c>
      <c r="P10" s="385"/>
      <c r="Q10" s="385"/>
    </row>
    <row r="11" spans="1:17" ht="66.75" customHeight="1" thickBot="1">
      <c r="A11" s="184"/>
      <c r="B11" s="187"/>
      <c r="C11" s="392"/>
      <c r="D11" s="393"/>
      <c r="E11" s="35" t="s">
        <v>67</v>
      </c>
      <c r="F11" s="394" t="s">
        <v>21</v>
      </c>
      <c r="G11" s="395" t="s">
        <v>122</v>
      </c>
      <c r="H11" s="391"/>
      <c r="I11" s="396"/>
      <c r="J11" s="397"/>
      <c r="K11" s="176"/>
      <c r="L11" s="176"/>
      <c r="M11" s="176"/>
      <c r="N11" s="398"/>
      <c r="O11" s="399"/>
      <c r="P11" s="400"/>
      <c r="Q11" s="400"/>
    </row>
    <row r="12" spans="1:17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6">
        <v>16</v>
      </c>
      <c r="Q12" s="37">
        <v>17</v>
      </c>
    </row>
    <row r="13" spans="1:17" ht="13.5" thickBot="1">
      <c r="A13" s="401" t="s">
        <v>123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  <c r="P13" s="404"/>
      <c r="Q13" s="404"/>
    </row>
    <row r="14" spans="1:19" s="27" customFormat="1" ht="13.5" thickBot="1">
      <c r="A14" s="48" t="s">
        <v>54</v>
      </c>
      <c r="B14" s="49"/>
      <c r="C14" s="405">
        <f>'2011 полн'!C8</f>
        <v>775011.4550000002</v>
      </c>
      <c r="D14" s="405">
        <f>'2011 полн'!D8</f>
        <v>133467.16084990004</v>
      </c>
      <c r="E14" s="405">
        <f>'2011 полн'!U8</f>
        <v>568950.1100000001</v>
      </c>
      <c r="F14" s="405">
        <f>'2011 полн'!V8</f>
        <v>109977.35</v>
      </c>
      <c r="G14" s="405">
        <f>'2011 полн'!AF8</f>
        <v>527223.52</v>
      </c>
      <c r="H14" s="405">
        <f>'2011 полн'!AG8</f>
        <v>770668.0308499</v>
      </c>
      <c r="I14" s="405">
        <f>'2011 полн'!AJ8</f>
        <v>300</v>
      </c>
      <c r="J14" s="405">
        <f>'2011 полн'!AK8</f>
        <v>52962.02999999999</v>
      </c>
      <c r="K14" s="405">
        <f>'2011 полн'!AL8</f>
        <v>17746.577016500003</v>
      </c>
      <c r="L14" s="405">
        <f>'2011 полн'!AM8+'2011 полн'!AO8+'2011 полн'!AP8+'2011 полн'!AT8+'2011 полн'!AX8+'2011 полн'!AY8+'2011 полн'!BA16</f>
        <v>441063.38062882697</v>
      </c>
      <c r="M14" s="405">
        <f>'2011 полн'!AU8+'2011 полн'!AV8+'2011 полн'!AW8</f>
        <v>94445.3532</v>
      </c>
      <c r="N14" s="405">
        <f>'[1]2011 полн'!BD8</f>
        <v>75</v>
      </c>
      <c r="O14" s="405">
        <f>SUM(J14:N14)</f>
        <v>606292.340845327</v>
      </c>
      <c r="P14" s="405">
        <f>H14+I14-O14</f>
        <v>164675.69000457297</v>
      </c>
      <c r="Q14" s="405">
        <f>'2011 полн'!BG8</f>
        <v>-41726.59</v>
      </c>
      <c r="R14" s="50"/>
      <c r="S14" s="45"/>
    </row>
    <row r="15" spans="1:19" ht="12.75">
      <c r="A15" s="8" t="s">
        <v>116</v>
      </c>
      <c r="B15" s="406"/>
      <c r="C15" s="407"/>
      <c r="D15" s="408"/>
      <c r="E15" s="409"/>
      <c r="F15" s="410"/>
      <c r="G15" s="411"/>
      <c r="H15" s="410"/>
      <c r="I15" s="412"/>
      <c r="J15" s="411"/>
      <c r="K15" s="413"/>
      <c r="L15" s="413"/>
      <c r="M15" s="414"/>
      <c r="N15" s="415"/>
      <c r="O15" s="416"/>
      <c r="P15" s="417"/>
      <c r="Q15" s="417"/>
      <c r="R15" s="189"/>
      <c r="S15" s="189"/>
    </row>
    <row r="16" spans="1:19" ht="12.75">
      <c r="A16" s="276" t="s">
        <v>45</v>
      </c>
      <c r="B16" s="418">
        <f>'2011 полн'!B10</f>
        <v>3321.75</v>
      </c>
      <c r="C16" s="418">
        <f>'2011 полн'!C10</f>
        <v>28400.9625</v>
      </c>
      <c r="D16" s="419">
        <f>'2011 полн'!D10</f>
        <v>186.4302</v>
      </c>
      <c r="E16" s="413">
        <f>'2011 полн'!U10</f>
        <v>28813.079999999998</v>
      </c>
      <c r="F16" s="413">
        <f>'2011 полн'!V10</f>
        <v>0</v>
      </c>
      <c r="G16" s="420">
        <f>'2011 полн'!AF10</f>
        <v>16829.73</v>
      </c>
      <c r="H16" s="420">
        <f>'2011 полн'!AG10</f>
        <v>17016.1602</v>
      </c>
      <c r="I16" s="420">
        <f>'2011 полн'!AJ10</f>
        <v>100</v>
      </c>
      <c r="J16" s="420">
        <f>'2011 полн'!AK10</f>
        <v>2225.5725</v>
      </c>
      <c r="K16" s="420">
        <f>'2011 полн'!AL10</f>
        <v>664.35</v>
      </c>
      <c r="L16" s="413">
        <f>'2011 полн'!AM10+'2011 полн'!AN10+'2011 полн'!AO10+'2011 полн'!AP10+'2011 полн'!AQ10+'2011 полн'!AR10+'2011 полн'!AS10+'2011 полн'!AT10+'2011 полн'!AX10</f>
        <v>23383.267499999998</v>
      </c>
      <c r="M16" s="414">
        <f>'2011 полн'!AU10+'2011 полн'!AV10+'2011 полн'!AW10</f>
        <v>4468</v>
      </c>
      <c r="N16" s="421">
        <f>'2011 полн'!BD10</f>
        <v>25</v>
      </c>
      <c r="O16" s="421">
        <f>SUM(J16:N16)</f>
        <v>30766.19</v>
      </c>
      <c r="P16" s="417">
        <f>H16+I16-O16</f>
        <v>-13650.0298</v>
      </c>
      <c r="Q16" s="417">
        <f>'2011 полн'!BG10</f>
        <v>-11983.349999999999</v>
      </c>
      <c r="R16" s="189"/>
      <c r="S16" s="189"/>
    </row>
    <row r="17" spans="1:19" ht="12.75">
      <c r="A17" s="276" t="s">
        <v>46</v>
      </c>
      <c r="B17" s="418">
        <f>'2011 полн'!B11</f>
        <v>3321.55</v>
      </c>
      <c r="C17" s="418">
        <f>'2011 полн'!C11</f>
        <v>28399.252500000002</v>
      </c>
      <c r="D17" s="419">
        <f>'2011 полн'!D11</f>
        <v>186.4302</v>
      </c>
      <c r="E17" s="413">
        <f>'2011 полн'!U11</f>
        <v>28109.81</v>
      </c>
      <c r="F17" s="413">
        <f>'2011 полн'!V11</f>
        <v>0</v>
      </c>
      <c r="G17" s="420">
        <f>'2011 полн'!AF11</f>
        <v>27262.63</v>
      </c>
      <c r="H17" s="420">
        <f>'2011 полн'!AG11</f>
        <v>27449.0602</v>
      </c>
      <c r="I17" s="420">
        <f>'2011 полн'!AJ11</f>
        <v>100</v>
      </c>
      <c r="J17" s="420">
        <f>'2011 полн'!AK11</f>
        <v>2225.4385</v>
      </c>
      <c r="K17" s="420">
        <f>'2011 полн'!AL11</f>
        <v>664.3100000000001</v>
      </c>
      <c r="L17" s="413">
        <f>'2011 полн'!AM11+'2011 полн'!AN11+'2011 полн'!AO11+'2011 полн'!AP11+'2011 полн'!AQ11+'2011 полн'!AR11+'2011 полн'!AS11+'2011 полн'!AT11+'2011 полн'!AX11</f>
        <v>23323.925500000005</v>
      </c>
      <c r="M17" s="414">
        <f>'2011 полн'!AU11+'2011 полн'!AV11+'2011 полн'!AW11</f>
        <v>0</v>
      </c>
      <c r="N17" s="421">
        <f>'2011 полн'!BD11</f>
        <v>25</v>
      </c>
      <c r="O17" s="421">
        <f aca="true" t="shared" si="0" ref="O17:O27">SUM(J17:N17)</f>
        <v>26238.674000000006</v>
      </c>
      <c r="P17" s="417">
        <f aca="true" t="shared" si="1" ref="P17:P27">H17+I17-O17</f>
        <v>1310.3861999999936</v>
      </c>
      <c r="Q17" s="417">
        <f>'2011 полн'!BG11</f>
        <v>-847.1800000000003</v>
      </c>
      <c r="R17" s="189"/>
      <c r="S17" s="189"/>
    </row>
    <row r="18" spans="1:19" ht="12.75">
      <c r="A18" s="276" t="s">
        <v>47</v>
      </c>
      <c r="B18" s="418">
        <f>'2011 полн'!B12</f>
        <v>3321.55</v>
      </c>
      <c r="C18" s="418">
        <f>'2011 полн'!C12</f>
        <v>28399.252500000002</v>
      </c>
      <c r="D18" s="419">
        <f>'2011 полн'!D12</f>
        <v>186.4302</v>
      </c>
      <c r="E18" s="413">
        <f>'2011 полн'!U12</f>
        <v>28446.21</v>
      </c>
      <c r="F18" s="413">
        <f>'2011 полн'!V12</f>
        <v>0</v>
      </c>
      <c r="G18" s="420">
        <f>'2011 полн'!AF12</f>
        <v>30590.32</v>
      </c>
      <c r="H18" s="420">
        <f>'2011 полн'!AG12</f>
        <v>30776.7502</v>
      </c>
      <c r="I18" s="420">
        <f>'2011 полн'!AJ12</f>
        <v>100</v>
      </c>
      <c r="J18" s="420">
        <f>'2011 полн'!AK12</f>
        <v>2225.4385</v>
      </c>
      <c r="K18" s="420">
        <f>'2011 полн'!AL12</f>
        <v>664.3100000000001</v>
      </c>
      <c r="L18" s="413">
        <f>'2011 полн'!AM12+'2011 полн'!AN12+'2011 полн'!AO12+'2011 полн'!AP12+'2011 полн'!AQ12+'2011 полн'!AR12+'2011 полн'!AS12+'2011 полн'!AT12+'2011 полн'!AX12</f>
        <v>23622.085500000005</v>
      </c>
      <c r="M18" s="414">
        <f>'2011 полн'!AU12+'2011 полн'!AV12+'2011 полн'!AW12</f>
        <v>4428</v>
      </c>
      <c r="N18" s="421">
        <f>'2011 полн'!BD12</f>
        <v>25</v>
      </c>
      <c r="O18" s="421">
        <f t="shared" si="0"/>
        <v>30964.834000000006</v>
      </c>
      <c r="P18" s="417">
        <f t="shared" si="1"/>
        <v>-88.08380000000761</v>
      </c>
      <c r="Q18" s="417">
        <f>'2011 полн'!BG12</f>
        <v>2144.1100000000006</v>
      </c>
      <c r="R18" s="189"/>
      <c r="S18" s="189"/>
    </row>
    <row r="19" spans="1:19" ht="12.75">
      <c r="A19" s="276" t="s">
        <v>48</v>
      </c>
      <c r="B19" s="418">
        <f>'2011 полн'!B13</f>
        <v>3321.55</v>
      </c>
      <c r="C19" s="418">
        <f>'2011 полн'!C13</f>
        <v>28399.252500000002</v>
      </c>
      <c r="D19" s="419">
        <f>'2011 полн'!D13</f>
        <v>186.4302</v>
      </c>
      <c r="E19" s="413">
        <f>'2011 полн'!U13</f>
        <v>28419.910000000003</v>
      </c>
      <c r="F19" s="413">
        <f>'2011 полн'!V13</f>
        <v>0</v>
      </c>
      <c r="G19" s="420">
        <f>'2011 полн'!AF13</f>
        <v>28691.84</v>
      </c>
      <c r="H19" s="420">
        <f>'2011 полн'!AG13</f>
        <v>28878.2702</v>
      </c>
      <c r="I19" s="420">
        <f>'2011 полн'!AJ13</f>
        <v>100</v>
      </c>
      <c r="J19" s="420">
        <f>'2011 полн'!AK13</f>
        <v>2225.4385</v>
      </c>
      <c r="K19" s="420">
        <f>'2011 полн'!AL13</f>
        <v>664.3100000000001</v>
      </c>
      <c r="L19" s="413">
        <f>'2011 полн'!AM13+'2011 полн'!AN13+'2011 полн'!AO13+'2011 полн'!AP13+'2011 полн'!AQ13+'2011 полн'!AR13+'2011 полн'!AS13+'2011 полн'!AT13+'2011 полн'!AX13</f>
        <v>20007.803000000004</v>
      </c>
      <c r="M19" s="414">
        <f>'2011 полн'!AU13+'2011 полн'!AV13+'2011 полн'!AW13</f>
        <v>4952</v>
      </c>
      <c r="N19" s="421">
        <f>'2011 полн'!BD13</f>
        <v>25</v>
      </c>
      <c r="O19" s="421">
        <f t="shared" si="0"/>
        <v>27874.551500000005</v>
      </c>
      <c r="P19" s="417">
        <f t="shared" si="1"/>
        <v>1103.718699999994</v>
      </c>
      <c r="Q19" s="417">
        <f>'2011 полн'!BG13</f>
        <v>271.92999999999665</v>
      </c>
      <c r="R19" s="189"/>
      <c r="S19" s="189"/>
    </row>
    <row r="20" spans="1:19" ht="12.75">
      <c r="A20" s="276" t="s">
        <v>49</v>
      </c>
      <c r="B20" s="418">
        <f>'2011 полн'!B14</f>
        <v>3321.55</v>
      </c>
      <c r="C20" s="418">
        <f>'2011 полн'!C14</f>
        <v>28399.252500000002</v>
      </c>
      <c r="D20" s="419">
        <f>'2011 полн'!D14</f>
        <v>186.4302</v>
      </c>
      <c r="E20" s="413">
        <f>'2011 полн'!U14</f>
        <v>28430.489999999998</v>
      </c>
      <c r="F20" s="413">
        <f>'2011 полн'!V14</f>
        <v>0</v>
      </c>
      <c r="G20" s="420">
        <f>'2011 полн'!AF14</f>
        <v>19034.320000000003</v>
      </c>
      <c r="H20" s="420">
        <f>'2011 полн'!AG14</f>
        <v>19220.750200000002</v>
      </c>
      <c r="I20" s="420">
        <f>'2011 полн'!AJ14</f>
        <v>100</v>
      </c>
      <c r="J20" s="420">
        <f>'2011 полн'!AK14</f>
        <v>2225.4385</v>
      </c>
      <c r="K20" s="420">
        <f>'2011 полн'!AL14</f>
        <v>664.3100000000001</v>
      </c>
      <c r="L20" s="413">
        <f>'2011 полн'!AM14+'2011 полн'!AN14+'2011 полн'!AO14+'2011 полн'!AP14+'2011 полн'!AQ14+'2011 полн'!AR14+'2011 полн'!AS14+'2011 полн'!AT14+'2011 полн'!AX14</f>
        <v>20821.553000000004</v>
      </c>
      <c r="M20" s="414">
        <f>'2011 полн'!AU14+'2011 полн'!AV14+'2011 полн'!AW14</f>
        <v>15995</v>
      </c>
      <c r="N20" s="421">
        <f>'2011 полн'!BD14</f>
        <v>25</v>
      </c>
      <c r="O20" s="421">
        <f t="shared" si="0"/>
        <v>39731.3015</v>
      </c>
      <c r="P20" s="417">
        <f t="shared" si="1"/>
        <v>-20410.5513</v>
      </c>
      <c r="Q20" s="417">
        <f>'2011 полн'!BG14</f>
        <v>-9396.169999999995</v>
      </c>
      <c r="R20" s="189"/>
      <c r="S20" s="189"/>
    </row>
    <row r="21" spans="1:19" ht="12.75">
      <c r="A21" s="276" t="s">
        <v>50</v>
      </c>
      <c r="B21" s="418">
        <f>'2011 полн'!B15</f>
        <v>3321.55</v>
      </c>
      <c r="C21" s="418">
        <f>'2011 полн'!C15</f>
        <v>28399.252500000002</v>
      </c>
      <c r="D21" s="419">
        <f>'2011 полн'!D15</f>
        <v>186.4302</v>
      </c>
      <c r="E21" s="413">
        <f>'2011 полн'!U15</f>
        <v>28424.129999999997</v>
      </c>
      <c r="F21" s="413">
        <f>'2011 полн'!V15</f>
        <v>0</v>
      </c>
      <c r="G21" s="420">
        <f>'2011 полн'!AF15</f>
        <v>27510.24</v>
      </c>
      <c r="H21" s="420">
        <f>'2011 полн'!AG15</f>
        <v>27696.6702</v>
      </c>
      <c r="I21" s="420">
        <f>'2011 полн'!AJ15</f>
        <v>100</v>
      </c>
      <c r="J21" s="420">
        <f>'2011 полн'!AK15</f>
        <v>2225.4385</v>
      </c>
      <c r="K21" s="420">
        <f>'2011 полн'!AL15</f>
        <v>664.3100000000001</v>
      </c>
      <c r="L21" s="413">
        <f>'2011 полн'!AM15+'2011 полн'!AN15+'2011 полн'!AO15+'2011 полн'!AP15+'2011 полн'!AQ15+'2011 полн'!AR15+'2011 полн'!AS15+'2011 полн'!AT15+'2011 полн'!AX15</f>
        <v>19487.303000000004</v>
      </c>
      <c r="M21" s="414">
        <f>'2011 полн'!AU15+'2011 полн'!AV15+'2011 полн'!AW15</f>
        <v>16052</v>
      </c>
      <c r="N21" s="421">
        <f>'2011 полн'!BD15</f>
        <v>25</v>
      </c>
      <c r="O21" s="421">
        <f t="shared" si="0"/>
        <v>38454.0515</v>
      </c>
      <c r="P21" s="417">
        <f t="shared" si="1"/>
        <v>-10657.381300000001</v>
      </c>
      <c r="Q21" s="417">
        <f>'2011 полн'!BG15</f>
        <v>-913.8899999999958</v>
      </c>
      <c r="R21" s="189"/>
      <c r="S21" s="189"/>
    </row>
    <row r="22" spans="1:17" ht="12.75">
      <c r="A22" s="276" t="s">
        <v>51</v>
      </c>
      <c r="B22" s="418">
        <f>'2011 полн'!B16</f>
        <v>3321.55</v>
      </c>
      <c r="C22" s="418">
        <f>'2011 полн'!C16</f>
        <v>28399.252500000002</v>
      </c>
      <c r="D22" s="419">
        <f>'2011 полн'!D16</f>
        <v>186.4302</v>
      </c>
      <c r="E22" s="413">
        <f>'2011 полн'!U16</f>
        <v>28432.25</v>
      </c>
      <c r="F22" s="413">
        <f>'2011 полн'!V16</f>
        <v>0</v>
      </c>
      <c r="G22" s="420">
        <f>'2011 полн'!AF16</f>
        <v>23105.190000000002</v>
      </c>
      <c r="H22" s="420">
        <f>'2011 полн'!AG16</f>
        <v>23291.6202</v>
      </c>
      <c r="I22" s="420">
        <f>'2011 полн'!AJ16</f>
        <v>100</v>
      </c>
      <c r="J22" s="420">
        <f>'2011 полн'!AK16</f>
        <v>2225.4385</v>
      </c>
      <c r="K22" s="420">
        <f>'2011 полн'!AL16</f>
        <v>664.3100000000001</v>
      </c>
      <c r="L22" s="413">
        <f>'2011 полн'!AM16+'2011 полн'!AN16+'2011 полн'!AO16+'2011 полн'!AP16+'2011 полн'!AQ16+'2011 полн'!AR16+'2011 полн'!AS16+'2011 полн'!AT16+'2011 полн'!AX16</f>
        <v>19616.863000000005</v>
      </c>
      <c r="M22" s="414">
        <f>'2011 полн'!AU16+'2011 полн'!AV16+'2011 полн'!AW16</f>
        <v>36072</v>
      </c>
      <c r="N22" s="421">
        <f>'2011 полн'!BD16</f>
        <v>25</v>
      </c>
      <c r="O22" s="421">
        <f t="shared" si="0"/>
        <v>58603.611500000006</v>
      </c>
      <c r="P22" s="417">
        <f t="shared" si="1"/>
        <v>-35211.99130000001</v>
      </c>
      <c r="Q22" s="417">
        <f>'2011 полн'!BG16</f>
        <v>-5327.059999999998</v>
      </c>
    </row>
    <row r="23" spans="1:17" ht="12.75">
      <c r="A23" s="276" t="s">
        <v>52</v>
      </c>
      <c r="B23" s="418">
        <f>'2011 полн'!B17</f>
        <v>3321.55</v>
      </c>
      <c r="C23" s="418">
        <f>'2011 полн'!C17</f>
        <v>28399.252500000002</v>
      </c>
      <c r="D23" s="419">
        <f>'2011 полн'!D17</f>
        <v>186.4302</v>
      </c>
      <c r="E23" s="413">
        <f>'2011 полн'!U17</f>
        <v>28443</v>
      </c>
      <c r="F23" s="413">
        <f>'2011 полн'!V17</f>
        <v>0</v>
      </c>
      <c r="G23" s="420">
        <f>'2011 полн'!AF17</f>
        <v>32231.62</v>
      </c>
      <c r="H23" s="420">
        <f>'2011 полн'!AG17</f>
        <v>32418.050199999998</v>
      </c>
      <c r="I23" s="420">
        <f>'2011 полн'!AJ17</f>
        <v>214</v>
      </c>
      <c r="J23" s="420">
        <f>'2011 полн'!AK17</f>
        <v>2225.4385</v>
      </c>
      <c r="K23" s="420">
        <f>'2011 полн'!AL17</f>
        <v>664.3100000000001</v>
      </c>
      <c r="L23" s="413">
        <f>'2011 полн'!AM17+'2011 полн'!AN17+'2011 полн'!AO17+'2011 полн'!AP17+'2011 полн'!AQ17+'2011 полн'!AR17+'2011 полн'!AS17+'2011 полн'!AT17+'2011 полн'!AX17</f>
        <v>28557.613000000005</v>
      </c>
      <c r="M23" s="414">
        <f>'2011 полн'!AU17+'2011 полн'!AV17+'2011 полн'!AW17</f>
        <v>832</v>
      </c>
      <c r="N23" s="421">
        <f>'2011 полн'!BD17</f>
        <v>53.5</v>
      </c>
      <c r="O23" s="421">
        <f t="shared" si="0"/>
        <v>32332.861500000006</v>
      </c>
      <c r="P23" s="417">
        <f t="shared" si="1"/>
        <v>299.1886999999915</v>
      </c>
      <c r="Q23" s="417">
        <f>'2011 полн'!BG17</f>
        <v>3788.619999999999</v>
      </c>
    </row>
    <row r="24" spans="1:17" ht="12.75">
      <c r="A24" s="276" t="s">
        <v>53</v>
      </c>
      <c r="B24" s="418">
        <f>'2011 полн'!B18</f>
        <v>3321.55</v>
      </c>
      <c r="C24" s="418">
        <f>'2011 полн'!C18</f>
        <v>28399.252500000002</v>
      </c>
      <c r="D24" s="419">
        <f>'2011 полн'!D18</f>
        <v>186.4302</v>
      </c>
      <c r="E24" s="413">
        <f>'2011 полн'!U18</f>
        <v>29059.570000000003</v>
      </c>
      <c r="F24" s="413">
        <f>'2011 полн'!V18</f>
        <v>0</v>
      </c>
      <c r="G24" s="420">
        <f>'2011 полн'!AF18</f>
        <v>19080.15</v>
      </c>
      <c r="H24" s="420">
        <f>'2011 полн'!AG18</f>
        <v>19266.5802</v>
      </c>
      <c r="I24" s="420">
        <f>'2011 полн'!AJ18</f>
        <v>214</v>
      </c>
      <c r="J24" s="420">
        <f>'2011 полн'!AK18</f>
        <v>2225.4385</v>
      </c>
      <c r="K24" s="420">
        <f>'2011 полн'!AL18</f>
        <v>664.3100000000001</v>
      </c>
      <c r="L24" s="413">
        <f>'2011 полн'!AM18+'2011 полн'!AN18+'2011 полн'!AO18+'2011 полн'!AP18+'2011 полн'!AQ18+'2011 полн'!AR18+'2011 полн'!AS18+'2011 полн'!AT18+'2011 полн'!AX18</f>
        <v>19660.803000000004</v>
      </c>
      <c r="M24" s="414">
        <f>'2011 полн'!AU18+'2011 полн'!AV18+'2011 полн'!AW18</f>
        <v>1978</v>
      </c>
      <c r="N24" s="421">
        <f>'2011 полн'!BD18</f>
        <v>53.5</v>
      </c>
      <c r="O24" s="421">
        <f t="shared" si="0"/>
        <v>24582.051500000005</v>
      </c>
      <c r="P24" s="417">
        <f t="shared" si="1"/>
        <v>-5101.471300000005</v>
      </c>
      <c r="Q24" s="417">
        <f>'2011 полн'!BG18</f>
        <v>-9979.420000000002</v>
      </c>
    </row>
    <row r="25" spans="1:17" ht="12.75">
      <c r="A25" s="276" t="s">
        <v>41</v>
      </c>
      <c r="B25" s="418">
        <f>'2011 полн'!B19</f>
        <v>3321.55</v>
      </c>
      <c r="C25" s="418">
        <f>'2011 полн'!C19</f>
        <v>28399.252500000002</v>
      </c>
      <c r="D25" s="419">
        <f>'2011 полн'!D19</f>
        <v>186.4302</v>
      </c>
      <c r="E25" s="413">
        <f>'2011 полн'!U19</f>
        <v>29368.379999999997</v>
      </c>
      <c r="F25" s="413">
        <f>'2011 полн'!V19</f>
        <v>0</v>
      </c>
      <c r="G25" s="420">
        <f>'2011 полн'!AF19</f>
        <v>31577.38</v>
      </c>
      <c r="H25" s="420">
        <f>'2011 полн'!AG19</f>
        <v>31763.8102</v>
      </c>
      <c r="I25" s="420">
        <f>'2011 полн'!AJ19</f>
        <v>214</v>
      </c>
      <c r="J25" s="420">
        <f>'2011 полн'!AK19</f>
        <v>2225.4385</v>
      </c>
      <c r="K25" s="420">
        <f>'2011 полн'!AL19</f>
        <v>664.3100000000001</v>
      </c>
      <c r="L25" s="413">
        <f>'2011 полн'!AM19+'2011 полн'!AN19+'2011 полн'!AO19+'2011 полн'!AP19+'2011 полн'!AQ19+'2011 полн'!AR19+'2011 полн'!AS19+'2011 полн'!AT19+'2011 полн'!AX19</f>
        <v>25090.085500000005</v>
      </c>
      <c r="M25" s="414">
        <f>'2011 полн'!AU19+'2011 полн'!AV19+'2011 полн'!AW19</f>
        <v>0</v>
      </c>
      <c r="N25" s="421">
        <f>'2011 полн'!BD19</f>
        <v>53.5</v>
      </c>
      <c r="O25" s="421">
        <f t="shared" si="0"/>
        <v>28033.334000000006</v>
      </c>
      <c r="P25" s="417">
        <f t="shared" si="1"/>
        <v>3944.4761999999937</v>
      </c>
      <c r="Q25" s="417">
        <f>'2011 полн'!BG19</f>
        <v>2209.0000000000036</v>
      </c>
    </row>
    <row r="26" spans="1:17" ht="12.75">
      <c r="A26" s="276" t="s">
        <v>42</v>
      </c>
      <c r="B26" s="418">
        <f>'2011 полн'!B20</f>
        <v>3321.55</v>
      </c>
      <c r="C26" s="418">
        <f>'2011 полн'!C20</f>
        <v>28399.252500000002</v>
      </c>
      <c r="D26" s="419">
        <f>'2011 полн'!D20</f>
        <v>186.4302</v>
      </c>
      <c r="E26" s="413">
        <f>'2011 полн'!U20</f>
        <v>29028.76</v>
      </c>
      <c r="F26" s="413">
        <f>'2011 полн'!V20</f>
        <v>0</v>
      </c>
      <c r="G26" s="420">
        <f>'2011 полн'!AF20</f>
        <v>31417.489999999998</v>
      </c>
      <c r="H26" s="420">
        <f>'2011 полн'!AG20</f>
        <v>31603.920199999997</v>
      </c>
      <c r="I26" s="420">
        <f>'2011 полн'!AJ20</f>
        <v>214</v>
      </c>
      <c r="J26" s="420">
        <f>'2011 полн'!AK20</f>
        <v>2225.4385</v>
      </c>
      <c r="K26" s="420">
        <f>'2011 полн'!AL20</f>
        <v>664.3100000000001</v>
      </c>
      <c r="L26" s="413">
        <f>'2011 полн'!AM20+'2011 полн'!AN20+'2011 полн'!AO20+'2011 полн'!AP20+'2011 полн'!AQ20+'2011 полн'!AR20+'2011 полн'!AS20+'2011 полн'!AT20+'2011 полн'!AX20</f>
        <v>23372.865500000004</v>
      </c>
      <c r="M26" s="414">
        <f>'2011 полн'!AU20+'2011 полн'!AV20+'2011 полн'!AW20</f>
        <v>2836</v>
      </c>
      <c r="N26" s="421">
        <f>'2011 полн'!BD20</f>
        <v>53.5</v>
      </c>
      <c r="O26" s="421">
        <f t="shared" si="0"/>
        <v>29152.114000000005</v>
      </c>
      <c r="P26" s="417">
        <f t="shared" si="1"/>
        <v>2665.806199999992</v>
      </c>
      <c r="Q26" s="417">
        <f>'2011 полн'!BG20</f>
        <v>2388.7299999999996</v>
      </c>
    </row>
    <row r="27" spans="1:17" ht="13.5" thickBot="1">
      <c r="A27" s="422" t="s">
        <v>43</v>
      </c>
      <c r="B27" s="418">
        <f>'2011 полн'!B21</f>
        <v>3321.55</v>
      </c>
      <c r="C27" s="418">
        <f>'2011 полн'!C21</f>
        <v>28399.252500000002</v>
      </c>
      <c r="D27" s="419">
        <f>'2011 полн'!D21</f>
        <v>186.4302</v>
      </c>
      <c r="E27" s="413">
        <f>'2011 полн'!U21</f>
        <v>29029.7</v>
      </c>
      <c r="F27" s="413">
        <f>'2011 полн'!V21</f>
        <v>0</v>
      </c>
      <c r="G27" s="420">
        <f>'2011 полн'!AF21</f>
        <v>31770.26</v>
      </c>
      <c r="H27" s="420">
        <f>'2011 полн'!AG21</f>
        <v>31956.690199999997</v>
      </c>
      <c r="I27" s="420">
        <f>'2011 полн'!AJ21</f>
        <v>214</v>
      </c>
      <c r="J27" s="420">
        <f>'2011 полн'!AK21</f>
        <v>2225.4385</v>
      </c>
      <c r="K27" s="420">
        <f>'2011 полн'!AL21</f>
        <v>664.3100000000001</v>
      </c>
      <c r="L27" s="413">
        <f>'2011 полн'!AM21+'2011 полн'!AN21+'2011 полн'!AO21+'2011 полн'!AP21+'2011 полн'!AQ21+'2011 полн'!AR21+'2011 полн'!AS21+'2011 полн'!AT21+'2011 полн'!AX21</f>
        <v>23290.085500000005</v>
      </c>
      <c r="M27" s="414">
        <f>'2011 полн'!AU21+'2011 полн'!AV21+'2011 полн'!AW21</f>
        <v>0</v>
      </c>
      <c r="N27" s="421">
        <f>'2011 полн'!BD21</f>
        <v>53.5</v>
      </c>
      <c r="O27" s="421">
        <f t="shared" si="0"/>
        <v>26233.334000000006</v>
      </c>
      <c r="P27" s="417">
        <f t="shared" si="1"/>
        <v>5937.356199999991</v>
      </c>
      <c r="Q27" s="417">
        <f>'2011 полн'!BG21</f>
        <v>2740.5599999999977</v>
      </c>
    </row>
    <row r="28" spans="1:19" s="27" customFormat="1" ht="13.5" thickBot="1">
      <c r="A28" s="41" t="s">
        <v>5</v>
      </c>
      <c r="B28" s="42"/>
      <c r="C28" s="423">
        <f aca="true" t="shared" si="2" ref="C28:P28">SUM(C16:C27)</f>
        <v>340792.74</v>
      </c>
      <c r="D28" s="423">
        <f t="shared" si="2"/>
        <v>2237.1624</v>
      </c>
      <c r="E28" s="423">
        <f t="shared" si="2"/>
        <v>344005.29000000004</v>
      </c>
      <c r="F28" s="423">
        <f t="shared" si="2"/>
        <v>0</v>
      </c>
      <c r="G28" s="423">
        <f t="shared" si="2"/>
        <v>319101.17</v>
      </c>
      <c r="H28" s="423">
        <f t="shared" si="2"/>
        <v>321338.3324</v>
      </c>
      <c r="I28" s="423">
        <f t="shared" si="2"/>
        <v>1770</v>
      </c>
      <c r="J28" s="423">
        <f t="shared" si="2"/>
        <v>26705.396</v>
      </c>
      <c r="K28" s="423">
        <f t="shared" si="2"/>
        <v>7971.760000000002</v>
      </c>
      <c r="L28" s="423">
        <f t="shared" si="2"/>
        <v>270234.2530000001</v>
      </c>
      <c r="M28" s="423">
        <f t="shared" si="2"/>
        <v>87613</v>
      </c>
      <c r="N28" s="423">
        <f t="shared" si="2"/>
        <v>442.5</v>
      </c>
      <c r="O28" s="423">
        <f t="shared" si="2"/>
        <v>392966.9090000001</v>
      </c>
      <c r="P28" s="423">
        <f t="shared" si="2"/>
        <v>-69858.57660000006</v>
      </c>
      <c r="Q28" s="423">
        <f>SUM(Q16:Q27)</f>
        <v>-24904.11999999999</v>
      </c>
      <c r="R28" s="45"/>
      <c r="S28" s="45"/>
    </row>
    <row r="29" spans="1:17" ht="13.5" thickBot="1">
      <c r="A29" s="401" t="s">
        <v>68</v>
      </c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3"/>
      <c r="P29" s="404"/>
      <c r="Q29" s="404"/>
    </row>
    <row r="30" spans="1:19" s="27" customFormat="1" ht="13.5" thickBot="1">
      <c r="A30" s="48" t="s">
        <v>54</v>
      </c>
      <c r="B30" s="49"/>
      <c r="C30" s="405">
        <f aca="true" t="shared" si="3" ref="C30:Q30">C28+C14</f>
        <v>1115804.1950000003</v>
      </c>
      <c r="D30" s="405">
        <f t="shared" si="3"/>
        <v>135704.32324990004</v>
      </c>
      <c r="E30" s="405">
        <f t="shared" si="3"/>
        <v>912955.4000000001</v>
      </c>
      <c r="F30" s="405">
        <f t="shared" si="3"/>
        <v>109977.35</v>
      </c>
      <c r="G30" s="405">
        <f>G28+G14</f>
        <v>846324.69</v>
      </c>
      <c r="H30" s="405">
        <f t="shared" si="3"/>
        <v>1092006.3632499</v>
      </c>
      <c r="I30" s="405">
        <f t="shared" si="3"/>
        <v>2070</v>
      </c>
      <c r="J30" s="405">
        <f t="shared" si="3"/>
        <v>79667.42599999999</v>
      </c>
      <c r="K30" s="405">
        <f t="shared" si="3"/>
        <v>25718.337016500005</v>
      </c>
      <c r="L30" s="405">
        <f t="shared" si="3"/>
        <v>711297.633628827</v>
      </c>
      <c r="M30" s="405">
        <f t="shared" si="3"/>
        <v>182058.3532</v>
      </c>
      <c r="N30" s="405">
        <f t="shared" si="3"/>
        <v>517.5</v>
      </c>
      <c r="O30" s="405">
        <f t="shared" si="3"/>
        <v>999259.2498453271</v>
      </c>
      <c r="P30" s="405">
        <f t="shared" si="3"/>
        <v>94817.11340457291</v>
      </c>
      <c r="Q30" s="405">
        <f t="shared" si="3"/>
        <v>-66630.70999999999</v>
      </c>
      <c r="R30" s="50"/>
      <c r="S30" s="45"/>
    </row>
    <row r="32" spans="1:4" ht="12.75">
      <c r="A32" s="27" t="s">
        <v>69</v>
      </c>
      <c r="D32" s="424" t="s">
        <v>124</v>
      </c>
    </row>
    <row r="33" spans="1:4" ht="12.75">
      <c r="A33" s="273" t="s">
        <v>70</v>
      </c>
      <c r="B33" s="273" t="s">
        <v>71</v>
      </c>
      <c r="C33" s="425" t="s">
        <v>72</v>
      </c>
      <c r="D33" s="426"/>
    </row>
    <row r="34" spans="1:4" ht="12.75">
      <c r="A34" s="427">
        <v>286637.21</v>
      </c>
      <c r="B34" s="99">
        <v>161725.34</v>
      </c>
      <c r="C34" s="312">
        <f>A34-B34</f>
        <v>124911.87000000002</v>
      </c>
      <c r="D34" s="428"/>
    </row>
    <row r="35" ht="12.75">
      <c r="A35" s="51"/>
    </row>
    <row r="36" spans="1:7" ht="12.75">
      <c r="A36" s="190" t="s">
        <v>73</v>
      </c>
      <c r="G36" s="190" t="s">
        <v>74</v>
      </c>
    </row>
    <row r="37" ht="12.75">
      <c r="A37" s="189"/>
    </row>
    <row r="38" ht="12.75">
      <c r="A38" s="189"/>
    </row>
    <row r="39" ht="12.75">
      <c r="A39" s="190" t="s">
        <v>125</v>
      </c>
    </row>
    <row r="40" ht="12.75">
      <c r="A40" s="190" t="s">
        <v>75</v>
      </c>
    </row>
  </sheetData>
  <sheetProtection/>
  <mergeCells count="27">
    <mergeCell ref="N10:N11"/>
    <mergeCell ref="O10:O11"/>
    <mergeCell ref="A13:N13"/>
    <mergeCell ref="A29:N29"/>
    <mergeCell ref="C33:D33"/>
    <mergeCell ref="J8:O9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2010-11-01T11:16:48Z</cp:lastPrinted>
  <dcterms:created xsi:type="dcterms:W3CDTF">2010-04-03T04:08:20Z</dcterms:created>
  <dcterms:modified xsi:type="dcterms:W3CDTF">2012-05-25T03:03:46Z</dcterms:modified>
  <cp:category/>
  <cp:version/>
  <cp:contentType/>
  <cp:contentStatus/>
</cp:coreProperties>
</file>