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<sst xmlns="http://schemas.openxmlformats.org/spreadsheetml/2006/main" count="178" uniqueCount="94">
  <si>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</si>
  <si>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</si>
  <si>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</si>
  <si>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</si>
  <si>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</si>
  <si>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</si>
  <si>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</si>
  <si>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</si>
  <si>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</si>
  <si>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</si>
  <si>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</si>
  <si>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</si>
  <si>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</si>
  <si>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</si>
  <si>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</si>
  <si>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</si>
  <si>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</si>
  <si>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</si>
  <si>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</si>
  <si>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</si>
  <si>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</si>
  <si>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</si>
  <si>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</si>
  <si>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</si>
  <si>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</si>
  <si>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</si>
  <si>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</si>
  <si>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</si>
  <si>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</si>
  <si>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</si>
  <si>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</si>
  <si>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</si>
  <si>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</si>
  <si>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</si>
  <si>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</si>
  <si>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</si>
  <si>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</si>
  <si>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</si>
  <si>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</si>
  <si>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</si>
  <si>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</si>
  <si>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</si>
  <si>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</si>
  <si>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</si>
  <si>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</si>
  <si>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</si>
  <si>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</si>
  <si>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</si>
  <si>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</si>
  <si>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</si>
  <si>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</si>
  <si>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</si>
  <si>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</si>
  <si>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</si>
  <si>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</si>
  <si>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</si>
  <si>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</si>
  <si>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</si>
  <si>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</si>
  <si>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</si>
  <si>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</si>
  <si>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</si>
  <si>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</si>
  <si>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</si>
  <si>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</si>
  <si>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</si>
  <si>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</si>
  <si>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</si>
  <si>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</si>
  <si>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</si>
  <si>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</si>
  <si>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</si>
  <si>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</si>
  <si>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</si>
  <si>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</si>
  <si>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</si>
  <si>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</si>
  <si>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</si>
  <si>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</si>
  <si>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</si>
  <si>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</si>
  <si>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</si>
  <si>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</si>
  <si>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</si>
  <si>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</si>
  <si>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</si>
  <si>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</si>
  <si>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</si>
  <si>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</si>
  <si>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Макаренко, д.2</t>
  </si>
  <si>
    <t>Выписка по лицевому счету по адресу г. Таштагол ул. Макаренко, д.2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</si>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</sst>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0" borderId="0">
      <alignment horizontal="left" vertical="center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/>
    </xf>
    <xf numFmtId="4" fontId="1" fillId="24" borderId="17" xfId="0" applyNumberFormat="1" applyFont="1" applyFill="1" applyBorder="1" applyAlignment="1">
      <alignment horizontal="right"/>
    </xf>
    <xf numFmtId="0" fontId="1" fillId="22" borderId="11" xfId="0" applyFont="1" applyFill="1" applyBorder="1" applyAlignment="1">
      <alignment horizontal="center" vertical="center" wrapText="1"/>
    </xf>
    <xf numFmtId="4" fontId="0" fillId="22" borderId="11" xfId="0" applyNumberFormat="1" applyFont="1" applyFill="1" applyBorder="1" applyAlignment="1">
      <alignment horizontal="center"/>
    </xf>
    <xf numFmtId="4" fontId="1" fillId="22" borderId="17" xfId="0" applyNumberFormat="1" applyFont="1" applyFill="1" applyBorder="1" applyAlignment="1">
      <alignment horizontal="right"/>
    </xf>
    <xf numFmtId="4" fontId="0" fillId="22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vertical="center" wrapText="1"/>
    </xf>
    <xf numFmtId="4" fontId="1" fillId="24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0" fontId="0" fillId="22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22" borderId="13" xfId="33" applyNumberFormat="1" applyFont="1" applyFill="1" applyBorder="1" applyAlignment="1">
      <alignment horizontal="center" vertical="center" wrapText="1"/>
      <protection/>
    </xf>
    <xf numFmtId="4" fontId="0" fillId="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22" borderId="31" xfId="0" applyNumberFormat="1" applyFont="1" applyFill="1" applyBorder="1" applyAlignment="1">
      <alignment/>
    </xf>
    <xf numFmtId="4" fontId="0" fillId="22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22" borderId="2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4" fontId="2" fillId="22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25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27" fillId="0" borderId="20" xfId="0" applyNumberFormat="1" applyFont="1" applyFill="1" applyBorder="1" applyAlignment="1">
      <alignment/>
    </xf>
    <xf numFmtId="4" fontId="0" fillId="7" borderId="38" xfId="0" applyNumberFormat="1" applyFont="1" applyFill="1" applyBorder="1" applyAlignment="1">
      <alignment horizontal="center"/>
    </xf>
    <xf numFmtId="4" fontId="0" fillId="7" borderId="11" xfId="0" applyNumberFormat="1" applyFont="1" applyFill="1" applyBorder="1" applyAlignment="1">
      <alignment horizontal="center"/>
    </xf>
    <xf numFmtId="4" fontId="0" fillId="7" borderId="2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24" borderId="27" xfId="0" applyNumberFormat="1" applyFont="1" applyFill="1" applyBorder="1" applyAlignment="1">
      <alignment/>
    </xf>
    <xf numFmtId="2" fontId="1" fillId="22" borderId="41" xfId="0" applyNumberFormat="1" applyFont="1" applyFill="1" applyBorder="1" applyAlignment="1">
      <alignment horizontal="center" vertical="center" wrapText="1"/>
    </xf>
    <xf numFmtId="2" fontId="1" fillId="22" borderId="40" xfId="0" applyNumberFormat="1" applyFont="1" applyFill="1" applyBorder="1" applyAlignment="1">
      <alignment horizontal="center" vertical="center" wrapText="1"/>
    </xf>
    <xf numFmtId="0" fontId="1" fillId="22" borderId="42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2" fontId="1" fillId="22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24" borderId="46" xfId="0" applyNumberFormat="1" applyFont="1" applyFill="1" applyBorder="1" applyAlignment="1">
      <alignment horizontal="center" vertical="center" wrapText="1"/>
    </xf>
    <xf numFmtId="2" fontId="1" fillId="24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textRotation="90"/>
    </xf>
    <xf numFmtId="0" fontId="1" fillId="24" borderId="17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2" fontId="1" fillId="22" borderId="51" xfId="0" applyNumberFormat="1" applyFont="1" applyFill="1" applyBorder="1" applyAlignment="1">
      <alignment horizontal="center" vertical="center" wrapText="1"/>
    </xf>
    <xf numFmtId="2" fontId="1" fillId="22" borderId="52" xfId="0" applyNumberFormat="1" applyFont="1" applyFill="1" applyBorder="1" applyAlignment="1">
      <alignment horizontal="center" vertical="center" wrapText="1"/>
    </xf>
    <xf numFmtId="2" fontId="1" fillId="22" borderId="53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7" xfId="0" applyNumberFormat="1" applyFont="1" applyFill="1" applyBorder="1" applyAlignment="1">
      <alignment horizontal="center" vertical="center" wrapText="1"/>
    </xf>
    <xf numFmtId="2" fontId="1" fillId="24" borderId="43" xfId="0" applyNumberFormat="1" applyFont="1" applyFill="1" applyBorder="1" applyAlignment="1">
      <alignment horizontal="center" vertical="center" wrapText="1"/>
    </xf>
    <xf numFmtId="2" fontId="1" fillId="24" borderId="40" xfId="0" applyNumberFormat="1" applyFont="1" applyFill="1" applyBorder="1" applyAlignment="1">
      <alignment horizontal="center" vertical="center" wrapText="1"/>
    </xf>
    <xf numFmtId="2" fontId="24" fillId="22" borderId="43" xfId="0" applyNumberFormat="1" applyFont="1" applyFill="1" applyBorder="1" applyAlignment="1">
      <alignment horizontal="center" vertical="center" wrapText="1"/>
    </xf>
    <xf numFmtId="2" fontId="24" fillId="22" borderId="41" xfId="0" applyNumberFormat="1" applyFont="1" applyFill="1" applyBorder="1" applyAlignment="1">
      <alignment horizontal="center" vertical="center" wrapText="1"/>
    </xf>
    <xf numFmtId="2" fontId="24" fillId="22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50" xfId="0" applyNumberFormat="1" applyFont="1" applyFill="1" applyBorder="1" applyAlignment="1">
      <alignment horizontal="center" vertical="center" wrapText="1"/>
    </xf>
    <xf numFmtId="2" fontId="1" fillId="4" borderId="43" xfId="0" applyNumberFormat="1" applyFont="1" applyFill="1" applyBorder="1" applyAlignment="1">
      <alignment horizontal="center" vertical="center" wrapText="1"/>
    </xf>
    <xf numFmtId="2" fontId="1" fillId="4" borderId="40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6">
          <cell r="I46">
            <v>1340.2676000000001</v>
          </cell>
        </row>
      </sheetData>
      <sheetData sheetId="1">
        <row r="46">
          <cell r="I46">
            <v>1340.2676000000001</v>
          </cell>
          <cell r="O46">
            <v>638.8163999999999</v>
          </cell>
        </row>
      </sheetData>
      <sheetData sheetId="2">
        <row r="46">
          <cell r="I46">
            <v>1340.2676000000001</v>
          </cell>
          <cell r="O46">
            <v>638.8163999999999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5">
          <cell r="I45">
            <v>1340.2676000000001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5">
          <cell r="O45">
            <v>633.3559971999999</v>
          </cell>
        </row>
      </sheetData>
      <sheetData sheetId="7">
        <row r="45">
          <cell r="O45">
            <v>633.0682211600001</v>
          </cell>
        </row>
      </sheetData>
      <sheetData sheetId="8">
        <row r="45">
          <cell r="O45">
            <v>632.972473364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6">
          <cell r="O46">
            <v>637.9233200000001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4">
          <cell r="I44">
            <v>1340.2676000000001</v>
          </cell>
        </row>
      </sheetData>
      <sheetData sheetId="2">
        <row r="45">
          <cell r="M45">
            <v>638.06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5">
          <cell r="I45">
            <v>1340.2676000000001</v>
          </cell>
          <cell r="M45">
            <v>638.06</v>
          </cell>
        </row>
      </sheetData>
      <sheetData sheetId="5">
        <row r="45">
          <cell r="M45">
            <v>638.06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5">
          <cell r="I45">
            <v>1340.2676000000001</v>
          </cell>
        </row>
      </sheetData>
      <sheetData sheetId="9">
        <row r="45">
          <cell r="I45">
            <v>1340.2676000000001</v>
          </cell>
          <cell r="M45">
            <v>638.06</v>
          </cell>
        </row>
      </sheetData>
      <sheetData sheetId="10">
        <row r="45">
          <cell r="I45">
            <v>1340.2676000000001</v>
          </cell>
          <cell r="M45">
            <v>638.06</v>
          </cell>
        </row>
        <row r="130">
          <cell r="I130">
            <v>549.29</v>
          </cell>
          <cell r="M13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D44" sqref="BD44"/>
    </sheetView>
  </sheetViews>
  <sheetFormatPr defaultColWidth="9.1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46" t="s">
        <v>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7" t="s">
        <v>0</v>
      </c>
      <c r="B3" s="150" t="s">
        <v>1</v>
      </c>
      <c r="C3" s="150" t="s">
        <v>2</v>
      </c>
      <c r="D3" s="150" t="s">
        <v>3</v>
      </c>
      <c r="E3" s="153" t="s">
        <v>4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70" t="s">
        <v>5</v>
      </c>
      <c r="T3" s="170"/>
      <c r="U3" s="143" t="s">
        <v>6</v>
      </c>
      <c r="V3" s="143"/>
      <c r="W3" s="143"/>
      <c r="X3" s="143"/>
      <c r="Y3" s="143"/>
      <c r="Z3" s="143"/>
      <c r="AA3" s="143"/>
      <c r="AB3" s="143"/>
      <c r="AC3" s="145" t="s">
        <v>87</v>
      </c>
      <c r="AD3" s="145" t="s">
        <v>8</v>
      </c>
      <c r="AE3" s="171" t="s">
        <v>9</v>
      </c>
      <c r="AF3" s="178" t="s">
        <v>75</v>
      </c>
      <c r="AG3" s="181" t="s">
        <v>10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62" t="s">
        <v>76</v>
      </c>
      <c r="BD3" s="167" t="s">
        <v>11</v>
      </c>
      <c r="BE3" s="155" t="s">
        <v>12</v>
      </c>
    </row>
    <row r="4" spans="1:57" ht="36" customHeight="1" thickBot="1">
      <c r="A4" s="148"/>
      <c r="B4" s="151"/>
      <c r="C4" s="151"/>
      <c r="D4" s="151"/>
      <c r="E4" s="154" t="s">
        <v>13</v>
      </c>
      <c r="F4" s="154"/>
      <c r="G4" s="154" t="s">
        <v>14</v>
      </c>
      <c r="H4" s="154"/>
      <c r="I4" s="154" t="s">
        <v>15</v>
      </c>
      <c r="J4" s="154"/>
      <c r="K4" s="154" t="s">
        <v>16</v>
      </c>
      <c r="L4" s="154"/>
      <c r="M4" s="154" t="s">
        <v>17</v>
      </c>
      <c r="N4" s="154"/>
      <c r="O4" s="154" t="s">
        <v>18</v>
      </c>
      <c r="P4" s="154"/>
      <c r="Q4" s="154" t="s">
        <v>19</v>
      </c>
      <c r="R4" s="154"/>
      <c r="S4" s="154"/>
      <c r="T4" s="154"/>
      <c r="U4" s="144"/>
      <c r="V4" s="144"/>
      <c r="W4" s="144"/>
      <c r="X4" s="144"/>
      <c r="Y4" s="144"/>
      <c r="Z4" s="144"/>
      <c r="AA4" s="144"/>
      <c r="AB4" s="144"/>
      <c r="AC4" s="141"/>
      <c r="AD4" s="141"/>
      <c r="AE4" s="172"/>
      <c r="AF4" s="179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63"/>
      <c r="BD4" s="168"/>
      <c r="BE4" s="156"/>
    </row>
    <row r="5" spans="1:57" ht="29.25" customHeight="1" thickBot="1">
      <c r="A5" s="148"/>
      <c r="B5" s="151"/>
      <c r="C5" s="151"/>
      <c r="D5" s="151"/>
      <c r="E5" s="165" t="s">
        <v>20</v>
      </c>
      <c r="F5" s="165" t="s">
        <v>21</v>
      </c>
      <c r="G5" s="165" t="s">
        <v>20</v>
      </c>
      <c r="H5" s="165" t="s">
        <v>21</v>
      </c>
      <c r="I5" s="165" t="s">
        <v>20</v>
      </c>
      <c r="J5" s="165" t="s">
        <v>21</v>
      </c>
      <c r="K5" s="165" t="s">
        <v>20</v>
      </c>
      <c r="L5" s="165" t="s">
        <v>21</v>
      </c>
      <c r="M5" s="165" t="s">
        <v>20</v>
      </c>
      <c r="N5" s="165" t="s">
        <v>21</v>
      </c>
      <c r="O5" s="165" t="s">
        <v>20</v>
      </c>
      <c r="P5" s="165" t="s">
        <v>21</v>
      </c>
      <c r="Q5" s="165" t="s">
        <v>20</v>
      </c>
      <c r="R5" s="165" t="s">
        <v>21</v>
      </c>
      <c r="S5" s="165" t="s">
        <v>20</v>
      </c>
      <c r="T5" s="165" t="s">
        <v>21</v>
      </c>
      <c r="U5" s="174" t="s">
        <v>22</v>
      </c>
      <c r="V5" s="174" t="s">
        <v>23</v>
      </c>
      <c r="W5" s="174" t="s">
        <v>24</v>
      </c>
      <c r="X5" s="174" t="s">
        <v>25</v>
      </c>
      <c r="Y5" s="174" t="s">
        <v>26</v>
      </c>
      <c r="Z5" s="174" t="s">
        <v>27</v>
      </c>
      <c r="AA5" s="174" t="s">
        <v>28</v>
      </c>
      <c r="AB5" s="174" t="s">
        <v>29</v>
      </c>
      <c r="AC5" s="141"/>
      <c r="AD5" s="141"/>
      <c r="AE5" s="172"/>
      <c r="AF5" s="179"/>
      <c r="AG5" s="158" t="s">
        <v>30</v>
      </c>
      <c r="AH5" s="158" t="s">
        <v>31</v>
      </c>
      <c r="AI5" s="158" t="s">
        <v>32</v>
      </c>
      <c r="AJ5" s="158" t="s">
        <v>33</v>
      </c>
      <c r="AK5" s="158" t="s">
        <v>34</v>
      </c>
      <c r="AL5" s="158" t="s">
        <v>33</v>
      </c>
      <c r="AM5" s="158" t="s">
        <v>35</v>
      </c>
      <c r="AN5" s="158" t="s">
        <v>33</v>
      </c>
      <c r="AO5" s="158" t="s">
        <v>36</v>
      </c>
      <c r="AP5" s="158" t="s">
        <v>33</v>
      </c>
      <c r="AQ5" s="185" t="s">
        <v>80</v>
      </c>
      <c r="AR5" s="187" t="s">
        <v>33</v>
      </c>
      <c r="AS5" s="160" t="s">
        <v>81</v>
      </c>
      <c r="AT5" s="176" t="s">
        <v>82</v>
      </c>
      <c r="AU5" s="176" t="s">
        <v>33</v>
      </c>
      <c r="AV5" s="182" t="s">
        <v>83</v>
      </c>
      <c r="AW5" s="183"/>
      <c r="AX5" s="184"/>
      <c r="AY5" s="158" t="s">
        <v>19</v>
      </c>
      <c r="AZ5" s="158" t="s">
        <v>38</v>
      </c>
      <c r="BA5" s="158" t="s">
        <v>33</v>
      </c>
      <c r="BB5" s="158" t="s">
        <v>39</v>
      </c>
      <c r="BC5" s="163"/>
      <c r="BD5" s="168"/>
      <c r="BE5" s="156"/>
    </row>
    <row r="6" spans="1:57" ht="54" customHeight="1" thickBot="1">
      <c r="A6" s="149"/>
      <c r="B6" s="152"/>
      <c r="C6" s="152"/>
      <c r="D6" s="152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75"/>
      <c r="V6" s="175"/>
      <c r="W6" s="175"/>
      <c r="X6" s="175"/>
      <c r="Y6" s="175"/>
      <c r="Z6" s="175"/>
      <c r="AA6" s="175"/>
      <c r="AB6" s="175"/>
      <c r="AC6" s="142"/>
      <c r="AD6" s="142"/>
      <c r="AE6" s="173"/>
      <c r="AF6" s="180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86"/>
      <c r="AR6" s="188"/>
      <c r="AS6" s="161"/>
      <c r="AT6" s="177"/>
      <c r="AU6" s="177"/>
      <c r="AV6" s="115" t="s">
        <v>84</v>
      </c>
      <c r="AW6" s="115" t="s">
        <v>85</v>
      </c>
      <c r="AX6" s="115" t="s">
        <v>86</v>
      </c>
      <c r="AY6" s="159"/>
      <c r="AZ6" s="159"/>
      <c r="BA6" s="159"/>
      <c r="BB6" s="159"/>
      <c r="BC6" s="164"/>
      <c r="BD6" s="169"/>
      <c r="BE6" s="15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2">
        <v>3613.7</v>
      </c>
      <c r="C9" s="103">
        <f>B9*8.65</f>
        <v>31258.505</v>
      </c>
      <c r="D9" s="104">
        <f>C9*0.24088</f>
        <v>7529.548684400001</v>
      </c>
      <c r="E9" s="127">
        <v>2631.39</v>
      </c>
      <c r="F9" s="127">
        <v>407.3</v>
      </c>
      <c r="G9" s="127">
        <v>3552.43</v>
      </c>
      <c r="H9" s="127">
        <v>549.85</v>
      </c>
      <c r="I9" s="127">
        <v>8552.04</v>
      </c>
      <c r="J9" s="127">
        <v>1323.73</v>
      </c>
      <c r="K9" s="127">
        <v>5920.67</v>
      </c>
      <c r="L9" s="127">
        <v>916.43</v>
      </c>
      <c r="M9" s="127">
        <v>2105.13</v>
      </c>
      <c r="N9" s="127">
        <v>325.84</v>
      </c>
      <c r="O9" s="91">
        <v>0</v>
      </c>
      <c r="P9" s="91">
        <v>0</v>
      </c>
      <c r="Q9" s="91">
        <v>0</v>
      </c>
      <c r="R9" s="91">
        <v>0</v>
      </c>
      <c r="S9" s="91">
        <f>E9+G9+I9+K9+M9+O9+Q9</f>
        <v>22761.66</v>
      </c>
      <c r="T9" s="105">
        <f>P9+N9+L9+J9+H9+F9+R9</f>
        <v>3523.15</v>
      </c>
      <c r="U9" s="91">
        <v>29.96</v>
      </c>
      <c r="V9" s="91">
        <v>40.44</v>
      </c>
      <c r="W9" s="91">
        <v>97.36</v>
      </c>
      <c r="X9" s="91">
        <v>67.41</v>
      </c>
      <c r="Y9" s="91">
        <v>23.97</v>
      </c>
      <c r="Z9" s="106">
        <v>0</v>
      </c>
      <c r="AA9" s="106">
        <v>0</v>
      </c>
      <c r="AB9" s="106">
        <f>SUM(U9:AA9)</f>
        <v>259.14</v>
      </c>
      <c r="AC9" s="107">
        <f>D9+T9+AB9</f>
        <v>11311.8386844</v>
      </c>
      <c r="AD9" s="108">
        <f>P9+Z9</f>
        <v>0</v>
      </c>
      <c r="AE9" s="100">
        <f>R9+AA9</f>
        <v>0</v>
      </c>
      <c r="AF9" s="100"/>
      <c r="AG9" s="16">
        <f>0.6*B9</f>
        <v>2168.22</v>
      </c>
      <c r="AH9" s="16">
        <f>B9*0.2*1.05826</f>
        <v>764.8468324</v>
      </c>
      <c r="AI9" s="16">
        <f>0.8518*B9-0.01</f>
        <v>3078.13966</v>
      </c>
      <c r="AJ9" s="16">
        <f>AI9*0.18</f>
        <v>554.0651388</v>
      </c>
      <c r="AK9" s="16">
        <f>1.04*B9*0.9531</f>
        <v>3581.9861687999996</v>
      </c>
      <c r="AL9" s="16">
        <f>AK9*0.18</f>
        <v>644.7575103839999</v>
      </c>
      <c r="AM9" s="16">
        <f>(1.91)*B9*0.9531</f>
        <v>6578.455367699999</v>
      </c>
      <c r="AN9" s="16">
        <f>AM9*0.18</f>
        <v>1184.1219661859998</v>
      </c>
      <c r="AO9" s="16"/>
      <c r="AP9" s="16">
        <f>AO9*0.18</f>
        <v>0</v>
      </c>
      <c r="AQ9" s="16"/>
      <c r="AR9" s="16"/>
      <c r="AS9" s="95">
        <v>9390.1</v>
      </c>
      <c r="AT9" s="95"/>
      <c r="AU9" s="48">
        <f>AS9*0.18</f>
        <v>1690.218</v>
      </c>
      <c r="AV9" s="14"/>
      <c r="AW9" s="14"/>
      <c r="AX9" s="31">
        <v>0</v>
      </c>
      <c r="AY9" s="31">
        <v>0</v>
      </c>
      <c r="AZ9" s="31">
        <v>0</v>
      </c>
      <c r="BA9" s="14">
        <f>AZ9*0.18</f>
        <v>0</v>
      </c>
      <c r="BB9" s="14">
        <f>SUM(AG9:BA9)</f>
        <v>29634.91064427</v>
      </c>
      <c r="BC9" s="14">
        <v>0</v>
      </c>
      <c r="BD9" s="14">
        <f>AC9-BB9</f>
        <v>-18323.07195987</v>
      </c>
      <c r="BE9" s="30">
        <f>AB9-S9</f>
        <v>-22502.52</v>
      </c>
    </row>
    <row r="10" spans="1:57" ht="12.75">
      <c r="A10" s="11" t="s">
        <v>42</v>
      </c>
      <c r="B10" s="102">
        <v>3613.7</v>
      </c>
      <c r="C10" s="103">
        <f>B10*8.65</f>
        <v>31258.505</v>
      </c>
      <c r="D10" s="104">
        <f>C10*0.24088</f>
        <v>7529.548684400001</v>
      </c>
      <c r="E10" s="127">
        <v>2500.95</v>
      </c>
      <c r="F10" s="127">
        <v>387.87</v>
      </c>
      <c r="G10" s="127">
        <v>3376.27</v>
      </c>
      <c r="H10" s="127">
        <v>523.62</v>
      </c>
      <c r="I10" s="127">
        <v>8349.84</v>
      </c>
      <c r="J10" s="127">
        <v>1260.52</v>
      </c>
      <c r="K10" s="127">
        <v>5627.17</v>
      </c>
      <c r="L10" s="127">
        <v>872.65</v>
      </c>
      <c r="M10" s="127">
        <v>2000.75</v>
      </c>
      <c r="N10" s="127">
        <v>310.3</v>
      </c>
      <c r="O10" s="91">
        <v>0</v>
      </c>
      <c r="P10" s="91">
        <v>0</v>
      </c>
      <c r="Q10" s="91">
        <v>0</v>
      </c>
      <c r="R10" s="91">
        <v>0</v>
      </c>
      <c r="S10" s="91">
        <f>E10+G10+I10+K10+M10+O10+Q10</f>
        <v>21854.98</v>
      </c>
      <c r="T10" s="105">
        <f>P10+N10+L10+J10+H10+F10+R10</f>
        <v>3354.96</v>
      </c>
      <c r="U10" s="91">
        <v>2067.44</v>
      </c>
      <c r="V10" s="91">
        <v>2791.17</v>
      </c>
      <c r="W10" s="91">
        <v>6941.02</v>
      </c>
      <c r="X10" s="91">
        <v>4651.79</v>
      </c>
      <c r="Y10" s="91">
        <v>1653.72</v>
      </c>
      <c r="Z10" s="91">
        <v>0</v>
      </c>
      <c r="AA10" s="106">
        <v>0</v>
      </c>
      <c r="AB10" s="109">
        <f>SUM(U10:AA10)</f>
        <v>18105.140000000003</v>
      </c>
      <c r="AC10" s="110">
        <f>D10+T10+AB10</f>
        <v>28989.648684400003</v>
      </c>
      <c r="AD10" s="100">
        <f>P10+Z10</f>
        <v>0</v>
      </c>
      <c r="AE10" s="100">
        <f>R10+AA10</f>
        <v>0</v>
      </c>
      <c r="AF10" s="100"/>
      <c r="AG10" s="16">
        <f>0.6*B10</f>
        <v>2168.22</v>
      </c>
      <c r="AH10" s="16">
        <f>B10*0.201</f>
        <v>726.3537</v>
      </c>
      <c r="AI10" s="16">
        <f>0.8518*B10-0.01</f>
        <v>3078.13966</v>
      </c>
      <c r="AJ10" s="16">
        <f>AI10*0.18</f>
        <v>554.0651388</v>
      </c>
      <c r="AK10" s="16">
        <f>1.04*B10*0.9531</f>
        <v>3581.9861687999996</v>
      </c>
      <c r="AL10" s="16">
        <f>AK10*0.18</f>
        <v>644.7575103839999</v>
      </c>
      <c r="AM10" s="16">
        <f>(1.91)*B10*0.9531</f>
        <v>6578.455367699999</v>
      </c>
      <c r="AN10" s="16">
        <f>AM10*0.18</f>
        <v>1184.1219661859998</v>
      </c>
      <c r="AO10" s="16"/>
      <c r="AP10" s="16">
        <f>AO10*0.18</f>
        <v>0</v>
      </c>
      <c r="AQ10" s="16"/>
      <c r="AR10" s="16"/>
      <c r="AS10" s="95">
        <v>2312</v>
      </c>
      <c r="AT10" s="95"/>
      <c r="AU10" s="48">
        <f>AS10*0.18</f>
        <v>416.15999999999997</v>
      </c>
      <c r="AV10" s="14"/>
      <c r="AW10" s="14"/>
      <c r="AX10" s="31">
        <v>0</v>
      </c>
      <c r="AY10" s="31">
        <v>0</v>
      </c>
      <c r="AZ10" s="31">
        <v>0</v>
      </c>
      <c r="BA10" s="14">
        <f>AZ10*0.18</f>
        <v>0</v>
      </c>
      <c r="BB10" s="14">
        <f>SUM(AG10:BA10)</f>
        <v>21244.25951187</v>
      </c>
      <c r="BC10" s="14">
        <v>0</v>
      </c>
      <c r="BD10" s="14">
        <f>AC10-BB10</f>
        <v>7745.389172530002</v>
      </c>
      <c r="BE10" s="30">
        <f>AB10-S10</f>
        <v>-3749.8399999999965</v>
      </c>
    </row>
    <row r="11" spans="1:57" ht="12.75">
      <c r="A11" s="11" t="s">
        <v>43</v>
      </c>
      <c r="B11" s="102">
        <v>3613.7</v>
      </c>
      <c r="C11" s="103">
        <f>B11*8.65</f>
        <v>31258.505</v>
      </c>
      <c r="D11" s="104">
        <f>C11*0.24035</f>
        <v>7512.981676750001</v>
      </c>
      <c r="E11" s="127">
        <v>2602.56</v>
      </c>
      <c r="F11" s="127">
        <v>396.37</v>
      </c>
      <c r="G11" s="127">
        <v>3513.47</v>
      </c>
      <c r="H11" s="127">
        <v>535.1</v>
      </c>
      <c r="I11" s="127">
        <v>8458.32</v>
      </c>
      <c r="J11" s="127">
        <v>1288.18</v>
      </c>
      <c r="K11" s="127">
        <v>5855.79</v>
      </c>
      <c r="L11" s="127">
        <v>891.81</v>
      </c>
      <c r="M11" s="127">
        <v>2082.06</v>
      </c>
      <c r="N11" s="128">
        <v>317.1</v>
      </c>
      <c r="O11" s="106">
        <v>0</v>
      </c>
      <c r="P11" s="106">
        <v>0</v>
      </c>
      <c r="Q11" s="106">
        <v>0</v>
      </c>
      <c r="R11" s="106">
        <v>0</v>
      </c>
      <c r="S11" s="91">
        <f>E11+G11+I11+K11+M11+O11+Q11</f>
        <v>22512.2</v>
      </c>
      <c r="T11" s="105">
        <f>P11+N11+L11+J11+H11+F11+R11</f>
        <v>3428.56</v>
      </c>
      <c r="U11" s="91">
        <v>2477.38</v>
      </c>
      <c r="V11" s="91">
        <v>3344.36</v>
      </c>
      <c r="W11" s="91">
        <v>8051.37</v>
      </c>
      <c r="X11" s="91">
        <v>5574.09</v>
      </c>
      <c r="Y11" s="91">
        <v>1982.17</v>
      </c>
      <c r="Z11" s="91">
        <v>0</v>
      </c>
      <c r="AA11" s="106">
        <v>0</v>
      </c>
      <c r="AB11" s="109">
        <f>SUM(U11:AA11)</f>
        <v>21429.370000000003</v>
      </c>
      <c r="AC11" s="110">
        <f>D11+T11+AB11</f>
        <v>32370.91167675</v>
      </c>
      <c r="AD11" s="100">
        <f>P11+Z11</f>
        <v>0</v>
      </c>
      <c r="AE11" s="100">
        <f>R11+AA11</f>
        <v>0</v>
      </c>
      <c r="AF11" s="100"/>
      <c r="AG11" s="16">
        <f>0.6*B11</f>
        <v>2168.22</v>
      </c>
      <c r="AH11" s="16">
        <f>B11*0.2*1.02524</f>
        <v>740.9819576</v>
      </c>
      <c r="AI11" s="16">
        <f>0.84932*B11</f>
        <v>3069.1876839999995</v>
      </c>
      <c r="AJ11" s="16">
        <f>AI11*0.18</f>
        <v>552.4537831199999</v>
      </c>
      <c r="AK11" s="16">
        <f>1.04*B11*0.95033</f>
        <v>3571.57582184</v>
      </c>
      <c r="AL11" s="16">
        <f>AK11*0.18</f>
        <v>642.8836479312</v>
      </c>
      <c r="AM11" s="16">
        <f>(1.91)*B11*0.95033</f>
        <v>6559.33636511</v>
      </c>
      <c r="AN11" s="16">
        <f>AM11*0.18</f>
        <v>1180.6805457198</v>
      </c>
      <c r="AO11" s="16"/>
      <c r="AP11" s="16">
        <f>AO11*0.18</f>
        <v>0</v>
      </c>
      <c r="AQ11" s="16"/>
      <c r="AR11" s="16"/>
      <c r="AS11" s="95">
        <v>10914</v>
      </c>
      <c r="AT11" s="95"/>
      <c r="AU11" s="48">
        <f>AS11*0.18</f>
        <v>1964.52</v>
      </c>
      <c r="AV11" s="14"/>
      <c r="AW11" s="14"/>
      <c r="AX11" s="31">
        <v>0</v>
      </c>
      <c r="AY11" s="31">
        <v>0</v>
      </c>
      <c r="AZ11" s="31">
        <v>0</v>
      </c>
      <c r="BA11" s="14">
        <f>AZ11*0.18</f>
        <v>0</v>
      </c>
      <c r="BB11" s="14">
        <f>SUM(AG11:BA11)</f>
        <v>31363.839805320997</v>
      </c>
      <c r="BC11" s="14">
        <v>0</v>
      </c>
      <c r="BD11" s="14">
        <f>AC11-BB11</f>
        <v>1007.0718714290051</v>
      </c>
      <c r="BE11" s="30">
        <f>AB11-S11</f>
        <v>-1082.829999999998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93775.515</v>
      </c>
      <c r="D12" s="60">
        <f t="shared" si="0"/>
        <v>22572.079045550003</v>
      </c>
      <c r="E12" s="57">
        <f>SUM(E9:E11)</f>
        <v>7734.9</v>
      </c>
      <c r="F12" s="57">
        <f t="shared" si="0"/>
        <v>1191.54</v>
      </c>
      <c r="G12" s="57">
        <f t="shared" si="0"/>
        <v>10442.17</v>
      </c>
      <c r="H12" s="57">
        <f t="shared" si="0"/>
        <v>1608.5700000000002</v>
      </c>
      <c r="I12" s="57">
        <f t="shared" si="0"/>
        <v>25360.2</v>
      </c>
      <c r="J12" s="57">
        <f t="shared" si="0"/>
        <v>3872.4300000000003</v>
      </c>
      <c r="K12" s="57">
        <f t="shared" si="0"/>
        <v>17403.63</v>
      </c>
      <c r="L12" s="57">
        <f t="shared" si="0"/>
        <v>2680.89</v>
      </c>
      <c r="M12" s="57">
        <f t="shared" si="0"/>
        <v>6187.9400000000005</v>
      </c>
      <c r="N12" s="57">
        <f t="shared" si="0"/>
        <v>953.24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67128.84</v>
      </c>
      <c r="T12" s="57">
        <f t="shared" si="0"/>
        <v>10306.67</v>
      </c>
      <c r="U12" s="61">
        <f t="shared" si="0"/>
        <v>4574.780000000001</v>
      </c>
      <c r="V12" s="61">
        <f t="shared" si="0"/>
        <v>6175.97</v>
      </c>
      <c r="W12" s="61">
        <f t="shared" si="0"/>
        <v>15089.75</v>
      </c>
      <c r="X12" s="61">
        <f t="shared" si="0"/>
        <v>10293.29</v>
      </c>
      <c r="Y12" s="61">
        <f t="shared" si="0"/>
        <v>3659.86</v>
      </c>
      <c r="Z12" s="61">
        <f t="shared" si="0"/>
        <v>0</v>
      </c>
      <c r="AA12" s="61">
        <f t="shared" si="0"/>
        <v>0</v>
      </c>
      <c r="AB12" s="61">
        <f t="shared" si="0"/>
        <v>39793.65000000001</v>
      </c>
      <c r="AC12" s="61">
        <f t="shared" si="0"/>
        <v>72672.39904555</v>
      </c>
      <c r="AD12" s="61">
        <f>SUM(AD9:AD11)</f>
        <v>0</v>
      </c>
      <c r="AE12" s="98">
        <f t="shared" si="0"/>
        <v>0</v>
      </c>
      <c r="AF12" s="98">
        <f t="shared" si="0"/>
        <v>0</v>
      </c>
      <c r="AG12" s="18">
        <f t="shared" si="0"/>
        <v>6504.66</v>
      </c>
      <c r="AH12" s="18">
        <f t="shared" si="0"/>
        <v>2232.18249</v>
      </c>
      <c r="AI12" s="18">
        <f t="shared" si="0"/>
        <v>9225.467003999998</v>
      </c>
      <c r="AJ12" s="18">
        <f t="shared" si="0"/>
        <v>1660.5840607199998</v>
      </c>
      <c r="AK12" s="18">
        <f t="shared" si="0"/>
        <v>10735.548159439999</v>
      </c>
      <c r="AL12" s="18">
        <f t="shared" si="0"/>
        <v>1932.3986686991998</v>
      </c>
      <c r="AM12" s="18">
        <f>SUM(AM9:AM11)</f>
        <v>19716.247100509998</v>
      </c>
      <c r="AN12" s="18">
        <f>SUM(AN9:AN11)</f>
        <v>3548.9244780917998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22616.1</v>
      </c>
      <c r="AT12" s="18">
        <f>SUM(AT9:AT11)</f>
        <v>0</v>
      </c>
      <c r="AU12" s="18">
        <f>SUM(AU9:AU11)</f>
        <v>4070.898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82243.009961461</v>
      </c>
      <c r="BC12" s="18">
        <f t="shared" si="0"/>
        <v>0</v>
      </c>
      <c r="BD12" s="18">
        <f t="shared" si="0"/>
        <v>-9570.610915910995</v>
      </c>
      <c r="BE12" s="19">
        <f t="shared" si="0"/>
        <v>-27335.189999999995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6"/>
      <c r="AD13" s="96"/>
      <c r="AE13" s="97"/>
      <c r="AF13" s="97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31"/>
      <c r="AT13" s="31"/>
      <c r="AU13" s="14"/>
      <c r="AV13" s="14"/>
      <c r="AW13" s="14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1">
        <v>3613.7</v>
      </c>
      <c r="C14" s="103">
        <f>B14*8.65</f>
        <v>31258.505</v>
      </c>
      <c r="D14" s="104">
        <f>C14*0.125</f>
        <v>3907.313125</v>
      </c>
      <c r="E14" s="127">
        <v>2590.05</v>
      </c>
      <c r="F14" s="127">
        <v>393.46</v>
      </c>
      <c r="G14" s="127">
        <v>3496.6</v>
      </c>
      <c r="H14" s="127">
        <v>531.17</v>
      </c>
      <c r="I14" s="127">
        <v>8417.67</v>
      </c>
      <c r="J14" s="127">
        <v>1278.72</v>
      </c>
      <c r="K14" s="127">
        <v>5827.66</v>
      </c>
      <c r="L14" s="127">
        <v>885.26</v>
      </c>
      <c r="M14" s="127">
        <v>2072.05</v>
      </c>
      <c r="N14" s="128">
        <v>314.77</v>
      </c>
      <c r="O14" s="106">
        <v>0</v>
      </c>
      <c r="P14" s="106">
        <v>0</v>
      </c>
      <c r="Q14" s="106">
        <v>0</v>
      </c>
      <c r="R14" s="106">
        <v>0</v>
      </c>
      <c r="S14" s="91">
        <f>E14+G14+I14+K14+M14+O14+Q14</f>
        <v>22404.03</v>
      </c>
      <c r="T14" s="105">
        <f>P14+N14+L14+J14+H14+F14+R14</f>
        <v>3403.38</v>
      </c>
      <c r="U14" s="91">
        <v>2171.86</v>
      </c>
      <c r="V14" s="91">
        <v>2932.03</v>
      </c>
      <c r="W14" s="91">
        <v>7058.69</v>
      </c>
      <c r="X14" s="91">
        <v>4886.81</v>
      </c>
      <c r="Y14" s="91">
        <v>1737.5</v>
      </c>
      <c r="Z14" s="91">
        <v>0</v>
      </c>
      <c r="AA14" s="106">
        <v>0</v>
      </c>
      <c r="AB14" s="112">
        <f>SUM(U14:AA14)</f>
        <v>18786.89</v>
      </c>
      <c r="AC14" s="110">
        <f>D14+T14+AB14</f>
        <v>26097.583124999997</v>
      </c>
      <c r="AD14" s="100">
        <f>P14+Z14</f>
        <v>0</v>
      </c>
      <c r="AE14" s="100">
        <f>R14+AA14</f>
        <v>0</v>
      </c>
      <c r="AF14" s="100"/>
      <c r="AG14" s="16">
        <f>0.6*B14*0.9</f>
        <v>1951.398</v>
      </c>
      <c r="AH14" s="16">
        <f>B14*0.2*0.891</f>
        <v>643.9613400000001</v>
      </c>
      <c r="AI14" s="16">
        <f>0.85*B14*0.867-0.02</f>
        <v>2663.096215</v>
      </c>
      <c r="AJ14" s="16">
        <f>AI14*0.18</f>
        <v>479.3573187</v>
      </c>
      <c r="AK14" s="16">
        <f>0.83*B14*0.8685</f>
        <v>2604.9537135</v>
      </c>
      <c r="AL14" s="16">
        <f>AK14*0.18</f>
        <v>468.89166843</v>
      </c>
      <c r="AM14" s="16">
        <f>1.91*B14*0.8686</f>
        <v>5995.2222562</v>
      </c>
      <c r="AN14" s="16">
        <f>AM14*0.18</f>
        <v>1079.140006116</v>
      </c>
      <c r="AO14" s="16"/>
      <c r="AP14" s="16">
        <f>AO14*0.18</f>
        <v>0</v>
      </c>
      <c r="AQ14" s="113"/>
      <c r="AR14" s="113">
        <f>AQ14*0.18</f>
        <v>0</v>
      </c>
      <c r="AS14" s="95">
        <v>18010</v>
      </c>
      <c r="AT14" s="95"/>
      <c r="AU14" s="95">
        <f>(AS14+AT14)*0.18+0.01</f>
        <v>3241.81</v>
      </c>
      <c r="AV14" s="114"/>
      <c r="AW14" s="125">
        <v>1252</v>
      </c>
      <c r="AX14" s="16">
        <f>AW14*1.12*1.18</f>
        <v>1654.6432000000002</v>
      </c>
      <c r="AY14" s="116"/>
      <c r="AZ14" s="117"/>
      <c r="BA14" s="117">
        <f>AZ14*0.18</f>
        <v>0</v>
      </c>
      <c r="BB14" s="117">
        <f>SUM(AG14:AU14)</f>
        <v>37137.830517946</v>
      </c>
      <c r="BC14" s="123"/>
      <c r="BD14" s="14">
        <f aca="true" t="shared" si="1" ref="BD14:BD25">AC14+AF14-BB14-BC14</f>
        <v>-11040.247392946003</v>
      </c>
      <c r="BE14" s="30">
        <f>AB14-S14</f>
        <v>-3617.1399999999994</v>
      </c>
    </row>
    <row r="15" spans="1:57" ht="12.75">
      <c r="A15" s="11" t="s">
        <v>46</v>
      </c>
      <c r="B15" s="111">
        <v>3613.7</v>
      </c>
      <c r="C15" s="103">
        <f>B15*8.65</f>
        <v>31258.505</v>
      </c>
      <c r="D15" s="104">
        <f>C15*0.125</f>
        <v>3907.313125</v>
      </c>
      <c r="E15" s="127">
        <v>2575.37</v>
      </c>
      <c r="F15" s="127">
        <v>412.54</v>
      </c>
      <c r="G15" s="127">
        <v>3476.79</v>
      </c>
      <c r="H15" s="127">
        <v>556.92</v>
      </c>
      <c r="I15" s="127">
        <v>8369.96</v>
      </c>
      <c r="J15" s="127">
        <v>1340.72</v>
      </c>
      <c r="K15" s="127">
        <v>5794.61</v>
      </c>
      <c r="L15" s="127">
        <v>928.18</v>
      </c>
      <c r="M15" s="127">
        <v>2060.3</v>
      </c>
      <c r="N15" s="128">
        <v>330.03</v>
      </c>
      <c r="O15" s="106">
        <v>0</v>
      </c>
      <c r="P15" s="106">
        <v>0</v>
      </c>
      <c r="Q15" s="106">
        <v>0</v>
      </c>
      <c r="R15" s="106">
        <v>0</v>
      </c>
      <c r="S15" s="91">
        <f>E15+G15+I15+K15+M15+O15+Q15</f>
        <v>22277.03</v>
      </c>
      <c r="T15" s="105">
        <f>P15+N15+L15+J15+H15+F15+R15</f>
        <v>3568.3900000000003</v>
      </c>
      <c r="U15" s="91">
        <v>2242.64</v>
      </c>
      <c r="V15" s="91">
        <v>3027.58</v>
      </c>
      <c r="W15" s="91">
        <v>7288.53</v>
      </c>
      <c r="X15" s="91">
        <v>5045.92</v>
      </c>
      <c r="Y15" s="91">
        <v>1794.12</v>
      </c>
      <c r="Z15" s="91">
        <v>0</v>
      </c>
      <c r="AA15" s="106">
        <v>0</v>
      </c>
      <c r="AB15" s="109">
        <f>SUM(U15:AA15)</f>
        <v>19398.789999999997</v>
      </c>
      <c r="AC15" s="110">
        <f>D15+T15+AB15</f>
        <v>26874.493124999997</v>
      </c>
      <c r="AD15" s="100">
        <f>P15+Z15</f>
        <v>0</v>
      </c>
      <c r="AE15" s="100">
        <f>R15+AA15</f>
        <v>0</v>
      </c>
      <c r="AF15" s="100"/>
      <c r="AG15" s="16">
        <f>0.6*B15*0.9</f>
        <v>1951.398</v>
      </c>
      <c r="AH15" s="16">
        <f>B15*0.2*0.9153</f>
        <v>661.523922</v>
      </c>
      <c r="AI15" s="16">
        <f>0.85*B15*0.867</f>
        <v>2663.116215</v>
      </c>
      <c r="AJ15" s="16">
        <f>AI15*0.18</f>
        <v>479.36091869999996</v>
      </c>
      <c r="AK15" s="16">
        <f>0.83*B15*0.8684</f>
        <v>2604.6537763999995</v>
      </c>
      <c r="AL15" s="16">
        <f>AK15*0.18</f>
        <v>468.8376797519999</v>
      </c>
      <c r="AM15" s="16">
        <f>(1.91)*B15*0.8684</f>
        <v>5993.841822799999</v>
      </c>
      <c r="AN15" s="16">
        <f>AM15*0.18</f>
        <v>1078.891528104</v>
      </c>
      <c r="AO15" s="16"/>
      <c r="AP15" s="16">
        <f>AO15*0.18</f>
        <v>0</v>
      </c>
      <c r="AQ15" s="113"/>
      <c r="AR15" s="113">
        <f>AQ15*0.18</f>
        <v>0</v>
      </c>
      <c r="AS15" s="95">
        <v>2030</v>
      </c>
      <c r="AT15" s="95"/>
      <c r="AU15" s="95">
        <f>(AS15+AT15)*0.18</f>
        <v>365.4</v>
      </c>
      <c r="AV15" s="114"/>
      <c r="AW15" s="125">
        <v>1027</v>
      </c>
      <c r="AX15" s="16">
        <f>AW15*1.12*1.18</f>
        <v>1357.2831999999999</v>
      </c>
      <c r="AY15" s="116"/>
      <c r="AZ15" s="117"/>
      <c r="BA15" s="117">
        <f>AZ15*0.18</f>
        <v>0</v>
      </c>
      <c r="BB15" s="117">
        <f>SUM(AG15:AU15)+AY15</f>
        <v>18297.023862756</v>
      </c>
      <c r="BC15" s="120"/>
      <c r="BD15" s="14">
        <f t="shared" si="1"/>
        <v>8577.469262243998</v>
      </c>
      <c r="BE15" s="30">
        <f aca="true" t="shared" si="2" ref="BE15:BE25">AB15-S15</f>
        <v>-2878.2400000000016</v>
      </c>
    </row>
    <row r="16" spans="1:57" ht="12.75">
      <c r="A16" s="11" t="s">
        <v>47</v>
      </c>
      <c r="B16" s="132">
        <v>3613.7</v>
      </c>
      <c r="C16" s="103">
        <f>B16*8.65</f>
        <v>31258.505</v>
      </c>
      <c r="D16" s="104">
        <f>C16*0.125</f>
        <v>3907.313125</v>
      </c>
      <c r="E16" s="129">
        <v>2751.5</v>
      </c>
      <c r="F16" s="129">
        <v>416.55</v>
      </c>
      <c r="G16" s="129">
        <v>3471.56</v>
      </c>
      <c r="H16" s="129">
        <v>562.34</v>
      </c>
      <c r="I16" s="129">
        <v>8357.39</v>
      </c>
      <c r="J16" s="129">
        <v>1353.76</v>
      </c>
      <c r="K16" s="129">
        <v>5785.93</v>
      </c>
      <c r="L16" s="129">
        <v>937.21</v>
      </c>
      <c r="M16" s="129">
        <v>2057.21</v>
      </c>
      <c r="N16" s="130">
        <v>333.24</v>
      </c>
      <c r="O16" s="106">
        <v>0</v>
      </c>
      <c r="P16" s="106">
        <v>0</v>
      </c>
      <c r="Q16" s="106">
        <v>0</v>
      </c>
      <c r="R16" s="106">
        <v>0</v>
      </c>
      <c r="S16" s="91">
        <f>E16+G16+I16+K16+M16+O16+Q16</f>
        <v>22423.589999999997</v>
      </c>
      <c r="T16" s="105">
        <f>P16+N16+L16+J16+H16+F16+R16</f>
        <v>3603.1000000000004</v>
      </c>
      <c r="U16" s="92">
        <v>2716.12</v>
      </c>
      <c r="V16" s="92">
        <v>3666.85</v>
      </c>
      <c r="W16" s="92">
        <v>8827.52</v>
      </c>
      <c r="X16" s="92">
        <v>6111.46</v>
      </c>
      <c r="Y16" s="92">
        <v>2172.92</v>
      </c>
      <c r="Z16" s="92">
        <v>0</v>
      </c>
      <c r="AA16" s="118">
        <v>0</v>
      </c>
      <c r="AB16" s="112">
        <f>SUM(U16:AA16)</f>
        <v>23494.870000000003</v>
      </c>
      <c r="AC16" s="110">
        <f>D16+T16+AB16</f>
        <v>31005.283125</v>
      </c>
      <c r="AD16" s="100">
        <f>P16+Z16</f>
        <v>0</v>
      </c>
      <c r="AE16" s="100">
        <f>R16+AA16</f>
        <v>0</v>
      </c>
      <c r="AF16" s="100"/>
      <c r="AG16" s="16">
        <f>0.6*B16*0.9</f>
        <v>1951.398</v>
      </c>
      <c r="AH16" s="119">
        <f>B16*0.2*0.9082</f>
        <v>656.392468</v>
      </c>
      <c r="AI16" s="16">
        <f>0.85*B16*0.869</f>
        <v>2669.259505</v>
      </c>
      <c r="AJ16" s="16">
        <f>AI16*0.18</f>
        <v>480.46671089999995</v>
      </c>
      <c r="AK16" s="119">
        <f>0.83*B16*0.838</f>
        <v>2513.4728979999995</v>
      </c>
      <c r="AL16" s="16">
        <f>AK16*0.18</f>
        <v>452.4251216399999</v>
      </c>
      <c r="AM16" s="16">
        <f>1.91*B16*0.8381</f>
        <v>5784.706162699999</v>
      </c>
      <c r="AN16" s="16">
        <f>AM16*0.18</f>
        <v>1041.2471092859998</v>
      </c>
      <c r="AO16" s="16"/>
      <c r="AP16" s="16">
        <f>AO16*0.18</f>
        <v>0</v>
      </c>
      <c r="AQ16" s="113">
        <f>14970.33</f>
        <v>14970.33</v>
      </c>
      <c r="AR16" s="113">
        <f>AQ16*0.18</f>
        <v>2694.6594</v>
      </c>
      <c r="AS16" s="95">
        <v>3910</v>
      </c>
      <c r="AT16" s="95"/>
      <c r="AU16" s="95">
        <f>(AS16+AT16)*0.18</f>
        <v>703.8</v>
      </c>
      <c r="AV16" s="114"/>
      <c r="AW16" s="125">
        <v>920</v>
      </c>
      <c r="AX16" s="16">
        <f>AW16*1.12*1.18</f>
        <v>1215.872</v>
      </c>
      <c r="AY16" s="116"/>
      <c r="AZ16" s="117"/>
      <c r="BA16" s="117">
        <f>AZ16*0.18</f>
        <v>0</v>
      </c>
      <c r="BB16" s="117">
        <f>SUM(AG16:AU16)</f>
        <v>37828.157375525996</v>
      </c>
      <c r="BC16" s="120"/>
      <c r="BD16" s="14">
        <f t="shared" si="1"/>
        <v>-6822.874250525994</v>
      </c>
      <c r="BE16" s="30">
        <f t="shared" si="2"/>
        <v>1071.280000000006</v>
      </c>
    </row>
    <row r="17" spans="1:57" ht="12.75">
      <c r="A17" s="11" t="s">
        <v>48</v>
      </c>
      <c r="B17" s="131">
        <v>3613.7</v>
      </c>
      <c r="C17" s="103">
        <f aca="true" t="shared" si="3" ref="C17:C25">B17*8.65</f>
        <v>31258.505</v>
      </c>
      <c r="D17" s="104">
        <f>C17*0.125</f>
        <v>3907.313125</v>
      </c>
      <c r="E17" s="129">
        <v>2612.66</v>
      </c>
      <c r="F17" s="129">
        <v>403.35</v>
      </c>
      <c r="G17" s="129">
        <v>3527.1</v>
      </c>
      <c r="H17" s="129">
        <v>544.52</v>
      </c>
      <c r="I17" s="129">
        <v>8491.13</v>
      </c>
      <c r="J17" s="129">
        <v>1310.86</v>
      </c>
      <c r="K17" s="129">
        <v>5878.49</v>
      </c>
      <c r="L17" s="129">
        <v>907.51</v>
      </c>
      <c r="M17" s="129">
        <v>2090.12</v>
      </c>
      <c r="N17" s="130">
        <v>322.68</v>
      </c>
      <c r="O17" s="118">
        <v>0</v>
      </c>
      <c r="P17" s="118">
        <v>0</v>
      </c>
      <c r="Q17" s="118">
        <v>0</v>
      </c>
      <c r="R17" s="118">
        <v>0</v>
      </c>
      <c r="S17" s="91">
        <f aca="true" t="shared" si="4" ref="S17:S25">E17+G17+I17+K17+M17+O17+Q17</f>
        <v>22599.499999999996</v>
      </c>
      <c r="T17" s="105">
        <f aca="true" t="shared" si="5" ref="T17:T25">P17+N17+L17+J17+H17+F17+R17</f>
        <v>3488.92</v>
      </c>
      <c r="U17" s="91">
        <v>2374.43</v>
      </c>
      <c r="V17" s="91">
        <v>3205.45</v>
      </c>
      <c r="W17" s="91">
        <v>7716.75</v>
      </c>
      <c r="X17" s="91">
        <v>5342.11</v>
      </c>
      <c r="Y17" s="91">
        <v>1899.47</v>
      </c>
      <c r="Z17" s="91">
        <v>0</v>
      </c>
      <c r="AA17" s="91">
        <v>0</v>
      </c>
      <c r="AB17" s="112">
        <f aca="true" t="shared" si="6" ref="AB17:AB22">SUM(U17:AA17)</f>
        <v>20538.21</v>
      </c>
      <c r="AC17" s="110">
        <f aca="true" t="shared" si="7" ref="AC17:AC22">D17+T17+AB17</f>
        <v>27934.443124999998</v>
      </c>
      <c r="AD17" s="100">
        <f aca="true" t="shared" si="8" ref="AD17:AD25">P17+Z17</f>
        <v>0</v>
      </c>
      <c r="AE17" s="100">
        <f aca="true" t="shared" si="9" ref="AE17:AE25">R17+AA17</f>
        <v>0</v>
      </c>
      <c r="AF17" s="100"/>
      <c r="AG17" s="16">
        <f>0.6*B17*0.9</f>
        <v>1951.398</v>
      </c>
      <c r="AH17" s="119">
        <f>B17*0.2*0.9234</f>
        <v>667.378116</v>
      </c>
      <c r="AI17" s="16">
        <f>0.85*B17*0.8934</f>
        <v>2744.2076429999997</v>
      </c>
      <c r="AJ17" s="16">
        <f aca="true" t="shared" si="10" ref="AJ17:AJ25">AI17*0.18</f>
        <v>493.9573757399999</v>
      </c>
      <c r="AK17" s="16">
        <f>0.83*B17*0.8498</f>
        <v>2548.8654758</v>
      </c>
      <c r="AL17" s="16">
        <f aca="true" t="shared" si="11" ref="AL17:AL25">AK17*0.18</f>
        <v>458.7957856439999</v>
      </c>
      <c r="AM17" s="16">
        <f>(1.91)*B17*0.8498</f>
        <v>5865.461516599999</v>
      </c>
      <c r="AN17" s="16">
        <f aca="true" t="shared" si="12" ref="AN17:AN25">AM17*0.18</f>
        <v>1055.783072988</v>
      </c>
      <c r="AO17" s="16"/>
      <c r="AP17" s="16">
        <f aca="true" t="shared" si="13" ref="AP17:AR25">AO17*0.18</f>
        <v>0</v>
      </c>
      <c r="AQ17" s="113">
        <v>1014.85</v>
      </c>
      <c r="AR17" s="113">
        <f t="shared" si="13"/>
        <v>182.673</v>
      </c>
      <c r="AS17" s="95">
        <v>10330.86</v>
      </c>
      <c r="AT17" s="95"/>
      <c r="AU17" s="95">
        <f aca="true" t="shared" si="14" ref="AU17:AU25">(AS17+AT17)*0.18</f>
        <v>1859.5548000000001</v>
      </c>
      <c r="AV17" s="114"/>
      <c r="AW17" s="126">
        <v>844</v>
      </c>
      <c r="AX17" s="16">
        <f>AW17*1.12*1.18+AX14+AX15+AX16</f>
        <v>5343.2288</v>
      </c>
      <c r="AY17" s="116"/>
      <c r="AZ17" s="117"/>
      <c r="BA17" s="117">
        <f>AZ17*0.18</f>
        <v>0</v>
      </c>
      <c r="BB17" s="117">
        <f aca="true" t="shared" si="15" ref="BB17:BB22">SUM(AG17:BA17)-AV17-AW17</f>
        <v>34517.013585772</v>
      </c>
      <c r="BC17" s="120"/>
      <c r="BD17" s="14">
        <f t="shared" si="1"/>
        <v>-6582.570460772004</v>
      </c>
      <c r="BE17" s="30">
        <f t="shared" si="2"/>
        <v>-2061.2899999999972</v>
      </c>
    </row>
    <row r="18" spans="1:57" ht="12.75">
      <c r="A18" s="11" t="s">
        <v>49</v>
      </c>
      <c r="B18" s="132">
        <v>3613.7</v>
      </c>
      <c r="C18" s="103">
        <f t="shared" si="3"/>
        <v>31258.505</v>
      </c>
      <c r="D18" s="121">
        <f aca="true" t="shared" si="16" ref="D18:D25">C18-E18-F18-G18-H18-I18-J18-K18-L18-M18-N18</f>
        <v>2896.7550000000015</v>
      </c>
      <c r="E18" s="129">
        <v>2829.78</v>
      </c>
      <c r="F18" s="129">
        <v>444.36</v>
      </c>
      <c r="G18" s="129">
        <v>3831.29</v>
      </c>
      <c r="H18" s="129">
        <v>602.32</v>
      </c>
      <c r="I18" s="129">
        <v>9207.82</v>
      </c>
      <c r="J18" s="129">
        <v>1446.6</v>
      </c>
      <c r="K18" s="129">
        <v>6378.05</v>
      </c>
      <c r="L18" s="129">
        <v>1002.27</v>
      </c>
      <c r="M18" s="129">
        <v>2263.81</v>
      </c>
      <c r="N18" s="130">
        <v>355.45</v>
      </c>
      <c r="O18" s="118">
        <v>0</v>
      </c>
      <c r="P18" s="118">
        <v>0</v>
      </c>
      <c r="Q18" s="118">
        <v>0</v>
      </c>
      <c r="R18" s="118">
        <v>0</v>
      </c>
      <c r="S18" s="91">
        <f t="shared" si="4"/>
        <v>24510.75</v>
      </c>
      <c r="T18" s="105">
        <f t="shared" si="5"/>
        <v>3851</v>
      </c>
      <c r="U18" s="92">
        <v>2622.39</v>
      </c>
      <c r="V18" s="92">
        <v>3540.23</v>
      </c>
      <c r="W18" s="92">
        <v>8522.85</v>
      </c>
      <c r="X18" s="92">
        <v>5900.42</v>
      </c>
      <c r="Y18" s="92">
        <v>2097.9</v>
      </c>
      <c r="Z18" s="92">
        <v>0</v>
      </c>
      <c r="AA18" s="118">
        <v>0</v>
      </c>
      <c r="AB18" s="112">
        <f t="shared" si="6"/>
        <v>22683.79</v>
      </c>
      <c r="AC18" s="110">
        <f t="shared" si="7"/>
        <v>29431.545000000002</v>
      </c>
      <c r="AD18" s="100">
        <f t="shared" si="8"/>
        <v>0</v>
      </c>
      <c r="AE18" s="100">
        <f t="shared" si="9"/>
        <v>0</v>
      </c>
      <c r="AF18" s="100"/>
      <c r="AG18" s="16">
        <f aca="true" t="shared" si="17" ref="AG18:AG25">0.6*B18</f>
        <v>2168.22</v>
      </c>
      <c r="AH18" s="16">
        <f>B18*0.2*1.01</f>
        <v>729.9674</v>
      </c>
      <c r="AI18" s="16">
        <f>0.85*B18</f>
        <v>3071.645</v>
      </c>
      <c r="AJ18" s="16">
        <f t="shared" si="10"/>
        <v>552.8960999999999</v>
      </c>
      <c r="AK18" s="16">
        <f>0.83*B18</f>
        <v>2999.3709999999996</v>
      </c>
      <c r="AL18" s="16">
        <f t="shared" si="11"/>
        <v>539.8867799999999</v>
      </c>
      <c r="AM18" s="16">
        <f>(1.91)*B18</f>
        <v>6902.1669999999995</v>
      </c>
      <c r="AN18" s="16">
        <f t="shared" si="12"/>
        <v>1242.39006</v>
      </c>
      <c r="AO18" s="16"/>
      <c r="AP18" s="16">
        <f t="shared" si="13"/>
        <v>0</v>
      </c>
      <c r="AQ18" s="113"/>
      <c r="AR18" s="113">
        <f t="shared" si="13"/>
        <v>0</v>
      </c>
      <c r="AS18" s="95">
        <v>6808.75</v>
      </c>
      <c r="AT18" s="95"/>
      <c r="AU18" s="95">
        <f t="shared" si="14"/>
        <v>1225.575</v>
      </c>
      <c r="AV18" s="114"/>
      <c r="AW18" s="126">
        <v>726</v>
      </c>
      <c r="AX18" s="16">
        <f aca="true" t="shared" si="18" ref="AX18:AX25">AW18*1.12*1.18</f>
        <v>959.4816000000001</v>
      </c>
      <c r="AY18" s="116"/>
      <c r="AZ18" s="117"/>
      <c r="BA18" s="117">
        <f aca="true" t="shared" si="19" ref="BA18:BA25">AZ18*0.18</f>
        <v>0</v>
      </c>
      <c r="BB18" s="117">
        <f t="shared" si="15"/>
        <v>27200.34994</v>
      </c>
      <c r="BC18" s="120"/>
      <c r="BD18" s="14">
        <f t="shared" si="1"/>
        <v>2231.195060000002</v>
      </c>
      <c r="BE18" s="30">
        <f t="shared" si="2"/>
        <v>-1826.9599999999991</v>
      </c>
    </row>
    <row r="19" spans="1:57" ht="12.75">
      <c r="A19" s="11" t="s">
        <v>50</v>
      </c>
      <c r="B19" s="132">
        <v>3613.7</v>
      </c>
      <c r="C19" s="103">
        <f t="shared" si="3"/>
        <v>31258.505</v>
      </c>
      <c r="D19" s="121">
        <f t="shared" si="16"/>
        <v>3154.685000000001</v>
      </c>
      <c r="E19" s="129">
        <v>2803.53</v>
      </c>
      <c r="F19" s="129">
        <v>440.78</v>
      </c>
      <c r="G19" s="129">
        <v>3795.9</v>
      </c>
      <c r="H19" s="129">
        <v>597.47</v>
      </c>
      <c r="I19" s="129">
        <v>9122.55</v>
      </c>
      <c r="J19" s="129">
        <v>1434.95</v>
      </c>
      <c r="K19" s="129">
        <v>6319.04</v>
      </c>
      <c r="L19" s="129">
        <v>994.19</v>
      </c>
      <c r="M19" s="129">
        <v>2242.82</v>
      </c>
      <c r="N19" s="130">
        <v>352.59</v>
      </c>
      <c r="O19" s="118">
        <v>0</v>
      </c>
      <c r="P19" s="118">
        <v>0</v>
      </c>
      <c r="Q19" s="118">
        <v>0</v>
      </c>
      <c r="R19" s="118">
        <v>0</v>
      </c>
      <c r="S19" s="91">
        <f t="shared" si="4"/>
        <v>24283.84</v>
      </c>
      <c r="T19" s="105">
        <f t="shared" si="5"/>
        <v>3819.9799999999996</v>
      </c>
      <c r="U19" s="92">
        <v>2567.81</v>
      </c>
      <c r="V19" s="92">
        <v>3475.33</v>
      </c>
      <c r="W19" s="92">
        <v>8353.97</v>
      </c>
      <c r="X19" s="92">
        <v>5786.05</v>
      </c>
      <c r="Y19" s="92">
        <v>2054.26</v>
      </c>
      <c r="Z19" s="92">
        <v>0</v>
      </c>
      <c r="AA19" s="118">
        <v>0</v>
      </c>
      <c r="AB19" s="112">
        <f t="shared" si="6"/>
        <v>22237.42</v>
      </c>
      <c r="AC19" s="110">
        <f t="shared" si="7"/>
        <v>29212.085</v>
      </c>
      <c r="AD19" s="100">
        <f t="shared" si="8"/>
        <v>0</v>
      </c>
      <c r="AE19" s="100">
        <f t="shared" si="9"/>
        <v>0</v>
      </c>
      <c r="AF19" s="100"/>
      <c r="AG19" s="16">
        <f t="shared" si="17"/>
        <v>2168.22</v>
      </c>
      <c r="AH19" s="16">
        <f>B19*0.2*1.01045</f>
        <v>730.292633</v>
      </c>
      <c r="AI19" s="16">
        <f>0.85*B19</f>
        <v>3071.645</v>
      </c>
      <c r="AJ19" s="16">
        <f t="shared" si="10"/>
        <v>552.8960999999999</v>
      </c>
      <c r="AK19" s="16">
        <f>0.83*B19</f>
        <v>2999.3709999999996</v>
      </c>
      <c r="AL19" s="16">
        <f t="shared" si="11"/>
        <v>539.8867799999999</v>
      </c>
      <c r="AM19" s="16">
        <f>(1.91)*B19</f>
        <v>6902.1669999999995</v>
      </c>
      <c r="AN19" s="16">
        <f t="shared" si="12"/>
        <v>1242.39006</v>
      </c>
      <c r="AO19" s="16"/>
      <c r="AP19" s="16">
        <f t="shared" si="13"/>
        <v>0</v>
      </c>
      <c r="AQ19" s="113">
        <f>1025.99+19232.5</f>
        <v>20258.49</v>
      </c>
      <c r="AR19" s="113">
        <f t="shared" si="13"/>
        <v>3646.5282</v>
      </c>
      <c r="AS19" s="95">
        <v>7433.82</v>
      </c>
      <c r="AT19" s="95"/>
      <c r="AU19" s="95">
        <f t="shared" si="14"/>
        <v>1338.0875999999998</v>
      </c>
      <c r="AV19" s="114"/>
      <c r="AW19" s="126">
        <v>728</v>
      </c>
      <c r="AX19" s="16">
        <f t="shared" si="18"/>
        <v>962.1248</v>
      </c>
      <c r="AY19" s="116"/>
      <c r="AZ19" s="117"/>
      <c r="BA19" s="117">
        <f t="shared" si="19"/>
        <v>0</v>
      </c>
      <c r="BB19" s="117">
        <f t="shared" si="15"/>
        <v>51845.919173</v>
      </c>
      <c r="BC19" s="120"/>
      <c r="BD19" s="14">
        <f t="shared" si="1"/>
        <v>-22633.834173000003</v>
      </c>
      <c r="BE19" s="30">
        <f t="shared" si="2"/>
        <v>-2046.420000000002</v>
      </c>
    </row>
    <row r="20" spans="1:57" ht="12.75">
      <c r="A20" s="11" t="s">
        <v>51</v>
      </c>
      <c r="B20" s="111">
        <v>3613.7</v>
      </c>
      <c r="C20" s="103">
        <f t="shared" si="3"/>
        <v>31258.505</v>
      </c>
      <c r="D20" s="121">
        <f t="shared" si="16"/>
        <v>2931.2050000000027</v>
      </c>
      <c r="E20" s="129">
        <v>2814.45</v>
      </c>
      <c r="F20" s="129">
        <v>455.63</v>
      </c>
      <c r="G20" s="129">
        <v>3810.76</v>
      </c>
      <c r="H20" s="129">
        <v>617.6</v>
      </c>
      <c r="I20" s="129">
        <v>9158.12</v>
      </c>
      <c r="J20" s="129">
        <v>1483.3</v>
      </c>
      <c r="K20" s="129">
        <v>6343.71</v>
      </c>
      <c r="L20" s="129">
        <v>1027.69</v>
      </c>
      <c r="M20" s="129">
        <v>2251.57</v>
      </c>
      <c r="N20" s="130">
        <v>364.47</v>
      </c>
      <c r="O20" s="118">
        <v>0</v>
      </c>
      <c r="P20" s="118">
        <v>0</v>
      </c>
      <c r="Q20" s="118">
        <v>0</v>
      </c>
      <c r="R20" s="118">
        <v>0</v>
      </c>
      <c r="S20" s="91">
        <f t="shared" si="4"/>
        <v>24378.61</v>
      </c>
      <c r="T20" s="105">
        <f t="shared" si="5"/>
        <v>3948.69</v>
      </c>
      <c r="U20" s="92">
        <v>3315.6</v>
      </c>
      <c r="V20" s="92">
        <v>4486.22</v>
      </c>
      <c r="W20" s="92">
        <v>10785.79</v>
      </c>
      <c r="X20" s="92">
        <v>7470.17</v>
      </c>
      <c r="Y20" s="92">
        <v>2652.5</v>
      </c>
      <c r="Z20" s="92">
        <v>0</v>
      </c>
      <c r="AA20" s="118">
        <v>0</v>
      </c>
      <c r="AB20" s="112">
        <f t="shared" si="6"/>
        <v>28710.28</v>
      </c>
      <c r="AC20" s="110">
        <f t="shared" si="7"/>
        <v>35590.175</v>
      </c>
      <c r="AD20" s="100">
        <f t="shared" si="8"/>
        <v>0</v>
      </c>
      <c r="AE20" s="100">
        <f t="shared" si="9"/>
        <v>0</v>
      </c>
      <c r="AF20" s="100">
        <f>'[2]Т07-09'!$I$45</f>
        <v>1340.2676000000001</v>
      </c>
      <c r="AG20" s="16">
        <f t="shared" si="17"/>
        <v>2168.22</v>
      </c>
      <c r="AH20" s="16">
        <f>B20*0.2*0.99426</f>
        <v>718.5914724</v>
      </c>
      <c r="AI20" s="16">
        <f>0.85*B20*0.9857</f>
        <v>3027.7204765</v>
      </c>
      <c r="AJ20" s="16">
        <f t="shared" si="10"/>
        <v>544.98968577</v>
      </c>
      <c r="AK20" s="16">
        <f>0.83*B20*0.9905</f>
        <v>2970.8769755</v>
      </c>
      <c r="AL20" s="16">
        <f t="shared" si="11"/>
        <v>534.75785559</v>
      </c>
      <c r="AM20" s="16">
        <f>(1.91)*B20*0.9904</f>
        <v>6835.906196799999</v>
      </c>
      <c r="AN20" s="16">
        <f t="shared" si="12"/>
        <v>1230.4631154239996</v>
      </c>
      <c r="AO20" s="16"/>
      <c r="AP20" s="16">
        <f t="shared" si="13"/>
        <v>0</v>
      </c>
      <c r="AQ20" s="113"/>
      <c r="AR20" s="113">
        <f t="shared" si="13"/>
        <v>0</v>
      </c>
      <c r="AS20" s="95"/>
      <c r="AT20" s="95">
        <f>717.8*2+463.56+228.81*4+183.9*2</f>
        <v>3182.2</v>
      </c>
      <c r="AU20" s="95">
        <f t="shared" si="14"/>
        <v>572.7959999999999</v>
      </c>
      <c r="AV20" s="114"/>
      <c r="AW20" s="126">
        <v>543</v>
      </c>
      <c r="AX20" s="16">
        <f t="shared" si="18"/>
        <v>717.6288000000001</v>
      </c>
      <c r="AY20" s="116"/>
      <c r="AZ20" s="117"/>
      <c r="BA20" s="117">
        <f t="shared" si="19"/>
        <v>0</v>
      </c>
      <c r="BB20" s="117">
        <f t="shared" si="15"/>
        <v>22504.150577983994</v>
      </c>
      <c r="BC20" s="120">
        <f>'[3]Т07-09'!$O$45</f>
        <v>633.3559971999999</v>
      </c>
      <c r="BD20" s="14">
        <f t="shared" si="1"/>
        <v>13792.936024816008</v>
      </c>
      <c r="BE20" s="30">
        <f t="shared" si="2"/>
        <v>4331.669999999998</v>
      </c>
    </row>
    <row r="21" spans="1:57" ht="12.75">
      <c r="A21" s="11" t="s">
        <v>52</v>
      </c>
      <c r="B21" s="102">
        <v>3613.7</v>
      </c>
      <c r="C21" s="103">
        <f t="shared" si="3"/>
        <v>31258.505</v>
      </c>
      <c r="D21" s="121">
        <f t="shared" si="16"/>
        <v>2922.6649999999977</v>
      </c>
      <c r="E21" s="129">
        <v>2813.11</v>
      </c>
      <c r="F21" s="129">
        <v>457.95</v>
      </c>
      <c r="G21" s="129">
        <v>3808.96</v>
      </c>
      <c r="H21" s="129">
        <v>620.74</v>
      </c>
      <c r="I21" s="129">
        <v>9153.79</v>
      </c>
      <c r="J21" s="129">
        <v>1490.85</v>
      </c>
      <c r="K21" s="129">
        <v>6340.7</v>
      </c>
      <c r="L21" s="129">
        <v>1032.92</v>
      </c>
      <c r="M21" s="129">
        <v>2250.5</v>
      </c>
      <c r="N21" s="130">
        <v>366.32</v>
      </c>
      <c r="O21" s="118">
        <v>0</v>
      </c>
      <c r="P21" s="118">
        <v>0</v>
      </c>
      <c r="Q21" s="92">
        <v>0</v>
      </c>
      <c r="R21" s="92">
        <v>0</v>
      </c>
      <c r="S21" s="91">
        <f t="shared" si="4"/>
        <v>24367.06</v>
      </c>
      <c r="T21" s="105">
        <f t="shared" si="5"/>
        <v>3968.7799999999997</v>
      </c>
      <c r="U21" s="92">
        <v>2726.52</v>
      </c>
      <c r="V21" s="92">
        <v>3691.52</v>
      </c>
      <c r="W21" s="92">
        <v>8871.87</v>
      </c>
      <c r="X21" s="92">
        <v>6145.37</v>
      </c>
      <c r="Y21" s="92">
        <v>2181.24</v>
      </c>
      <c r="Z21" s="92">
        <v>0</v>
      </c>
      <c r="AA21" s="118">
        <v>0</v>
      </c>
      <c r="AB21" s="112">
        <f t="shared" si="6"/>
        <v>23616.519999999997</v>
      </c>
      <c r="AC21" s="110">
        <f t="shared" si="7"/>
        <v>30507.964999999997</v>
      </c>
      <c r="AD21" s="100">
        <f t="shared" si="8"/>
        <v>0</v>
      </c>
      <c r="AE21" s="100">
        <f t="shared" si="9"/>
        <v>0</v>
      </c>
      <c r="AF21" s="100">
        <f>'[2]Т07-09'!$I$45</f>
        <v>1340.2676000000001</v>
      </c>
      <c r="AG21" s="16">
        <f t="shared" si="17"/>
        <v>2168.22</v>
      </c>
      <c r="AH21" s="16">
        <f>B21*0.2*0.99875</f>
        <v>721.836575</v>
      </c>
      <c r="AI21" s="16">
        <f>0.85*B21*0.98526</f>
        <v>3026.3689527</v>
      </c>
      <c r="AJ21" s="16">
        <f t="shared" si="10"/>
        <v>544.746411486</v>
      </c>
      <c r="AK21" s="16">
        <f>0.83*B21*0.99</f>
        <v>2969.3772899999994</v>
      </c>
      <c r="AL21" s="16">
        <f t="shared" si="11"/>
        <v>534.4879121999999</v>
      </c>
      <c r="AM21" s="16">
        <f>(1.91)*B21*0.99</f>
        <v>6833.145329999999</v>
      </c>
      <c r="AN21" s="16">
        <f t="shared" si="12"/>
        <v>1229.9661594</v>
      </c>
      <c r="AO21" s="16"/>
      <c r="AP21" s="16">
        <f t="shared" si="13"/>
        <v>0</v>
      </c>
      <c r="AQ21" s="113">
        <v>2118.17</v>
      </c>
      <c r="AR21" s="113">
        <f t="shared" si="13"/>
        <v>381.2706</v>
      </c>
      <c r="AS21" s="95">
        <v>1139</v>
      </c>
      <c r="AT21" s="95"/>
      <c r="AU21" s="95">
        <f t="shared" si="14"/>
        <v>205.01999999999998</v>
      </c>
      <c r="AV21" s="114"/>
      <c r="AW21" s="126">
        <v>658</v>
      </c>
      <c r="AX21" s="16">
        <f t="shared" si="18"/>
        <v>869.6128</v>
      </c>
      <c r="AY21" s="116"/>
      <c r="AZ21" s="117"/>
      <c r="BA21" s="117">
        <f t="shared" si="19"/>
        <v>0</v>
      </c>
      <c r="BB21" s="117">
        <f t="shared" si="15"/>
        <v>22741.222030785993</v>
      </c>
      <c r="BC21" s="120">
        <f>'[3]Т08-09'!$O$45</f>
        <v>633.0682211600001</v>
      </c>
      <c r="BD21" s="14">
        <f t="shared" si="1"/>
        <v>8473.942348054003</v>
      </c>
      <c r="BE21" s="30">
        <f t="shared" si="2"/>
        <v>-750.5400000000045</v>
      </c>
    </row>
    <row r="22" spans="1:57" ht="12.75">
      <c r="A22" s="11" t="s">
        <v>53</v>
      </c>
      <c r="B22" s="102">
        <v>3613.7</v>
      </c>
      <c r="C22" s="103">
        <f t="shared" si="3"/>
        <v>31258.505</v>
      </c>
      <c r="D22" s="121">
        <f t="shared" si="16"/>
        <v>2923.634999999999</v>
      </c>
      <c r="E22" s="127">
        <v>2812.12</v>
      </c>
      <c r="F22" s="127">
        <v>457.95</v>
      </c>
      <c r="G22" s="127">
        <v>3808.97</v>
      </c>
      <c r="H22" s="127">
        <v>620.75</v>
      </c>
      <c r="I22" s="127">
        <v>9153.79</v>
      </c>
      <c r="J22" s="127">
        <v>1490.85</v>
      </c>
      <c r="K22" s="127">
        <v>6340.71</v>
      </c>
      <c r="L22" s="127">
        <v>1032.92</v>
      </c>
      <c r="M22" s="127">
        <v>2250.5</v>
      </c>
      <c r="N22" s="128">
        <v>366.31</v>
      </c>
      <c r="O22" s="106">
        <v>0</v>
      </c>
      <c r="P22" s="106">
        <v>0</v>
      </c>
      <c r="Q22" s="106">
        <v>0</v>
      </c>
      <c r="R22" s="106">
        <v>0</v>
      </c>
      <c r="S22" s="91">
        <f t="shared" si="4"/>
        <v>24366.09</v>
      </c>
      <c r="T22" s="105">
        <f t="shared" si="5"/>
        <v>3968.7799999999997</v>
      </c>
      <c r="U22" s="91">
        <v>3002.29</v>
      </c>
      <c r="V22" s="91">
        <v>4064.98</v>
      </c>
      <c r="W22" s="91">
        <v>9769.27</v>
      </c>
      <c r="X22" s="91">
        <v>6766.97</v>
      </c>
      <c r="Y22" s="91">
        <v>2401.84</v>
      </c>
      <c r="Z22" s="91">
        <v>0</v>
      </c>
      <c r="AA22" s="106">
        <v>0</v>
      </c>
      <c r="AB22" s="112">
        <f t="shared" si="6"/>
        <v>26005.350000000002</v>
      </c>
      <c r="AC22" s="110">
        <f t="shared" si="7"/>
        <v>32897.765</v>
      </c>
      <c r="AD22" s="100">
        <f t="shared" si="8"/>
        <v>0</v>
      </c>
      <c r="AE22" s="100">
        <f t="shared" si="9"/>
        <v>0</v>
      </c>
      <c r="AF22" s="100">
        <f>'[2]Т07-09'!$I$45</f>
        <v>1340.2676000000001</v>
      </c>
      <c r="AG22" s="16">
        <f t="shared" si="17"/>
        <v>2168.22</v>
      </c>
      <c r="AH22" s="16">
        <f>B22*0.2*0.9997</f>
        <v>722.523178</v>
      </c>
      <c r="AI22" s="16">
        <f>0.85*B22*0.98509</f>
        <v>3025.84677305</v>
      </c>
      <c r="AJ22" s="16">
        <f t="shared" si="10"/>
        <v>544.652419149</v>
      </c>
      <c r="AK22" s="16">
        <f>0.83*B22*0.98981</f>
        <v>2968.8074095099996</v>
      </c>
      <c r="AL22" s="16">
        <f t="shared" si="11"/>
        <v>534.3853337118</v>
      </c>
      <c r="AM22" s="16">
        <f>(1.91)*B22*0.9898</f>
        <v>6831.7648966</v>
      </c>
      <c r="AN22" s="16">
        <f t="shared" si="12"/>
        <v>1229.7176813879998</v>
      </c>
      <c r="AO22" s="16"/>
      <c r="AP22" s="16">
        <f t="shared" si="13"/>
        <v>0</v>
      </c>
      <c r="AQ22" s="113"/>
      <c r="AR22" s="113">
        <f t="shared" si="13"/>
        <v>0</v>
      </c>
      <c r="AS22" s="95"/>
      <c r="AT22" s="95"/>
      <c r="AU22" s="95">
        <f t="shared" si="14"/>
        <v>0</v>
      </c>
      <c r="AV22" s="114"/>
      <c r="AW22" s="126">
        <v>782</v>
      </c>
      <c r="AX22" s="16">
        <f t="shared" si="18"/>
        <v>1033.4912</v>
      </c>
      <c r="AY22" s="16"/>
      <c r="AZ22" s="117"/>
      <c r="BA22" s="117">
        <f t="shared" si="19"/>
        <v>0</v>
      </c>
      <c r="BB22" s="117">
        <f t="shared" si="15"/>
        <v>19059.4088914088</v>
      </c>
      <c r="BC22" s="120">
        <f>'[3]Т09-09'!$O$45</f>
        <v>632.972473364</v>
      </c>
      <c r="BD22" s="14">
        <f t="shared" si="1"/>
        <v>14545.6512352272</v>
      </c>
      <c r="BE22" s="30">
        <f t="shared" si="2"/>
        <v>1639.260000000002</v>
      </c>
    </row>
    <row r="23" spans="1:57" ht="12.75">
      <c r="A23" s="11" t="s">
        <v>41</v>
      </c>
      <c r="B23" s="102">
        <v>3611.9</v>
      </c>
      <c r="C23" s="122">
        <f t="shared" si="3"/>
        <v>31242.935</v>
      </c>
      <c r="D23" s="121">
        <f t="shared" si="16"/>
        <v>2373.5050000000015</v>
      </c>
      <c r="E23" s="93">
        <f>2808.1+63.38</f>
        <v>2871.48</v>
      </c>
      <c r="F23" s="91">
        <v>461.43</v>
      </c>
      <c r="G23" s="91">
        <f>3802.18+85.09</f>
        <v>3887.27</v>
      </c>
      <c r="H23" s="91">
        <v>625.45</v>
      </c>
      <c r="I23" s="91">
        <f>9137.47+205.57</f>
        <v>9343.039999999999</v>
      </c>
      <c r="J23" s="91">
        <v>1502.16</v>
      </c>
      <c r="K23" s="91">
        <f>6329.4+142.18</f>
        <v>6471.58</v>
      </c>
      <c r="L23" s="91">
        <v>1040.76</v>
      </c>
      <c r="M23" s="91">
        <f>2246.49+50.67</f>
        <v>2297.16</v>
      </c>
      <c r="N23" s="106">
        <v>369.1</v>
      </c>
      <c r="O23" s="106">
        <v>0</v>
      </c>
      <c r="P23" s="106">
        <v>0</v>
      </c>
      <c r="Q23" s="91">
        <v>0</v>
      </c>
      <c r="R23" s="91">
        <v>0</v>
      </c>
      <c r="S23" s="91">
        <f t="shared" si="4"/>
        <v>24870.53</v>
      </c>
      <c r="T23" s="105">
        <f t="shared" si="5"/>
        <v>3998.9</v>
      </c>
      <c r="U23" s="94">
        <f>2832.52+208.18</f>
        <v>3040.7</v>
      </c>
      <c r="V23" s="91">
        <f>3834.3+282.18</f>
        <v>4116.4800000000005</v>
      </c>
      <c r="W23" s="91">
        <f>9215.99+677.77</f>
        <v>9893.76</v>
      </c>
      <c r="X23" s="91">
        <f>6383.55+469.58</f>
        <v>6853.13</v>
      </c>
      <c r="Y23" s="91">
        <f>2266.04+166.58</f>
        <v>2432.62</v>
      </c>
      <c r="Z23" s="106">
        <v>0</v>
      </c>
      <c r="AA23" s="106">
        <v>0</v>
      </c>
      <c r="AB23" s="106">
        <f>SUM(U23:AA23)</f>
        <v>26336.690000000002</v>
      </c>
      <c r="AC23" s="110">
        <f>AB23+T23+D23</f>
        <v>32709.095000000005</v>
      </c>
      <c r="AD23" s="100">
        <f t="shared" si="8"/>
        <v>0</v>
      </c>
      <c r="AE23" s="100">
        <f t="shared" si="9"/>
        <v>0</v>
      </c>
      <c r="AF23" s="100">
        <f>'[1]Т10'!$I$46</f>
        <v>1340.2676000000001</v>
      </c>
      <c r="AG23" s="16">
        <f t="shared" si="17"/>
        <v>2167.14</v>
      </c>
      <c r="AH23" s="16">
        <f>B23*0.2</f>
        <v>722.3800000000001</v>
      </c>
      <c r="AI23" s="16">
        <f>0.847*B23</f>
        <v>3059.2793</v>
      </c>
      <c r="AJ23" s="16">
        <f t="shared" si="10"/>
        <v>550.6702740000001</v>
      </c>
      <c r="AK23" s="16">
        <f>0.83*B23</f>
        <v>2997.877</v>
      </c>
      <c r="AL23" s="16">
        <f t="shared" si="11"/>
        <v>539.61786</v>
      </c>
      <c r="AM23" s="16">
        <f>(2.25/1.18)*B23</f>
        <v>6887.097457627119</v>
      </c>
      <c r="AN23" s="16">
        <f t="shared" si="12"/>
        <v>1239.6775423728814</v>
      </c>
      <c r="AO23" s="16"/>
      <c r="AP23" s="16">
        <f t="shared" si="13"/>
        <v>0</v>
      </c>
      <c r="AQ23" s="113"/>
      <c r="AR23" s="113">
        <f t="shared" si="13"/>
        <v>0</v>
      </c>
      <c r="AS23" s="95">
        <v>35480.14</v>
      </c>
      <c r="AT23" s="95">
        <v>72.88</v>
      </c>
      <c r="AU23" s="95">
        <f t="shared" si="14"/>
        <v>6399.543599999999</v>
      </c>
      <c r="AV23" s="114"/>
      <c r="AW23" s="125">
        <v>705</v>
      </c>
      <c r="AX23" s="16">
        <f t="shared" si="18"/>
        <v>931.728</v>
      </c>
      <c r="AY23" s="116"/>
      <c r="AZ23" s="133"/>
      <c r="BA23" s="117">
        <f t="shared" si="19"/>
        <v>0</v>
      </c>
      <c r="BB23" s="117">
        <f>SUM(AG23:AU23)+AX23+AY23+AZ23+BA23</f>
        <v>61048.031034</v>
      </c>
      <c r="BC23" s="120">
        <f>'[4]Т10'!$O$46</f>
        <v>637.9233200000001</v>
      </c>
      <c r="BD23" s="14">
        <f t="shared" si="1"/>
        <v>-27636.591753999994</v>
      </c>
      <c r="BE23" s="30">
        <f t="shared" si="2"/>
        <v>1466.1600000000035</v>
      </c>
    </row>
    <row r="24" spans="1:57" ht="12.75">
      <c r="A24" s="11" t="s">
        <v>42</v>
      </c>
      <c r="B24" s="111">
        <v>3610.5</v>
      </c>
      <c r="C24" s="122">
        <f t="shared" si="3"/>
        <v>31230.825</v>
      </c>
      <c r="D24" s="121">
        <f t="shared" si="16"/>
        <v>2976.655000000002</v>
      </c>
      <c r="E24" s="127">
        <v>2787.31</v>
      </c>
      <c r="F24" s="127">
        <v>474.32</v>
      </c>
      <c r="G24" s="127">
        <v>3774.06</v>
      </c>
      <c r="H24" s="127">
        <v>642.92</v>
      </c>
      <c r="I24" s="127">
        <v>9069.88</v>
      </c>
      <c r="J24" s="127">
        <v>1544.05</v>
      </c>
      <c r="K24" s="127">
        <v>6282.61</v>
      </c>
      <c r="L24" s="127">
        <v>1069.75</v>
      </c>
      <c r="M24" s="127">
        <v>2229.89</v>
      </c>
      <c r="N24" s="128">
        <v>379.38</v>
      </c>
      <c r="O24" s="106">
        <v>0</v>
      </c>
      <c r="P24" s="106">
        <v>0</v>
      </c>
      <c r="Q24" s="106">
        <v>0</v>
      </c>
      <c r="R24" s="106">
        <v>0</v>
      </c>
      <c r="S24" s="91">
        <f t="shared" si="4"/>
        <v>24143.75</v>
      </c>
      <c r="T24" s="105">
        <f t="shared" si="5"/>
        <v>4110.42</v>
      </c>
      <c r="U24" s="91">
        <v>2621.96</v>
      </c>
      <c r="V24" s="91">
        <v>3550.5</v>
      </c>
      <c r="W24" s="91">
        <v>8532.07</v>
      </c>
      <c r="X24" s="91">
        <v>5910.07</v>
      </c>
      <c r="Y24" s="91">
        <v>2097.58</v>
      </c>
      <c r="Z24" s="91">
        <v>0</v>
      </c>
      <c r="AA24" s="106">
        <v>0</v>
      </c>
      <c r="AB24" s="106">
        <f>SUM(U24:AA24)</f>
        <v>22712.18</v>
      </c>
      <c r="AC24" s="110">
        <f>D24+T24+AB24</f>
        <v>29799.255000000005</v>
      </c>
      <c r="AD24" s="100">
        <f t="shared" si="8"/>
        <v>0</v>
      </c>
      <c r="AE24" s="100">
        <f t="shared" si="9"/>
        <v>0</v>
      </c>
      <c r="AF24" s="100">
        <f>'[1]Т11'!$I$46</f>
        <v>1340.2676000000001</v>
      </c>
      <c r="AG24" s="16">
        <f t="shared" si="17"/>
        <v>2166.2999999999997</v>
      </c>
      <c r="AH24" s="16">
        <f>B24*0.2</f>
        <v>722.1</v>
      </c>
      <c r="AI24" s="16">
        <f>0.85*B24</f>
        <v>3068.9249999999997</v>
      </c>
      <c r="AJ24" s="16">
        <f t="shared" si="10"/>
        <v>552.4064999999999</v>
      </c>
      <c r="AK24" s="16">
        <f>0.83*B24</f>
        <v>2996.7149999999997</v>
      </c>
      <c r="AL24" s="16">
        <f t="shared" si="11"/>
        <v>539.4087</v>
      </c>
      <c r="AM24" s="16">
        <f>(1.91)*B24</f>
        <v>6896.054999999999</v>
      </c>
      <c r="AN24" s="16">
        <f t="shared" si="12"/>
        <v>1241.2898999999998</v>
      </c>
      <c r="AO24" s="16"/>
      <c r="AP24" s="16">
        <f t="shared" si="13"/>
        <v>0</v>
      </c>
      <c r="AQ24" s="113"/>
      <c r="AR24" s="113">
        <f t="shared" si="13"/>
        <v>0</v>
      </c>
      <c r="AS24" s="95">
        <v>2002</v>
      </c>
      <c r="AT24" s="95"/>
      <c r="AU24" s="95">
        <f t="shared" si="14"/>
        <v>360.36</v>
      </c>
      <c r="AV24" s="114"/>
      <c r="AW24" s="125">
        <v>760</v>
      </c>
      <c r="AX24" s="16">
        <f t="shared" si="18"/>
        <v>1004.416</v>
      </c>
      <c r="AY24" s="116"/>
      <c r="AZ24" s="117"/>
      <c r="BA24" s="117">
        <f t="shared" si="19"/>
        <v>0</v>
      </c>
      <c r="BB24" s="117">
        <f>SUM(AG24:AU24)+AX24+AY24+AZ24+BA24</f>
        <v>21549.9761</v>
      </c>
      <c r="BC24" s="123">
        <f>'[1]Т11'!$O$46</f>
        <v>638.8163999999999</v>
      </c>
      <c r="BD24" s="14">
        <f t="shared" si="1"/>
        <v>8950.730100000004</v>
      </c>
      <c r="BE24" s="30">
        <f t="shared" si="2"/>
        <v>-1431.5699999999997</v>
      </c>
    </row>
    <row r="25" spans="1:57" ht="12.75">
      <c r="A25" s="11" t="s">
        <v>43</v>
      </c>
      <c r="B25" s="102">
        <v>3610.5</v>
      </c>
      <c r="C25" s="122">
        <f t="shared" si="3"/>
        <v>31230.825</v>
      </c>
      <c r="D25" s="121">
        <f t="shared" si="16"/>
        <v>2990.855000000002</v>
      </c>
      <c r="E25" s="127">
        <v>2784.1</v>
      </c>
      <c r="F25" s="127">
        <v>475.64</v>
      </c>
      <c r="G25" s="127">
        <v>3770.46</v>
      </c>
      <c r="H25" s="127">
        <v>644.72</v>
      </c>
      <c r="I25" s="127">
        <v>9060.03</v>
      </c>
      <c r="J25" s="127">
        <v>1548.43</v>
      </c>
      <c r="K25" s="127">
        <v>6276</v>
      </c>
      <c r="L25" s="127">
        <v>1072.81</v>
      </c>
      <c r="M25" s="127">
        <v>2227.32</v>
      </c>
      <c r="N25" s="128">
        <v>380.46</v>
      </c>
      <c r="O25" s="106">
        <v>0</v>
      </c>
      <c r="P25" s="106">
        <v>0</v>
      </c>
      <c r="Q25" s="106"/>
      <c r="R25" s="106"/>
      <c r="S25" s="91">
        <f t="shared" si="4"/>
        <v>24117.91</v>
      </c>
      <c r="T25" s="105">
        <f t="shared" si="5"/>
        <v>4122.06</v>
      </c>
      <c r="U25" s="91">
        <v>3287.78</v>
      </c>
      <c r="V25" s="91">
        <v>4452.95</v>
      </c>
      <c r="W25" s="91">
        <v>10699.58</v>
      </c>
      <c r="X25" s="91">
        <v>7408.88</v>
      </c>
      <c r="Y25" s="91">
        <v>2629.15</v>
      </c>
      <c r="Z25" s="91">
        <v>0</v>
      </c>
      <c r="AA25" s="106">
        <v>0</v>
      </c>
      <c r="AB25" s="106">
        <f>SUM(U25:AA25)</f>
        <v>28478.34</v>
      </c>
      <c r="AC25" s="110">
        <f>D25+T25+AB25</f>
        <v>35591.255000000005</v>
      </c>
      <c r="AD25" s="100">
        <f t="shared" si="8"/>
        <v>0</v>
      </c>
      <c r="AE25" s="100">
        <f t="shared" si="9"/>
        <v>0</v>
      </c>
      <c r="AF25" s="100">
        <f>'[1]Т12'!$I$46</f>
        <v>1340.2676000000001</v>
      </c>
      <c r="AG25" s="16">
        <f t="shared" si="17"/>
        <v>2166.2999999999997</v>
      </c>
      <c r="AH25" s="16">
        <f>B25*0.2</f>
        <v>722.1</v>
      </c>
      <c r="AI25" s="16">
        <f>0.85*B25</f>
        <v>3068.9249999999997</v>
      </c>
      <c r="AJ25" s="16">
        <f t="shared" si="10"/>
        <v>552.4064999999999</v>
      </c>
      <c r="AK25" s="16">
        <f>0.83*B25</f>
        <v>2996.7149999999997</v>
      </c>
      <c r="AL25" s="16">
        <f t="shared" si="11"/>
        <v>539.4087</v>
      </c>
      <c r="AM25" s="16">
        <f>(1.91)*B25</f>
        <v>6896.054999999999</v>
      </c>
      <c r="AN25" s="16">
        <f t="shared" si="12"/>
        <v>1241.2898999999998</v>
      </c>
      <c r="AO25" s="16"/>
      <c r="AP25" s="16">
        <f t="shared" si="13"/>
        <v>0</v>
      </c>
      <c r="AQ25" s="113"/>
      <c r="AR25" s="113">
        <f t="shared" si="13"/>
        <v>0</v>
      </c>
      <c r="AS25" s="95">
        <v>18848</v>
      </c>
      <c r="AT25" s="95"/>
      <c r="AU25" s="95">
        <f t="shared" si="14"/>
        <v>3392.64</v>
      </c>
      <c r="AV25" s="114"/>
      <c r="AW25" s="125">
        <v>892</v>
      </c>
      <c r="AX25" s="16">
        <f t="shared" si="18"/>
        <v>1178.8672000000001</v>
      </c>
      <c r="AY25" s="116"/>
      <c r="AZ25" s="117"/>
      <c r="BA25" s="117">
        <f t="shared" si="19"/>
        <v>0</v>
      </c>
      <c r="BB25" s="117">
        <f>SUM(AG25:BA25)-AV25-AW25</f>
        <v>41602.7073</v>
      </c>
      <c r="BC25" s="123">
        <f>'[1]Т12'!$O$46</f>
        <v>638.8163999999999</v>
      </c>
      <c r="BD25" s="14">
        <f t="shared" si="1"/>
        <v>-5310.001099999998</v>
      </c>
      <c r="BE25" s="30">
        <f t="shared" si="2"/>
        <v>4360.43</v>
      </c>
    </row>
    <row r="26" spans="1:57" s="20" customFormat="1" ht="12.75">
      <c r="A26" s="17" t="s">
        <v>5</v>
      </c>
      <c r="B26" s="60"/>
      <c r="C26" s="60">
        <f aca="true" t="shared" si="20" ref="C26:BC26">SUM(C14:C25)</f>
        <v>375031.13</v>
      </c>
      <c r="D26" s="60">
        <f t="shared" si="20"/>
        <v>38799.21250000001</v>
      </c>
      <c r="E26" s="57">
        <f t="shared" si="20"/>
        <v>33045.46</v>
      </c>
      <c r="F26" s="57">
        <f t="shared" si="20"/>
        <v>5293.96</v>
      </c>
      <c r="G26" s="57">
        <f t="shared" si="20"/>
        <v>44459.719999999994</v>
      </c>
      <c r="H26" s="57">
        <f t="shared" si="20"/>
        <v>7166.92</v>
      </c>
      <c r="I26" s="57">
        <f t="shared" si="20"/>
        <v>106905.17</v>
      </c>
      <c r="J26" s="57">
        <f t="shared" si="20"/>
        <v>17225.25</v>
      </c>
      <c r="K26" s="57">
        <f t="shared" si="20"/>
        <v>74039.09</v>
      </c>
      <c r="L26" s="57">
        <f t="shared" si="20"/>
        <v>11931.470000000001</v>
      </c>
      <c r="M26" s="57">
        <f t="shared" si="20"/>
        <v>26293.249999999996</v>
      </c>
      <c r="N26" s="57">
        <f t="shared" si="20"/>
        <v>4234.8</v>
      </c>
      <c r="O26" s="57">
        <f t="shared" si="20"/>
        <v>0</v>
      </c>
      <c r="P26" s="57">
        <f t="shared" si="20"/>
        <v>0</v>
      </c>
      <c r="Q26" s="57">
        <f t="shared" si="20"/>
        <v>0</v>
      </c>
      <c r="R26" s="57">
        <f t="shared" si="20"/>
        <v>0</v>
      </c>
      <c r="S26" s="57">
        <f t="shared" si="20"/>
        <v>284742.68999999994</v>
      </c>
      <c r="T26" s="57">
        <f t="shared" si="20"/>
        <v>45852.399999999994</v>
      </c>
      <c r="U26" s="61">
        <f t="shared" si="20"/>
        <v>32690.1</v>
      </c>
      <c r="V26" s="61">
        <f t="shared" si="20"/>
        <v>44210.12</v>
      </c>
      <c r="W26" s="61">
        <f t="shared" si="20"/>
        <v>106320.65000000001</v>
      </c>
      <c r="X26" s="61">
        <f t="shared" si="20"/>
        <v>73627.36000000002</v>
      </c>
      <c r="Y26" s="61">
        <f t="shared" si="20"/>
        <v>26151.1</v>
      </c>
      <c r="Z26" s="61">
        <f t="shared" si="20"/>
        <v>0</v>
      </c>
      <c r="AA26" s="61">
        <f t="shared" si="20"/>
        <v>0</v>
      </c>
      <c r="AB26" s="61">
        <f t="shared" si="20"/>
        <v>282999.33</v>
      </c>
      <c r="AC26" s="61">
        <f t="shared" si="20"/>
        <v>367650.9425</v>
      </c>
      <c r="AD26" s="61">
        <f t="shared" si="20"/>
        <v>0</v>
      </c>
      <c r="AE26" s="98">
        <f t="shared" si="20"/>
        <v>0</v>
      </c>
      <c r="AF26" s="98">
        <f t="shared" si="20"/>
        <v>8041.605600000001</v>
      </c>
      <c r="AG26" s="18">
        <f t="shared" si="20"/>
        <v>25146.431999999997</v>
      </c>
      <c r="AH26" s="18">
        <f t="shared" si="20"/>
        <v>8419.0471044</v>
      </c>
      <c r="AI26" s="18">
        <f t="shared" si="20"/>
        <v>35160.035080249996</v>
      </c>
      <c r="AJ26" s="18">
        <f t="shared" si="20"/>
        <v>6328.806314445</v>
      </c>
      <c r="AK26" s="18">
        <f t="shared" si="20"/>
        <v>34171.05653870999</v>
      </c>
      <c r="AL26" s="18">
        <f t="shared" si="20"/>
        <v>6150.790176967799</v>
      </c>
      <c r="AM26" s="18">
        <f t="shared" si="20"/>
        <v>78623.58963932711</v>
      </c>
      <c r="AN26" s="18">
        <f t="shared" si="20"/>
        <v>14152.246135078878</v>
      </c>
      <c r="AO26" s="18">
        <f t="shared" si="20"/>
        <v>0</v>
      </c>
      <c r="AP26" s="18">
        <f t="shared" si="20"/>
        <v>0</v>
      </c>
      <c r="AQ26" s="18">
        <f>SUM(AQ14:AQ25)</f>
        <v>38361.84</v>
      </c>
      <c r="AR26" s="18">
        <f>SUM(AR14:AR25)</f>
        <v>6905.1312</v>
      </c>
      <c r="AS26" s="18">
        <f>SUM(AS14:AS25)</f>
        <v>105992.57</v>
      </c>
      <c r="AT26" s="18">
        <f>SUM(AT14:AT25)</f>
        <v>3255.08</v>
      </c>
      <c r="AU26" s="18">
        <f>SUM(AU14:AU25)</f>
        <v>19664.587</v>
      </c>
      <c r="AV26" s="18"/>
      <c r="AW26" s="18"/>
      <c r="AX26" s="18">
        <f t="shared" si="20"/>
        <v>17228.3776</v>
      </c>
      <c r="AY26" s="18">
        <f t="shared" si="20"/>
        <v>0</v>
      </c>
      <c r="AZ26" s="18">
        <f t="shared" si="20"/>
        <v>0</v>
      </c>
      <c r="BA26" s="18">
        <f t="shared" si="20"/>
        <v>0</v>
      </c>
      <c r="BB26" s="18">
        <f t="shared" si="20"/>
        <v>395331.7903891788</v>
      </c>
      <c r="BC26" s="18">
        <f t="shared" si="20"/>
        <v>3814.9528117239997</v>
      </c>
      <c r="BD26" s="18">
        <f>SUM(BD14:BD25)</f>
        <v>-23454.195100902776</v>
      </c>
      <c r="BE26" s="19">
        <f>SUM(BE14:BE25)</f>
        <v>-1743.3599999999933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9"/>
      <c r="AD27" s="99"/>
      <c r="AE27" s="100"/>
      <c r="AF27" s="100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15"/>
      <c r="AT27" s="15"/>
      <c r="AU27" s="16"/>
      <c r="AV27" s="16"/>
      <c r="AW27" s="16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468806.645</v>
      </c>
      <c r="D28" s="23">
        <f>D12+D26</f>
        <v>61371.29154555001</v>
      </c>
      <c r="E28" s="50">
        <f aca="true" t="shared" si="21" ref="E28:BC28">E12+E26</f>
        <v>40780.36</v>
      </c>
      <c r="F28" s="50">
        <f t="shared" si="21"/>
        <v>6485.5</v>
      </c>
      <c r="G28" s="50">
        <f t="shared" si="21"/>
        <v>54901.88999999999</v>
      </c>
      <c r="H28" s="50">
        <f t="shared" si="21"/>
        <v>8775.49</v>
      </c>
      <c r="I28" s="50">
        <f t="shared" si="21"/>
        <v>132265.37</v>
      </c>
      <c r="J28" s="50">
        <f t="shared" si="21"/>
        <v>21097.68</v>
      </c>
      <c r="K28" s="50">
        <f t="shared" si="21"/>
        <v>91442.72</v>
      </c>
      <c r="L28" s="50">
        <f t="shared" si="21"/>
        <v>14612.36</v>
      </c>
      <c r="M28" s="50">
        <f t="shared" si="21"/>
        <v>32481.189999999995</v>
      </c>
      <c r="N28" s="50">
        <f>N12+N26</f>
        <v>5188.04</v>
      </c>
      <c r="O28" s="50">
        <f t="shared" si="21"/>
        <v>0</v>
      </c>
      <c r="P28" s="50">
        <f t="shared" si="21"/>
        <v>0</v>
      </c>
      <c r="Q28" s="50">
        <f t="shared" si="21"/>
        <v>0</v>
      </c>
      <c r="R28" s="50">
        <f t="shared" si="21"/>
        <v>0</v>
      </c>
      <c r="S28" s="50">
        <f t="shared" si="21"/>
        <v>351871.5299999999</v>
      </c>
      <c r="T28" s="50">
        <f t="shared" si="21"/>
        <v>56159.06999999999</v>
      </c>
      <c r="U28" s="53">
        <f t="shared" si="21"/>
        <v>37264.88</v>
      </c>
      <c r="V28" s="53">
        <f t="shared" si="21"/>
        <v>50386.090000000004</v>
      </c>
      <c r="W28" s="53">
        <f t="shared" si="21"/>
        <v>121410.40000000001</v>
      </c>
      <c r="X28" s="53">
        <f t="shared" si="21"/>
        <v>83920.65000000002</v>
      </c>
      <c r="Y28" s="53">
        <f t="shared" si="21"/>
        <v>29810.96</v>
      </c>
      <c r="Z28" s="53">
        <f t="shared" si="21"/>
        <v>0</v>
      </c>
      <c r="AA28" s="53">
        <f t="shared" si="21"/>
        <v>0</v>
      </c>
      <c r="AB28" s="53">
        <f t="shared" si="21"/>
        <v>322792.98000000004</v>
      </c>
      <c r="AC28" s="53">
        <f t="shared" si="21"/>
        <v>440323.34154555004</v>
      </c>
      <c r="AD28" s="53">
        <f t="shared" si="21"/>
        <v>0</v>
      </c>
      <c r="AE28" s="53">
        <f>AE12+AE26</f>
        <v>0</v>
      </c>
      <c r="AF28" s="53">
        <f t="shared" si="21"/>
        <v>8041.605600000001</v>
      </c>
      <c r="AG28" s="23">
        <f t="shared" si="21"/>
        <v>31651.091999999997</v>
      </c>
      <c r="AH28" s="23">
        <f t="shared" si="21"/>
        <v>10651.2295944</v>
      </c>
      <c r="AI28" s="23">
        <f t="shared" si="21"/>
        <v>44385.502084249994</v>
      </c>
      <c r="AJ28" s="23">
        <f t="shared" si="21"/>
        <v>7989.390375165</v>
      </c>
      <c r="AK28" s="23">
        <f t="shared" si="21"/>
        <v>44906.60469814999</v>
      </c>
      <c r="AL28" s="23">
        <f t="shared" si="21"/>
        <v>8083.1888456669985</v>
      </c>
      <c r="AM28" s="23">
        <f t="shared" si="21"/>
        <v>98339.8367398371</v>
      </c>
      <c r="AN28" s="23">
        <f t="shared" si="21"/>
        <v>17701.170613170678</v>
      </c>
      <c r="AO28" s="23">
        <f t="shared" si="21"/>
        <v>0</v>
      </c>
      <c r="AP28" s="23">
        <f t="shared" si="21"/>
        <v>0</v>
      </c>
      <c r="AQ28" s="23">
        <f t="shared" si="21"/>
        <v>38361.84</v>
      </c>
      <c r="AR28" s="23">
        <f t="shared" si="21"/>
        <v>6905.1312</v>
      </c>
      <c r="AS28" s="23">
        <f t="shared" si="21"/>
        <v>128608.67000000001</v>
      </c>
      <c r="AT28" s="23">
        <f t="shared" si="21"/>
        <v>3255.08</v>
      </c>
      <c r="AU28" s="23">
        <f t="shared" si="21"/>
        <v>23735.485</v>
      </c>
      <c r="AV28" s="23"/>
      <c r="AW28" s="23"/>
      <c r="AX28" s="23">
        <f t="shared" si="21"/>
        <v>17228.3776</v>
      </c>
      <c r="AY28" s="23">
        <f t="shared" si="21"/>
        <v>0</v>
      </c>
      <c r="AZ28" s="23">
        <f t="shared" si="21"/>
        <v>0</v>
      </c>
      <c r="BA28" s="23">
        <f t="shared" si="21"/>
        <v>0</v>
      </c>
      <c r="BB28" s="23">
        <f t="shared" si="21"/>
        <v>477574.8003506398</v>
      </c>
      <c r="BC28" s="23">
        <f t="shared" si="21"/>
        <v>3814.9528117239997</v>
      </c>
      <c r="BD28" s="23">
        <f>BD12+BD26</f>
        <v>-33024.806016813774</v>
      </c>
      <c r="BE28" s="24">
        <f>BE12+BE26</f>
        <v>-29078.54999999999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6"/>
      <c r="AD29" s="96"/>
      <c r="AE29" s="97"/>
      <c r="AF29" s="97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31"/>
      <c r="AT29" s="31"/>
      <c r="AU29" s="14"/>
      <c r="AV29" s="14"/>
      <c r="AW29" s="14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2">
        <v>3610.5</v>
      </c>
      <c r="C30" s="122">
        <f aca="true" t="shared" si="22" ref="C30:C41">B30*8.65</f>
        <v>31230.825</v>
      </c>
      <c r="D30" s="121">
        <f aca="true" t="shared" si="23" ref="D30:D41">C30-E30-F30-G30-H30-I30-J30-K30-L30-M30-N30</f>
        <v>2932.985000000002</v>
      </c>
      <c r="E30" s="127">
        <v>2788.04</v>
      </c>
      <c r="F30" s="127">
        <v>478.62</v>
      </c>
      <c r="G30" s="127">
        <v>3775.03</v>
      </c>
      <c r="H30" s="127">
        <v>648.77</v>
      </c>
      <c r="I30" s="127">
        <v>9072.2</v>
      </c>
      <c r="J30" s="127">
        <v>1558.14</v>
      </c>
      <c r="K30" s="127">
        <v>6284.21</v>
      </c>
      <c r="L30" s="127">
        <v>1079.53</v>
      </c>
      <c r="M30" s="127">
        <v>2230.45</v>
      </c>
      <c r="N30" s="128">
        <v>382.85</v>
      </c>
      <c r="O30" s="106">
        <v>0</v>
      </c>
      <c r="P30" s="106">
        <v>0</v>
      </c>
      <c r="Q30" s="106"/>
      <c r="R30" s="106"/>
      <c r="S30" s="91">
        <f aca="true" t="shared" si="24" ref="S30:S41">E30+G30+I30+K30+M30+O30+Q30</f>
        <v>24149.93</v>
      </c>
      <c r="T30" s="105">
        <f aca="true" t="shared" si="25" ref="T30:T41">P30+N30+L30+J30+H30+F30+R30</f>
        <v>4147.910000000001</v>
      </c>
      <c r="U30" s="91">
        <v>2142.8</v>
      </c>
      <c r="V30" s="91">
        <v>2901.48</v>
      </c>
      <c r="W30" s="91">
        <v>6972.61</v>
      </c>
      <c r="X30" s="91">
        <v>4832.93</v>
      </c>
      <c r="Y30" s="91">
        <v>1715.29</v>
      </c>
      <c r="Z30" s="91">
        <v>0</v>
      </c>
      <c r="AA30" s="106">
        <v>0</v>
      </c>
      <c r="AB30" s="106">
        <f>SUM(U30:AA30)</f>
        <v>18565.11</v>
      </c>
      <c r="AC30" s="110">
        <f aca="true" t="shared" si="26" ref="AC30:AC41">D30+T30+AB30</f>
        <v>25646.005000000005</v>
      </c>
      <c r="AD30" s="100">
        <f aca="true" t="shared" si="27" ref="AD30:AD41">P30+Z30</f>
        <v>0</v>
      </c>
      <c r="AE30" s="100">
        <f aca="true" t="shared" si="28" ref="AE30:AE41">R30+AA30</f>
        <v>0</v>
      </c>
      <c r="AF30" s="100">
        <f>'[5]Т01-10'!$I$44</f>
        <v>1340.2676000000001</v>
      </c>
      <c r="AG30" s="16">
        <f aca="true" t="shared" si="29" ref="AG30:AG41">0.6*B30</f>
        <v>2166.2999999999997</v>
      </c>
      <c r="AH30" s="16">
        <f aca="true" t="shared" si="30" ref="AH30:AH41">B30*0.2</f>
        <v>722.1</v>
      </c>
      <c r="AI30" s="16">
        <f aca="true" t="shared" si="31" ref="AI30:AI41">1*B30</f>
        <v>3610.5</v>
      </c>
      <c r="AJ30" s="16">
        <v>0</v>
      </c>
      <c r="AK30" s="16">
        <f aca="true" t="shared" si="32" ref="AK30:AK41">0.98*B30</f>
        <v>3538.29</v>
      </c>
      <c r="AL30" s="16">
        <v>0</v>
      </c>
      <c r="AM30" s="16">
        <f aca="true" t="shared" si="33" ref="AM30:AM41">2.25*B30</f>
        <v>8123.625</v>
      </c>
      <c r="AN30" s="16">
        <v>0</v>
      </c>
      <c r="AO30" s="16"/>
      <c r="AP30" s="16">
        <v>0</v>
      </c>
      <c r="AQ30" s="113"/>
      <c r="AR30" s="113"/>
      <c r="AS30" s="95">
        <v>0</v>
      </c>
      <c r="AT30" s="95">
        <v>128.6</v>
      </c>
      <c r="AU30" s="95">
        <f aca="true" t="shared" si="34" ref="AU30:AU40">AT30*0.18</f>
        <v>23.148</v>
      </c>
      <c r="AV30" s="114"/>
      <c r="AW30" s="125">
        <v>835</v>
      </c>
      <c r="AX30" s="16">
        <f aca="true" t="shared" si="35" ref="AX30:AX41">AW30*1.4</f>
        <v>1169</v>
      </c>
      <c r="AY30" s="116"/>
      <c r="AZ30" s="117"/>
      <c r="BA30" s="117">
        <f aca="true" t="shared" si="36" ref="BA30:BA41">AZ30*0.18</f>
        <v>0</v>
      </c>
      <c r="BB30" s="117">
        <f aca="true" t="shared" si="37" ref="BB30:BB41">SUM(AG30:BA30)-AV30-AW30</f>
        <v>19481.563</v>
      </c>
      <c r="BC30" s="123">
        <f>'[5]Т03-10'!$M$45</f>
        <v>638.06</v>
      </c>
      <c r="BD30" s="14">
        <f aca="true" t="shared" si="38" ref="BD30:BD41">AC30+AF30-BB30-BC30</f>
        <v>6866.649600000006</v>
      </c>
      <c r="BE30" s="30">
        <f aca="true" t="shared" si="39" ref="BE30:BE41">AB30-S30</f>
        <v>-5584.82</v>
      </c>
    </row>
    <row r="31" spans="1:57" ht="12.75">
      <c r="A31" s="11" t="s">
        <v>46</v>
      </c>
      <c r="B31" s="111">
        <v>3610.5</v>
      </c>
      <c r="C31" s="122">
        <f t="shared" si="22"/>
        <v>31230.825</v>
      </c>
      <c r="D31" s="121">
        <f t="shared" si="23"/>
        <v>2953.805000000004</v>
      </c>
      <c r="E31" s="134">
        <v>2794.5</v>
      </c>
      <c r="F31" s="135">
        <v>469.71</v>
      </c>
      <c r="G31" s="135">
        <v>3783.94</v>
      </c>
      <c r="H31" s="135">
        <v>636.69</v>
      </c>
      <c r="I31" s="135">
        <v>9093.37</v>
      </c>
      <c r="J31" s="135">
        <v>1529.13</v>
      </c>
      <c r="K31" s="135">
        <v>6298.9</v>
      </c>
      <c r="L31" s="135">
        <v>1059.44</v>
      </c>
      <c r="M31" s="135">
        <v>2235.62</v>
      </c>
      <c r="N31" s="136">
        <v>375.72</v>
      </c>
      <c r="O31" s="136">
        <v>0</v>
      </c>
      <c r="P31" s="136">
        <v>0</v>
      </c>
      <c r="Q31" s="136">
        <v>0</v>
      </c>
      <c r="R31" s="136">
        <v>0</v>
      </c>
      <c r="S31" s="91">
        <f t="shared" si="24"/>
        <v>24206.329999999998</v>
      </c>
      <c r="T31" s="105">
        <f t="shared" si="25"/>
        <v>4070.69</v>
      </c>
      <c r="U31" s="91">
        <v>2273.82</v>
      </c>
      <c r="V31" s="91">
        <v>3079.59</v>
      </c>
      <c r="W31" s="91">
        <v>7399.7</v>
      </c>
      <c r="X31" s="91">
        <v>5126.09</v>
      </c>
      <c r="Y31" s="91">
        <v>1819.09</v>
      </c>
      <c r="Z31" s="91">
        <v>0</v>
      </c>
      <c r="AA31" s="106">
        <v>0</v>
      </c>
      <c r="AB31" s="106">
        <f>SUM(U31:AA31)</f>
        <v>19698.29</v>
      </c>
      <c r="AC31" s="110">
        <f t="shared" si="26"/>
        <v>26722.785000000003</v>
      </c>
      <c r="AD31" s="100">
        <f t="shared" si="27"/>
        <v>0</v>
      </c>
      <c r="AE31" s="100">
        <f t="shared" si="28"/>
        <v>0</v>
      </c>
      <c r="AF31" s="100">
        <f>'[5]Т01-10'!$I$44</f>
        <v>1340.2676000000001</v>
      </c>
      <c r="AG31" s="16">
        <f t="shared" si="29"/>
        <v>2166.2999999999997</v>
      </c>
      <c r="AH31" s="16">
        <f t="shared" si="30"/>
        <v>722.1</v>
      </c>
      <c r="AI31" s="16">
        <f t="shared" si="31"/>
        <v>3610.5</v>
      </c>
      <c r="AJ31" s="16">
        <v>0</v>
      </c>
      <c r="AK31" s="16">
        <f t="shared" si="32"/>
        <v>3538.29</v>
      </c>
      <c r="AL31" s="16">
        <v>0</v>
      </c>
      <c r="AM31" s="16">
        <f t="shared" si="33"/>
        <v>8123.625</v>
      </c>
      <c r="AN31" s="16">
        <v>0</v>
      </c>
      <c r="AO31" s="16"/>
      <c r="AP31" s="16"/>
      <c r="AQ31" s="113"/>
      <c r="AR31" s="113"/>
      <c r="AS31" s="95">
        <v>530</v>
      </c>
      <c r="AT31" s="95"/>
      <c r="AU31" s="95">
        <f t="shared" si="34"/>
        <v>0</v>
      </c>
      <c r="AV31" s="114"/>
      <c r="AW31" s="125">
        <v>855</v>
      </c>
      <c r="AX31" s="16">
        <f t="shared" si="35"/>
        <v>1197</v>
      </c>
      <c r="AY31" s="116"/>
      <c r="AZ31" s="117"/>
      <c r="BA31" s="117">
        <f t="shared" si="36"/>
        <v>0</v>
      </c>
      <c r="BB31" s="117">
        <f t="shared" si="37"/>
        <v>19887.815</v>
      </c>
      <c r="BC31" s="123">
        <f>'[5]Т03-10'!$M$45</f>
        <v>638.06</v>
      </c>
      <c r="BD31" s="14">
        <f t="shared" si="38"/>
        <v>7537.1776000000045</v>
      </c>
      <c r="BE31" s="30">
        <f t="shared" si="39"/>
        <v>-4508.039999999997</v>
      </c>
    </row>
    <row r="32" spans="1:57" ht="12.75">
      <c r="A32" s="11" t="s">
        <v>47</v>
      </c>
      <c r="B32" s="102">
        <v>3610.5</v>
      </c>
      <c r="C32" s="122">
        <f t="shared" si="22"/>
        <v>31230.825</v>
      </c>
      <c r="D32" s="121">
        <f t="shared" si="23"/>
        <v>2965.6649999999986</v>
      </c>
      <c r="E32" s="127">
        <v>2805.23</v>
      </c>
      <c r="F32" s="127">
        <v>457.59</v>
      </c>
      <c r="G32" s="127">
        <v>3798.56</v>
      </c>
      <c r="H32" s="127">
        <v>620.25</v>
      </c>
      <c r="I32" s="127">
        <v>9128.35</v>
      </c>
      <c r="J32" s="127">
        <v>1489.68</v>
      </c>
      <c r="K32" s="127">
        <v>6323.17</v>
      </c>
      <c r="L32" s="127">
        <v>1032.1</v>
      </c>
      <c r="M32" s="127">
        <v>2244.19</v>
      </c>
      <c r="N32" s="128">
        <v>366.04</v>
      </c>
      <c r="O32" s="106">
        <v>0</v>
      </c>
      <c r="P32" s="106">
        <v>0</v>
      </c>
      <c r="Q32" s="106">
        <v>0</v>
      </c>
      <c r="R32" s="106">
        <v>0</v>
      </c>
      <c r="S32" s="91">
        <f t="shared" si="24"/>
        <v>24299.499999999996</v>
      </c>
      <c r="T32" s="105">
        <f t="shared" si="25"/>
        <v>3965.66</v>
      </c>
      <c r="U32" s="91">
        <v>2798.35</v>
      </c>
      <c r="V32" s="91">
        <v>3788.74</v>
      </c>
      <c r="W32" s="91">
        <v>9105.56</v>
      </c>
      <c r="X32" s="91">
        <v>6307.15</v>
      </c>
      <c r="Y32" s="91">
        <v>2238.7</v>
      </c>
      <c r="Z32" s="91">
        <v>0</v>
      </c>
      <c r="AA32" s="106">
        <v>0</v>
      </c>
      <c r="AB32" s="106">
        <f>SUM(U32:AA32)</f>
        <v>24238.5</v>
      </c>
      <c r="AC32" s="110">
        <f t="shared" si="26"/>
        <v>31169.824999999997</v>
      </c>
      <c r="AD32" s="100">
        <f t="shared" si="27"/>
        <v>0</v>
      </c>
      <c r="AE32" s="100">
        <f t="shared" si="28"/>
        <v>0</v>
      </c>
      <c r="AF32" s="100">
        <f>'[5]Т01-10'!$I$44</f>
        <v>1340.2676000000001</v>
      </c>
      <c r="AG32" s="16">
        <f t="shared" si="29"/>
        <v>2166.2999999999997</v>
      </c>
      <c r="AH32" s="16">
        <f t="shared" si="30"/>
        <v>722.1</v>
      </c>
      <c r="AI32" s="16">
        <f t="shared" si="31"/>
        <v>3610.5</v>
      </c>
      <c r="AJ32" s="16">
        <v>0</v>
      </c>
      <c r="AK32" s="16">
        <f t="shared" si="32"/>
        <v>3538.29</v>
      </c>
      <c r="AL32" s="16">
        <v>0</v>
      </c>
      <c r="AM32" s="16">
        <f t="shared" si="33"/>
        <v>8123.625</v>
      </c>
      <c r="AN32" s="16">
        <v>0</v>
      </c>
      <c r="AO32" s="16"/>
      <c r="AP32" s="16"/>
      <c r="AQ32" s="113"/>
      <c r="AR32" s="113"/>
      <c r="AS32" s="95">
        <v>1028</v>
      </c>
      <c r="AT32" s="95"/>
      <c r="AU32" s="95">
        <f t="shared" si="34"/>
        <v>0</v>
      </c>
      <c r="AV32" s="114"/>
      <c r="AW32" s="125">
        <v>851</v>
      </c>
      <c r="AX32" s="16">
        <f t="shared" si="35"/>
        <v>1191.3999999999999</v>
      </c>
      <c r="AY32" s="116"/>
      <c r="AZ32" s="117"/>
      <c r="BA32" s="117">
        <f t="shared" si="36"/>
        <v>0</v>
      </c>
      <c r="BB32" s="117">
        <f t="shared" si="37"/>
        <v>20380.215</v>
      </c>
      <c r="BC32" s="123">
        <f>'[5]Т03-10'!$M$45</f>
        <v>638.06</v>
      </c>
      <c r="BD32" s="14">
        <f t="shared" si="38"/>
        <v>11491.817599999997</v>
      </c>
      <c r="BE32" s="30">
        <f t="shared" si="39"/>
        <v>-60.99999999999636</v>
      </c>
    </row>
    <row r="33" spans="1:57" ht="12.75">
      <c r="A33" s="11" t="s">
        <v>48</v>
      </c>
      <c r="B33" s="102">
        <v>3610.5</v>
      </c>
      <c r="C33" s="122">
        <f t="shared" si="22"/>
        <v>31230.825</v>
      </c>
      <c r="D33" s="121">
        <f t="shared" si="23"/>
        <v>2965.665000000001</v>
      </c>
      <c r="E33" s="127">
        <v>2805.23</v>
      </c>
      <c r="F33" s="127">
        <v>457.59</v>
      </c>
      <c r="G33" s="127">
        <v>3798.55</v>
      </c>
      <c r="H33" s="127">
        <v>620.25</v>
      </c>
      <c r="I33" s="127">
        <v>9128.35</v>
      </c>
      <c r="J33" s="127">
        <v>1489.68</v>
      </c>
      <c r="K33" s="127">
        <v>6323.17</v>
      </c>
      <c r="L33" s="127">
        <v>1032.1</v>
      </c>
      <c r="M33" s="127">
        <v>2244.2</v>
      </c>
      <c r="N33" s="128">
        <v>366.04</v>
      </c>
      <c r="O33" s="106">
        <v>0</v>
      </c>
      <c r="P33" s="106">
        <v>0</v>
      </c>
      <c r="Q33" s="106"/>
      <c r="R33" s="106"/>
      <c r="S33" s="91">
        <f t="shared" si="24"/>
        <v>24299.500000000004</v>
      </c>
      <c r="T33" s="105">
        <f t="shared" si="25"/>
        <v>3965.66</v>
      </c>
      <c r="U33" s="91">
        <v>2374.43</v>
      </c>
      <c r="V33" s="91">
        <v>3205.45</v>
      </c>
      <c r="W33" s="91">
        <v>7716.75</v>
      </c>
      <c r="X33" s="91">
        <v>5342.11</v>
      </c>
      <c r="Y33" s="91">
        <v>1899.47</v>
      </c>
      <c r="Z33" s="91">
        <v>0</v>
      </c>
      <c r="AA33" s="106">
        <v>0</v>
      </c>
      <c r="AB33" s="106">
        <f>SUM(U33:AA33)</f>
        <v>20538.21</v>
      </c>
      <c r="AC33" s="110">
        <f t="shared" si="26"/>
        <v>27469.535</v>
      </c>
      <c r="AD33" s="100">
        <f t="shared" si="27"/>
        <v>0</v>
      </c>
      <c r="AE33" s="100">
        <f t="shared" si="28"/>
        <v>0</v>
      </c>
      <c r="AF33" s="100">
        <f>'[6]Т04-10'!$I$45</f>
        <v>1340.2676000000001</v>
      </c>
      <c r="AG33" s="16">
        <f t="shared" si="29"/>
        <v>2166.2999999999997</v>
      </c>
      <c r="AH33" s="16">
        <f t="shared" si="30"/>
        <v>722.1</v>
      </c>
      <c r="AI33" s="16">
        <f t="shared" si="31"/>
        <v>3610.5</v>
      </c>
      <c r="AJ33" s="16">
        <v>0</v>
      </c>
      <c r="AK33" s="16">
        <f t="shared" si="32"/>
        <v>3538.29</v>
      </c>
      <c r="AL33" s="16">
        <v>0</v>
      </c>
      <c r="AM33" s="16">
        <f t="shared" si="33"/>
        <v>8123.625</v>
      </c>
      <c r="AN33" s="16">
        <v>0</v>
      </c>
      <c r="AO33" s="16">
        <v>4811.4</v>
      </c>
      <c r="AP33" s="16"/>
      <c r="AQ33" s="113"/>
      <c r="AR33" s="113"/>
      <c r="AS33" s="95">
        <v>10976</v>
      </c>
      <c r="AT33" s="95"/>
      <c r="AU33" s="95">
        <f t="shared" si="34"/>
        <v>0</v>
      </c>
      <c r="AV33" s="114"/>
      <c r="AW33" s="125">
        <v>717</v>
      </c>
      <c r="AX33" s="16">
        <f t="shared" si="35"/>
        <v>1003.8</v>
      </c>
      <c r="AY33" s="116"/>
      <c r="AZ33" s="117"/>
      <c r="BA33" s="117">
        <f t="shared" si="36"/>
        <v>0</v>
      </c>
      <c r="BB33" s="117">
        <f t="shared" si="37"/>
        <v>34952.015</v>
      </c>
      <c r="BC33" s="123">
        <f>'[6]Т04-10'!$M$45</f>
        <v>638.06</v>
      </c>
      <c r="BD33" s="14">
        <f t="shared" si="38"/>
        <v>-6780.2724</v>
      </c>
      <c r="BE33" s="30">
        <f t="shared" si="39"/>
        <v>-3761.2900000000045</v>
      </c>
    </row>
    <row r="34" spans="1:57" ht="12.75">
      <c r="A34" s="11" t="s">
        <v>49</v>
      </c>
      <c r="B34" s="102">
        <v>3610.5</v>
      </c>
      <c r="C34" s="122">
        <f t="shared" si="22"/>
        <v>31230.825</v>
      </c>
      <c r="D34" s="121">
        <f t="shared" si="23"/>
        <v>2865.855000000006</v>
      </c>
      <c r="E34" s="127">
        <v>2805.19</v>
      </c>
      <c r="F34" s="127">
        <v>457.59</v>
      </c>
      <c r="G34" s="127">
        <v>3798.51</v>
      </c>
      <c r="H34" s="127">
        <v>620.26</v>
      </c>
      <c r="I34" s="127">
        <v>9128.3</v>
      </c>
      <c r="J34" s="127">
        <v>1489.68</v>
      </c>
      <c r="K34" s="127">
        <v>6323.1</v>
      </c>
      <c r="L34" s="127">
        <v>1032.11</v>
      </c>
      <c r="M34" s="127">
        <v>2344.2</v>
      </c>
      <c r="N34" s="128">
        <v>366.03</v>
      </c>
      <c r="O34" s="106">
        <v>0</v>
      </c>
      <c r="P34" s="106">
        <v>0</v>
      </c>
      <c r="Q34" s="106"/>
      <c r="R34" s="106"/>
      <c r="S34" s="91">
        <f t="shared" si="24"/>
        <v>24399.3</v>
      </c>
      <c r="T34" s="105">
        <f t="shared" si="25"/>
        <v>3965.67</v>
      </c>
      <c r="U34" s="137">
        <v>2549.5</v>
      </c>
      <c r="V34" s="137">
        <v>3451.86</v>
      </c>
      <c r="W34" s="137">
        <v>9595.79</v>
      </c>
      <c r="X34" s="137">
        <v>5746.4</v>
      </c>
      <c r="Y34" s="137">
        <v>2039.62</v>
      </c>
      <c r="Z34" s="137">
        <v>0</v>
      </c>
      <c r="AA34" s="138">
        <v>0</v>
      </c>
      <c r="AB34" s="106">
        <f aca="true" t="shared" si="40" ref="AB34:AB41">SUM(U34:AA34)</f>
        <v>23383.170000000002</v>
      </c>
      <c r="AC34" s="110">
        <f t="shared" si="26"/>
        <v>30214.695000000007</v>
      </c>
      <c r="AD34" s="100">
        <f t="shared" si="27"/>
        <v>0</v>
      </c>
      <c r="AE34" s="100">
        <f t="shared" si="28"/>
        <v>0</v>
      </c>
      <c r="AF34" s="100">
        <f>'[6]Т04-10'!$I$45</f>
        <v>1340.2676000000001</v>
      </c>
      <c r="AG34" s="16">
        <f t="shared" si="29"/>
        <v>2166.2999999999997</v>
      </c>
      <c r="AH34" s="16">
        <f t="shared" si="30"/>
        <v>722.1</v>
      </c>
      <c r="AI34" s="16">
        <f t="shared" si="31"/>
        <v>3610.5</v>
      </c>
      <c r="AJ34" s="16">
        <v>0</v>
      </c>
      <c r="AK34" s="16">
        <f t="shared" si="32"/>
        <v>3538.29</v>
      </c>
      <c r="AL34" s="16">
        <v>0</v>
      </c>
      <c r="AM34" s="16">
        <f t="shared" si="33"/>
        <v>8123.625</v>
      </c>
      <c r="AN34" s="16">
        <v>0</v>
      </c>
      <c r="AO34" s="16"/>
      <c r="AP34" s="16"/>
      <c r="AQ34" s="113"/>
      <c r="AR34" s="113"/>
      <c r="AS34" s="95">
        <v>561</v>
      </c>
      <c r="AT34" s="95"/>
      <c r="AU34" s="95">
        <f t="shared" si="34"/>
        <v>0</v>
      </c>
      <c r="AV34" s="114"/>
      <c r="AW34" s="125">
        <v>719</v>
      </c>
      <c r="AX34" s="16">
        <f t="shared" si="35"/>
        <v>1006.5999999999999</v>
      </c>
      <c r="AY34" s="116"/>
      <c r="AZ34" s="117"/>
      <c r="BA34" s="117">
        <f t="shared" si="36"/>
        <v>0</v>
      </c>
      <c r="BB34" s="117">
        <f t="shared" si="37"/>
        <v>19728.414999999997</v>
      </c>
      <c r="BC34" s="123">
        <f>'[6]Т04-10'!$M$45</f>
        <v>638.06</v>
      </c>
      <c r="BD34" s="14">
        <f t="shared" si="38"/>
        <v>11188.48760000001</v>
      </c>
      <c r="BE34" s="30">
        <f t="shared" si="39"/>
        <v>-1016.1299999999974</v>
      </c>
    </row>
    <row r="35" spans="1:57" ht="12.75">
      <c r="A35" s="11" t="s">
        <v>50</v>
      </c>
      <c r="B35" s="102">
        <v>3610.5</v>
      </c>
      <c r="C35" s="122">
        <f t="shared" si="22"/>
        <v>31230.825</v>
      </c>
      <c r="D35" s="121">
        <f t="shared" si="23"/>
        <v>2862.135000000002</v>
      </c>
      <c r="E35" s="127">
        <v>2805.63</v>
      </c>
      <c r="F35" s="127">
        <v>457.59</v>
      </c>
      <c r="G35" s="127">
        <v>3799.07</v>
      </c>
      <c r="H35" s="127">
        <v>620.26</v>
      </c>
      <c r="I35" s="127">
        <v>9129.71</v>
      </c>
      <c r="J35" s="127">
        <v>1489.68</v>
      </c>
      <c r="K35" s="127">
        <v>6324.06</v>
      </c>
      <c r="L35" s="127">
        <v>1032.11</v>
      </c>
      <c r="M35" s="127">
        <v>2344.55</v>
      </c>
      <c r="N35" s="128">
        <v>366.03</v>
      </c>
      <c r="O35" s="106">
        <v>0</v>
      </c>
      <c r="P35" s="106">
        <v>0</v>
      </c>
      <c r="Q35" s="106">
        <v>0</v>
      </c>
      <c r="R35" s="106">
        <v>0</v>
      </c>
      <c r="S35" s="91">
        <f t="shared" si="24"/>
        <v>24403.02</v>
      </c>
      <c r="T35" s="105">
        <f t="shared" si="25"/>
        <v>3965.67</v>
      </c>
      <c r="U35" s="91">
        <v>2630.79</v>
      </c>
      <c r="V35" s="91">
        <v>3562.03</v>
      </c>
      <c r="W35" s="91">
        <v>8560.48</v>
      </c>
      <c r="X35" s="91">
        <v>5929.6</v>
      </c>
      <c r="Y35" s="91">
        <v>2105.71</v>
      </c>
      <c r="Z35" s="91">
        <v>0</v>
      </c>
      <c r="AA35" s="106">
        <v>0</v>
      </c>
      <c r="AB35" s="106">
        <f t="shared" si="40"/>
        <v>22788.61</v>
      </c>
      <c r="AC35" s="110">
        <f t="shared" si="26"/>
        <v>29616.415</v>
      </c>
      <c r="AD35" s="100">
        <f t="shared" si="27"/>
        <v>0</v>
      </c>
      <c r="AE35" s="100">
        <f t="shared" si="28"/>
        <v>0</v>
      </c>
      <c r="AF35" s="100">
        <f>'[6]Т04-10'!$I$45</f>
        <v>1340.2676000000001</v>
      </c>
      <c r="AG35" s="16">
        <f t="shared" si="29"/>
        <v>2166.2999999999997</v>
      </c>
      <c r="AH35" s="16">
        <f t="shared" si="30"/>
        <v>722.1</v>
      </c>
      <c r="AI35" s="16">
        <f t="shared" si="31"/>
        <v>3610.5</v>
      </c>
      <c r="AJ35" s="16">
        <v>0</v>
      </c>
      <c r="AK35" s="16">
        <f t="shared" si="32"/>
        <v>3538.29</v>
      </c>
      <c r="AL35" s="16">
        <v>0</v>
      </c>
      <c r="AM35" s="16">
        <f t="shared" si="33"/>
        <v>8123.625</v>
      </c>
      <c r="AN35" s="16">
        <v>0</v>
      </c>
      <c r="AO35" s="16"/>
      <c r="AP35" s="16"/>
      <c r="AQ35" s="113">
        <v>100</v>
      </c>
      <c r="AR35" s="113"/>
      <c r="AS35" s="95">
        <v>3126</v>
      </c>
      <c r="AT35" s="95"/>
      <c r="AU35" s="95">
        <f t="shared" si="34"/>
        <v>0</v>
      </c>
      <c r="AV35" s="114"/>
      <c r="AW35" s="125">
        <v>488</v>
      </c>
      <c r="AX35" s="16">
        <f t="shared" si="35"/>
        <v>683.1999999999999</v>
      </c>
      <c r="AY35" s="116"/>
      <c r="AZ35" s="117"/>
      <c r="BA35" s="117">
        <f t="shared" si="36"/>
        <v>0</v>
      </c>
      <c r="BB35" s="117">
        <f t="shared" si="37"/>
        <v>22070.015</v>
      </c>
      <c r="BC35" s="123">
        <f>'[6]Т06-10'!$M$45</f>
        <v>638.06</v>
      </c>
      <c r="BD35" s="14">
        <f t="shared" si="38"/>
        <v>8248.607600000001</v>
      </c>
      <c r="BE35" s="30">
        <f t="shared" si="39"/>
        <v>-1614.4099999999999</v>
      </c>
    </row>
    <row r="36" spans="1:57" ht="12.75">
      <c r="A36" s="11" t="s">
        <v>51</v>
      </c>
      <c r="B36" s="102">
        <v>3610.5</v>
      </c>
      <c r="C36" s="122">
        <f t="shared" si="22"/>
        <v>31230.825</v>
      </c>
      <c r="D36" s="121">
        <f t="shared" si="23"/>
        <v>2800.495</v>
      </c>
      <c r="E36" s="139">
        <v>3270.46</v>
      </c>
      <c r="F36" s="127">
        <v>0</v>
      </c>
      <c r="G36" s="127">
        <v>4428.74</v>
      </c>
      <c r="H36" s="127">
        <v>0</v>
      </c>
      <c r="I36" s="127">
        <v>10642.6</v>
      </c>
      <c r="J36" s="127">
        <v>0</v>
      </c>
      <c r="K36" s="127">
        <v>7372.15</v>
      </c>
      <c r="L36" s="127">
        <v>0</v>
      </c>
      <c r="M36" s="127">
        <v>2716.38</v>
      </c>
      <c r="N36" s="128">
        <v>0</v>
      </c>
      <c r="O36" s="106">
        <v>0</v>
      </c>
      <c r="P36" s="106">
        <v>0</v>
      </c>
      <c r="Q36" s="106"/>
      <c r="R36" s="106"/>
      <c r="S36" s="91">
        <f t="shared" si="24"/>
        <v>28430.329999999998</v>
      </c>
      <c r="T36" s="105">
        <f t="shared" si="25"/>
        <v>0</v>
      </c>
      <c r="U36" s="93">
        <v>2539.29</v>
      </c>
      <c r="V36" s="91">
        <v>3438.2</v>
      </c>
      <c r="W36" s="91">
        <v>8262.95</v>
      </c>
      <c r="X36" s="91">
        <v>5723.59</v>
      </c>
      <c r="Y36" s="91">
        <v>2031.52</v>
      </c>
      <c r="Z36" s="91">
        <v>0</v>
      </c>
      <c r="AA36" s="106">
        <v>0</v>
      </c>
      <c r="AB36" s="106">
        <f t="shared" si="40"/>
        <v>21995.55</v>
      </c>
      <c r="AC36" s="110">
        <f t="shared" si="26"/>
        <v>24796.045</v>
      </c>
      <c r="AD36" s="100">
        <f t="shared" si="27"/>
        <v>0</v>
      </c>
      <c r="AE36" s="100">
        <f t="shared" si="28"/>
        <v>0</v>
      </c>
      <c r="AF36" s="100">
        <f>'[7]Т07-10'!$I$45</f>
        <v>1340.2676000000001</v>
      </c>
      <c r="AG36" s="16">
        <f t="shared" si="29"/>
        <v>2166.2999999999997</v>
      </c>
      <c r="AH36" s="16">
        <f t="shared" si="30"/>
        <v>722.1</v>
      </c>
      <c r="AI36" s="16">
        <f t="shared" si="31"/>
        <v>3610.5</v>
      </c>
      <c r="AJ36" s="16">
        <v>0</v>
      </c>
      <c r="AK36" s="16">
        <f t="shared" si="32"/>
        <v>3538.29</v>
      </c>
      <c r="AL36" s="16">
        <v>0</v>
      </c>
      <c r="AM36" s="16">
        <f t="shared" si="33"/>
        <v>8123.625</v>
      </c>
      <c r="AN36" s="16">
        <v>0</v>
      </c>
      <c r="AO36" s="16"/>
      <c r="AP36" s="16"/>
      <c r="AQ36" s="113"/>
      <c r="AR36" s="113"/>
      <c r="AS36" s="95"/>
      <c r="AT36" s="95"/>
      <c r="AU36" s="95">
        <f t="shared" si="34"/>
        <v>0</v>
      </c>
      <c r="AV36" s="114"/>
      <c r="AW36" s="125">
        <v>541</v>
      </c>
      <c r="AX36" s="16">
        <f t="shared" si="35"/>
        <v>757.4</v>
      </c>
      <c r="AY36" s="116"/>
      <c r="AZ36" s="117"/>
      <c r="BA36" s="117">
        <f t="shared" si="36"/>
        <v>0</v>
      </c>
      <c r="BB36" s="117">
        <f t="shared" si="37"/>
        <v>18918.215</v>
      </c>
      <c r="BC36" s="123">
        <f>'[6]Т06-10'!$M$45</f>
        <v>638.06</v>
      </c>
      <c r="BD36" s="14">
        <f t="shared" si="38"/>
        <v>6580.037599999998</v>
      </c>
      <c r="BE36" s="30">
        <f t="shared" si="39"/>
        <v>-6434.779999999999</v>
      </c>
    </row>
    <row r="37" spans="1:57" ht="12.75">
      <c r="A37" s="11" t="s">
        <v>52</v>
      </c>
      <c r="B37" s="102">
        <v>3610.5</v>
      </c>
      <c r="C37" s="122">
        <f t="shared" si="22"/>
        <v>31230.825</v>
      </c>
      <c r="D37" s="121">
        <f t="shared" si="23"/>
        <v>2800.5149999999994</v>
      </c>
      <c r="E37" s="139">
        <v>3270.46</v>
      </c>
      <c r="F37" s="127">
        <v>0</v>
      </c>
      <c r="G37" s="127">
        <v>4428.74</v>
      </c>
      <c r="H37" s="127">
        <v>0</v>
      </c>
      <c r="I37" s="127">
        <v>10642.59</v>
      </c>
      <c r="J37" s="127">
        <v>0</v>
      </c>
      <c r="K37" s="127">
        <v>7372.14</v>
      </c>
      <c r="L37" s="127">
        <v>0</v>
      </c>
      <c r="M37" s="127">
        <v>2716.38</v>
      </c>
      <c r="N37" s="128">
        <v>0</v>
      </c>
      <c r="O37" s="106">
        <v>0</v>
      </c>
      <c r="P37" s="106">
        <v>0</v>
      </c>
      <c r="Q37" s="106"/>
      <c r="R37" s="106"/>
      <c r="S37" s="91">
        <f t="shared" si="24"/>
        <v>28430.31</v>
      </c>
      <c r="T37" s="105">
        <f t="shared" si="25"/>
        <v>0</v>
      </c>
      <c r="U37" s="137">
        <v>3199.77</v>
      </c>
      <c r="V37" s="137">
        <v>4333.12</v>
      </c>
      <c r="W37" s="137">
        <v>10412.61</v>
      </c>
      <c r="X37" s="137">
        <v>7212.85</v>
      </c>
      <c r="Y37" s="137">
        <v>2558.78</v>
      </c>
      <c r="Z37" s="137">
        <v>0</v>
      </c>
      <c r="AA37" s="138">
        <v>0</v>
      </c>
      <c r="AB37" s="106">
        <f t="shared" si="40"/>
        <v>27717.129999999997</v>
      </c>
      <c r="AC37" s="110">
        <f t="shared" si="26"/>
        <v>30517.644999999997</v>
      </c>
      <c r="AD37" s="100">
        <f t="shared" si="27"/>
        <v>0</v>
      </c>
      <c r="AE37" s="100">
        <f t="shared" si="28"/>
        <v>0</v>
      </c>
      <c r="AF37" s="100">
        <f>'[7]Т07-10'!$I$45</f>
        <v>1340.2676000000001</v>
      </c>
      <c r="AG37" s="16">
        <f t="shared" si="29"/>
        <v>2166.2999999999997</v>
      </c>
      <c r="AH37" s="16">
        <f t="shared" si="30"/>
        <v>722.1</v>
      </c>
      <c r="AI37" s="16">
        <f t="shared" si="31"/>
        <v>3610.5</v>
      </c>
      <c r="AJ37" s="16">
        <v>0</v>
      </c>
      <c r="AK37" s="16">
        <f t="shared" si="32"/>
        <v>3538.29</v>
      </c>
      <c r="AL37" s="16">
        <v>0</v>
      </c>
      <c r="AM37" s="16">
        <f t="shared" si="33"/>
        <v>8123.625</v>
      </c>
      <c r="AN37" s="16">
        <v>0</v>
      </c>
      <c r="AO37" s="16"/>
      <c r="AP37" s="16"/>
      <c r="AQ37" s="113"/>
      <c r="AR37" s="113"/>
      <c r="AS37" s="95"/>
      <c r="AT37" s="95">
        <f>47.8+84</f>
        <v>131.8</v>
      </c>
      <c r="AU37" s="95">
        <f t="shared" si="34"/>
        <v>23.724</v>
      </c>
      <c r="AV37" s="114"/>
      <c r="AW37" s="125">
        <v>506</v>
      </c>
      <c r="AX37" s="16">
        <f t="shared" si="35"/>
        <v>708.4</v>
      </c>
      <c r="AY37" s="116"/>
      <c r="AZ37" s="117"/>
      <c r="BA37" s="117">
        <f t="shared" si="36"/>
        <v>0</v>
      </c>
      <c r="BB37" s="117">
        <f t="shared" si="37"/>
        <v>19024.738999999998</v>
      </c>
      <c r="BC37" s="123">
        <f>'[6]Т06-10'!$M$45</f>
        <v>638.06</v>
      </c>
      <c r="BD37" s="14">
        <f t="shared" si="38"/>
        <v>12195.113599999999</v>
      </c>
      <c r="BE37" s="30">
        <f t="shared" si="39"/>
        <v>-713.1800000000039</v>
      </c>
    </row>
    <row r="38" spans="1:57" ht="12.75">
      <c r="A38" s="11" t="s">
        <v>53</v>
      </c>
      <c r="B38" s="102">
        <v>3610.5</v>
      </c>
      <c r="C38" s="122">
        <f t="shared" si="22"/>
        <v>31230.825</v>
      </c>
      <c r="D38" s="121">
        <f t="shared" si="23"/>
        <v>2824.9349999999986</v>
      </c>
      <c r="E38" s="127">
        <v>3267.59</v>
      </c>
      <c r="F38" s="127">
        <v>0</v>
      </c>
      <c r="G38" s="127">
        <v>4425.01</v>
      </c>
      <c r="H38" s="127">
        <v>0</v>
      </c>
      <c r="I38" s="127">
        <v>10633.39</v>
      </c>
      <c r="J38" s="127">
        <v>0</v>
      </c>
      <c r="K38" s="127">
        <v>7365.81</v>
      </c>
      <c r="L38" s="127">
        <v>0</v>
      </c>
      <c r="M38" s="127">
        <v>2714.09</v>
      </c>
      <c r="N38" s="128">
        <v>0</v>
      </c>
      <c r="O38" s="106">
        <v>0</v>
      </c>
      <c r="P38" s="106">
        <v>0</v>
      </c>
      <c r="Q38" s="106"/>
      <c r="R38" s="106"/>
      <c r="S38" s="91">
        <f t="shared" si="24"/>
        <v>28405.89</v>
      </c>
      <c r="T38" s="105">
        <f t="shared" si="25"/>
        <v>0</v>
      </c>
      <c r="U38" s="91">
        <v>2846.04</v>
      </c>
      <c r="V38" s="91">
        <v>3854.09</v>
      </c>
      <c r="W38" s="91">
        <v>11061.41</v>
      </c>
      <c r="X38" s="91">
        <v>6415.43</v>
      </c>
      <c r="Y38" s="91">
        <v>2276.81</v>
      </c>
      <c r="Z38" s="91">
        <v>0</v>
      </c>
      <c r="AA38" s="106">
        <v>0</v>
      </c>
      <c r="AB38" s="106">
        <f t="shared" si="40"/>
        <v>26453.780000000002</v>
      </c>
      <c r="AC38" s="110">
        <f t="shared" si="26"/>
        <v>29278.715</v>
      </c>
      <c r="AD38" s="100">
        <f t="shared" si="27"/>
        <v>0</v>
      </c>
      <c r="AE38" s="100">
        <f t="shared" si="28"/>
        <v>0</v>
      </c>
      <c r="AF38" s="100">
        <f>'[7]Т07-10'!$I$45</f>
        <v>1340.2676000000001</v>
      </c>
      <c r="AG38" s="16">
        <f t="shared" si="29"/>
        <v>2166.2999999999997</v>
      </c>
      <c r="AH38" s="16">
        <f t="shared" si="30"/>
        <v>722.1</v>
      </c>
      <c r="AI38" s="16">
        <f t="shared" si="31"/>
        <v>3610.5</v>
      </c>
      <c r="AJ38" s="16">
        <v>0</v>
      </c>
      <c r="AK38" s="16">
        <f t="shared" si="32"/>
        <v>3538.29</v>
      </c>
      <c r="AL38" s="16">
        <v>0</v>
      </c>
      <c r="AM38" s="16">
        <f t="shared" si="33"/>
        <v>8123.625</v>
      </c>
      <c r="AN38" s="16">
        <v>0</v>
      </c>
      <c r="AO38" s="16"/>
      <c r="AP38" s="16"/>
      <c r="AQ38" s="113"/>
      <c r="AR38" s="113"/>
      <c r="AS38" s="95">
        <v>917</v>
      </c>
      <c r="AT38" s="95"/>
      <c r="AU38" s="140">
        <f t="shared" si="34"/>
        <v>0</v>
      </c>
      <c r="AV38" s="114"/>
      <c r="AW38" s="125">
        <v>724</v>
      </c>
      <c r="AX38" s="16">
        <f t="shared" si="35"/>
        <v>1013.5999999999999</v>
      </c>
      <c r="AY38" s="116"/>
      <c r="AZ38" s="117"/>
      <c r="BA38" s="117">
        <f t="shared" si="36"/>
        <v>0</v>
      </c>
      <c r="BB38" s="117">
        <f t="shared" si="37"/>
        <v>20091.414999999997</v>
      </c>
      <c r="BC38" s="123">
        <f>'[6]Т06-10'!$M$45</f>
        <v>638.06</v>
      </c>
      <c r="BD38" s="14">
        <f t="shared" si="38"/>
        <v>9889.507600000003</v>
      </c>
      <c r="BE38" s="30">
        <f t="shared" si="39"/>
        <v>-1952.109999999997</v>
      </c>
    </row>
    <row r="39" spans="1:57" ht="12.75">
      <c r="A39" s="11" t="s">
        <v>41</v>
      </c>
      <c r="B39" s="102">
        <v>3610.5</v>
      </c>
      <c r="C39" s="122">
        <f t="shared" si="22"/>
        <v>31230.825</v>
      </c>
      <c r="D39" s="121">
        <f t="shared" si="23"/>
        <v>2869.535000000002</v>
      </c>
      <c r="E39" s="129">
        <v>3263.72</v>
      </c>
      <c r="F39" s="129">
        <v>0</v>
      </c>
      <c r="G39" s="129">
        <v>4419.9</v>
      </c>
      <c r="H39" s="129">
        <v>0</v>
      </c>
      <c r="I39" s="129">
        <v>10620.9</v>
      </c>
      <c r="J39" s="129">
        <v>0</v>
      </c>
      <c r="K39" s="129">
        <v>7357.2</v>
      </c>
      <c r="L39" s="129">
        <v>0</v>
      </c>
      <c r="M39" s="129">
        <v>2699.57</v>
      </c>
      <c r="N39" s="130">
        <v>0</v>
      </c>
      <c r="O39" s="118">
        <v>0</v>
      </c>
      <c r="P39" s="118">
        <v>0</v>
      </c>
      <c r="Q39" s="118"/>
      <c r="R39" s="118"/>
      <c r="S39" s="91">
        <f t="shared" si="24"/>
        <v>28361.289999999997</v>
      </c>
      <c r="T39" s="105">
        <f t="shared" si="25"/>
        <v>0</v>
      </c>
      <c r="U39" s="91">
        <v>3644.63</v>
      </c>
      <c r="V39" s="91">
        <v>4934.34</v>
      </c>
      <c r="W39" s="91">
        <v>11859.15</v>
      </c>
      <c r="X39" s="91">
        <v>8214.56</v>
      </c>
      <c r="Y39" s="91">
        <v>2915.77</v>
      </c>
      <c r="Z39" s="91">
        <v>0</v>
      </c>
      <c r="AA39" s="106">
        <v>0</v>
      </c>
      <c r="AB39" s="106">
        <f t="shared" si="40"/>
        <v>31568.45</v>
      </c>
      <c r="AC39" s="110">
        <f t="shared" si="26"/>
        <v>34437.985</v>
      </c>
      <c r="AD39" s="100">
        <f t="shared" si="27"/>
        <v>0</v>
      </c>
      <c r="AE39" s="100">
        <f t="shared" si="28"/>
        <v>0</v>
      </c>
      <c r="AF39" s="100">
        <f>'[7]Т10-10'!$I$45+150</f>
        <v>1490.2676000000001</v>
      </c>
      <c r="AG39" s="16">
        <f t="shared" si="29"/>
        <v>2166.2999999999997</v>
      </c>
      <c r="AH39" s="16">
        <f t="shared" si="30"/>
        <v>722.1</v>
      </c>
      <c r="AI39" s="16">
        <f t="shared" si="31"/>
        <v>3610.5</v>
      </c>
      <c r="AJ39" s="16">
        <v>0</v>
      </c>
      <c r="AK39" s="16">
        <f t="shared" si="32"/>
        <v>3538.29</v>
      </c>
      <c r="AL39" s="16">
        <v>0</v>
      </c>
      <c r="AM39" s="16">
        <f t="shared" si="33"/>
        <v>8123.625</v>
      </c>
      <c r="AN39" s="16">
        <v>0</v>
      </c>
      <c r="AO39" s="16"/>
      <c r="AP39" s="16"/>
      <c r="AQ39" s="113"/>
      <c r="AR39" s="113"/>
      <c r="AS39" s="95">
        <v>7656</v>
      </c>
      <c r="AT39" s="95">
        <v>168</v>
      </c>
      <c r="AU39" s="95">
        <f t="shared" si="34"/>
        <v>30.24</v>
      </c>
      <c r="AV39" s="114"/>
      <c r="AW39" s="125">
        <v>814</v>
      </c>
      <c r="AX39" s="16">
        <f t="shared" si="35"/>
        <v>1139.6</v>
      </c>
      <c r="AY39" s="116"/>
      <c r="AZ39" s="117"/>
      <c r="BA39" s="117">
        <f t="shared" si="36"/>
        <v>0</v>
      </c>
      <c r="BB39" s="117">
        <f t="shared" si="37"/>
        <v>27154.655</v>
      </c>
      <c r="BC39" s="123">
        <f>'[7]Т10-10'!$M$45+37.5</f>
        <v>675.56</v>
      </c>
      <c r="BD39" s="14">
        <f t="shared" si="38"/>
        <v>8098.0376000000015</v>
      </c>
      <c r="BE39" s="30">
        <f t="shared" si="39"/>
        <v>3207.1600000000035</v>
      </c>
    </row>
    <row r="40" spans="1:57" ht="12.75">
      <c r="A40" s="11" t="s">
        <v>42</v>
      </c>
      <c r="B40" s="102">
        <v>3610.5</v>
      </c>
      <c r="C40" s="122">
        <f t="shared" si="22"/>
        <v>31230.825</v>
      </c>
      <c r="D40" s="121">
        <f t="shared" si="23"/>
        <v>2850.9049999999997</v>
      </c>
      <c r="E40" s="127">
        <v>3264.54</v>
      </c>
      <c r="F40" s="127">
        <v>0</v>
      </c>
      <c r="G40" s="127">
        <v>4421.03</v>
      </c>
      <c r="H40" s="127">
        <v>0</v>
      </c>
      <c r="I40" s="127">
        <v>10623.62</v>
      </c>
      <c r="J40" s="127">
        <v>0</v>
      </c>
      <c r="K40" s="127">
        <v>7359.1</v>
      </c>
      <c r="L40" s="127">
        <v>0</v>
      </c>
      <c r="M40" s="127">
        <v>2711.63</v>
      </c>
      <c r="N40" s="128">
        <v>0</v>
      </c>
      <c r="O40" s="106">
        <v>0</v>
      </c>
      <c r="P40" s="106">
        <v>0</v>
      </c>
      <c r="Q40" s="106"/>
      <c r="R40" s="106"/>
      <c r="S40" s="91">
        <f t="shared" si="24"/>
        <v>28379.920000000002</v>
      </c>
      <c r="T40" s="105">
        <f t="shared" si="25"/>
        <v>0</v>
      </c>
      <c r="U40" s="93">
        <v>3117.25</v>
      </c>
      <c r="V40" s="91">
        <v>4222.25</v>
      </c>
      <c r="W40" s="91">
        <v>10145.01</v>
      </c>
      <c r="X40" s="91">
        <v>7027.78</v>
      </c>
      <c r="Y40" s="91">
        <v>2493.74</v>
      </c>
      <c r="Z40" s="91">
        <v>0</v>
      </c>
      <c r="AA40" s="106">
        <v>0</v>
      </c>
      <c r="AB40" s="106">
        <f t="shared" si="40"/>
        <v>27006.03</v>
      </c>
      <c r="AC40" s="110">
        <f t="shared" si="26"/>
        <v>29856.934999999998</v>
      </c>
      <c r="AD40" s="100">
        <f t="shared" si="27"/>
        <v>0</v>
      </c>
      <c r="AE40" s="100">
        <f t="shared" si="28"/>
        <v>0</v>
      </c>
      <c r="AF40" s="100">
        <f>'[7]Т11'!$I$45+'[7]Т11'!$I$130+150</f>
        <v>2039.5576</v>
      </c>
      <c r="AG40" s="16">
        <f t="shared" si="29"/>
        <v>2166.2999999999997</v>
      </c>
      <c r="AH40" s="16">
        <f t="shared" si="30"/>
        <v>722.1</v>
      </c>
      <c r="AI40" s="16">
        <f t="shared" si="31"/>
        <v>3610.5</v>
      </c>
      <c r="AJ40" s="16">
        <v>0</v>
      </c>
      <c r="AK40" s="16">
        <f t="shared" si="32"/>
        <v>3538.29</v>
      </c>
      <c r="AL40" s="16">
        <v>0</v>
      </c>
      <c r="AM40" s="16">
        <f t="shared" si="33"/>
        <v>8123.625</v>
      </c>
      <c r="AN40" s="16">
        <v>0</v>
      </c>
      <c r="AO40" s="16"/>
      <c r="AP40" s="16"/>
      <c r="AQ40" s="113"/>
      <c r="AR40" s="113"/>
      <c r="AS40" s="95">
        <v>7316</v>
      </c>
      <c r="AT40" s="95"/>
      <c r="AU40" s="95">
        <f t="shared" si="34"/>
        <v>0</v>
      </c>
      <c r="AV40" s="114"/>
      <c r="AW40" s="125">
        <v>992</v>
      </c>
      <c r="AX40" s="16">
        <f t="shared" si="35"/>
        <v>1388.8</v>
      </c>
      <c r="AY40" s="116"/>
      <c r="AZ40" s="117"/>
      <c r="BA40" s="117">
        <f t="shared" si="36"/>
        <v>0</v>
      </c>
      <c r="BB40" s="117">
        <f t="shared" si="37"/>
        <v>26865.614999999998</v>
      </c>
      <c r="BC40" s="123">
        <f>'[7]Т11'!$M$45+'[7]Т11'!$M$130+37.5</f>
        <v>725.56</v>
      </c>
      <c r="BD40" s="14">
        <f t="shared" si="38"/>
        <v>4305.3176</v>
      </c>
      <c r="BE40" s="30">
        <f t="shared" si="39"/>
        <v>-1373.890000000003</v>
      </c>
    </row>
    <row r="41" spans="1:57" ht="12.75">
      <c r="A41" s="11" t="s">
        <v>43</v>
      </c>
      <c r="B41" s="102">
        <v>3610.5</v>
      </c>
      <c r="C41" s="122">
        <f t="shared" si="22"/>
        <v>31230.825</v>
      </c>
      <c r="D41" s="121">
        <f t="shared" si="23"/>
        <v>2858.174999999999</v>
      </c>
      <c r="E41" s="127">
        <v>3263.68</v>
      </c>
      <c r="F41" s="127">
        <v>0</v>
      </c>
      <c r="G41" s="127">
        <v>4419.92</v>
      </c>
      <c r="H41" s="127">
        <v>0</v>
      </c>
      <c r="I41" s="127">
        <v>10620.89</v>
      </c>
      <c r="J41" s="127">
        <v>0</v>
      </c>
      <c r="K41" s="127">
        <v>7357.22</v>
      </c>
      <c r="L41" s="127">
        <v>0</v>
      </c>
      <c r="M41" s="127">
        <v>2710.94</v>
      </c>
      <c r="N41" s="128">
        <v>0</v>
      </c>
      <c r="O41" s="106">
        <v>0</v>
      </c>
      <c r="P41" s="106">
        <v>0</v>
      </c>
      <c r="Q41" s="106"/>
      <c r="R41" s="106"/>
      <c r="S41" s="91">
        <f t="shared" si="24"/>
        <v>28372.649999999998</v>
      </c>
      <c r="T41" s="105">
        <f t="shared" si="25"/>
        <v>0</v>
      </c>
      <c r="U41" s="91">
        <v>4618.42</v>
      </c>
      <c r="V41" s="91">
        <v>6254.82</v>
      </c>
      <c r="W41" s="91">
        <v>15029.82</v>
      </c>
      <c r="X41" s="91">
        <v>10411.39</v>
      </c>
      <c r="Y41" s="91">
        <v>3694.8</v>
      </c>
      <c r="Z41" s="91">
        <v>0</v>
      </c>
      <c r="AA41" s="106">
        <v>0</v>
      </c>
      <c r="AB41" s="106">
        <f t="shared" si="40"/>
        <v>40009.25</v>
      </c>
      <c r="AC41" s="110">
        <f t="shared" si="26"/>
        <v>42867.424999999996</v>
      </c>
      <c r="AD41" s="100">
        <f t="shared" si="27"/>
        <v>0</v>
      </c>
      <c r="AE41" s="100">
        <f t="shared" si="28"/>
        <v>0</v>
      </c>
      <c r="AF41" s="100">
        <f>'[7]Т11'!$I$45+'[7]Т11'!$I$130+150</f>
        <v>2039.5576</v>
      </c>
      <c r="AG41" s="16">
        <f t="shared" si="29"/>
        <v>2166.2999999999997</v>
      </c>
      <c r="AH41" s="16">
        <f t="shared" si="30"/>
        <v>722.1</v>
      </c>
      <c r="AI41" s="16">
        <f t="shared" si="31"/>
        <v>3610.5</v>
      </c>
      <c r="AJ41" s="16">
        <v>0</v>
      </c>
      <c r="AK41" s="16">
        <f t="shared" si="32"/>
        <v>3538.29</v>
      </c>
      <c r="AL41" s="16">
        <v>0</v>
      </c>
      <c r="AM41" s="16">
        <f t="shared" si="33"/>
        <v>8123.625</v>
      </c>
      <c r="AN41" s="16">
        <v>0</v>
      </c>
      <c r="AO41" s="16"/>
      <c r="AP41" s="16"/>
      <c r="AQ41" s="113"/>
      <c r="AR41" s="113"/>
      <c r="AS41" s="95"/>
      <c r="AT41" s="95">
        <v>641.53</v>
      </c>
      <c r="AU41" s="95">
        <f>641.53*0.18</f>
        <v>115.4754</v>
      </c>
      <c r="AV41" s="114"/>
      <c r="AW41" s="125">
        <v>1160</v>
      </c>
      <c r="AX41" s="16">
        <f t="shared" si="35"/>
        <v>1624</v>
      </c>
      <c r="AY41" s="116"/>
      <c r="AZ41" s="117"/>
      <c r="BA41" s="117">
        <f t="shared" si="36"/>
        <v>0</v>
      </c>
      <c r="BB41" s="117">
        <f t="shared" si="37"/>
        <v>20541.820399999997</v>
      </c>
      <c r="BC41" s="123">
        <f>'[7]Т11'!$M$45+'[7]Т11'!$M$130+37.5</f>
        <v>725.56</v>
      </c>
      <c r="BD41" s="14">
        <f t="shared" si="38"/>
        <v>23639.602199999998</v>
      </c>
      <c r="BE41" s="30">
        <f t="shared" si="39"/>
        <v>11636.600000000002</v>
      </c>
    </row>
    <row r="42" spans="1:57" s="20" customFormat="1" ht="12.75">
      <c r="A42" s="17" t="s">
        <v>5</v>
      </c>
      <c r="B42" s="60"/>
      <c r="C42" s="60">
        <f aca="true" t="shared" si="41" ref="C42:AU42">SUM(C30:C41)</f>
        <v>374769.9000000001</v>
      </c>
      <c r="D42" s="60">
        <f t="shared" si="41"/>
        <v>34550.67000000001</v>
      </c>
      <c r="E42" s="57">
        <f t="shared" si="41"/>
        <v>36404.27</v>
      </c>
      <c r="F42" s="57">
        <f t="shared" si="41"/>
        <v>2778.69</v>
      </c>
      <c r="G42" s="57">
        <f t="shared" si="41"/>
        <v>49297</v>
      </c>
      <c r="H42" s="57">
        <f t="shared" si="41"/>
        <v>3766.4800000000005</v>
      </c>
      <c r="I42" s="57">
        <f t="shared" si="41"/>
        <v>118464.26999999997</v>
      </c>
      <c r="J42" s="57">
        <f t="shared" si="41"/>
        <v>9045.990000000002</v>
      </c>
      <c r="K42" s="57">
        <f t="shared" si="41"/>
        <v>82060.23</v>
      </c>
      <c r="L42" s="57">
        <f t="shared" si="41"/>
        <v>6267.389999999999</v>
      </c>
      <c r="M42" s="57">
        <f t="shared" si="41"/>
        <v>29912.2</v>
      </c>
      <c r="N42" s="57">
        <f t="shared" si="41"/>
        <v>2222.71</v>
      </c>
      <c r="O42" s="57">
        <f t="shared" si="41"/>
        <v>0</v>
      </c>
      <c r="P42" s="57">
        <f t="shared" si="41"/>
        <v>0</v>
      </c>
      <c r="Q42" s="57">
        <f t="shared" si="41"/>
        <v>0</v>
      </c>
      <c r="R42" s="57">
        <f t="shared" si="41"/>
        <v>0</v>
      </c>
      <c r="S42" s="57">
        <f t="shared" si="41"/>
        <v>316137.97000000003</v>
      </c>
      <c r="T42" s="57">
        <f t="shared" si="41"/>
        <v>24081.260000000002</v>
      </c>
      <c r="U42" s="61">
        <f t="shared" si="41"/>
        <v>34735.090000000004</v>
      </c>
      <c r="V42" s="61">
        <f t="shared" si="41"/>
        <v>47025.969999999994</v>
      </c>
      <c r="W42" s="61">
        <f t="shared" si="41"/>
        <v>116121.84</v>
      </c>
      <c r="X42" s="61">
        <f t="shared" si="41"/>
        <v>78289.87999999999</v>
      </c>
      <c r="Y42" s="61">
        <f t="shared" si="41"/>
        <v>27789.3</v>
      </c>
      <c r="Z42" s="61">
        <f t="shared" si="41"/>
        <v>0</v>
      </c>
      <c r="AA42" s="61">
        <f t="shared" si="41"/>
        <v>0</v>
      </c>
      <c r="AB42" s="61">
        <f t="shared" si="41"/>
        <v>303962.08</v>
      </c>
      <c r="AC42" s="61">
        <f t="shared" si="41"/>
        <v>362594.01</v>
      </c>
      <c r="AD42" s="61">
        <f t="shared" si="41"/>
        <v>0</v>
      </c>
      <c r="AE42" s="98">
        <f t="shared" si="41"/>
        <v>0</v>
      </c>
      <c r="AF42" s="98">
        <f t="shared" si="41"/>
        <v>17631.7912</v>
      </c>
      <c r="AG42" s="18">
        <f t="shared" si="41"/>
        <v>25995.599999999995</v>
      </c>
      <c r="AH42" s="18">
        <f t="shared" si="41"/>
        <v>8665.200000000003</v>
      </c>
      <c r="AI42" s="18">
        <f t="shared" si="41"/>
        <v>43326</v>
      </c>
      <c r="AJ42" s="18">
        <f t="shared" si="41"/>
        <v>0</v>
      </c>
      <c r="AK42" s="18">
        <f t="shared" si="41"/>
        <v>42459.48</v>
      </c>
      <c r="AL42" s="18">
        <f t="shared" si="41"/>
        <v>0</v>
      </c>
      <c r="AM42" s="18">
        <f t="shared" si="41"/>
        <v>97483.5</v>
      </c>
      <c r="AN42" s="18">
        <f t="shared" si="41"/>
        <v>0</v>
      </c>
      <c r="AO42" s="18">
        <f t="shared" si="41"/>
        <v>4811.4</v>
      </c>
      <c r="AP42" s="18">
        <f t="shared" si="41"/>
        <v>0</v>
      </c>
      <c r="AQ42" s="18">
        <f t="shared" si="41"/>
        <v>100</v>
      </c>
      <c r="AR42" s="18">
        <f t="shared" si="41"/>
        <v>0</v>
      </c>
      <c r="AS42" s="18">
        <f t="shared" si="41"/>
        <v>32110</v>
      </c>
      <c r="AT42" s="18">
        <f t="shared" si="41"/>
        <v>1069.9299999999998</v>
      </c>
      <c r="AU42" s="18">
        <f t="shared" si="41"/>
        <v>192.5874</v>
      </c>
      <c r="AV42" s="18"/>
      <c r="AW42" s="18"/>
      <c r="AX42" s="18">
        <f aca="true" t="shared" si="42" ref="AX42:BE42">SUM(AX30:AX41)</f>
        <v>12882.799999999997</v>
      </c>
      <c r="AY42" s="18">
        <f t="shared" si="42"/>
        <v>0</v>
      </c>
      <c r="AZ42" s="18">
        <f t="shared" si="42"/>
        <v>0</v>
      </c>
      <c r="BA42" s="18">
        <f t="shared" si="42"/>
        <v>0</v>
      </c>
      <c r="BB42" s="18">
        <f t="shared" si="42"/>
        <v>269096.4974</v>
      </c>
      <c r="BC42" s="18">
        <f t="shared" si="42"/>
        <v>7869.2199999999975</v>
      </c>
      <c r="BD42" s="18">
        <f t="shared" si="42"/>
        <v>103260.0838</v>
      </c>
      <c r="BE42" s="19">
        <f t="shared" si="42"/>
        <v>-12175.889999999992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9"/>
      <c r="AD43" s="99"/>
      <c r="AE43" s="100"/>
      <c r="AF43" s="100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15"/>
      <c r="AT43" s="15"/>
      <c r="AU43" s="16"/>
      <c r="AV43" s="16"/>
      <c r="AW43" s="16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3" ref="C44:AU44">C28+C42</f>
        <v>843576.5450000002</v>
      </c>
      <c r="D44" s="23">
        <f t="shared" si="43"/>
        <v>95921.96154555003</v>
      </c>
      <c r="E44" s="50">
        <f t="shared" si="43"/>
        <v>77184.63</v>
      </c>
      <c r="F44" s="50">
        <f t="shared" si="43"/>
        <v>9264.19</v>
      </c>
      <c r="G44" s="50">
        <f t="shared" si="43"/>
        <v>104198.88999999998</v>
      </c>
      <c r="H44" s="50">
        <f t="shared" si="43"/>
        <v>12541.970000000001</v>
      </c>
      <c r="I44" s="50">
        <f t="shared" si="43"/>
        <v>250729.63999999996</v>
      </c>
      <c r="J44" s="50">
        <f t="shared" si="43"/>
        <v>30143.670000000002</v>
      </c>
      <c r="K44" s="50">
        <f t="shared" si="43"/>
        <v>173502.95</v>
      </c>
      <c r="L44" s="50">
        <f t="shared" si="43"/>
        <v>20879.75</v>
      </c>
      <c r="M44" s="50">
        <f t="shared" si="43"/>
        <v>62393.39</v>
      </c>
      <c r="N44" s="50">
        <f t="shared" si="43"/>
        <v>7410.75</v>
      </c>
      <c r="O44" s="50">
        <f t="shared" si="43"/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668009.5</v>
      </c>
      <c r="T44" s="50">
        <f t="shared" si="43"/>
        <v>80240.32999999999</v>
      </c>
      <c r="U44" s="53">
        <f t="shared" si="43"/>
        <v>71999.97</v>
      </c>
      <c r="V44" s="53">
        <f t="shared" si="43"/>
        <v>97412.06</v>
      </c>
      <c r="W44" s="53">
        <f t="shared" si="43"/>
        <v>237532.24</v>
      </c>
      <c r="X44" s="53">
        <f t="shared" si="43"/>
        <v>162210.53000000003</v>
      </c>
      <c r="Y44" s="53">
        <f t="shared" si="43"/>
        <v>57600.259999999995</v>
      </c>
      <c r="Z44" s="53">
        <f t="shared" si="43"/>
        <v>0</v>
      </c>
      <c r="AA44" s="53">
        <f t="shared" si="43"/>
        <v>0</v>
      </c>
      <c r="AB44" s="53">
        <f t="shared" si="43"/>
        <v>626755.06</v>
      </c>
      <c r="AC44" s="53">
        <f t="shared" si="43"/>
        <v>802917.35154555</v>
      </c>
      <c r="AD44" s="53">
        <f t="shared" si="43"/>
        <v>0</v>
      </c>
      <c r="AE44" s="53">
        <f t="shared" si="43"/>
        <v>0</v>
      </c>
      <c r="AF44" s="53">
        <f t="shared" si="43"/>
        <v>25673.396800000002</v>
      </c>
      <c r="AG44" s="23">
        <f t="shared" si="43"/>
        <v>57646.691999999995</v>
      </c>
      <c r="AH44" s="23">
        <f t="shared" si="43"/>
        <v>19316.429594400004</v>
      </c>
      <c r="AI44" s="23">
        <f t="shared" si="43"/>
        <v>87711.50208425</v>
      </c>
      <c r="AJ44" s="23">
        <f t="shared" si="43"/>
        <v>7989.390375165</v>
      </c>
      <c r="AK44" s="23">
        <f t="shared" si="43"/>
        <v>87366.08469814999</v>
      </c>
      <c r="AL44" s="23">
        <f t="shared" si="43"/>
        <v>8083.1888456669985</v>
      </c>
      <c r="AM44" s="23">
        <f t="shared" si="43"/>
        <v>195823.3367398371</v>
      </c>
      <c r="AN44" s="23">
        <f t="shared" si="43"/>
        <v>17701.170613170678</v>
      </c>
      <c r="AO44" s="23">
        <f t="shared" si="43"/>
        <v>4811.4</v>
      </c>
      <c r="AP44" s="23">
        <f t="shared" si="43"/>
        <v>0</v>
      </c>
      <c r="AQ44" s="23">
        <f t="shared" si="43"/>
        <v>38461.84</v>
      </c>
      <c r="AR44" s="23">
        <f t="shared" si="43"/>
        <v>6905.1312</v>
      </c>
      <c r="AS44" s="23">
        <f t="shared" si="43"/>
        <v>160718.67</v>
      </c>
      <c r="AT44" s="23">
        <f t="shared" si="43"/>
        <v>4325.01</v>
      </c>
      <c r="AU44" s="23">
        <f t="shared" si="43"/>
        <v>23928.0724</v>
      </c>
      <c r="AV44" s="23"/>
      <c r="AW44" s="23"/>
      <c r="AX44" s="23">
        <f aca="true" t="shared" si="44" ref="AX44:BE44">AX28+AX42</f>
        <v>30111.177599999995</v>
      </c>
      <c r="AY44" s="23">
        <f t="shared" si="44"/>
        <v>0</v>
      </c>
      <c r="AZ44" s="23">
        <f t="shared" si="44"/>
        <v>0</v>
      </c>
      <c r="BA44" s="23">
        <f t="shared" si="44"/>
        <v>0</v>
      </c>
      <c r="BB44" s="23">
        <f t="shared" si="44"/>
        <v>746671.2977506397</v>
      </c>
      <c r="BC44" s="23">
        <f t="shared" si="44"/>
        <v>11684.172811723998</v>
      </c>
      <c r="BD44" s="23">
        <f t="shared" si="44"/>
        <v>70235.27778318622</v>
      </c>
      <c r="BE44" s="24">
        <f t="shared" si="44"/>
        <v>-41254.43999999998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L5:L6"/>
    <mergeCell ref="M5:M6"/>
    <mergeCell ref="N5:N6"/>
    <mergeCell ref="O5:O6"/>
    <mergeCell ref="P5:P6"/>
    <mergeCell ref="Q5:Q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28">
      <selection activeCell="C55" sqref="C55:D55"/>
    </sheetView>
  </sheetViews>
  <sheetFormatPr defaultColWidth="9.125" defaultRowHeight="12.75"/>
  <cols>
    <col min="1" max="1" width="10.00390625" style="2" customWidth="1"/>
    <col min="2" max="3" width="9.875" style="2" customWidth="1"/>
    <col min="4" max="4" width="10.1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12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199" t="s">
        <v>55</v>
      </c>
      <c r="C1" s="199"/>
      <c r="D1" s="199"/>
      <c r="E1" s="199"/>
      <c r="F1" s="199"/>
      <c r="G1" s="199"/>
      <c r="H1" s="199"/>
    </row>
    <row r="2" spans="2:8" ht="21" customHeight="1">
      <c r="B2" s="199" t="s">
        <v>56</v>
      </c>
      <c r="C2" s="199"/>
      <c r="D2" s="199"/>
      <c r="E2" s="199"/>
      <c r="F2" s="199"/>
      <c r="G2" s="199"/>
      <c r="H2" s="199"/>
    </row>
    <row r="5" spans="1:17" ht="12.75">
      <c r="A5" s="201" t="s">
        <v>90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</row>
    <row r="6" spans="1:17" ht="12.75">
      <c r="A6" s="202" t="s">
        <v>93</v>
      </c>
      <c r="B6" s="202"/>
      <c r="C6" s="202"/>
      <c r="D6" s="202"/>
      <c r="E6" s="202"/>
      <c r="F6" s="202"/>
      <c r="G6" s="202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00" t="s">
        <v>57</v>
      </c>
      <c r="B8" s="200"/>
      <c r="C8" s="200"/>
      <c r="D8" s="200"/>
      <c r="E8" s="200">
        <v>8.65</v>
      </c>
      <c r="F8" s="200"/>
    </row>
    <row r="9" spans="1:18" ht="12.75" customHeight="1">
      <c r="A9" s="147" t="s">
        <v>58</v>
      </c>
      <c r="B9" s="203" t="s">
        <v>1</v>
      </c>
      <c r="C9" s="193" t="s">
        <v>59</v>
      </c>
      <c r="D9" s="196" t="s">
        <v>3</v>
      </c>
      <c r="E9" s="217" t="s">
        <v>60</v>
      </c>
      <c r="F9" s="218"/>
      <c r="G9" s="189" t="s">
        <v>61</v>
      </c>
      <c r="H9" s="190"/>
      <c r="I9" s="226" t="str">
        <f>Лист1!AF3</f>
        <v>Доходы по нежил.помещениям</v>
      </c>
      <c r="J9" s="229" t="s">
        <v>10</v>
      </c>
      <c r="K9" s="181"/>
      <c r="L9" s="181"/>
      <c r="M9" s="181"/>
      <c r="N9" s="181"/>
      <c r="O9" s="230"/>
      <c r="P9" s="162" t="s">
        <v>76</v>
      </c>
      <c r="Q9" s="206" t="s">
        <v>62</v>
      </c>
      <c r="R9" s="206" t="s">
        <v>12</v>
      </c>
    </row>
    <row r="10" spans="1:18" ht="12.75">
      <c r="A10" s="148"/>
      <c r="B10" s="204"/>
      <c r="C10" s="194"/>
      <c r="D10" s="197"/>
      <c r="E10" s="219"/>
      <c r="F10" s="220"/>
      <c r="G10" s="191"/>
      <c r="H10" s="192"/>
      <c r="I10" s="227"/>
      <c r="J10" s="231"/>
      <c r="K10" s="158"/>
      <c r="L10" s="158"/>
      <c r="M10" s="158"/>
      <c r="N10" s="158"/>
      <c r="O10" s="232"/>
      <c r="P10" s="163"/>
      <c r="Q10" s="207"/>
      <c r="R10" s="207"/>
    </row>
    <row r="11" spans="1:18" ht="26.25" customHeight="1">
      <c r="A11" s="148"/>
      <c r="B11" s="204"/>
      <c r="C11" s="194"/>
      <c r="D11" s="197"/>
      <c r="E11" s="209" t="s">
        <v>63</v>
      </c>
      <c r="F11" s="210"/>
      <c r="G11" s="89" t="s">
        <v>64</v>
      </c>
      <c r="H11" s="211" t="s">
        <v>7</v>
      </c>
      <c r="I11" s="227"/>
      <c r="J11" s="213" t="s">
        <v>65</v>
      </c>
      <c r="K11" s="215" t="s">
        <v>32</v>
      </c>
      <c r="L11" s="215" t="s">
        <v>66</v>
      </c>
      <c r="M11" s="215" t="s">
        <v>37</v>
      </c>
      <c r="N11" s="215" t="s">
        <v>67</v>
      </c>
      <c r="O11" s="211" t="s">
        <v>39</v>
      </c>
      <c r="P11" s="163"/>
      <c r="Q11" s="207"/>
      <c r="R11" s="207"/>
    </row>
    <row r="12" spans="1:18" ht="66.75" customHeight="1" thickBot="1">
      <c r="A12" s="233"/>
      <c r="B12" s="205"/>
      <c r="C12" s="195"/>
      <c r="D12" s="198"/>
      <c r="E12" s="63" t="s">
        <v>68</v>
      </c>
      <c r="F12" s="67" t="s">
        <v>21</v>
      </c>
      <c r="G12" s="82" t="s">
        <v>69</v>
      </c>
      <c r="H12" s="212"/>
      <c r="I12" s="228"/>
      <c r="J12" s="214"/>
      <c r="K12" s="216"/>
      <c r="L12" s="216"/>
      <c r="M12" s="216"/>
      <c r="N12" s="216"/>
      <c r="O12" s="212"/>
      <c r="P12" s="164"/>
      <c r="Q12" s="208"/>
      <c r="R12" s="208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3613.7</v>
      </c>
      <c r="C15" s="27">
        <f>B15*8.65</f>
        <v>31258.505</v>
      </c>
      <c r="D15" s="28">
        <f>Лист1!D9</f>
        <v>7529.548684400001</v>
      </c>
      <c r="E15" s="14">
        <f>Лист1!S9</f>
        <v>22761.66</v>
      </c>
      <c r="F15" s="30">
        <f>Лист1!T9</f>
        <v>3523.15</v>
      </c>
      <c r="G15" s="29">
        <f>Лист1!AB9</f>
        <v>259.14</v>
      </c>
      <c r="H15" s="30">
        <f>Лист1!AC9</f>
        <v>11311.8386844</v>
      </c>
      <c r="I15" s="87">
        <f>Лист1!AD9</f>
        <v>0</v>
      </c>
      <c r="J15" s="29">
        <f>Лист1!AG9</f>
        <v>2168.22</v>
      </c>
      <c r="K15" s="14">
        <f>Лист1!AI9+Лист1!AJ9</f>
        <v>3632.2047988</v>
      </c>
      <c r="L15" s="14">
        <f>Лист1!AH9+Лист1!AK9+Лист1!AL9+Лист1!AM9+Лист1!AN9+Лист1!AO9+Лист1!AP9</f>
        <v>12754.16784547</v>
      </c>
      <c r="M15" s="31">
        <f>Лист1!AS9+Лист1!AU9</f>
        <v>11080.318000000001</v>
      </c>
      <c r="N15" s="31">
        <f>Лист1!AX9</f>
        <v>0</v>
      </c>
      <c r="O15" s="30">
        <f>Лист1!BB9</f>
        <v>29634.91064427</v>
      </c>
      <c r="P15" s="90">
        <f>Лист1!BC9</f>
        <v>0</v>
      </c>
      <c r="Q15" s="75">
        <f>Лист1!BD9</f>
        <v>-18323.07195987</v>
      </c>
      <c r="R15" s="75">
        <f>Лист1!BE9</f>
        <v>-22502.52</v>
      </c>
    </row>
    <row r="16" spans="1:18" ht="12.75">
      <c r="A16" s="11" t="s">
        <v>42</v>
      </c>
      <c r="B16" s="84">
        <f>Лист1!B10</f>
        <v>3613.7</v>
      </c>
      <c r="C16" s="27">
        <f aca="true" t="shared" si="0" ref="C16:C31">B16*8.65</f>
        <v>31258.505</v>
      </c>
      <c r="D16" s="28">
        <f>Лист1!D10</f>
        <v>7529.548684400001</v>
      </c>
      <c r="E16" s="14">
        <f>Лист1!S10</f>
        <v>21854.98</v>
      </c>
      <c r="F16" s="30">
        <f>Лист1!T10</f>
        <v>3354.96</v>
      </c>
      <c r="G16" s="29">
        <f>Лист1!AB10</f>
        <v>18105.140000000003</v>
      </c>
      <c r="H16" s="30">
        <f>Лист1!AC10</f>
        <v>28989.648684400003</v>
      </c>
      <c r="I16" s="87">
        <f>Лист1!AD10</f>
        <v>0</v>
      </c>
      <c r="J16" s="29">
        <f>Лист1!AG10</f>
        <v>2168.22</v>
      </c>
      <c r="K16" s="14">
        <f>Лист1!AI10+Лист1!AJ10</f>
        <v>3632.2047988</v>
      </c>
      <c r="L16" s="14">
        <f>Лист1!AH10+Лист1!AK10+Лист1!AL10+Лист1!AM10+Лист1!AN10+Лист1!AO10+Лист1!AP10</f>
        <v>12715.674713069999</v>
      </c>
      <c r="M16" s="31">
        <f>Лист1!AS10+Лист1!AU10</f>
        <v>2728.16</v>
      </c>
      <c r="N16" s="31">
        <f>Лист1!AX10</f>
        <v>0</v>
      </c>
      <c r="O16" s="30">
        <f>Лист1!BB10</f>
        <v>21244.25951187</v>
      </c>
      <c r="P16" s="90">
        <f>Лист1!BC10</f>
        <v>0</v>
      </c>
      <c r="Q16" s="75">
        <f>Лист1!BD10</f>
        <v>7745.389172530002</v>
      </c>
      <c r="R16" s="75">
        <f>Лист1!BE10</f>
        <v>-3749.8399999999965</v>
      </c>
    </row>
    <row r="17" spans="1:20" ht="13.5" thickBot="1">
      <c r="A17" s="32" t="s">
        <v>43</v>
      </c>
      <c r="B17" s="84">
        <f>Лист1!B11</f>
        <v>3613.7</v>
      </c>
      <c r="C17" s="33">
        <f t="shared" si="0"/>
        <v>31258.505</v>
      </c>
      <c r="D17" s="28">
        <f>Лист1!D11</f>
        <v>7512.981676750001</v>
      </c>
      <c r="E17" s="14">
        <f>Лист1!S11</f>
        <v>22512.2</v>
      </c>
      <c r="F17" s="30">
        <f>Лист1!T11</f>
        <v>3428.56</v>
      </c>
      <c r="G17" s="29">
        <f>Лист1!AB11</f>
        <v>21429.370000000003</v>
      </c>
      <c r="H17" s="30">
        <f>Лист1!AC11</f>
        <v>32370.91167675</v>
      </c>
      <c r="I17" s="87">
        <f>Лист1!AD11</f>
        <v>0</v>
      </c>
      <c r="J17" s="29">
        <f>Лист1!AG11</f>
        <v>2168.22</v>
      </c>
      <c r="K17" s="14">
        <f>Лист1!AI11+Лист1!AJ11</f>
        <v>3621.6414671199996</v>
      </c>
      <c r="L17" s="14">
        <f>Лист1!AH11+Лист1!AK11+Лист1!AL11+Лист1!AM11+Лист1!AN11+Лист1!AO11+Лист1!AP11</f>
        <v>12695.458338201</v>
      </c>
      <c r="M17" s="31">
        <f>Лист1!AS11+Лист1!AU11</f>
        <v>12878.52</v>
      </c>
      <c r="N17" s="31">
        <f>Лист1!AX11</f>
        <v>0</v>
      </c>
      <c r="O17" s="30">
        <f>Лист1!BB11</f>
        <v>31363.839805320997</v>
      </c>
      <c r="P17" s="90">
        <f>Лист1!BC11</f>
        <v>0</v>
      </c>
      <c r="Q17" s="75">
        <f>Лист1!BD11</f>
        <v>1007.0718714290051</v>
      </c>
      <c r="R17" s="75">
        <f>Лист1!BE11</f>
        <v>-1082.829999999998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93775.515</v>
      </c>
      <c r="D18" s="68">
        <f aca="true" t="shared" si="1" ref="D18:J18">SUM(D15:D17)</f>
        <v>22572.079045550003</v>
      </c>
      <c r="E18" s="36">
        <f t="shared" si="1"/>
        <v>67128.84</v>
      </c>
      <c r="F18" s="69">
        <f t="shared" si="1"/>
        <v>10306.67</v>
      </c>
      <c r="G18" s="68">
        <f t="shared" si="1"/>
        <v>39793.65000000001</v>
      </c>
      <c r="H18" s="69">
        <f t="shared" si="1"/>
        <v>72672.39904555</v>
      </c>
      <c r="I18" s="69">
        <f t="shared" si="1"/>
        <v>0</v>
      </c>
      <c r="J18" s="68">
        <f t="shared" si="1"/>
        <v>6504.66</v>
      </c>
      <c r="K18" s="36">
        <f aca="true" t="shared" si="2" ref="K18:R18">SUM(K15:K17)</f>
        <v>10886.051064719999</v>
      </c>
      <c r="L18" s="36">
        <f t="shared" si="2"/>
        <v>38165.300896741</v>
      </c>
      <c r="M18" s="36">
        <f t="shared" si="2"/>
        <v>26686.998</v>
      </c>
      <c r="N18" s="36">
        <f t="shared" si="2"/>
        <v>0</v>
      </c>
      <c r="O18" s="69">
        <f t="shared" si="2"/>
        <v>82243.009961461</v>
      </c>
      <c r="P18" s="69">
        <f t="shared" si="2"/>
        <v>0</v>
      </c>
      <c r="Q18" s="76">
        <f t="shared" si="2"/>
        <v>-9570.610915910995</v>
      </c>
      <c r="R18" s="76">
        <f t="shared" si="2"/>
        <v>-27335.189999999995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3613.7</v>
      </c>
      <c r="C20" s="27">
        <f t="shared" si="0"/>
        <v>31258.505</v>
      </c>
      <c r="D20" s="28">
        <f>Лист1!D14</f>
        <v>3907.313125</v>
      </c>
      <c r="E20" s="14">
        <f>Лист1!S14</f>
        <v>22404.03</v>
      </c>
      <c r="F20" s="30">
        <f>Лист1!T14</f>
        <v>3403.38</v>
      </c>
      <c r="G20" s="29">
        <f>Лист1!AB14</f>
        <v>18786.89</v>
      </c>
      <c r="H20" s="30">
        <f>Лист1!AC14</f>
        <v>26097.583124999997</v>
      </c>
      <c r="I20" s="87">
        <f>Лист1!AF14</f>
        <v>0</v>
      </c>
      <c r="J20" s="29">
        <f>Лист1!AG14</f>
        <v>1951.398</v>
      </c>
      <c r="K20" s="14">
        <f>Лист1!AI14+Лист1!AJ14</f>
        <v>3142.4535337</v>
      </c>
      <c r="L20" s="14">
        <f>Лист1!AH14+Лист1!AK14+Лист1!AL14+Лист1!AM14+Лист1!AN14+Лист1!AO14+Лист1!AP14+Лист1!AQ14+Лист1!AR14</f>
        <v>10792.168984246</v>
      </c>
      <c r="M20" s="31">
        <f>Лист1!AS14+Лист1!AT14+Лист1!AU14+Лист1!AZ14+Лист1!BA14</f>
        <v>21251.81</v>
      </c>
      <c r="N20" s="31">
        <f>Лист1!AX14</f>
        <v>1654.6432000000002</v>
      </c>
      <c r="O20" s="30">
        <f>Лист1!BB14</f>
        <v>37137.830517946</v>
      </c>
      <c r="P20" s="90">
        <f>Лист1!BC14</f>
        <v>0</v>
      </c>
      <c r="Q20" s="75">
        <f>Лист1!BD14</f>
        <v>-11040.247392946003</v>
      </c>
      <c r="R20" s="75">
        <f>Лист1!BE14</f>
        <v>-3617.1399999999994</v>
      </c>
      <c r="S20" s="1"/>
      <c r="T20" s="1"/>
    </row>
    <row r="21" spans="1:20" ht="12.75">
      <c r="A21" s="11" t="s">
        <v>46</v>
      </c>
      <c r="B21" s="84">
        <f>Лист1!B15</f>
        <v>3613.7</v>
      </c>
      <c r="C21" s="27">
        <f t="shared" si="0"/>
        <v>31258.505</v>
      </c>
      <c r="D21" s="28">
        <f>Лист1!D15</f>
        <v>3907.313125</v>
      </c>
      <c r="E21" s="14">
        <f>Лист1!S15</f>
        <v>22277.03</v>
      </c>
      <c r="F21" s="30">
        <f>Лист1!T15</f>
        <v>3568.3900000000003</v>
      </c>
      <c r="G21" s="29">
        <f>Лист1!AB15</f>
        <v>19398.789999999997</v>
      </c>
      <c r="H21" s="30">
        <f>Лист1!AC15</f>
        <v>26874.493124999997</v>
      </c>
      <c r="I21" s="87">
        <f>Лист1!AF15</f>
        <v>0</v>
      </c>
      <c r="J21" s="29">
        <f>Лист1!AG15</f>
        <v>1951.398</v>
      </c>
      <c r="K21" s="14">
        <f>Лист1!AI15+Лист1!AJ15</f>
        <v>3142.4771337</v>
      </c>
      <c r="L21" s="14">
        <f>Лист1!AH15+Лист1!AK15+Лист1!AL15+Лист1!AM15+Лист1!AN15+Лист1!AO15+Лист1!AP15+Лист1!AQ15+Лист1!AR15</f>
        <v>10807.748729055998</v>
      </c>
      <c r="M21" s="31">
        <f>Лист1!AS15+Лист1!AT15+Лист1!AU15+Лист1!AZ15+Лист1!BA15</f>
        <v>2395.4</v>
      </c>
      <c r="N21" s="31">
        <f>Лист1!AX15</f>
        <v>1357.2831999999999</v>
      </c>
      <c r="O21" s="30">
        <f>Лист1!BB15</f>
        <v>18297.023862756</v>
      </c>
      <c r="P21" s="90">
        <f>Лист1!BC15</f>
        <v>0</v>
      </c>
      <c r="Q21" s="75">
        <f>Лист1!BD15</f>
        <v>8577.469262243998</v>
      </c>
      <c r="R21" s="75">
        <f>Лист1!BE15</f>
        <v>-2878.2400000000016</v>
      </c>
      <c r="S21" s="1"/>
      <c r="T21" s="1"/>
    </row>
    <row r="22" spans="1:20" ht="12.75">
      <c r="A22" s="11" t="s">
        <v>47</v>
      </c>
      <c r="B22" s="84">
        <f>Лист1!B16</f>
        <v>3613.7</v>
      </c>
      <c r="C22" s="27">
        <f t="shared" si="0"/>
        <v>31258.505</v>
      </c>
      <c r="D22" s="28">
        <f>Лист1!D16</f>
        <v>3907.313125</v>
      </c>
      <c r="E22" s="14">
        <f>Лист1!S16</f>
        <v>22423.589999999997</v>
      </c>
      <c r="F22" s="30">
        <f>Лист1!T16</f>
        <v>3603.1000000000004</v>
      </c>
      <c r="G22" s="29">
        <f>Лист1!AB16</f>
        <v>23494.870000000003</v>
      </c>
      <c r="H22" s="30">
        <f>Лист1!AC16</f>
        <v>31005.283125</v>
      </c>
      <c r="I22" s="87">
        <f>Лист1!AF16</f>
        <v>0</v>
      </c>
      <c r="J22" s="29">
        <f>Лист1!AG16</f>
        <v>1951.398</v>
      </c>
      <c r="K22" s="14">
        <f>Лист1!AI16+Лист1!AJ16</f>
        <v>3149.7262159</v>
      </c>
      <c r="L22" s="14">
        <f>Лист1!AH16+Лист1!AK16+Лист1!AL16+Лист1!AM16+Лист1!AN16+Лист1!AO16+Лист1!AP16+Лист1!AQ16+Лист1!AR16</f>
        <v>28113.233159626</v>
      </c>
      <c r="M22" s="31">
        <f>Лист1!AS16+Лист1!AT16+Лист1!AU16+Лист1!AZ16+Лист1!BA16</f>
        <v>4613.8</v>
      </c>
      <c r="N22" s="31">
        <f>Лист1!AX16</f>
        <v>1215.872</v>
      </c>
      <c r="O22" s="30">
        <f>Лист1!BB16</f>
        <v>37828.157375525996</v>
      </c>
      <c r="P22" s="90">
        <f>Лист1!BC16</f>
        <v>0</v>
      </c>
      <c r="Q22" s="75">
        <f>Лист1!BD16</f>
        <v>-6822.874250525994</v>
      </c>
      <c r="R22" s="75">
        <f>Лист1!BE16</f>
        <v>1071.280000000006</v>
      </c>
      <c r="S22" s="1"/>
      <c r="T22" s="1"/>
    </row>
    <row r="23" spans="1:20" ht="12.75">
      <c r="A23" s="11" t="s">
        <v>48</v>
      </c>
      <c r="B23" s="84">
        <f>Лист1!B17</f>
        <v>3613.7</v>
      </c>
      <c r="C23" s="27">
        <f t="shared" si="0"/>
        <v>31258.505</v>
      </c>
      <c r="D23" s="28">
        <f>Лист1!D17</f>
        <v>3907.313125</v>
      </c>
      <c r="E23" s="14">
        <f>Лист1!S17</f>
        <v>22599.499999999996</v>
      </c>
      <c r="F23" s="30">
        <f>Лист1!T17</f>
        <v>3488.92</v>
      </c>
      <c r="G23" s="29">
        <f>Лист1!AB17</f>
        <v>20538.21</v>
      </c>
      <c r="H23" s="30">
        <f>Лист1!AC17</f>
        <v>27934.443124999998</v>
      </c>
      <c r="I23" s="87">
        <f>Лист1!AF17</f>
        <v>0</v>
      </c>
      <c r="J23" s="29">
        <f>Лист1!AG17</f>
        <v>1951.398</v>
      </c>
      <c r="K23" s="14">
        <f>Лист1!AI17+Лист1!AJ17</f>
        <v>3238.1650187399996</v>
      </c>
      <c r="L23" s="14">
        <f>Лист1!AH17+Лист1!AK17+Лист1!AL17+Лист1!AM17+Лист1!AN17+Лист1!AO17+Лист1!AP17+Лист1!AQ17+Лист1!AR17</f>
        <v>11793.806967032</v>
      </c>
      <c r="M23" s="31">
        <f>Лист1!AS17+Лист1!AT17+Лист1!AU17+Лист1!AZ17+Лист1!BA17</f>
        <v>12190.4148</v>
      </c>
      <c r="N23" s="31">
        <f>Лист1!AX17</f>
        <v>5343.2288</v>
      </c>
      <c r="O23" s="30">
        <f>Лист1!BB17</f>
        <v>34517.013585772</v>
      </c>
      <c r="P23" s="90">
        <f>Лист1!BC17</f>
        <v>0</v>
      </c>
      <c r="Q23" s="75">
        <f>Лист1!BD17</f>
        <v>-6582.570460772004</v>
      </c>
      <c r="R23" s="75">
        <f>Лист1!BE17</f>
        <v>-2061.2899999999972</v>
      </c>
      <c r="S23" s="1"/>
      <c r="T23" s="1"/>
    </row>
    <row r="24" spans="1:20" ht="12.75">
      <c r="A24" s="11" t="s">
        <v>49</v>
      </c>
      <c r="B24" s="84">
        <f>Лист1!B18</f>
        <v>3613.7</v>
      </c>
      <c r="C24" s="27">
        <f t="shared" si="0"/>
        <v>31258.505</v>
      </c>
      <c r="D24" s="28">
        <f>Лист1!D18</f>
        <v>2896.7550000000015</v>
      </c>
      <c r="E24" s="14">
        <f>Лист1!S18</f>
        <v>24510.75</v>
      </c>
      <c r="F24" s="30">
        <f>Лист1!T18</f>
        <v>3851</v>
      </c>
      <c r="G24" s="29">
        <f>Лист1!AB18</f>
        <v>22683.79</v>
      </c>
      <c r="H24" s="30">
        <f>Лист1!AC18</f>
        <v>29431.545000000002</v>
      </c>
      <c r="I24" s="87">
        <f>Лист1!AF18</f>
        <v>0</v>
      </c>
      <c r="J24" s="29">
        <f>Лист1!AG18</f>
        <v>2168.22</v>
      </c>
      <c r="K24" s="14">
        <f>Лист1!AI18+Лист1!AJ18</f>
        <v>3624.5411</v>
      </c>
      <c r="L24" s="14">
        <f>Лист1!AH18+Лист1!AK18+Лист1!AL18+Лист1!AM18+Лист1!AN18+Лист1!AO18+Лист1!AP18+Лист1!AQ18+Лист1!AR18</f>
        <v>12413.782239999999</v>
      </c>
      <c r="M24" s="31">
        <f>Лист1!AS18+Лист1!AT18+Лист1!AU18+Лист1!AZ18+Лист1!BA18</f>
        <v>8034.325</v>
      </c>
      <c r="N24" s="31">
        <f>Лист1!AX18</f>
        <v>959.4816000000001</v>
      </c>
      <c r="O24" s="30">
        <f>Лист1!BB18</f>
        <v>27200.34994</v>
      </c>
      <c r="P24" s="90">
        <f>Лист1!BC18</f>
        <v>0</v>
      </c>
      <c r="Q24" s="75">
        <f>Лист1!BD18</f>
        <v>2231.195060000002</v>
      </c>
      <c r="R24" s="75">
        <f>Лист1!BE18</f>
        <v>-1826.9599999999991</v>
      </c>
      <c r="S24" s="1"/>
      <c r="T24" s="1"/>
    </row>
    <row r="25" spans="1:20" ht="12.75">
      <c r="A25" s="11" t="s">
        <v>50</v>
      </c>
      <c r="B25" s="84">
        <f>Лист1!B19</f>
        <v>3613.7</v>
      </c>
      <c r="C25" s="27">
        <f t="shared" si="0"/>
        <v>31258.505</v>
      </c>
      <c r="D25" s="28">
        <f>Лист1!D19</f>
        <v>3154.685000000001</v>
      </c>
      <c r="E25" s="14">
        <f>Лист1!S19</f>
        <v>24283.84</v>
      </c>
      <c r="F25" s="30">
        <f>Лист1!T19</f>
        <v>3819.9799999999996</v>
      </c>
      <c r="G25" s="29">
        <f>Лист1!AB19</f>
        <v>22237.42</v>
      </c>
      <c r="H25" s="30">
        <f>Лист1!AC19</f>
        <v>29212.085</v>
      </c>
      <c r="I25" s="87">
        <f>Лист1!AF19</f>
        <v>0</v>
      </c>
      <c r="J25" s="29">
        <f>Лист1!AG19</f>
        <v>2168.22</v>
      </c>
      <c r="K25" s="14">
        <f>Лист1!AI19+Лист1!AJ19</f>
        <v>3624.5411</v>
      </c>
      <c r="L25" s="14">
        <f>Лист1!AH19+Лист1!AK19+Лист1!AL19+Лист1!AM19+Лист1!AN19+Лист1!AO19+Лист1!AP19+Лист1!AQ19+Лист1!AR19</f>
        <v>36319.125673</v>
      </c>
      <c r="M25" s="31">
        <f>Лист1!AS19+Лист1!AT19+Лист1!AU19+Лист1!AZ19+Лист1!BA19</f>
        <v>8771.907599999999</v>
      </c>
      <c r="N25" s="31">
        <f>Лист1!AX19</f>
        <v>962.1248</v>
      </c>
      <c r="O25" s="30">
        <f>Лист1!BB19</f>
        <v>51845.919173</v>
      </c>
      <c r="P25" s="90">
        <f>Лист1!BC19</f>
        <v>0</v>
      </c>
      <c r="Q25" s="75">
        <f>Лист1!BD19</f>
        <v>-22633.834173000003</v>
      </c>
      <c r="R25" s="75">
        <f>Лист1!BE19</f>
        <v>-2046.420000000002</v>
      </c>
      <c r="S25" s="1"/>
      <c r="T25" s="1"/>
    </row>
    <row r="26" spans="1:20" ht="12.75">
      <c r="A26" s="11" t="s">
        <v>51</v>
      </c>
      <c r="B26" s="84">
        <f>Лист1!B20</f>
        <v>3613.7</v>
      </c>
      <c r="C26" s="27">
        <f t="shared" si="0"/>
        <v>31258.505</v>
      </c>
      <c r="D26" s="28">
        <f>Лист1!D20</f>
        <v>2931.2050000000027</v>
      </c>
      <c r="E26" s="14">
        <f>Лист1!S20</f>
        <v>24378.61</v>
      </c>
      <c r="F26" s="30">
        <f>Лист1!T20</f>
        <v>3948.69</v>
      </c>
      <c r="G26" s="29">
        <f>Лист1!AB20</f>
        <v>28710.28</v>
      </c>
      <c r="H26" s="30">
        <f>Лист1!AC20</f>
        <v>35590.175</v>
      </c>
      <c r="I26" s="87">
        <f>Лист1!AF20</f>
        <v>1340.2676000000001</v>
      </c>
      <c r="J26" s="29">
        <f>Лист1!AG20</f>
        <v>2168.22</v>
      </c>
      <c r="K26" s="14">
        <f>Лист1!AI20+Лист1!AJ20</f>
        <v>3572.71016227</v>
      </c>
      <c r="L26" s="14">
        <f>Лист1!AH20+Лист1!AK20+Лист1!AL20+Лист1!AM20+Лист1!AN20+Лист1!AO20+Лист1!AP20+Лист1!AQ20+Лист1!AR20</f>
        <v>12290.595615713997</v>
      </c>
      <c r="M26" s="31">
        <f>Лист1!AS20+Лист1!AT20+Лист1!AU20+Лист1!AZ20+Лист1!BA20</f>
        <v>3754.9959999999996</v>
      </c>
      <c r="N26" s="31">
        <f>Лист1!AX20</f>
        <v>717.6288000000001</v>
      </c>
      <c r="O26" s="30">
        <f>Лист1!BB20</f>
        <v>22504.150577983994</v>
      </c>
      <c r="P26" s="90">
        <f>Лист1!BC20</f>
        <v>633.3559971999999</v>
      </c>
      <c r="Q26" s="75">
        <f>Лист1!BD20</f>
        <v>13792.936024816008</v>
      </c>
      <c r="R26" s="75">
        <f>Лист1!BE20</f>
        <v>4331.669999999998</v>
      </c>
      <c r="S26" s="1"/>
      <c r="T26" s="1"/>
    </row>
    <row r="27" spans="1:20" ht="12.75">
      <c r="A27" s="11" t="s">
        <v>52</v>
      </c>
      <c r="B27" s="84">
        <f>Лист1!B21</f>
        <v>3613.7</v>
      </c>
      <c r="C27" s="27">
        <f t="shared" si="0"/>
        <v>31258.505</v>
      </c>
      <c r="D27" s="28">
        <f>Лист1!D21</f>
        <v>2922.6649999999977</v>
      </c>
      <c r="E27" s="14">
        <f>Лист1!S21</f>
        <v>24367.06</v>
      </c>
      <c r="F27" s="30">
        <f>Лист1!T21</f>
        <v>3968.7799999999997</v>
      </c>
      <c r="G27" s="29">
        <f>Лист1!AB21</f>
        <v>23616.519999999997</v>
      </c>
      <c r="H27" s="30">
        <f>Лист1!AC21</f>
        <v>30507.964999999997</v>
      </c>
      <c r="I27" s="87">
        <f>Лист1!AF21</f>
        <v>1340.2676000000001</v>
      </c>
      <c r="J27" s="29">
        <f>Лист1!AG21</f>
        <v>2168.22</v>
      </c>
      <c r="K27" s="14">
        <f>Лист1!AI21+Лист1!AJ21</f>
        <v>3571.115364186</v>
      </c>
      <c r="L27" s="14">
        <f>Лист1!AH21+Лист1!AK21+Лист1!AL21+Лист1!AM21+Лист1!AN21+Лист1!AO21+Лист1!AP21+Лист1!AQ21+Лист1!AR21</f>
        <v>14788.253866599998</v>
      </c>
      <c r="M27" s="31">
        <f>Лист1!AS21+Лист1!AT21+Лист1!AU21+Лист1!AZ21+Лист1!BA21</f>
        <v>1344.02</v>
      </c>
      <c r="N27" s="31">
        <f>Лист1!AX21</f>
        <v>869.6128</v>
      </c>
      <c r="O27" s="30">
        <f>Лист1!BB21</f>
        <v>22741.222030785993</v>
      </c>
      <c r="P27" s="90">
        <f>Лист1!BC21</f>
        <v>633.0682211600001</v>
      </c>
      <c r="Q27" s="75">
        <f>Лист1!BD21</f>
        <v>8473.942348054003</v>
      </c>
      <c r="R27" s="75">
        <f>Лист1!BE21</f>
        <v>-750.5400000000045</v>
      </c>
      <c r="S27" s="1"/>
      <c r="T27" s="1"/>
    </row>
    <row r="28" spans="1:20" ht="12.75">
      <c r="A28" s="11" t="s">
        <v>53</v>
      </c>
      <c r="B28" s="84">
        <f>Лист1!B22</f>
        <v>3613.7</v>
      </c>
      <c r="C28" s="27">
        <f t="shared" si="0"/>
        <v>31258.505</v>
      </c>
      <c r="D28" s="28">
        <f>Лист1!D22</f>
        <v>2923.634999999999</v>
      </c>
      <c r="E28" s="14">
        <f>Лист1!S22</f>
        <v>24366.09</v>
      </c>
      <c r="F28" s="30">
        <f>Лист1!T22</f>
        <v>3968.7799999999997</v>
      </c>
      <c r="G28" s="29">
        <f>Лист1!AB22</f>
        <v>26005.350000000002</v>
      </c>
      <c r="H28" s="30">
        <f>Лист1!AC22</f>
        <v>32897.765</v>
      </c>
      <c r="I28" s="87">
        <f>Лист1!AF22</f>
        <v>1340.2676000000001</v>
      </c>
      <c r="J28" s="29">
        <f>Лист1!AG22</f>
        <v>2168.22</v>
      </c>
      <c r="K28" s="14">
        <f>Лист1!AI22+Лист1!AJ22</f>
        <v>3570.4991921990004</v>
      </c>
      <c r="L28" s="14">
        <f>Лист1!AH22+Лист1!AK22+Лист1!AL22+Лист1!AM22+Лист1!AN22+Лист1!AO22+Лист1!AP22+Лист1!AQ22+Лист1!AR22</f>
        <v>12287.198499209799</v>
      </c>
      <c r="M28" s="31">
        <f>Лист1!AS22+Лист1!AT22+Лист1!AU22+Лист1!AZ22+Лист1!BA22</f>
        <v>0</v>
      </c>
      <c r="N28" s="31">
        <f>Лист1!AX22</f>
        <v>1033.4912</v>
      </c>
      <c r="O28" s="30">
        <f>Лист1!BB22</f>
        <v>19059.4088914088</v>
      </c>
      <c r="P28" s="90">
        <f>Лист1!BC22</f>
        <v>632.972473364</v>
      </c>
      <c r="Q28" s="75">
        <f>Лист1!BD22</f>
        <v>14545.6512352272</v>
      </c>
      <c r="R28" s="75">
        <f>Лист1!BE22</f>
        <v>1639.260000000002</v>
      </c>
      <c r="S28" s="1"/>
      <c r="T28" s="1"/>
    </row>
    <row r="29" spans="1:20" ht="12.75">
      <c r="A29" s="11" t="s">
        <v>41</v>
      </c>
      <c r="B29" s="84">
        <f>Лист1!B23</f>
        <v>3611.9</v>
      </c>
      <c r="C29" s="27">
        <f>B29*8.65</f>
        <v>31242.935</v>
      </c>
      <c r="D29" s="28">
        <f>Лист1!D23</f>
        <v>2373.5050000000015</v>
      </c>
      <c r="E29" s="14">
        <f>Лист1!S23</f>
        <v>24870.53</v>
      </c>
      <c r="F29" s="30">
        <f>Лист1!T23</f>
        <v>3998.9</v>
      </c>
      <c r="G29" s="29">
        <f>Лист1!AB23</f>
        <v>26336.690000000002</v>
      </c>
      <c r="H29" s="30">
        <f>Лист1!AC23</f>
        <v>32709.095000000005</v>
      </c>
      <c r="I29" s="87">
        <f>Лист1!AF23</f>
        <v>1340.2676000000001</v>
      </c>
      <c r="J29" s="29">
        <f>Лист1!AG23</f>
        <v>2167.14</v>
      </c>
      <c r="K29" s="14">
        <f>Лист1!AI23+Лист1!AJ23</f>
        <v>3609.949574</v>
      </c>
      <c r="L29" s="14">
        <f>Лист1!AH23+Лист1!AK23+Лист1!AL23+Лист1!AM23+Лист1!AN23+Лист1!AO23+Лист1!AP23+Лист1!AQ23+Лист1!AR23</f>
        <v>12386.64986</v>
      </c>
      <c r="M29" s="31">
        <f>Лист1!AS23+Лист1!AT23+Лист1!AU23+Лист1!AZ23+Лист1!BA23</f>
        <v>41952.563599999994</v>
      </c>
      <c r="N29" s="31">
        <f>Лист1!AX23</f>
        <v>931.728</v>
      </c>
      <c r="O29" s="30">
        <f>Лист1!BB23</f>
        <v>61048.031034</v>
      </c>
      <c r="P29" s="90">
        <f>Лист1!BC23</f>
        <v>637.9233200000001</v>
      </c>
      <c r="Q29" s="75">
        <f>Лист1!BD23</f>
        <v>-27636.591753999994</v>
      </c>
      <c r="R29" s="75">
        <f>Лист1!BE23</f>
        <v>1466.1600000000035</v>
      </c>
      <c r="S29" s="1"/>
      <c r="T29" s="1"/>
    </row>
    <row r="30" spans="1:20" ht="12.75">
      <c r="A30" s="11" t="s">
        <v>42</v>
      </c>
      <c r="B30" s="84">
        <f>Лист1!B24</f>
        <v>3610.5</v>
      </c>
      <c r="C30" s="27">
        <f t="shared" si="0"/>
        <v>31230.825</v>
      </c>
      <c r="D30" s="28">
        <f>Лист1!D24</f>
        <v>2976.655000000002</v>
      </c>
      <c r="E30" s="14">
        <f>Лист1!S24</f>
        <v>24143.75</v>
      </c>
      <c r="F30" s="30">
        <f>Лист1!T24</f>
        <v>4110.42</v>
      </c>
      <c r="G30" s="29">
        <f>Лист1!AB24</f>
        <v>22712.18</v>
      </c>
      <c r="H30" s="30">
        <f>Лист1!AC24</f>
        <v>29799.255000000005</v>
      </c>
      <c r="I30" s="87">
        <f>Лист1!AF24</f>
        <v>1340.2676000000001</v>
      </c>
      <c r="J30" s="29">
        <f>Лист1!AG24</f>
        <v>2166.2999999999997</v>
      </c>
      <c r="K30" s="14">
        <f>Лист1!AI24+Лист1!AJ24</f>
        <v>3621.3315</v>
      </c>
      <c r="L30" s="14">
        <f>Лист1!AH24+Лист1!AK24+Лист1!AL24+Лист1!AM24+Лист1!AN24+Лист1!AO24+Лист1!AP24+Лист1!AQ24+Лист1!AR24</f>
        <v>12395.568599999999</v>
      </c>
      <c r="M30" s="31">
        <f>Лист1!AS24+Лист1!AT24+Лист1!AU24+Лист1!AZ24+Лист1!BA24</f>
        <v>2362.36</v>
      </c>
      <c r="N30" s="31">
        <f>Лист1!AX24</f>
        <v>1004.416</v>
      </c>
      <c r="O30" s="30">
        <f>Лист1!BB24</f>
        <v>21549.9761</v>
      </c>
      <c r="P30" s="90">
        <f>Лист1!BC24</f>
        <v>638.8163999999999</v>
      </c>
      <c r="Q30" s="75">
        <f>Лист1!BD24</f>
        <v>8950.730100000004</v>
      </c>
      <c r="R30" s="75">
        <f>Лист1!BE24</f>
        <v>-1431.5699999999997</v>
      </c>
      <c r="S30" s="1"/>
      <c r="T30" s="1"/>
    </row>
    <row r="31" spans="1:20" ht="13.5" thickBot="1">
      <c r="A31" s="32" t="s">
        <v>43</v>
      </c>
      <c r="B31" s="84">
        <f>Лист1!B25</f>
        <v>3610.5</v>
      </c>
      <c r="C31" s="33">
        <f t="shared" si="0"/>
        <v>31230.825</v>
      </c>
      <c r="D31" s="28">
        <f>Лист1!D25</f>
        <v>2990.855000000002</v>
      </c>
      <c r="E31" s="14">
        <f>Лист1!S25</f>
        <v>24117.91</v>
      </c>
      <c r="F31" s="30">
        <f>Лист1!T25</f>
        <v>4122.06</v>
      </c>
      <c r="G31" s="29">
        <f>Лист1!AB25</f>
        <v>28478.34</v>
      </c>
      <c r="H31" s="30">
        <f>Лист1!AC25</f>
        <v>35591.255000000005</v>
      </c>
      <c r="I31" s="87">
        <f>Лист1!AF25</f>
        <v>1340.2676000000001</v>
      </c>
      <c r="J31" s="29">
        <f>Лист1!AG25</f>
        <v>2166.2999999999997</v>
      </c>
      <c r="K31" s="14">
        <f>Лист1!AI25+Лист1!AJ25</f>
        <v>3621.3315</v>
      </c>
      <c r="L31" s="14">
        <f>Лист1!AH25+Лист1!AK25+Лист1!AL25+Лист1!AM25+Лист1!AN25+Лист1!AO25+Лист1!AP25+Лист1!AQ25+Лист1!AR25</f>
        <v>12395.568599999999</v>
      </c>
      <c r="M31" s="31">
        <f>Лист1!AS25+Лист1!AT25+Лист1!AU25+Лист1!AZ25+Лист1!BA25</f>
        <v>22240.64</v>
      </c>
      <c r="N31" s="31">
        <f>Лист1!AX25</f>
        <v>1178.8672000000001</v>
      </c>
      <c r="O31" s="30">
        <f>Лист1!BB25</f>
        <v>41602.7073</v>
      </c>
      <c r="P31" s="90">
        <f>Лист1!BC25</f>
        <v>638.8163999999999</v>
      </c>
      <c r="Q31" s="75">
        <f>Лист1!BD25</f>
        <v>-5310.001099999998</v>
      </c>
      <c r="R31" s="75">
        <f>Лист1!BE25</f>
        <v>4360.43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375031.13</v>
      </c>
      <c r="D32" s="68">
        <f t="shared" si="3"/>
        <v>38799.21250000001</v>
      </c>
      <c r="E32" s="36">
        <f t="shared" si="3"/>
        <v>284742.68999999994</v>
      </c>
      <c r="F32" s="69">
        <f t="shared" si="3"/>
        <v>45852.399999999994</v>
      </c>
      <c r="G32" s="68">
        <f t="shared" si="3"/>
        <v>282999.33</v>
      </c>
      <c r="H32" s="69">
        <f t="shared" si="3"/>
        <v>367650.9425</v>
      </c>
      <c r="I32" s="69">
        <f t="shared" si="3"/>
        <v>8041.605600000001</v>
      </c>
      <c r="J32" s="68">
        <f t="shared" si="3"/>
        <v>25146.431999999997</v>
      </c>
      <c r="K32" s="36">
        <f t="shared" si="3"/>
        <v>41488.841394695</v>
      </c>
      <c r="L32" s="36">
        <f t="shared" si="3"/>
        <v>186783.7007944838</v>
      </c>
      <c r="M32" s="36">
        <f>SUM(M20:M31)</f>
        <v>128912.237</v>
      </c>
      <c r="N32" s="36">
        <f t="shared" si="3"/>
        <v>17228.3776</v>
      </c>
      <c r="O32" s="69">
        <f t="shared" si="3"/>
        <v>395331.7903891788</v>
      </c>
      <c r="P32" s="69">
        <f t="shared" si="3"/>
        <v>3814.9528117239997</v>
      </c>
      <c r="Q32" s="76">
        <f>SUM(Q20:Q31)</f>
        <v>-23454.195100902776</v>
      </c>
      <c r="R32" s="76">
        <f t="shared" si="3"/>
        <v>-1743.3599999999933</v>
      </c>
      <c r="S32" s="72"/>
      <c r="T32" s="72"/>
    </row>
    <row r="33" spans="1:20" ht="13.5" thickBot="1">
      <c r="A33" s="221" t="s">
        <v>70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468806.645</v>
      </c>
      <c r="D34" s="37">
        <f aca="true" t="shared" si="4" ref="D34:R34">D18+D32</f>
        <v>61371.29154555001</v>
      </c>
      <c r="E34" s="38">
        <f t="shared" si="4"/>
        <v>351871.5299999999</v>
      </c>
      <c r="F34" s="39">
        <f t="shared" si="4"/>
        <v>56159.06999999999</v>
      </c>
      <c r="G34" s="37">
        <f t="shared" si="4"/>
        <v>322792.98000000004</v>
      </c>
      <c r="H34" s="39">
        <f t="shared" si="4"/>
        <v>440323.34154555004</v>
      </c>
      <c r="I34" s="39">
        <f t="shared" si="4"/>
        <v>8041.605600000001</v>
      </c>
      <c r="J34" s="37">
        <f t="shared" si="4"/>
        <v>31651.091999999997</v>
      </c>
      <c r="K34" s="38">
        <f t="shared" si="4"/>
        <v>52374.892459415</v>
      </c>
      <c r="L34" s="38">
        <f t="shared" si="4"/>
        <v>224949.0016912248</v>
      </c>
      <c r="M34" s="38">
        <f t="shared" si="4"/>
        <v>155599.235</v>
      </c>
      <c r="N34" s="38">
        <f t="shared" si="4"/>
        <v>17228.3776</v>
      </c>
      <c r="O34" s="79">
        <f t="shared" si="4"/>
        <v>477574.8003506398</v>
      </c>
      <c r="P34" s="79">
        <f>P18+P32</f>
        <v>3814.9528117239997</v>
      </c>
      <c r="Q34" s="78">
        <f>Q18+Q32</f>
        <v>-33024.806016813774</v>
      </c>
      <c r="R34" s="78">
        <f t="shared" si="4"/>
        <v>-29078.54999999999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3610.5</v>
      </c>
      <c r="C36" s="27">
        <f aca="true" t="shared" si="5" ref="C36:C47">B36*8.65</f>
        <v>31230.825</v>
      </c>
      <c r="D36" s="28">
        <f>Лист1!D30</f>
        <v>2932.985000000002</v>
      </c>
      <c r="E36" s="14">
        <f>Лист1!S30</f>
        <v>24149.93</v>
      </c>
      <c r="F36" s="30">
        <f>Лист1!T30</f>
        <v>4147.910000000001</v>
      </c>
      <c r="G36" s="29">
        <f>Лист1!AB30</f>
        <v>18565.11</v>
      </c>
      <c r="H36" s="30">
        <f>Лист1!AC30</f>
        <v>25646.005000000005</v>
      </c>
      <c r="I36" s="87">
        <f>Лист1!AF30</f>
        <v>1340.2676000000001</v>
      </c>
      <c r="J36" s="29">
        <f>Лист1!AG30</f>
        <v>2166.2999999999997</v>
      </c>
      <c r="K36" s="14">
        <f>Лист1!AI30+Лист1!AJ30</f>
        <v>3610.5</v>
      </c>
      <c r="L36" s="14">
        <f>Лист1!AH30+Лист1!AK30+Лист1!AL30+Лист1!AM30+Лист1!AN30+Лист1!AO30+Лист1!AP30+Лист1!AQ30+Лист1!AR30</f>
        <v>12384.015</v>
      </c>
      <c r="M36" s="31">
        <f>Лист1!AS30+Лист1!AT30+Лист1!AU30+Лист1!AZ30+Лист1!BA30</f>
        <v>151.748</v>
      </c>
      <c r="N36" s="31">
        <f>Лист1!AX30</f>
        <v>1169</v>
      </c>
      <c r="O36" s="30">
        <f>Лист1!BB30</f>
        <v>19481.563</v>
      </c>
      <c r="P36" s="90">
        <f>Лист1!BC30</f>
        <v>638.06</v>
      </c>
      <c r="Q36" s="75">
        <f>Лист1!BD30</f>
        <v>6866.649600000006</v>
      </c>
      <c r="R36" s="75">
        <f>Лист1!BE30</f>
        <v>-5584.82</v>
      </c>
      <c r="S36" s="1"/>
      <c r="T36" s="1"/>
    </row>
    <row r="37" spans="1:20" ht="12.75">
      <c r="A37" s="11" t="s">
        <v>46</v>
      </c>
      <c r="B37" s="84">
        <f>Лист1!B31</f>
        <v>3610.5</v>
      </c>
      <c r="C37" s="27">
        <f t="shared" si="5"/>
        <v>31230.825</v>
      </c>
      <c r="D37" s="28">
        <f>Лист1!D31</f>
        <v>2953.805000000004</v>
      </c>
      <c r="E37" s="14">
        <f>Лист1!S31</f>
        <v>24206.329999999998</v>
      </c>
      <c r="F37" s="30">
        <f>Лист1!T31</f>
        <v>4070.69</v>
      </c>
      <c r="G37" s="29">
        <f>Лист1!AB31</f>
        <v>19698.29</v>
      </c>
      <c r="H37" s="30">
        <f>Лист1!AC31</f>
        <v>26722.785000000003</v>
      </c>
      <c r="I37" s="87">
        <f>Лист1!AF31</f>
        <v>1340.2676000000001</v>
      </c>
      <c r="J37" s="29">
        <f>Лист1!AG31</f>
        <v>2166.2999999999997</v>
      </c>
      <c r="K37" s="14">
        <f>Лист1!AI31+Лист1!AJ31</f>
        <v>3610.5</v>
      </c>
      <c r="L37" s="14">
        <f>Лист1!AH31+Лист1!AK31+Лист1!AL31+Лист1!AM31+Лист1!AN31+Лист1!AO31+Лист1!AP31+Лист1!AQ31+Лист1!AR31</f>
        <v>12384.015</v>
      </c>
      <c r="M37" s="31">
        <f>Лист1!AS31+Лист1!AT31+Лист1!AU31+Лист1!AZ31+Лист1!BA31</f>
        <v>530</v>
      </c>
      <c r="N37" s="31">
        <f>Лист1!AX31</f>
        <v>1197</v>
      </c>
      <c r="O37" s="30">
        <f>Лист1!BB31</f>
        <v>19887.815</v>
      </c>
      <c r="P37" s="90">
        <f>Лист1!BC31</f>
        <v>638.06</v>
      </c>
      <c r="Q37" s="75">
        <f>Лист1!BD31</f>
        <v>7537.1776000000045</v>
      </c>
      <c r="R37" s="75">
        <f>Лист1!BE31</f>
        <v>-4508.039999999997</v>
      </c>
      <c r="S37" s="1"/>
      <c r="T37" s="1"/>
    </row>
    <row r="38" spans="1:20" ht="12.75">
      <c r="A38" s="11" t="s">
        <v>47</v>
      </c>
      <c r="B38" s="84">
        <f>Лист1!B32</f>
        <v>3610.5</v>
      </c>
      <c r="C38" s="27">
        <f t="shared" si="5"/>
        <v>31230.825</v>
      </c>
      <c r="D38" s="28">
        <f>Лист1!D32</f>
        <v>2965.6649999999986</v>
      </c>
      <c r="E38" s="14">
        <f>Лист1!S32</f>
        <v>24299.499999999996</v>
      </c>
      <c r="F38" s="30">
        <f>Лист1!T32</f>
        <v>3965.66</v>
      </c>
      <c r="G38" s="29">
        <f>Лист1!AB32</f>
        <v>24238.5</v>
      </c>
      <c r="H38" s="30">
        <f>Лист1!AC32</f>
        <v>31169.824999999997</v>
      </c>
      <c r="I38" s="87">
        <f>Лист1!AF32</f>
        <v>1340.2676000000001</v>
      </c>
      <c r="J38" s="29">
        <f>Лист1!AG32</f>
        <v>2166.2999999999997</v>
      </c>
      <c r="K38" s="14">
        <f>Лист1!AI32+Лист1!AJ32</f>
        <v>3610.5</v>
      </c>
      <c r="L38" s="14">
        <f>Лист1!AH32+Лист1!AK32+Лист1!AL32+Лист1!AM32+Лист1!AN32+Лист1!AO32+Лист1!AP32+Лист1!AQ32+Лист1!AR32</f>
        <v>12384.015</v>
      </c>
      <c r="M38" s="31">
        <f>Лист1!AS32+Лист1!AT32+Лист1!AU32+Лист1!AZ32+Лист1!BA32</f>
        <v>1028</v>
      </c>
      <c r="N38" s="31">
        <f>Лист1!AX32</f>
        <v>1191.3999999999999</v>
      </c>
      <c r="O38" s="30">
        <f>Лист1!BB32</f>
        <v>20380.215</v>
      </c>
      <c r="P38" s="90">
        <f>Лист1!BC32</f>
        <v>638.06</v>
      </c>
      <c r="Q38" s="75">
        <f>Лист1!BD32</f>
        <v>11491.817599999997</v>
      </c>
      <c r="R38" s="75">
        <f>Лист1!BE32</f>
        <v>-60.99999999999636</v>
      </c>
      <c r="S38" s="1"/>
      <c r="T38" s="1"/>
    </row>
    <row r="39" spans="1:20" ht="12.75">
      <c r="A39" s="11" t="s">
        <v>48</v>
      </c>
      <c r="B39" s="84">
        <f>Лист1!B33</f>
        <v>3610.5</v>
      </c>
      <c r="C39" s="27">
        <f t="shared" si="5"/>
        <v>31230.825</v>
      </c>
      <c r="D39" s="28">
        <f>Лист1!D33</f>
        <v>2965.665000000001</v>
      </c>
      <c r="E39" s="14">
        <f>Лист1!S33</f>
        <v>24299.500000000004</v>
      </c>
      <c r="F39" s="30">
        <f>Лист1!T33</f>
        <v>3965.66</v>
      </c>
      <c r="G39" s="29">
        <f>Лист1!AB33</f>
        <v>20538.21</v>
      </c>
      <c r="H39" s="30">
        <f>Лист1!AC33</f>
        <v>27469.535</v>
      </c>
      <c r="I39" s="87">
        <f>Лист1!AF33</f>
        <v>1340.2676000000001</v>
      </c>
      <c r="J39" s="29">
        <f>Лист1!AG33</f>
        <v>2166.2999999999997</v>
      </c>
      <c r="K39" s="14">
        <f>Лист1!AI33+Лист1!AJ33</f>
        <v>3610.5</v>
      </c>
      <c r="L39" s="14">
        <f>Лист1!AH33+Лист1!AK33+Лист1!AL33+Лист1!AM33+Лист1!AN33+Лист1!AO33+Лист1!AP33+Лист1!AQ33+Лист1!AR33</f>
        <v>17195.415</v>
      </c>
      <c r="M39" s="31">
        <f>Лист1!AS33+Лист1!AT33+Лист1!AU33+Лист1!AZ33+Лист1!BA33</f>
        <v>10976</v>
      </c>
      <c r="N39" s="31">
        <f>Лист1!AX33</f>
        <v>1003.8</v>
      </c>
      <c r="O39" s="30">
        <f>Лист1!BB33</f>
        <v>34952.015</v>
      </c>
      <c r="P39" s="90">
        <f>Лист1!BC33</f>
        <v>638.06</v>
      </c>
      <c r="Q39" s="75">
        <f>Лист1!BD33</f>
        <v>-6780.2724</v>
      </c>
      <c r="R39" s="75">
        <f>Лист1!BE33</f>
        <v>-3761.2900000000045</v>
      </c>
      <c r="S39" s="1"/>
      <c r="T39" s="1"/>
    </row>
    <row r="40" spans="1:20" ht="12.75">
      <c r="A40" s="11" t="s">
        <v>49</v>
      </c>
      <c r="B40" s="84">
        <f>Лист1!B34</f>
        <v>3610.5</v>
      </c>
      <c r="C40" s="27">
        <f t="shared" si="5"/>
        <v>31230.825</v>
      </c>
      <c r="D40" s="28">
        <f>Лист1!D34</f>
        <v>2865.855000000006</v>
      </c>
      <c r="E40" s="14">
        <f>Лист1!S34</f>
        <v>24399.3</v>
      </c>
      <c r="F40" s="30">
        <f>Лист1!T34</f>
        <v>3965.67</v>
      </c>
      <c r="G40" s="29">
        <f>Лист1!AB34</f>
        <v>23383.170000000002</v>
      </c>
      <c r="H40" s="30">
        <f>Лист1!AC34</f>
        <v>30214.695000000007</v>
      </c>
      <c r="I40" s="87">
        <f>Лист1!AF34</f>
        <v>1340.2676000000001</v>
      </c>
      <c r="J40" s="29">
        <f>Лист1!AG34</f>
        <v>2166.2999999999997</v>
      </c>
      <c r="K40" s="14">
        <f>Лист1!AI34+Лист1!AJ34</f>
        <v>3610.5</v>
      </c>
      <c r="L40" s="14">
        <f>Лист1!AH34+Лист1!AK34+Лист1!AL34+Лист1!AM34+Лист1!AN34+Лист1!AO34+Лист1!AP34+Лист1!AQ34+Лист1!AR34</f>
        <v>12384.015</v>
      </c>
      <c r="M40" s="31">
        <f>Лист1!AS34+Лист1!AT34+Лист1!AU34+Лист1!AZ34+Лист1!BA34</f>
        <v>561</v>
      </c>
      <c r="N40" s="31">
        <f>Лист1!AX34</f>
        <v>1006.5999999999999</v>
      </c>
      <c r="O40" s="30">
        <f>Лист1!BB34</f>
        <v>19728.414999999997</v>
      </c>
      <c r="P40" s="90">
        <f>Лист1!BC34</f>
        <v>638.06</v>
      </c>
      <c r="Q40" s="75">
        <f>Лист1!BD34</f>
        <v>11188.48760000001</v>
      </c>
      <c r="R40" s="75">
        <f>Лист1!BE34</f>
        <v>-1016.1299999999974</v>
      </c>
      <c r="S40" s="1"/>
      <c r="T40" s="1"/>
    </row>
    <row r="41" spans="1:20" ht="12.75">
      <c r="A41" s="11" t="s">
        <v>50</v>
      </c>
      <c r="B41" s="84">
        <f>Лист1!B35</f>
        <v>3610.5</v>
      </c>
      <c r="C41" s="27">
        <f t="shared" si="5"/>
        <v>31230.825</v>
      </c>
      <c r="D41" s="28">
        <f>Лист1!D35</f>
        <v>2862.135000000002</v>
      </c>
      <c r="E41" s="14">
        <f>Лист1!S35</f>
        <v>24403.02</v>
      </c>
      <c r="F41" s="30">
        <f>Лист1!T35</f>
        <v>3965.67</v>
      </c>
      <c r="G41" s="29">
        <f>Лист1!AB35</f>
        <v>22788.61</v>
      </c>
      <c r="H41" s="30">
        <f>Лист1!AC35</f>
        <v>29616.415</v>
      </c>
      <c r="I41" s="87">
        <f>Лист1!AF35</f>
        <v>1340.2676000000001</v>
      </c>
      <c r="J41" s="29">
        <f>Лист1!AG35</f>
        <v>2166.2999999999997</v>
      </c>
      <c r="K41" s="14">
        <f>Лист1!AI35+Лист1!AJ35</f>
        <v>3610.5</v>
      </c>
      <c r="L41" s="14">
        <f>Лист1!AH35+Лист1!AK35+Лист1!AL35+Лист1!AM35+Лист1!AN35+Лист1!AO35+Лист1!AP35+Лист1!AQ35+Лист1!AR35</f>
        <v>12484.015</v>
      </c>
      <c r="M41" s="31">
        <f>Лист1!AS35+Лист1!AT35+Лист1!AU35+Лист1!AZ35+Лист1!BA35</f>
        <v>3126</v>
      </c>
      <c r="N41" s="31">
        <f>Лист1!AX35</f>
        <v>683.1999999999999</v>
      </c>
      <c r="O41" s="30">
        <f>Лист1!BB35</f>
        <v>22070.015</v>
      </c>
      <c r="P41" s="90">
        <f>Лист1!BC35</f>
        <v>638.06</v>
      </c>
      <c r="Q41" s="75">
        <f>Лист1!BD35</f>
        <v>8248.607600000001</v>
      </c>
      <c r="R41" s="75">
        <f>Лист1!BE35</f>
        <v>-1614.4099999999999</v>
      </c>
      <c r="S41" s="1"/>
      <c r="T41" s="1"/>
    </row>
    <row r="42" spans="1:20" ht="12.75">
      <c r="A42" s="11" t="s">
        <v>51</v>
      </c>
      <c r="B42" s="84">
        <f>Лист1!B36</f>
        <v>3610.5</v>
      </c>
      <c r="C42" s="27">
        <f t="shared" si="5"/>
        <v>31230.825</v>
      </c>
      <c r="D42" s="28">
        <f>Лист1!D36</f>
        <v>2800.495</v>
      </c>
      <c r="E42" s="14">
        <f>Лист1!S36</f>
        <v>28430.329999999998</v>
      </c>
      <c r="F42" s="30">
        <f>Лист1!T36</f>
        <v>0</v>
      </c>
      <c r="G42" s="29">
        <f>Лист1!AB36</f>
        <v>21995.55</v>
      </c>
      <c r="H42" s="30">
        <f>Лист1!AC36</f>
        <v>24796.045</v>
      </c>
      <c r="I42" s="87">
        <f>Лист1!AF36</f>
        <v>1340.2676000000001</v>
      </c>
      <c r="J42" s="29">
        <f>Лист1!AG36</f>
        <v>2166.2999999999997</v>
      </c>
      <c r="K42" s="14">
        <f>Лист1!AI36+Лист1!AJ36</f>
        <v>3610.5</v>
      </c>
      <c r="L42" s="14">
        <f>Лист1!AH36+Лист1!AK36+Лист1!AL36+Лист1!AM36+Лист1!AN36+Лист1!AO36+Лист1!AP36+Лист1!AQ36+Лист1!AR36</f>
        <v>12384.015</v>
      </c>
      <c r="M42" s="31">
        <f>Лист1!AS36+Лист1!AT36+Лист1!AU36+Лист1!AZ36+Лист1!BA36</f>
        <v>0</v>
      </c>
      <c r="N42" s="31">
        <f>Лист1!AX36</f>
        <v>757.4</v>
      </c>
      <c r="O42" s="30">
        <f>Лист1!BB36</f>
        <v>18918.215</v>
      </c>
      <c r="P42" s="90">
        <f>Лист1!BC36</f>
        <v>638.06</v>
      </c>
      <c r="Q42" s="75">
        <f>Лист1!BD36</f>
        <v>6580.037599999998</v>
      </c>
      <c r="R42" s="75">
        <f>Лист1!BE36</f>
        <v>-6434.779999999999</v>
      </c>
      <c r="S42" s="1"/>
      <c r="T42" s="1"/>
    </row>
    <row r="43" spans="1:20" ht="12.75">
      <c r="A43" s="11" t="s">
        <v>52</v>
      </c>
      <c r="B43" s="84">
        <f>Лист1!B37</f>
        <v>3610.5</v>
      </c>
      <c r="C43" s="27">
        <f t="shared" si="5"/>
        <v>31230.825</v>
      </c>
      <c r="D43" s="28">
        <f>Лист1!D37</f>
        <v>2800.5149999999994</v>
      </c>
      <c r="E43" s="14">
        <f>Лист1!S37</f>
        <v>28430.31</v>
      </c>
      <c r="F43" s="30">
        <f>Лист1!T37</f>
        <v>0</v>
      </c>
      <c r="G43" s="29">
        <f>Лист1!AB37</f>
        <v>27717.129999999997</v>
      </c>
      <c r="H43" s="30">
        <f>Лист1!AC37</f>
        <v>30517.644999999997</v>
      </c>
      <c r="I43" s="87">
        <f>Лист1!AF37</f>
        <v>1340.2676000000001</v>
      </c>
      <c r="J43" s="29">
        <f>Лист1!AG37</f>
        <v>2166.2999999999997</v>
      </c>
      <c r="K43" s="14">
        <f>Лист1!AI37+Лист1!AJ37</f>
        <v>3610.5</v>
      </c>
      <c r="L43" s="14">
        <f>Лист1!AH37+Лист1!AK37+Лист1!AL37+Лист1!AM37+Лист1!AN37+Лист1!AO37+Лист1!AP37+Лист1!AQ37+Лист1!AR37</f>
        <v>12384.015</v>
      </c>
      <c r="M43" s="31">
        <f>Лист1!AS37+Лист1!AT37+Лист1!AU37+Лист1!AZ37+Лист1!BA37</f>
        <v>155.524</v>
      </c>
      <c r="N43" s="31">
        <f>Лист1!AX37</f>
        <v>708.4</v>
      </c>
      <c r="O43" s="30">
        <f>Лист1!BB37</f>
        <v>19024.738999999998</v>
      </c>
      <c r="P43" s="90">
        <f>Лист1!BC37</f>
        <v>638.06</v>
      </c>
      <c r="Q43" s="75">
        <f>Лист1!BD37</f>
        <v>12195.113599999999</v>
      </c>
      <c r="R43" s="75">
        <f>Лист1!BE37</f>
        <v>-713.1800000000039</v>
      </c>
      <c r="S43" s="1"/>
      <c r="T43" s="1"/>
    </row>
    <row r="44" spans="1:20" ht="12.75">
      <c r="A44" s="11" t="s">
        <v>53</v>
      </c>
      <c r="B44" s="84">
        <f>Лист1!B38</f>
        <v>3610.5</v>
      </c>
      <c r="C44" s="27">
        <f t="shared" si="5"/>
        <v>31230.825</v>
      </c>
      <c r="D44" s="28">
        <f>Лист1!D38</f>
        <v>2824.9349999999986</v>
      </c>
      <c r="E44" s="14">
        <f>Лист1!S38</f>
        <v>28405.89</v>
      </c>
      <c r="F44" s="30">
        <f>Лист1!T38</f>
        <v>0</v>
      </c>
      <c r="G44" s="29">
        <f>Лист1!AB38</f>
        <v>26453.780000000002</v>
      </c>
      <c r="H44" s="30">
        <f>Лист1!AC38</f>
        <v>29278.715</v>
      </c>
      <c r="I44" s="87">
        <f>Лист1!AF38</f>
        <v>1340.2676000000001</v>
      </c>
      <c r="J44" s="29">
        <f>Лист1!AG38</f>
        <v>2166.2999999999997</v>
      </c>
      <c r="K44" s="14">
        <f>Лист1!AI38+Лист1!AJ38</f>
        <v>3610.5</v>
      </c>
      <c r="L44" s="14">
        <f>Лист1!AH38+Лист1!AK38+Лист1!AL38+Лист1!AM38+Лист1!AN38+Лист1!AO38+Лист1!AP38+Лист1!AQ38+Лист1!AR38</f>
        <v>12384.015</v>
      </c>
      <c r="M44" s="31">
        <f>Лист1!AS38+Лист1!AT38+Лист1!AU38+Лист1!AZ38+Лист1!BA38</f>
        <v>917</v>
      </c>
      <c r="N44" s="31">
        <f>Лист1!AX38</f>
        <v>1013.5999999999999</v>
      </c>
      <c r="O44" s="30">
        <f>Лист1!BB38</f>
        <v>20091.414999999997</v>
      </c>
      <c r="P44" s="90">
        <f>Лист1!BC38</f>
        <v>638.06</v>
      </c>
      <c r="Q44" s="75">
        <f>Лист1!BD38</f>
        <v>9889.507600000003</v>
      </c>
      <c r="R44" s="75">
        <f>Лист1!BE38</f>
        <v>-1952.109999999997</v>
      </c>
      <c r="S44" s="1"/>
      <c r="T44" s="1"/>
    </row>
    <row r="45" spans="1:20" ht="12.75">
      <c r="A45" s="11" t="s">
        <v>41</v>
      </c>
      <c r="B45" s="84">
        <f>Лист1!B39</f>
        <v>3610.5</v>
      </c>
      <c r="C45" s="27">
        <f>B45*8.65</f>
        <v>31230.825</v>
      </c>
      <c r="D45" s="28">
        <f>Лист1!D39</f>
        <v>2869.535000000002</v>
      </c>
      <c r="E45" s="14">
        <f>Лист1!S39</f>
        <v>28361.289999999997</v>
      </c>
      <c r="F45" s="30">
        <f>Лист1!T39</f>
        <v>0</v>
      </c>
      <c r="G45" s="29">
        <f>Лист1!AB39</f>
        <v>31568.45</v>
      </c>
      <c r="H45" s="30">
        <f>Лист1!AC39</f>
        <v>34437.985</v>
      </c>
      <c r="I45" s="87">
        <f>Лист1!AF39</f>
        <v>1490.2676000000001</v>
      </c>
      <c r="J45" s="29">
        <f>Лист1!AG39</f>
        <v>2166.2999999999997</v>
      </c>
      <c r="K45" s="14">
        <f>Лист1!AI39+Лист1!AJ39</f>
        <v>3610.5</v>
      </c>
      <c r="L45" s="14">
        <f>Лист1!AH39+Лист1!AK39+Лист1!AL39+Лист1!AM39+Лист1!AN39+Лист1!AO39+Лист1!AP39+Лист1!AQ39+Лист1!AR39</f>
        <v>12384.015</v>
      </c>
      <c r="M45" s="31">
        <f>Лист1!AS39+Лист1!AT39+Лист1!AU39+Лист1!AZ39+Лист1!BA39</f>
        <v>7854.24</v>
      </c>
      <c r="N45" s="31">
        <f>Лист1!AX39</f>
        <v>1139.6</v>
      </c>
      <c r="O45" s="30">
        <f>Лист1!BB39</f>
        <v>27154.655</v>
      </c>
      <c r="P45" s="90">
        <f>Лист1!BC39</f>
        <v>675.56</v>
      </c>
      <c r="Q45" s="75">
        <f>Лист1!BD39</f>
        <v>8098.0376000000015</v>
      </c>
      <c r="R45" s="75">
        <f>Лист1!BE39</f>
        <v>3207.1600000000035</v>
      </c>
      <c r="S45" s="1"/>
      <c r="T45" s="1"/>
    </row>
    <row r="46" spans="1:20" ht="12.75">
      <c r="A46" s="11" t="s">
        <v>42</v>
      </c>
      <c r="B46" s="84">
        <f>Лист1!B40</f>
        <v>3610.5</v>
      </c>
      <c r="C46" s="27">
        <f t="shared" si="5"/>
        <v>31230.825</v>
      </c>
      <c r="D46" s="28">
        <f>Лист1!D40</f>
        <v>2850.9049999999997</v>
      </c>
      <c r="E46" s="14">
        <f>Лист1!S40</f>
        <v>28379.920000000002</v>
      </c>
      <c r="F46" s="30">
        <f>Лист1!T40</f>
        <v>0</v>
      </c>
      <c r="G46" s="29">
        <f>Лист1!AB40</f>
        <v>27006.03</v>
      </c>
      <c r="H46" s="30">
        <f>Лист1!AC40</f>
        <v>29856.934999999998</v>
      </c>
      <c r="I46" s="87">
        <f>Лист1!AF40</f>
        <v>2039.5576</v>
      </c>
      <c r="J46" s="29">
        <f>Лист1!AG40</f>
        <v>2166.2999999999997</v>
      </c>
      <c r="K46" s="14">
        <f>Лист1!AI40+Лист1!AJ40</f>
        <v>3610.5</v>
      </c>
      <c r="L46" s="14">
        <f>Лист1!AH40+Лист1!AK40+Лист1!AL40+Лист1!AM40+Лист1!AN40+Лист1!AO40+Лист1!AP40+Лист1!AQ40+Лист1!AR40</f>
        <v>12384.015</v>
      </c>
      <c r="M46" s="31">
        <f>Лист1!AS40+Лист1!AT40+Лист1!AU40+Лист1!AZ40+Лист1!BA40</f>
        <v>7316</v>
      </c>
      <c r="N46" s="31">
        <f>Лист1!AX40</f>
        <v>1388.8</v>
      </c>
      <c r="O46" s="30">
        <f>Лист1!BB40</f>
        <v>26865.614999999998</v>
      </c>
      <c r="P46" s="90">
        <f>Лист1!BC40</f>
        <v>725.56</v>
      </c>
      <c r="Q46" s="75">
        <f>Лист1!BD40</f>
        <v>4305.3176</v>
      </c>
      <c r="R46" s="75">
        <f>Лист1!BE40</f>
        <v>-1373.890000000003</v>
      </c>
      <c r="S46" s="1"/>
      <c r="T46" s="1"/>
    </row>
    <row r="47" spans="1:20" ht="13.5" thickBot="1">
      <c r="A47" s="32" t="s">
        <v>43</v>
      </c>
      <c r="B47" s="84">
        <f>Лист1!B41</f>
        <v>3610.5</v>
      </c>
      <c r="C47" s="33">
        <f t="shared" si="5"/>
        <v>31230.825</v>
      </c>
      <c r="D47" s="28">
        <f>Лист1!D41</f>
        <v>2858.174999999999</v>
      </c>
      <c r="E47" s="14">
        <f>Лист1!S41</f>
        <v>28372.649999999998</v>
      </c>
      <c r="F47" s="30">
        <f>Лист1!T41</f>
        <v>0</v>
      </c>
      <c r="G47" s="29">
        <f>Лист1!AB41</f>
        <v>40009.25</v>
      </c>
      <c r="H47" s="30">
        <f>Лист1!AC41</f>
        <v>42867.424999999996</v>
      </c>
      <c r="I47" s="87">
        <f>Лист1!AF41</f>
        <v>2039.5576</v>
      </c>
      <c r="J47" s="29">
        <f>Лист1!AG41</f>
        <v>2166.2999999999997</v>
      </c>
      <c r="K47" s="14">
        <f>Лист1!AI41+Лист1!AJ41</f>
        <v>3610.5</v>
      </c>
      <c r="L47" s="14">
        <f>Лист1!AH41+Лист1!AK41+Лист1!AL41+Лист1!AM41+Лист1!AN41+Лист1!AO41+Лист1!AP41+Лист1!AQ41+Лист1!AR41</f>
        <v>12384.015</v>
      </c>
      <c r="M47" s="31">
        <f>Лист1!AS41+Лист1!AT41+Лист1!AU41+Лист1!AZ41+Лист1!BA41</f>
        <v>757.0054</v>
      </c>
      <c r="N47" s="31">
        <f>Лист1!AX41</f>
        <v>1624</v>
      </c>
      <c r="O47" s="30">
        <f>Лист1!BB41</f>
        <v>20541.820399999997</v>
      </c>
      <c r="P47" s="90">
        <f>Лист1!BC41</f>
        <v>725.56</v>
      </c>
      <c r="Q47" s="75">
        <f>Лист1!BD41</f>
        <v>23639.602199999998</v>
      </c>
      <c r="R47" s="75">
        <f>Лист1!BE41</f>
        <v>11636.600000000002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374769.9000000001</v>
      </c>
      <c r="D48" s="68">
        <f t="shared" si="6"/>
        <v>34550.67000000001</v>
      </c>
      <c r="E48" s="36">
        <f t="shared" si="6"/>
        <v>316137.97000000003</v>
      </c>
      <c r="F48" s="69">
        <f t="shared" si="6"/>
        <v>24081.260000000002</v>
      </c>
      <c r="G48" s="68">
        <f t="shared" si="6"/>
        <v>303962.08</v>
      </c>
      <c r="H48" s="69">
        <f t="shared" si="6"/>
        <v>362594.01</v>
      </c>
      <c r="I48" s="69">
        <f t="shared" si="6"/>
        <v>17631.7912</v>
      </c>
      <c r="J48" s="68">
        <f t="shared" si="6"/>
        <v>25995.599999999995</v>
      </c>
      <c r="K48" s="36">
        <f t="shared" si="6"/>
        <v>43326</v>
      </c>
      <c r="L48" s="36">
        <f t="shared" si="6"/>
        <v>153519.58000000002</v>
      </c>
      <c r="M48" s="36">
        <f t="shared" si="6"/>
        <v>33372.517400000004</v>
      </c>
      <c r="N48" s="36">
        <f t="shared" si="6"/>
        <v>12882.799999999997</v>
      </c>
      <c r="O48" s="69">
        <f t="shared" si="6"/>
        <v>269096.4974</v>
      </c>
      <c r="P48" s="69">
        <f t="shared" si="6"/>
        <v>7869.2199999999975</v>
      </c>
      <c r="Q48" s="76">
        <f t="shared" si="6"/>
        <v>103260.0838</v>
      </c>
      <c r="R48" s="76">
        <f t="shared" si="6"/>
        <v>-12175.889999999992</v>
      </c>
      <c r="S48" s="72"/>
      <c r="T48" s="72"/>
    </row>
    <row r="49" spans="1:20" ht="13.5" thickBot="1">
      <c r="A49" s="221" t="s">
        <v>70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843576.5450000002</v>
      </c>
      <c r="D50" s="37">
        <f aca="true" t="shared" si="7" ref="D50:O50">D34+D48</f>
        <v>95921.96154555003</v>
      </c>
      <c r="E50" s="38">
        <f t="shared" si="7"/>
        <v>668009.5</v>
      </c>
      <c r="F50" s="39">
        <f t="shared" si="7"/>
        <v>80240.32999999999</v>
      </c>
      <c r="G50" s="37">
        <f t="shared" si="7"/>
        <v>626755.06</v>
      </c>
      <c r="H50" s="39">
        <f t="shared" si="7"/>
        <v>802917.35154555</v>
      </c>
      <c r="I50" s="39">
        <f t="shared" si="7"/>
        <v>25673.396800000002</v>
      </c>
      <c r="J50" s="37">
        <f t="shared" si="7"/>
        <v>57646.691999999995</v>
      </c>
      <c r="K50" s="38">
        <f t="shared" si="7"/>
        <v>95700.892459415</v>
      </c>
      <c r="L50" s="38">
        <f t="shared" si="7"/>
        <v>378468.5816912248</v>
      </c>
      <c r="M50" s="38">
        <f t="shared" si="7"/>
        <v>188971.7524</v>
      </c>
      <c r="N50" s="38">
        <f t="shared" si="7"/>
        <v>30111.177599999995</v>
      </c>
      <c r="O50" s="79">
        <f t="shared" si="7"/>
        <v>746671.2977506397</v>
      </c>
      <c r="P50" s="79">
        <f>P34+P48</f>
        <v>11684.172811723998</v>
      </c>
      <c r="Q50" s="78">
        <f>Q34+Q48</f>
        <v>70235.27778318622</v>
      </c>
      <c r="R50" s="78">
        <f>R34+R48</f>
        <v>-41254.43999999998</v>
      </c>
      <c r="S50" s="73"/>
      <c r="T50" s="72"/>
    </row>
    <row r="53" spans="1:20" ht="12.75">
      <c r="A53" s="20" t="s">
        <v>71</v>
      </c>
      <c r="D53" s="85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225" t="s">
        <v>74</v>
      </c>
      <c r="D54" s="225"/>
      <c r="S54" s="1"/>
      <c r="T54" s="1"/>
    </row>
    <row r="55" spans="1:20" ht="12.75">
      <c r="A55" s="124">
        <v>226230.57</v>
      </c>
      <c r="B55" s="124">
        <v>94451.78</v>
      </c>
      <c r="C55" s="223">
        <f>A55-B55</f>
        <v>131778.79</v>
      </c>
      <c r="D55" s="224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A49:Q49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9:C12"/>
    <mergeCell ref="D9:D12"/>
    <mergeCell ref="B1:H1"/>
    <mergeCell ref="B2:H2"/>
    <mergeCell ref="A8:D8"/>
    <mergeCell ref="E8:F8"/>
    <mergeCell ref="A5:Q5"/>
    <mergeCell ref="A6:G6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2011-03-31T07:29:51Z</dcterms:modified>
  <cp:category/>
  <cp:version/>
  <cp:contentType/>
  <cp:contentStatus/>
</cp:coreProperties>
</file>