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<sst xmlns="http://schemas.openxmlformats.org/spreadsheetml/2006/main" count="116" uniqueCount="79">
  <si>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</si>
  <si>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</si>
  <si>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</si>
  <si>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</si>
  <si>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</si>
  <si>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</si>
  <si>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</si>
  <si>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</si>
  <si>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</si>
  <si>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</si>
  <si>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</si>
  <si>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</si>
  <si>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</si>
  <si>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</si>
  <si>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</si>
  <si>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</si>
  <si>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</si>
  <si>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</si>
  <si>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</si>
  <si>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</si>
  <si>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</si>
  <si>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</si>
  <si>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</si>
  <si>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</si>
  <si>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</si>
  <si>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</si>
  <si>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</si>
  <si>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</si>
  <si>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</si>
  <si>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</si>
  <si>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</si>
  <si>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</si>
  <si>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</si>
  <si>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</si>
  <si>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</si>
  <si>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</si>
  <si>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</si>
  <si>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</si>
  <si>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</si>
  <si>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</si>
  <si>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</si>
  <si>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</si>
  <si>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</si>
  <si>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</si>
  <si>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</si>
  <si>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</si>
  <si>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</si>
  <si>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</si>
  <si>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</si>
  <si>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</si>
  <si>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</si>
  <si>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</si>
  <si>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</si>
  <si>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</si>
  <si>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</si>
  <si>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</si>
  <si>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</si>
  <si>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</si>
  <si>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</si>
  <si>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</si>
  <si>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</si>
  <si>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</si>
  <si>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</si>
  <si>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</si>
  <si>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</si>
  <si>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</si>
  <si>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</si>
  <si>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Капитальный ремонт</t>
  </si>
  <si>
    <t>Собрано</t>
  </si>
  <si>
    <t>Списано</t>
  </si>
  <si>
    <t>Остаток на счете</t>
  </si>
  <si>
    <t>Лицевой счет по адресу г. Таштагол, ул. Ломоносова, д. 45</t>
  </si>
  <si>
    <t>Выписка по лицевому счету по адресу г. Таштагол, ул. Ломоносова, д. 45</t>
  </si>
  <si>
    <t>за период с октября 2010 г. по март 2011 г.</t>
  </si>
  <si>
    <t>2011 год</t>
  </si>
  <si>
    <t>январь</t>
  </si>
  <si>
    <t>февраль</t>
  </si>
  <si>
    <t>март</t>
  </si>
  <si>
    <t>*по состоянию на 01.03.2011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</si>
</sst>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 wrapText="1"/>
    </xf>
    <xf numFmtId="4" fontId="1" fillId="34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 wrapText="1"/>
    </xf>
    <xf numFmtId="4" fontId="0" fillId="33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34" borderId="27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33" xfId="34" applyNumberFormat="1" applyFont="1" applyFill="1" applyBorder="1" applyAlignment="1">
      <alignment vertical="center" wrapText="1"/>
      <protection/>
    </xf>
    <xf numFmtId="0" fontId="0" fillId="33" borderId="33" xfId="0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/>
    </xf>
    <xf numFmtId="0" fontId="0" fillId="34" borderId="33" xfId="0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/>
    </xf>
    <xf numFmtId="4" fontId="1" fillId="34" borderId="33" xfId="0" applyNumberFormat="1" applyFont="1" applyFill="1" applyBorder="1" applyAlignment="1">
      <alignment/>
    </xf>
    <xf numFmtId="4" fontId="0" fillId="36" borderId="33" xfId="0" applyNumberFormat="1" applyFont="1" applyFill="1" applyBorder="1" applyAlignment="1">
      <alignment horizontal="right"/>
    </xf>
    <xf numFmtId="4" fontId="0" fillId="36" borderId="33" xfId="0" applyNumberFormat="1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1" fillId="36" borderId="12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4" fontId="1" fillId="36" borderId="12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0" fillId="37" borderId="41" xfId="0" applyNumberFormat="1" applyFont="1" applyFill="1" applyBorder="1" applyAlignment="1">
      <alignment horizontal="right"/>
    </xf>
    <xf numFmtId="4" fontId="0" fillId="37" borderId="42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4" fontId="0" fillId="37" borderId="37" xfId="0" applyNumberFormat="1" applyFont="1" applyFill="1" applyBorder="1" applyAlignment="1">
      <alignment horizontal="right"/>
    </xf>
    <xf numFmtId="4" fontId="0" fillId="37" borderId="4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2" fillId="0" borderId="12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2" fillId="0" borderId="17" xfId="34" applyNumberFormat="1" applyFont="1" applyFill="1" applyBorder="1" applyAlignment="1">
      <alignment horizontal="center" vertical="center" wrapText="1"/>
      <protection/>
    </xf>
    <xf numFmtId="4" fontId="2" fillId="34" borderId="12" xfId="34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38" borderId="27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center" wrapText="1"/>
    </xf>
    <xf numFmtId="4" fontId="10" fillId="0" borderId="17" xfId="34" applyNumberFormat="1" applyFont="1" applyFill="1" applyBorder="1" applyAlignment="1">
      <alignment horizontal="center" vertical="center" wrapText="1"/>
      <protection/>
    </xf>
    <xf numFmtId="4" fontId="8" fillId="0" borderId="18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36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38" borderId="27" xfId="0" applyNumberFormat="1" applyFont="1" applyFill="1" applyBorder="1" applyAlignment="1">
      <alignment/>
    </xf>
    <xf numFmtId="4" fontId="2" fillId="39" borderId="12" xfId="34" applyNumberFormat="1" applyFont="1" applyFill="1" applyBorder="1" applyAlignment="1">
      <alignment horizontal="center" vertical="center" wrapText="1"/>
      <protection/>
    </xf>
    <xf numFmtId="4" fontId="8" fillId="0" borderId="12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18" xfId="0" applyNumberFormat="1" applyFont="1" applyFill="1" applyBorder="1" applyAlignment="1">
      <alignment horizontal="center" vertical="center" wrapText="1"/>
    </xf>
    <xf numFmtId="2" fontId="1" fillId="36" borderId="5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textRotation="90"/>
    </xf>
    <xf numFmtId="0" fontId="1" fillId="35" borderId="38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2" fontId="1" fillId="38" borderId="46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/>
    </xf>
    <xf numFmtId="43" fontId="0" fillId="0" borderId="27" xfId="61" applyFont="1" applyFill="1" applyBorder="1" applyAlignment="1">
      <alignment horizontal="center"/>
    </xf>
    <xf numFmtId="43" fontId="0" fillId="0" borderId="17" xfId="6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zoomScalePageLayoutView="0" workbookViewId="0" topLeftCell="A1">
      <pane xSplit="2" ySplit="8" topLeftCell="T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16" sqref="AB16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8" width="9.37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31" width="11.375" style="2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1" width="14.00390625" style="2" customWidth="1"/>
    <col min="52" max="53" width="9.125" style="2" customWidth="1"/>
    <col min="54" max="54" width="11.625" style="2" customWidth="1"/>
    <col min="55" max="56" width="9.125" style="2" customWidth="1"/>
    <col min="57" max="57" width="10.625" style="2" customWidth="1"/>
    <col min="58" max="16384" width="9.125" style="2" customWidth="1"/>
  </cols>
  <sheetData>
    <row r="1" spans="1:18" ht="12.75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10"/>
      <c r="P1" s="110"/>
      <c r="Q1" s="110"/>
      <c r="R1" s="110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55" t="s">
        <v>53</v>
      </c>
      <c r="B3" s="179" t="s">
        <v>0</v>
      </c>
      <c r="C3" s="181" t="s">
        <v>1</v>
      </c>
      <c r="D3" s="183" t="s">
        <v>2</v>
      </c>
      <c r="E3" s="155" t="s">
        <v>9</v>
      </c>
      <c r="F3" s="185"/>
      <c r="G3" s="155" t="s">
        <v>10</v>
      </c>
      <c r="H3" s="188"/>
      <c r="I3" s="155" t="s">
        <v>11</v>
      </c>
      <c r="J3" s="188"/>
      <c r="K3" s="155" t="s">
        <v>12</v>
      </c>
      <c r="L3" s="188"/>
      <c r="M3" s="156" t="s">
        <v>13</v>
      </c>
      <c r="N3" s="188"/>
      <c r="O3" s="109"/>
      <c r="P3" s="109"/>
      <c r="Q3" s="109"/>
      <c r="R3" s="109"/>
      <c r="S3" s="155" t="s">
        <v>3</v>
      </c>
      <c r="T3" s="156"/>
      <c r="U3" s="159" t="s">
        <v>4</v>
      </c>
      <c r="V3" s="160"/>
      <c r="W3" s="160"/>
      <c r="X3" s="160"/>
      <c r="Y3" s="160"/>
      <c r="Z3" s="160"/>
      <c r="AA3" s="160"/>
      <c r="AB3" s="160"/>
      <c r="AC3" s="152" t="s">
        <v>54</v>
      </c>
      <c r="AD3" s="106"/>
      <c r="AE3" s="106"/>
      <c r="AF3" s="192" t="s">
        <v>55</v>
      </c>
      <c r="AG3" s="199" t="s">
        <v>6</v>
      </c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1"/>
      <c r="BC3" s="204" t="s">
        <v>56</v>
      </c>
      <c r="BD3" s="205"/>
      <c r="BE3" s="208" t="s">
        <v>7</v>
      </c>
      <c r="BF3" s="208" t="s">
        <v>8</v>
      </c>
    </row>
    <row r="4" spans="1:58" ht="36" customHeight="1" thickBot="1">
      <c r="A4" s="178"/>
      <c r="B4" s="180"/>
      <c r="C4" s="182"/>
      <c r="D4" s="184"/>
      <c r="E4" s="186"/>
      <c r="F4" s="187"/>
      <c r="G4" s="157"/>
      <c r="H4" s="189"/>
      <c r="I4" s="157"/>
      <c r="J4" s="189"/>
      <c r="K4" s="157"/>
      <c r="L4" s="189"/>
      <c r="M4" s="190"/>
      <c r="N4" s="191"/>
      <c r="O4" s="111"/>
      <c r="P4" s="111"/>
      <c r="Q4" s="111"/>
      <c r="R4" s="111"/>
      <c r="S4" s="157"/>
      <c r="T4" s="158"/>
      <c r="U4" s="161"/>
      <c r="V4" s="162"/>
      <c r="W4" s="162"/>
      <c r="X4" s="162"/>
      <c r="Y4" s="162"/>
      <c r="Z4" s="162"/>
      <c r="AA4" s="162"/>
      <c r="AB4" s="162"/>
      <c r="AC4" s="153"/>
      <c r="AD4" s="107"/>
      <c r="AE4" s="107"/>
      <c r="AF4" s="193"/>
      <c r="AG4" s="151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3"/>
      <c r="BC4" s="211" t="s">
        <v>57</v>
      </c>
      <c r="BD4" s="207" t="s">
        <v>58</v>
      </c>
      <c r="BE4" s="209"/>
      <c r="BF4" s="209"/>
    </row>
    <row r="5" spans="1:58" ht="29.25" customHeight="1" thickBot="1">
      <c r="A5" s="178"/>
      <c r="B5" s="180"/>
      <c r="C5" s="182"/>
      <c r="D5" s="184"/>
      <c r="E5" s="173" t="s">
        <v>14</v>
      </c>
      <c r="F5" s="175" t="s">
        <v>15</v>
      </c>
      <c r="G5" s="175" t="s">
        <v>14</v>
      </c>
      <c r="H5" s="175" t="s">
        <v>15</v>
      </c>
      <c r="I5" s="175" t="s">
        <v>14</v>
      </c>
      <c r="J5" s="175" t="s">
        <v>15</v>
      </c>
      <c r="K5" s="175" t="s">
        <v>14</v>
      </c>
      <c r="L5" s="175" t="s">
        <v>15</v>
      </c>
      <c r="M5" s="175" t="s">
        <v>14</v>
      </c>
      <c r="N5" s="175" t="s">
        <v>15</v>
      </c>
      <c r="O5" s="175" t="s">
        <v>14</v>
      </c>
      <c r="P5" s="175" t="s">
        <v>15</v>
      </c>
      <c r="Q5" s="175" t="s">
        <v>14</v>
      </c>
      <c r="R5" s="175" t="s">
        <v>15</v>
      </c>
      <c r="S5" s="175" t="s">
        <v>14</v>
      </c>
      <c r="T5" s="197" t="s">
        <v>15</v>
      </c>
      <c r="U5" s="195" t="s">
        <v>16</v>
      </c>
      <c r="V5" s="195" t="s">
        <v>17</v>
      </c>
      <c r="W5" s="195" t="s">
        <v>18</v>
      </c>
      <c r="X5" s="195" t="s">
        <v>19</v>
      </c>
      <c r="Y5" s="195" t="s">
        <v>20</v>
      </c>
      <c r="Z5" s="104"/>
      <c r="AA5" s="104"/>
      <c r="AB5" s="150" t="s">
        <v>21</v>
      </c>
      <c r="AC5" s="153"/>
      <c r="AD5" s="107"/>
      <c r="AE5" s="107"/>
      <c r="AF5" s="193"/>
      <c r="AG5" s="171" t="s">
        <v>22</v>
      </c>
      <c r="AH5" s="169" t="s">
        <v>23</v>
      </c>
      <c r="AI5" s="169" t="s">
        <v>24</v>
      </c>
      <c r="AJ5" s="167" t="s">
        <v>25</v>
      </c>
      <c r="AK5" s="169" t="s">
        <v>26</v>
      </c>
      <c r="AL5" s="167" t="s">
        <v>25</v>
      </c>
      <c r="AM5" s="167" t="s">
        <v>27</v>
      </c>
      <c r="AN5" s="167" t="s">
        <v>25</v>
      </c>
      <c r="AO5" s="167" t="s">
        <v>28</v>
      </c>
      <c r="AP5" s="167" t="s">
        <v>25</v>
      </c>
      <c r="AQ5" s="165" t="s">
        <v>59</v>
      </c>
      <c r="AR5" s="163" t="s">
        <v>25</v>
      </c>
      <c r="AS5" s="148" t="s">
        <v>60</v>
      </c>
      <c r="AT5" s="148" t="s">
        <v>61</v>
      </c>
      <c r="AU5" s="66" t="s">
        <v>25</v>
      </c>
      <c r="AV5" s="204" t="s">
        <v>62</v>
      </c>
      <c r="AW5" s="206"/>
      <c r="AX5" s="205"/>
      <c r="AY5" s="122"/>
      <c r="AZ5" s="207" t="s">
        <v>30</v>
      </c>
      <c r="BA5" s="207" t="s">
        <v>25</v>
      </c>
      <c r="BB5" s="207" t="s">
        <v>31</v>
      </c>
      <c r="BC5" s="212"/>
      <c r="BD5" s="167"/>
      <c r="BE5" s="209"/>
      <c r="BF5" s="209"/>
    </row>
    <row r="6" spans="1:58" ht="54" customHeight="1" thickBot="1">
      <c r="A6" s="178"/>
      <c r="B6" s="180"/>
      <c r="C6" s="182"/>
      <c r="D6" s="184"/>
      <c r="E6" s="174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98"/>
      <c r="U6" s="196"/>
      <c r="V6" s="196"/>
      <c r="W6" s="196"/>
      <c r="X6" s="196"/>
      <c r="Y6" s="196"/>
      <c r="Z6" s="105"/>
      <c r="AA6" s="105"/>
      <c r="AB6" s="151"/>
      <c r="AC6" s="154"/>
      <c r="AD6" s="108"/>
      <c r="AE6" s="108"/>
      <c r="AF6" s="194"/>
      <c r="AG6" s="172"/>
      <c r="AH6" s="170"/>
      <c r="AI6" s="170"/>
      <c r="AJ6" s="168"/>
      <c r="AK6" s="170"/>
      <c r="AL6" s="168"/>
      <c r="AM6" s="168"/>
      <c r="AN6" s="168"/>
      <c r="AO6" s="168"/>
      <c r="AP6" s="168"/>
      <c r="AQ6" s="166"/>
      <c r="AR6" s="164"/>
      <c r="AS6" s="149"/>
      <c r="AT6" s="149"/>
      <c r="AU6" s="68"/>
      <c r="AV6" s="67" t="s">
        <v>63</v>
      </c>
      <c r="AW6" s="67" t="s">
        <v>64</v>
      </c>
      <c r="AX6" s="67" t="s">
        <v>65</v>
      </c>
      <c r="AY6" s="67"/>
      <c r="AZ6" s="168"/>
      <c r="BA6" s="168"/>
      <c r="BB6" s="168"/>
      <c r="BC6" s="213"/>
      <c r="BD6" s="168"/>
      <c r="BE6" s="210"/>
      <c r="BF6" s="210"/>
    </row>
    <row r="7" spans="1:58" ht="13.5" customHeight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  <c r="X7" s="145">
        <v>24</v>
      </c>
      <c r="Y7" s="145">
        <v>25</v>
      </c>
      <c r="Z7" s="145">
        <v>26</v>
      </c>
      <c r="AA7" s="145">
        <v>27</v>
      </c>
      <c r="AB7" s="145">
        <v>28</v>
      </c>
      <c r="AC7" s="145">
        <v>29</v>
      </c>
      <c r="AD7" s="145">
        <v>30</v>
      </c>
      <c r="AE7" s="145">
        <v>31</v>
      </c>
      <c r="AF7" s="145">
        <v>32</v>
      </c>
      <c r="AG7" s="145">
        <v>33</v>
      </c>
      <c r="AH7" s="145">
        <v>34</v>
      </c>
      <c r="AI7" s="145">
        <v>35</v>
      </c>
      <c r="AJ7" s="145">
        <v>36</v>
      </c>
      <c r="AK7" s="145">
        <v>37</v>
      </c>
      <c r="AL7" s="145">
        <v>38</v>
      </c>
      <c r="AM7" s="145">
        <v>39</v>
      </c>
      <c r="AN7" s="145">
        <v>40</v>
      </c>
      <c r="AO7" s="145">
        <v>41</v>
      </c>
      <c r="AP7" s="145">
        <v>42</v>
      </c>
      <c r="AQ7" s="145">
        <v>43</v>
      </c>
      <c r="AR7" s="145">
        <v>44</v>
      </c>
      <c r="AS7" s="145">
        <v>45</v>
      </c>
      <c r="AT7" s="145">
        <v>46</v>
      </c>
      <c r="AU7" s="145">
        <v>47</v>
      </c>
      <c r="AV7" s="145">
        <v>48</v>
      </c>
      <c r="AW7" s="145">
        <v>49</v>
      </c>
      <c r="AX7" s="145">
        <v>50</v>
      </c>
      <c r="AY7" s="145">
        <v>51</v>
      </c>
      <c r="AZ7" s="145">
        <v>52</v>
      </c>
      <c r="BA7" s="145">
        <v>53</v>
      </c>
      <c r="BB7" s="145">
        <v>54</v>
      </c>
      <c r="BC7" s="145">
        <v>55</v>
      </c>
      <c r="BD7" s="145">
        <v>56</v>
      </c>
      <c r="BE7" s="145">
        <v>57</v>
      </c>
      <c r="BF7" s="145">
        <v>58</v>
      </c>
    </row>
    <row r="8" spans="1:58" ht="15" customHeight="1">
      <c r="A8" s="5" t="s">
        <v>66</v>
      </c>
      <c r="B8" s="59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80"/>
      <c r="U8" s="81"/>
      <c r="V8" s="81"/>
      <c r="W8" s="81"/>
      <c r="X8" s="81"/>
      <c r="Y8" s="81"/>
      <c r="Z8" s="81"/>
      <c r="AA8" s="81"/>
      <c r="AB8" s="82"/>
      <c r="AC8" s="83"/>
      <c r="AD8" s="83"/>
      <c r="AE8" s="83"/>
      <c r="AF8" s="49"/>
      <c r="AG8" s="49"/>
      <c r="AH8" s="49"/>
      <c r="AI8" s="49"/>
      <c r="AJ8" s="49"/>
      <c r="AK8" s="49"/>
      <c r="AL8" s="49"/>
      <c r="AM8" s="49"/>
      <c r="AN8" s="60"/>
      <c r="AO8" s="60"/>
      <c r="AP8" s="60"/>
      <c r="AQ8" s="84"/>
      <c r="AR8" s="85"/>
      <c r="AS8" s="86"/>
      <c r="AT8" s="86"/>
      <c r="AU8" s="87"/>
      <c r="AV8" s="49"/>
      <c r="AW8" s="49"/>
      <c r="AX8" s="50"/>
      <c r="AY8" s="123"/>
      <c r="AZ8" s="1"/>
      <c r="BA8" s="1"/>
      <c r="BB8" s="1"/>
      <c r="BC8" s="1"/>
      <c r="BD8" s="1"/>
      <c r="BE8" s="1"/>
      <c r="BF8" s="69"/>
    </row>
    <row r="9" spans="1:58" ht="12.75">
      <c r="A9" s="88" t="s">
        <v>32</v>
      </c>
      <c r="B9" s="112">
        <v>264.2</v>
      </c>
      <c r="C9" s="113">
        <f>B9*8.65</f>
        <v>2285.33</v>
      </c>
      <c r="D9" s="114">
        <v>0</v>
      </c>
      <c r="E9" s="115">
        <v>160.42</v>
      </c>
      <c r="F9" s="115">
        <v>0</v>
      </c>
      <c r="G9" s="115">
        <v>0</v>
      </c>
      <c r="H9" s="115">
        <v>0</v>
      </c>
      <c r="I9" s="115">
        <v>1584.12</v>
      </c>
      <c r="J9" s="115">
        <v>0</v>
      </c>
      <c r="K9" s="115">
        <v>0</v>
      </c>
      <c r="L9" s="115">
        <v>0</v>
      </c>
      <c r="M9" s="115">
        <v>128.33</v>
      </c>
      <c r="N9" s="115">
        <v>0</v>
      </c>
      <c r="O9" s="115">
        <v>0</v>
      </c>
      <c r="P9" s="115">
        <v>0</v>
      </c>
      <c r="Q9" s="115"/>
      <c r="R9" s="116"/>
      <c r="S9" s="71">
        <f>E9+G9+I9+K9+M9+O9+Q9</f>
        <v>1872.87</v>
      </c>
      <c r="T9" s="72">
        <f>P9+N9+L9+J9+H9+F9+R9</f>
        <v>0</v>
      </c>
      <c r="U9" s="71"/>
      <c r="V9" s="71"/>
      <c r="W9" s="71"/>
      <c r="X9" s="71"/>
      <c r="Y9" s="71"/>
      <c r="Z9" s="71"/>
      <c r="AA9" s="117"/>
      <c r="AB9" s="117">
        <f>SUM(U9:AA9)</f>
        <v>0</v>
      </c>
      <c r="AC9" s="74">
        <f>D9+T9+AB9</f>
        <v>0</v>
      </c>
      <c r="AD9" s="118">
        <f>P9+Z9</f>
        <v>0</v>
      </c>
      <c r="AE9" s="118">
        <f>R9+AA9</f>
        <v>0</v>
      </c>
      <c r="AF9" s="118"/>
      <c r="AG9" s="17">
        <f>0.6*B9</f>
        <v>158.51999999999998</v>
      </c>
      <c r="AH9" s="17">
        <f>0*0.2</f>
        <v>0</v>
      </c>
      <c r="AI9" s="17"/>
      <c r="AJ9" s="17"/>
      <c r="AK9" s="17"/>
      <c r="AL9" s="17"/>
      <c r="AM9" s="17"/>
      <c r="AN9" s="17"/>
      <c r="AO9" s="17"/>
      <c r="AP9" s="17"/>
      <c r="AQ9" s="75"/>
      <c r="AR9" s="75"/>
      <c r="AS9" s="63"/>
      <c r="AT9" s="63"/>
      <c r="AU9" s="63"/>
      <c r="AV9" s="119"/>
      <c r="AW9" s="76"/>
      <c r="AX9" s="17"/>
      <c r="AY9" s="120"/>
      <c r="AZ9" s="77"/>
      <c r="BA9" s="77"/>
      <c r="BB9" s="77">
        <f>SUM(AG9:BA9)-AV9-AW9</f>
        <v>158.51999999999998</v>
      </c>
      <c r="BC9" s="121"/>
      <c r="BD9" s="50">
        <f>BB9-(AF9-BC9)</f>
        <v>158.51999999999998</v>
      </c>
      <c r="BE9" s="94">
        <f>(AC9-BB9)+(AF9-BC9)</f>
        <v>-158.51999999999998</v>
      </c>
      <c r="BF9" s="95">
        <f>AB9-S9</f>
        <v>-1872.87</v>
      </c>
    </row>
    <row r="10" spans="1:58" ht="12.75">
      <c r="A10" s="6" t="s">
        <v>33</v>
      </c>
      <c r="B10" s="125">
        <v>264.2</v>
      </c>
      <c r="C10" s="126">
        <f>B10*8.65</f>
        <v>2285.33</v>
      </c>
      <c r="D10" s="114">
        <f>C10-E10-F10-G10-H10-I10-J10-K10-L10-M10-N10</f>
        <v>412.4299999999997</v>
      </c>
      <c r="E10" s="127">
        <v>160.42</v>
      </c>
      <c r="F10" s="127">
        <v>0</v>
      </c>
      <c r="G10" s="127">
        <v>0</v>
      </c>
      <c r="H10" s="127">
        <v>0</v>
      </c>
      <c r="I10" s="127">
        <v>1584.15</v>
      </c>
      <c r="J10" s="127">
        <v>0</v>
      </c>
      <c r="K10" s="127">
        <v>0</v>
      </c>
      <c r="L10" s="127">
        <v>0</v>
      </c>
      <c r="M10" s="127">
        <v>128.33</v>
      </c>
      <c r="N10" s="127">
        <v>0</v>
      </c>
      <c r="O10" s="127">
        <v>0</v>
      </c>
      <c r="P10" s="127">
        <v>0</v>
      </c>
      <c r="Q10" s="127"/>
      <c r="R10" s="128"/>
      <c r="S10" s="71">
        <f>E10+G10+I10+K10+M10+O10+Q10</f>
        <v>1872.9</v>
      </c>
      <c r="T10" s="72">
        <f>P10+N10+L10+J10+H10+F10+R10</f>
        <v>0</v>
      </c>
      <c r="U10" s="130">
        <v>0.01</v>
      </c>
      <c r="V10" s="131">
        <v>0</v>
      </c>
      <c r="W10" s="131">
        <v>0.02</v>
      </c>
      <c r="X10" s="131">
        <v>0</v>
      </c>
      <c r="Y10" s="131">
        <v>0</v>
      </c>
      <c r="Z10" s="132">
        <v>0</v>
      </c>
      <c r="AA10" s="132">
        <v>0</v>
      </c>
      <c r="AB10" s="133"/>
      <c r="AC10" s="74">
        <f>D10+T10+AB10</f>
        <v>412.4299999999997</v>
      </c>
      <c r="AD10" s="118">
        <f>P10+Z10</f>
        <v>0</v>
      </c>
      <c r="AE10" s="118">
        <f>R10+AA10</f>
        <v>0</v>
      </c>
      <c r="AF10" s="134"/>
      <c r="AG10" s="135">
        <f>0.6*B10</f>
        <v>158.51999999999998</v>
      </c>
      <c r="AH10" s="135">
        <f>B10*0.2</f>
        <v>52.84</v>
      </c>
      <c r="AI10" s="135">
        <f>1*B10</f>
        <v>264.2</v>
      </c>
      <c r="AJ10" s="135">
        <v>0</v>
      </c>
      <c r="AK10" s="135">
        <f>0.98*0</f>
        <v>0</v>
      </c>
      <c r="AL10" s="135">
        <v>0</v>
      </c>
      <c r="AM10" s="135">
        <f>2.25*0</f>
        <v>0</v>
      </c>
      <c r="AN10" s="135">
        <v>0</v>
      </c>
      <c r="AO10" s="135"/>
      <c r="AP10" s="135"/>
      <c r="AQ10" s="136"/>
      <c r="AR10" s="136"/>
      <c r="AS10" s="137"/>
      <c r="AT10" s="137"/>
      <c r="AU10" s="137"/>
      <c r="AV10" s="138"/>
      <c r="AW10" s="139">
        <v>0</v>
      </c>
      <c r="AX10" s="135">
        <f>AV10*AW10*1.4</f>
        <v>0</v>
      </c>
      <c r="AY10" s="135"/>
      <c r="AZ10" s="140"/>
      <c r="BA10" s="77">
        <f>AZ10*0.18</f>
        <v>0</v>
      </c>
      <c r="BB10" s="77">
        <f>SUM(AG10:BA10)-AV10-AW10</f>
        <v>475.55999999999995</v>
      </c>
      <c r="BC10" s="141"/>
      <c r="BD10" s="50">
        <f>BB10-(AF10-BC10)</f>
        <v>475.55999999999995</v>
      </c>
      <c r="BE10" s="96">
        <f>(AC10-BB10)+(AF10-BC10)</f>
        <v>-63.13000000000022</v>
      </c>
      <c r="BF10" s="97">
        <f>AB10-S10</f>
        <v>-1872.9</v>
      </c>
    </row>
    <row r="11" spans="1:58" s="73" customFormat="1" ht="12.75">
      <c r="A11" s="70" t="s">
        <v>34</v>
      </c>
      <c r="B11" s="125">
        <v>264.2</v>
      </c>
      <c r="C11" s="126">
        <f>B11*8.65</f>
        <v>2285.33</v>
      </c>
      <c r="D11" s="142">
        <v>0</v>
      </c>
      <c r="E11" s="143">
        <v>434.43</v>
      </c>
      <c r="F11" s="143">
        <v>0</v>
      </c>
      <c r="G11" s="143">
        <v>0</v>
      </c>
      <c r="H11" s="143">
        <v>0</v>
      </c>
      <c r="I11" s="143">
        <v>4261.25</v>
      </c>
      <c r="J11" s="143">
        <v>0</v>
      </c>
      <c r="K11" s="143">
        <v>0</v>
      </c>
      <c r="L11" s="143">
        <v>0</v>
      </c>
      <c r="M11" s="143">
        <v>347.53</v>
      </c>
      <c r="N11" s="143">
        <v>0</v>
      </c>
      <c r="O11" s="143">
        <v>0</v>
      </c>
      <c r="P11" s="143">
        <v>0</v>
      </c>
      <c r="Q11" s="143"/>
      <c r="R11" s="143"/>
      <c r="S11" s="71">
        <f>E11+G11+I11+K11+M11+O11+Q11</f>
        <v>5043.21</v>
      </c>
      <c r="T11" s="72">
        <f>P11+N11+L11+J11+H11+F11+R11</f>
        <v>0</v>
      </c>
      <c r="U11" s="144">
        <v>128.43</v>
      </c>
      <c r="V11" s="129"/>
      <c r="W11" s="129">
        <v>811.85</v>
      </c>
      <c r="X11" s="129"/>
      <c r="Y11" s="129">
        <v>102.75</v>
      </c>
      <c r="Z11" s="133">
        <v>0</v>
      </c>
      <c r="AA11" s="129">
        <v>0</v>
      </c>
      <c r="AB11" s="117">
        <f>SUM(U11:AA11)</f>
        <v>1043.03</v>
      </c>
      <c r="AC11" s="74">
        <f>D11+T11+AB11</f>
        <v>1043.03</v>
      </c>
      <c r="AD11" s="118">
        <f>P11+Z11</f>
        <v>0</v>
      </c>
      <c r="AE11" s="118">
        <f>R11+AA11</f>
        <v>0</v>
      </c>
      <c r="AF11" s="134"/>
      <c r="AG11" s="135">
        <f>0.6*B11</f>
        <v>158.51999999999998</v>
      </c>
      <c r="AH11" s="135">
        <f>B11*0.2</f>
        <v>52.84</v>
      </c>
      <c r="AI11" s="135">
        <f>1*B11</f>
        <v>264.2</v>
      </c>
      <c r="AJ11" s="135">
        <v>0</v>
      </c>
      <c r="AK11" s="135">
        <f>0.98*0</f>
        <v>0</v>
      </c>
      <c r="AL11" s="135">
        <v>0</v>
      </c>
      <c r="AM11" s="135">
        <f>2.25*0</f>
        <v>0</v>
      </c>
      <c r="AN11" s="135">
        <v>0</v>
      </c>
      <c r="AO11" s="135"/>
      <c r="AP11" s="135"/>
      <c r="AQ11" s="136"/>
      <c r="AR11" s="136"/>
      <c r="AS11" s="137"/>
      <c r="AT11" s="137"/>
      <c r="AU11" s="63">
        <f>0*0.18</f>
        <v>0</v>
      </c>
      <c r="AV11" s="138"/>
      <c r="AW11" s="139">
        <v>0</v>
      </c>
      <c r="AX11" s="135">
        <f>AV11*AW11*1.4</f>
        <v>0</v>
      </c>
      <c r="AY11" s="135"/>
      <c r="AZ11" s="140"/>
      <c r="BA11" s="77">
        <f>AZ11*0.18</f>
        <v>0</v>
      </c>
      <c r="BB11" s="77">
        <f>SUM(AG11:BA11)-AV11-AW11</f>
        <v>475.55999999999995</v>
      </c>
      <c r="BC11" s="141"/>
      <c r="BD11" s="50">
        <f>BB11-(AF11-BC11)</f>
        <v>475.55999999999995</v>
      </c>
      <c r="BE11" s="98">
        <f>(AC11-BB11)+(AF11-BC11)</f>
        <v>567.47</v>
      </c>
      <c r="BF11" s="97">
        <f>AB11-S11</f>
        <v>-4000.1800000000003</v>
      </c>
    </row>
    <row r="12" spans="1:58" s="16" customFormat="1" ht="12.75">
      <c r="A12" s="11" t="s">
        <v>3</v>
      </c>
      <c r="B12" s="12"/>
      <c r="C12" s="12">
        <f aca="true" t="shared" si="0" ref="C12:N12">SUM(C9:C11)</f>
        <v>6855.99</v>
      </c>
      <c r="D12" s="12">
        <f t="shared" si="0"/>
        <v>412.4299999999997</v>
      </c>
      <c r="E12" s="12">
        <f t="shared" si="0"/>
        <v>755.27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7429.52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604.19</v>
      </c>
      <c r="N12" s="12">
        <f t="shared" si="0"/>
        <v>0</v>
      </c>
      <c r="O12" s="12"/>
      <c r="P12" s="12"/>
      <c r="Q12" s="12"/>
      <c r="R12" s="12"/>
      <c r="S12" s="12">
        <f aca="true" t="shared" si="1" ref="S12:Y12">SUM(S9:S11)</f>
        <v>8788.98</v>
      </c>
      <c r="T12" s="12">
        <f t="shared" si="1"/>
        <v>0</v>
      </c>
      <c r="U12" s="12">
        <f t="shared" si="1"/>
        <v>128.44</v>
      </c>
      <c r="V12" s="12">
        <f t="shared" si="1"/>
        <v>0</v>
      </c>
      <c r="W12" s="12">
        <f t="shared" si="1"/>
        <v>811.87</v>
      </c>
      <c r="X12" s="12">
        <f t="shared" si="1"/>
        <v>0</v>
      </c>
      <c r="Y12" s="12">
        <f t="shared" si="1"/>
        <v>102.75</v>
      </c>
      <c r="Z12" s="12"/>
      <c r="AA12" s="12"/>
      <c r="AB12" s="12">
        <f>SUM(AB9:AB11)</f>
        <v>1043.03</v>
      </c>
      <c r="AC12" s="12">
        <f>SUM(AC9:AC11)</f>
        <v>1455.4599999999996</v>
      </c>
      <c r="AD12" s="12"/>
      <c r="AE12" s="12"/>
      <c r="AF12" s="12">
        <f aca="true" t="shared" si="2" ref="AF12:AX12">SUM(AF9:AF11)</f>
        <v>0</v>
      </c>
      <c r="AG12" s="12">
        <f t="shared" si="2"/>
        <v>475.55999999999995</v>
      </c>
      <c r="AH12" s="12">
        <f t="shared" si="2"/>
        <v>105.68</v>
      </c>
      <c r="AI12" s="12">
        <f t="shared" si="2"/>
        <v>528.4</v>
      </c>
      <c r="AJ12" s="12">
        <f t="shared" si="2"/>
        <v>0</v>
      </c>
      <c r="AK12" s="12">
        <f t="shared" si="2"/>
        <v>0</v>
      </c>
      <c r="AL12" s="12">
        <f t="shared" si="2"/>
        <v>0</v>
      </c>
      <c r="AM12" s="12">
        <f t="shared" si="2"/>
        <v>0</v>
      </c>
      <c r="AN12" s="12">
        <f t="shared" si="2"/>
        <v>0</v>
      </c>
      <c r="AO12" s="12">
        <f t="shared" si="2"/>
        <v>0</v>
      </c>
      <c r="AP12" s="12">
        <f t="shared" si="2"/>
        <v>0</v>
      </c>
      <c r="AQ12" s="89">
        <f t="shared" si="2"/>
        <v>0</v>
      </c>
      <c r="AR12" s="89">
        <f t="shared" si="2"/>
        <v>0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2">
        <f t="shared" si="2"/>
        <v>0</v>
      </c>
      <c r="AW12" s="12">
        <f t="shared" si="2"/>
        <v>0</v>
      </c>
      <c r="AX12" s="12">
        <f t="shared" si="2"/>
        <v>0</v>
      </c>
      <c r="AY12" s="12"/>
      <c r="AZ12" s="12">
        <f aca="true" t="shared" si="3" ref="AZ12:BF12">SUM(AZ9:AZ11)</f>
        <v>0</v>
      </c>
      <c r="BA12" s="12">
        <f t="shared" si="3"/>
        <v>0</v>
      </c>
      <c r="BB12" s="12">
        <f t="shared" si="3"/>
        <v>1109.6399999999999</v>
      </c>
      <c r="BC12" s="12">
        <f t="shared" si="3"/>
        <v>0</v>
      </c>
      <c r="BD12" s="12">
        <f t="shared" si="3"/>
        <v>1109.6399999999999</v>
      </c>
      <c r="BE12" s="12">
        <f t="shared" si="3"/>
        <v>345.8199999999998</v>
      </c>
      <c r="BF12" s="90">
        <f t="shared" si="3"/>
        <v>-7745.950000000001</v>
      </c>
    </row>
    <row r="13" spans="1:58" ht="15" customHeight="1">
      <c r="A13" s="5" t="s">
        <v>74</v>
      </c>
      <c r="B13" s="59"/>
      <c r="C13" s="78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  <c r="T13" s="80"/>
      <c r="U13" s="81"/>
      <c r="V13" s="81"/>
      <c r="W13" s="81"/>
      <c r="X13" s="81"/>
      <c r="Y13" s="81"/>
      <c r="Z13" s="81"/>
      <c r="AA13" s="81"/>
      <c r="AB13" s="82"/>
      <c r="AC13" s="83"/>
      <c r="AD13" s="83"/>
      <c r="AE13" s="83"/>
      <c r="AF13" s="49"/>
      <c r="AG13" s="49"/>
      <c r="AH13" s="49"/>
      <c r="AI13" s="49"/>
      <c r="AJ13" s="49"/>
      <c r="AK13" s="49"/>
      <c r="AL13" s="49"/>
      <c r="AM13" s="49"/>
      <c r="AN13" s="60"/>
      <c r="AO13" s="60"/>
      <c r="AP13" s="60"/>
      <c r="AQ13" s="84"/>
      <c r="AR13" s="85"/>
      <c r="AS13" s="86"/>
      <c r="AT13" s="86"/>
      <c r="AU13" s="87"/>
      <c r="AV13" s="49"/>
      <c r="AW13" s="49"/>
      <c r="AX13" s="50"/>
      <c r="AY13" s="123"/>
      <c r="AZ13" s="1"/>
      <c r="BA13" s="1"/>
      <c r="BB13" s="1"/>
      <c r="BC13" s="1"/>
      <c r="BD13" s="1"/>
      <c r="BE13" s="1"/>
      <c r="BF13" s="69"/>
    </row>
    <row r="14" spans="1:58" ht="12.75">
      <c r="A14" s="88" t="s">
        <v>75</v>
      </c>
      <c r="B14" s="112">
        <v>264.2</v>
      </c>
      <c r="C14" s="113">
        <f>B14*10.65</f>
        <v>2813.73</v>
      </c>
      <c r="D14" s="114">
        <v>0</v>
      </c>
      <c r="E14" s="127">
        <v>243.16</v>
      </c>
      <c r="F14" s="115">
        <v>0</v>
      </c>
      <c r="G14" s="115">
        <v>0</v>
      </c>
      <c r="H14" s="115">
        <v>0</v>
      </c>
      <c r="I14" s="127">
        <v>2153.02</v>
      </c>
      <c r="J14" s="115">
        <v>0</v>
      </c>
      <c r="K14" s="115">
        <v>0</v>
      </c>
      <c r="L14" s="115">
        <v>0</v>
      </c>
      <c r="M14" s="127">
        <v>194.52</v>
      </c>
      <c r="N14" s="115">
        <v>0</v>
      </c>
      <c r="O14" s="115">
        <v>0</v>
      </c>
      <c r="P14" s="115">
        <v>0</v>
      </c>
      <c r="Q14" s="115"/>
      <c r="R14" s="116"/>
      <c r="S14" s="71">
        <f>E14+G14+I14+K14+M14+O14+Q14</f>
        <v>2590.7</v>
      </c>
      <c r="T14" s="72">
        <f>P14+N14+L14+J14+H14+F14+R14</f>
        <v>0</v>
      </c>
      <c r="U14" s="129">
        <v>181.19</v>
      </c>
      <c r="V14" s="129">
        <v>0</v>
      </c>
      <c r="W14" s="129">
        <v>1066.95</v>
      </c>
      <c r="X14" s="129">
        <v>0</v>
      </c>
      <c r="Y14" s="129">
        <v>144.97</v>
      </c>
      <c r="Z14" s="71"/>
      <c r="AA14" s="117"/>
      <c r="AB14" s="117">
        <f>SUM(U14:AA14)</f>
        <v>1393.1100000000001</v>
      </c>
      <c r="AC14" s="74">
        <f>D14+T14+AB14</f>
        <v>1393.1100000000001</v>
      </c>
      <c r="AD14" s="118">
        <f>P14+Z14</f>
        <v>0</v>
      </c>
      <c r="AE14" s="118">
        <f>R14+AA14</f>
        <v>0</v>
      </c>
      <c r="AF14" s="118"/>
      <c r="AG14" s="17">
        <f>0.67*B14</f>
        <v>177.014</v>
      </c>
      <c r="AH14" s="17">
        <f>B14*0.2</f>
        <v>52.84</v>
      </c>
      <c r="AI14" s="17">
        <f>B14*2.04</f>
        <v>538.968</v>
      </c>
      <c r="AJ14" s="17"/>
      <c r="AK14" s="17"/>
      <c r="AL14" s="17"/>
      <c r="AM14" s="17"/>
      <c r="AN14" s="17"/>
      <c r="AO14" s="17"/>
      <c r="AP14" s="17"/>
      <c r="AQ14" s="75"/>
      <c r="AR14" s="75"/>
      <c r="AS14" s="63"/>
      <c r="AT14" s="63"/>
      <c r="AU14" s="63"/>
      <c r="AV14" s="119"/>
      <c r="AW14" s="76"/>
      <c r="AX14" s="17"/>
      <c r="AY14" s="120"/>
      <c r="AZ14" s="77"/>
      <c r="BA14" s="77"/>
      <c r="BB14" s="77">
        <f>SUM(AG14:BA14)-AV14-AW14</f>
        <v>768.822</v>
      </c>
      <c r="BC14" s="121"/>
      <c r="BD14" s="50">
        <f>BB14-(AF14-BC14)</f>
        <v>768.822</v>
      </c>
      <c r="BE14" s="94">
        <f>(AC14-BB14)+(AF14-BC14)</f>
        <v>624.2880000000001</v>
      </c>
      <c r="BF14" s="95">
        <f>AB14-S14</f>
        <v>-1197.5899999999997</v>
      </c>
    </row>
    <row r="15" spans="1:58" ht="14.25">
      <c r="A15" s="6" t="s">
        <v>76</v>
      </c>
      <c r="B15" s="125">
        <v>264.2</v>
      </c>
      <c r="C15" s="113">
        <f>B15*10.65</f>
        <v>2813.73</v>
      </c>
      <c r="D15" s="114">
        <v>0</v>
      </c>
      <c r="E15" s="127">
        <v>243.16</v>
      </c>
      <c r="F15" s="127">
        <v>0</v>
      </c>
      <c r="G15" s="127">
        <v>0</v>
      </c>
      <c r="H15" s="127">
        <v>0</v>
      </c>
      <c r="I15" s="127">
        <v>2153.02</v>
      </c>
      <c r="J15" s="127">
        <v>0</v>
      </c>
      <c r="K15" s="127">
        <v>0</v>
      </c>
      <c r="L15" s="127">
        <v>0</v>
      </c>
      <c r="M15" s="127">
        <v>194.52</v>
      </c>
      <c r="N15" s="127">
        <v>0</v>
      </c>
      <c r="O15" s="127">
        <v>0</v>
      </c>
      <c r="P15" s="127">
        <v>0</v>
      </c>
      <c r="Q15" s="127"/>
      <c r="R15" s="128"/>
      <c r="S15" s="71">
        <f>E15+G15+I15+K15+M15+O15+Q15</f>
        <v>2590.7</v>
      </c>
      <c r="T15" s="146">
        <f>P15+N15+L15+J15+H15+F15+R15</f>
        <v>0</v>
      </c>
      <c r="U15" s="147">
        <v>190.58</v>
      </c>
      <c r="V15" s="129">
        <v>0</v>
      </c>
      <c r="W15" s="147">
        <v>2878.35</v>
      </c>
      <c r="X15" s="129">
        <v>0</v>
      </c>
      <c r="Y15" s="147">
        <v>152.46</v>
      </c>
      <c r="Z15" s="129">
        <v>0</v>
      </c>
      <c r="AA15" s="129">
        <v>0</v>
      </c>
      <c r="AB15" s="117">
        <f>SUM(U15:AA15)</f>
        <v>3221.39</v>
      </c>
      <c r="AC15" s="74">
        <f>D15+T15+AB15</f>
        <v>3221.39</v>
      </c>
      <c r="AD15" s="118">
        <f>P15+Z15</f>
        <v>0</v>
      </c>
      <c r="AE15" s="118">
        <f>R15+AA15</f>
        <v>0</v>
      </c>
      <c r="AF15" s="134"/>
      <c r="AG15" s="17">
        <f>0.67*B15</f>
        <v>177.014</v>
      </c>
      <c r="AH15" s="17">
        <f>B15*0.2</f>
        <v>52.84</v>
      </c>
      <c r="AI15" s="17">
        <f>B15*2.04</f>
        <v>538.968</v>
      </c>
      <c r="AJ15" s="135">
        <v>0</v>
      </c>
      <c r="AK15" s="135">
        <f>0.98*0</f>
        <v>0</v>
      </c>
      <c r="AL15" s="135">
        <v>0</v>
      </c>
      <c r="AM15" s="135">
        <f>2.25*0</f>
        <v>0</v>
      </c>
      <c r="AN15" s="135">
        <v>0</v>
      </c>
      <c r="AO15" s="135"/>
      <c r="AP15" s="135"/>
      <c r="AQ15" s="136"/>
      <c r="AR15" s="136"/>
      <c r="AS15" s="137"/>
      <c r="AT15" s="137"/>
      <c r="AU15" s="137"/>
      <c r="AV15" s="138"/>
      <c r="AW15" s="139">
        <v>0</v>
      </c>
      <c r="AX15" s="135">
        <f>AV15*AW15*1.4</f>
        <v>0</v>
      </c>
      <c r="AY15" s="135"/>
      <c r="AZ15" s="140"/>
      <c r="BA15" s="77">
        <f>AZ15*0.18</f>
        <v>0</v>
      </c>
      <c r="BB15" s="77">
        <f>SUM(AG15:BA15)-AV15-AW15</f>
        <v>768.822</v>
      </c>
      <c r="BC15" s="141"/>
      <c r="BD15" s="50">
        <f>BB15-(AF15-BC15)</f>
        <v>768.822</v>
      </c>
      <c r="BE15" s="96">
        <f>(AC15-BB15)+(AF15-BC15)</f>
        <v>2452.5679999999998</v>
      </c>
      <c r="BF15" s="97">
        <f>AB15-S15</f>
        <v>630.69</v>
      </c>
    </row>
    <row r="16" spans="1:58" s="73" customFormat="1" ht="14.25">
      <c r="A16" s="70" t="s">
        <v>77</v>
      </c>
      <c r="B16" s="125">
        <v>264.2</v>
      </c>
      <c r="C16" s="113">
        <f>B16*10.65</f>
        <v>2813.73</v>
      </c>
      <c r="D16" s="114">
        <v>0</v>
      </c>
      <c r="E16" s="127">
        <v>243.16</v>
      </c>
      <c r="F16" s="143">
        <v>0</v>
      </c>
      <c r="G16" s="143">
        <v>0</v>
      </c>
      <c r="H16" s="143">
        <v>0</v>
      </c>
      <c r="I16" s="127">
        <v>2153.02</v>
      </c>
      <c r="J16" s="143">
        <v>0</v>
      </c>
      <c r="K16" s="143">
        <v>0</v>
      </c>
      <c r="L16" s="143">
        <v>0</v>
      </c>
      <c r="M16" s="127">
        <v>194.52</v>
      </c>
      <c r="N16" s="143">
        <v>0</v>
      </c>
      <c r="O16" s="143">
        <v>0</v>
      </c>
      <c r="P16" s="143">
        <v>0</v>
      </c>
      <c r="Q16" s="143"/>
      <c r="R16" s="143"/>
      <c r="S16" s="71">
        <f>E16+G16+I16+K16+M16+O16+Q16</f>
        <v>2590.7</v>
      </c>
      <c r="T16" s="146">
        <f>P16+N16+L16+J16+H16+F16+R16</f>
        <v>0</v>
      </c>
      <c r="U16" s="147">
        <v>185.34</v>
      </c>
      <c r="V16" s="129">
        <v>0</v>
      </c>
      <c r="W16" s="147">
        <v>1647.9</v>
      </c>
      <c r="X16" s="129">
        <v>0</v>
      </c>
      <c r="Y16" s="147">
        <v>148.26</v>
      </c>
      <c r="Z16" s="129">
        <v>0</v>
      </c>
      <c r="AA16" s="129">
        <v>0</v>
      </c>
      <c r="AB16" s="117">
        <f>SUM(U16:AA16)</f>
        <v>1981.5</v>
      </c>
      <c r="AC16" s="74">
        <f>D16+T16+AB16</f>
        <v>1981.5</v>
      </c>
      <c r="AD16" s="118">
        <f>P16+Z16</f>
        <v>0</v>
      </c>
      <c r="AE16" s="118">
        <f>R16+AA16</f>
        <v>0</v>
      </c>
      <c r="AF16" s="134"/>
      <c r="AG16" s="17">
        <f>0.67*B16</f>
        <v>177.014</v>
      </c>
      <c r="AH16" s="17">
        <f>B16*0.2</f>
        <v>52.84</v>
      </c>
      <c r="AI16" s="17">
        <f>B16*2.04</f>
        <v>538.968</v>
      </c>
      <c r="AJ16" s="135">
        <v>0</v>
      </c>
      <c r="AK16" s="135">
        <f>0.98*0</f>
        <v>0</v>
      </c>
      <c r="AL16" s="135">
        <v>0</v>
      </c>
      <c r="AM16" s="135">
        <f>2.25*0</f>
        <v>0</v>
      </c>
      <c r="AN16" s="135">
        <v>0</v>
      </c>
      <c r="AO16" s="135"/>
      <c r="AP16" s="135"/>
      <c r="AQ16" s="136"/>
      <c r="AR16" s="136"/>
      <c r="AS16" s="137"/>
      <c r="AT16" s="137"/>
      <c r="AU16" s="63">
        <f>0*0.18</f>
        <v>0</v>
      </c>
      <c r="AV16" s="138"/>
      <c r="AW16" s="139">
        <v>0</v>
      </c>
      <c r="AX16" s="135">
        <f>AV16*AW16*1.4</f>
        <v>0</v>
      </c>
      <c r="AY16" s="135"/>
      <c r="AZ16" s="140"/>
      <c r="BA16" s="77">
        <f>AZ16*0.18</f>
        <v>0</v>
      </c>
      <c r="BB16" s="77">
        <f>SUM(AG16:BA16)-AV16-AW16</f>
        <v>768.822</v>
      </c>
      <c r="BC16" s="141"/>
      <c r="BD16" s="50">
        <f>BB16-(AF16-BC16)</f>
        <v>768.822</v>
      </c>
      <c r="BE16" s="98">
        <f>(AC16-BB16)+(AF16-BC16)</f>
        <v>1212.6779999999999</v>
      </c>
      <c r="BF16" s="97">
        <f>AB16-S16</f>
        <v>-609.1999999999998</v>
      </c>
    </row>
    <row r="17" spans="1:58" s="16" customFormat="1" ht="12.75">
      <c r="A17" s="11" t="s">
        <v>3</v>
      </c>
      <c r="B17" s="12"/>
      <c r="C17" s="12">
        <f aca="true" t="shared" si="4" ref="C17:N17">SUM(C14:C16)</f>
        <v>8441.19</v>
      </c>
      <c r="D17" s="12">
        <f t="shared" si="4"/>
        <v>0</v>
      </c>
      <c r="E17" s="12">
        <f t="shared" si="4"/>
        <v>729.48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6459.0599999999995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583.5600000000001</v>
      </c>
      <c r="N17" s="12">
        <f t="shared" si="4"/>
        <v>0</v>
      </c>
      <c r="O17" s="12"/>
      <c r="P17" s="12"/>
      <c r="Q17" s="12"/>
      <c r="R17" s="12"/>
      <c r="S17" s="12">
        <f aca="true" t="shared" si="5" ref="S17:Y17">SUM(S14:S16)</f>
        <v>7772.099999999999</v>
      </c>
      <c r="T17" s="12">
        <f t="shared" si="5"/>
        <v>0</v>
      </c>
      <c r="U17" s="12">
        <f t="shared" si="5"/>
        <v>557.11</v>
      </c>
      <c r="V17" s="12">
        <f t="shared" si="5"/>
        <v>0</v>
      </c>
      <c r="W17" s="12">
        <f t="shared" si="5"/>
        <v>5593.200000000001</v>
      </c>
      <c r="X17" s="12">
        <f t="shared" si="5"/>
        <v>0</v>
      </c>
      <c r="Y17" s="12">
        <f t="shared" si="5"/>
        <v>445.69</v>
      </c>
      <c r="Z17" s="12"/>
      <c r="AA17" s="12"/>
      <c r="AB17" s="12">
        <f>SUM(AB14:AB16)</f>
        <v>6596</v>
      </c>
      <c r="AC17" s="12">
        <f>SUM(AC14:AC16)</f>
        <v>6596</v>
      </c>
      <c r="AD17" s="12"/>
      <c r="AE17" s="12"/>
      <c r="AF17" s="12">
        <f aca="true" t="shared" si="6" ref="AF17:AX17">SUM(AF14:AF16)</f>
        <v>0</v>
      </c>
      <c r="AG17" s="12">
        <f t="shared" si="6"/>
        <v>531.042</v>
      </c>
      <c r="AH17" s="12">
        <f t="shared" si="6"/>
        <v>158.52</v>
      </c>
      <c r="AI17" s="12">
        <f t="shared" si="6"/>
        <v>1616.904</v>
      </c>
      <c r="AJ17" s="12">
        <f t="shared" si="6"/>
        <v>0</v>
      </c>
      <c r="AK17" s="12">
        <f t="shared" si="6"/>
        <v>0</v>
      </c>
      <c r="AL17" s="12">
        <f t="shared" si="6"/>
        <v>0</v>
      </c>
      <c r="AM17" s="12">
        <f t="shared" si="6"/>
        <v>0</v>
      </c>
      <c r="AN17" s="12">
        <f t="shared" si="6"/>
        <v>0</v>
      </c>
      <c r="AO17" s="12">
        <f t="shared" si="6"/>
        <v>0</v>
      </c>
      <c r="AP17" s="12">
        <f t="shared" si="6"/>
        <v>0</v>
      </c>
      <c r="AQ17" s="89">
        <f t="shared" si="6"/>
        <v>0</v>
      </c>
      <c r="AR17" s="89">
        <f t="shared" si="6"/>
        <v>0</v>
      </c>
      <c r="AS17" s="13">
        <f t="shared" si="6"/>
        <v>0</v>
      </c>
      <c r="AT17" s="13">
        <f t="shared" si="6"/>
        <v>0</v>
      </c>
      <c r="AU17" s="13">
        <f t="shared" si="6"/>
        <v>0</v>
      </c>
      <c r="AV17" s="12">
        <f t="shared" si="6"/>
        <v>0</v>
      </c>
      <c r="AW17" s="12">
        <f t="shared" si="6"/>
        <v>0</v>
      </c>
      <c r="AX17" s="12">
        <f t="shared" si="6"/>
        <v>0</v>
      </c>
      <c r="AY17" s="12"/>
      <c r="AZ17" s="12">
        <f aca="true" t="shared" si="7" ref="AZ17:BF17">SUM(AZ14:AZ16)</f>
        <v>0</v>
      </c>
      <c r="BA17" s="12">
        <f t="shared" si="7"/>
        <v>0</v>
      </c>
      <c r="BB17" s="12">
        <f t="shared" si="7"/>
        <v>2306.466</v>
      </c>
      <c r="BC17" s="12">
        <f t="shared" si="7"/>
        <v>0</v>
      </c>
      <c r="BD17" s="12">
        <f t="shared" si="7"/>
        <v>2306.466</v>
      </c>
      <c r="BE17" s="12">
        <f t="shared" si="7"/>
        <v>4289.534</v>
      </c>
      <c r="BF17" s="90">
        <f t="shared" si="7"/>
        <v>-1176.0999999999995</v>
      </c>
    </row>
    <row r="18" spans="1:58" s="16" customFormat="1" ht="12.75">
      <c r="A18" s="11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62"/>
      <c r="AQ18" s="91"/>
      <c r="AR18" s="91"/>
      <c r="AS18" s="62"/>
      <c r="AT18" s="62"/>
      <c r="AU18" s="62"/>
      <c r="AV18" s="15"/>
      <c r="AW18" s="15"/>
      <c r="AX18" s="92"/>
      <c r="AY18" s="124"/>
      <c r="AZ18" s="46"/>
      <c r="BA18" s="46"/>
      <c r="BB18" s="46"/>
      <c r="BC18" s="46"/>
      <c r="BD18" s="46"/>
      <c r="BE18" s="46"/>
      <c r="BF18" s="93"/>
    </row>
    <row r="19" spans="1:58" s="16" customFormat="1" ht="13.5" thickBot="1">
      <c r="A19" s="18" t="s">
        <v>35</v>
      </c>
      <c r="B19" s="19"/>
      <c r="C19" s="19">
        <f>C12+C17</f>
        <v>15297.18</v>
      </c>
      <c r="D19" s="19">
        <f aca="true" t="shared" si="8" ref="D19:BE19">D12+D17</f>
        <v>412.4299999999997</v>
      </c>
      <c r="E19" s="19">
        <f t="shared" si="8"/>
        <v>1484.75</v>
      </c>
      <c r="F19" s="19">
        <f t="shared" si="8"/>
        <v>0</v>
      </c>
      <c r="G19" s="19">
        <f t="shared" si="8"/>
        <v>0</v>
      </c>
      <c r="H19" s="19">
        <f t="shared" si="8"/>
        <v>0</v>
      </c>
      <c r="I19" s="19">
        <f t="shared" si="8"/>
        <v>13888.58</v>
      </c>
      <c r="J19" s="19">
        <f t="shared" si="8"/>
        <v>0</v>
      </c>
      <c r="K19" s="19">
        <f t="shared" si="8"/>
        <v>0</v>
      </c>
      <c r="L19" s="19">
        <f t="shared" si="8"/>
        <v>0</v>
      </c>
      <c r="M19" s="19">
        <f t="shared" si="8"/>
        <v>1187.75</v>
      </c>
      <c r="N19" s="19">
        <f t="shared" si="8"/>
        <v>0</v>
      </c>
      <c r="O19" s="19">
        <f t="shared" si="8"/>
        <v>0</v>
      </c>
      <c r="P19" s="19">
        <f t="shared" si="8"/>
        <v>0</v>
      </c>
      <c r="Q19" s="19">
        <f t="shared" si="8"/>
        <v>0</v>
      </c>
      <c r="R19" s="19">
        <f t="shared" si="8"/>
        <v>0</v>
      </c>
      <c r="S19" s="19">
        <f t="shared" si="8"/>
        <v>16561.079999999998</v>
      </c>
      <c r="T19" s="19">
        <f t="shared" si="8"/>
        <v>0</v>
      </c>
      <c r="U19" s="19">
        <f t="shared" si="8"/>
        <v>685.55</v>
      </c>
      <c r="V19" s="19">
        <f t="shared" si="8"/>
        <v>0</v>
      </c>
      <c r="W19" s="19">
        <f t="shared" si="8"/>
        <v>6405.070000000001</v>
      </c>
      <c r="X19" s="19">
        <f t="shared" si="8"/>
        <v>0</v>
      </c>
      <c r="Y19" s="19">
        <f t="shared" si="8"/>
        <v>548.44</v>
      </c>
      <c r="Z19" s="19">
        <f t="shared" si="8"/>
        <v>0</v>
      </c>
      <c r="AA19" s="19">
        <f t="shared" si="8"/>
        <v>0</v>
      </c>
      <c r="AB19" s="19">
        <f t="shared" si="8"/>
        <v>7639.03</v>
      </c>
      <c r="AC19" s="19">
        <f t="shared" si="8"/>
        <v>8051.459999999999</v>
      </c>
      <c r="AD19" s="19">
        <f t="shared" si="8"/>
        <v>0</v>
      </c>
      <c r="AE19" s="19">
        <f t="shared" si="8"/>
        <v>0</v>
      </c>
      <c r="AF19" s="19">
        <f t="shared" si="8"/>
        <v>0</v>
      </c>
      <c r="AG19" s="19">
        <f t="shared" si="8"/>
        <v>1006.602</v>
      </c>
      <c r="AH19" s="19">
        <f t="shared" si="8"/>
        <v>264.20000000000005</v>
      </c>
      <c r="AI19" s="19">
        <f t="shared" si="8"/>
        <v>2145.304</v>
      </c>
      <c r="AJ19" s="19">
        <f t="shared" si="8"/>
        <v>0</v>
      </c>
      <c r="AK19" s="19">
        <f t="shared" si="8"/>
        <v>0</v>
      </c>
      <c r="AL19" s="19">
        <f t="shared" si="8"/>
        <v>0</v>
      </c>
      <c r="AM19" s="19">
        <f t="shared" si="8"/>
        <v>0</v>
      </c>
      <c r="AN19" s="19">
        <f t="shared" si="8"/>
        <v>0</v>
      </c>
      <c r="AO19" s="19">
        <f t="shared" si="8"/>
        <v>0</v>
      </c>
      <c r="AP19" s="19">
        <f t="shared" si="8"/>
        <v>0</v>
      </c>
      <c r="AQ19" s="19">
        <f t="shared" si="8"/>
        <v>0</v>
      </c>
      <c r="AR19" s="19">
        <f t="shared" si="8"/>
        <v>0</v>
      </c>
      <c r="AS19" s="19">
        <f t="shared" si="8"/>
        <v>0</v>
      </c>
      <c r="AT19" s="19">
        <f t="shared" si="8"/>
        <v>0</v>
      </c>
      <c r="AU19" s="19">
        <f t="shared" si="8"/>
        <v>0</v>
      </c>
      <c r="AV19" s="19">
        <f t="shared" si="8"/>
        <v>0</v>
      </c>
      <c r="AW19" s="19">
        <f t="shared" si="8"/>
        <v>0</v>
      </c>
      <c r="AX19" s="19">
        <f t="shared" si="8"/>
        <v>0</v>
      </c>
      <c r="AY19" s="19">
        <f t="shared" si="8"/>
        <v>0</v>
      </c>
      <c r="AZ19" s="19">
        <f t="shared" si="8"/>
        <v>0</v>
      </c>
      <c r="BA19" s="19">
        <f t="shared" si="8"/>
        <v>0</v>
      </c>
      <c r="BB19" s="19">
        <f t="shared" si="8"/>
        <v>3416.1059999999998</v>
      </c>
      <c r="BC19" s="19">
        <f t="shared" si="8"/>
        <v>0</v>
      </c>
      <c r="BD19" s="19">
        <f t="shared" si="8"/>
        <v>3416.1059999999998</v>
      </c>
      <c r="BE19" s="19">
        <f t="shared" si="8"/>
        <v>4635.353999999999</v>
      </c>
      <c r="BF19" s="19">
        <f>BF12+BF17</f>
        <v>-8922.05</v>
      </c>
    </row>
  </sheetData>
  <sheetProtection/>
  <mergeCells count="60">
    <mergeCell ref="BE3:BE6"/>
    <mergeCell ref="BF3:BF6"/>
    <mergeCell ref="BC4:BC6"/>
    <mergeCell ref="BD4:BD6"/>
    <mergeCell ref="AG3:BB4"/>
    <mergeCell ref="BC3:BD3"/>
    <mergeCell ref="AV5:AX5"/>
    <mergeCell ref="AZ5:AZ6"/>
    <mergeCell ref="BA5:BA6"/>
    <mergeCell ref="BB5:BB6"/>
    <mergeCell ref="AI5:AI6"/>
    <mergeCell ref="AJ5:AJ6"/>
    <mergeCell ref="AO5:AO6"/>
    <mergeCell ref="AP5:AP6"/>
    <mergeCell ref="I3:J4"/>
    <mergeCell ref="K3:L4"/>
    <mergeCell ref="M3:N4"/>
    <mergeCell ref="AF3:AF6"/>
    <mergeCell ref="X5:X6"/>
    <mergeCell ref="Y5:Y6"/>
    <mergeCell ref="T5:T6"/>
    <mergeCell ref="U5:U6"/>
    <mergeCell ref="V5:V6"/>
    <mergeCell ref="W5:W6"/>
    <mergeCell ref="I5:I6"/>
    <mergeCell ref="A1:N1"/>
    <mergeCell ref="A3:A6"/>
    <mergeCell ref="B3:B6"/>
    <mergeCell ref="C3:C6"/>
    <mergeCell ref="D3:D6"/>
    <mergeCell ref="M5:M6"/>
    <mergeCell ref="N5:N6"/>
    <mergeCell ref="E3:F4"/>
    <mergeCell ref="G3:H4"/>
    <mergeCell ref="L5:L6"/>
    <mergeCell ref="S5:S6"/>
    <mergeCell ref="O5:O6"/>
    <mergeCell ref="P5:P6"/>
    <mergeCell ref="Q5:Q6"/>
    <mergeCell ref="R5:R6"/>
    <mergeCell ref="AK5:AK6"/>
    <mergeCell ref="AL5:AL6"/>
    <mergeCell ref="AG5:AG6"/>
    <mergeCell ref="AH5:AH6"/>
    <mergeCell ref="E5:E6"/>
    <mergeCell ref="F5:F6"/>
    <mergeCell ref="G5:G6"/>
    <mergeCell ref="H5:H6"/>
    <mergeCell ref="J5:J6"/>
    <mergeCell ref="K5:K6"/>
    <mergeCell ref="AT5:AT6"/>
    <mergeCell ref="AB5:AB6"/>
    <mergeCell ref="AC3:AC6"/>
    <mergeCell ref="S3:T4"/>
    <mergeCell ref="U3:AB4"/>
    <mergeCell ref="AR5:AR6"/>
    <mergeCell ref="AS5:AS6"/>
    <mergeCell ref="AQ5:AQ6"/>
    <mergeCell ref="AM5:AM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0">
      <selection activeCell="B30" sqref="B30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10.375" style="2" customWidth="1"/>
    <col min="14" max="14" width="10.75390625" style="2" customWidth="1"/>
    <col min="15" max="15" width="14.00390625" style="2" customWidth="1"/>
    <col min="16" max="16384" width="9.125" style="2" customWidth="1"/>
  </cols>
  <sheetData>
    <row r="1" ht="18.75">
      <c r="E1" s="20" t="s">
        <v>36</v>
      </c>
    </row>
    <row r="2" ht="18.75">
      <c r="E2" s="20" t="s">
        <v>37</v>
      </c>
    </row>
    <row r="6" spans="1:14" ht="12.75">
      <c r="A6" s="237" t="s">
        <v>72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12.75">
      <c r="A7" s="65" t="s">
        <v>73</v>
      </c>
      <c r="B7" s="65"/>
      <c r="C7" s="65"/>
      <c r="D7" s="65"/>
      <c r="E7" s="65"/>
      <c r="F7" s="65"/>
      <c r="G7" s="65"/>
      <c r="H7" s="64"/>
      <c r="I7" s="64"/>
      <c r="J7" s="64"/>
      <c r="K7" s="64"/>
      <c r="L7" s="64"/>
      <c r="M7" s="64"/>
      <c r="N7" s="64"/>
    </row>
    <row r="8" spans="1:14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5" ht="13.5" thickBot="1">
      <c r="A9" s="22" t="s">
        <v>38</v>
      </c>
      <c r="D9" s="4"/>
      <c r="E9" s="22">
        <v>8.65</v>
      </c>
    </row>
    <row r="10" spans="1:15" ht="12.75" customHeight="1">
      <c r="A10" s="238" t="s">
        <v>39</v>
      </c>
      <c r="B10" s="241" t="s">
        <v>0</v>
      </c>
      <c r="C10" s="244" t="s">
        <v>40</v>
      </c>
      <c r="D10" s="247" t="s">
        <v>2</v>
      </c>
      <c r="E10" s="250" t="s">
        <v>41</v>
      </c>
      <c r="F10" s="188"/>
      <c r="G10" s="253" t="s">
        <v>51</v>
      </c>
      <c r="H10" s="253"/>
      <c r="I10" s="227" t="s">
        <v>6</v>
      </c>
      <c r="J10" s="228"/>
      <c r="K10" s="228"/>
      <c r="L10" s="228"/>
      <c r="M10" s="229"/>
      <c r="N10" s="214" t="s">
        <v>42</v>
      </c>
      <c r="O10" s="214" t="s">
        <v>8</v>
      </c>
    </row>
    <row r="11" spans="1:15" ht="12.75">
      <c r="A11" s="239"/>
      <c r="B11" s="242"/>
      <c r="C11" s="245"/>
      <c r="D11" s="248"/>
      <c r="E11" s="251"/>
      <c r="F11" s="252"/>
      <c r="G11" s="254"/>
      <c r="H11" s="254"/>
      <c r="I11" s="230"/>
      <c r="J11" s="231"/>
      <c r="K11" s="231"/>
      <c r="L11" s="231"/>
      <c r="M11" s="232"/>
      <c r="N11" s="215"/>
      <c r="O11" s="215"/>
    </row>
    <row r="12" spans="1:15" ht="26.25" customHeight="1">
      <c r="A12" s="239"/>
      <c r="B12" s="242"/>
      <c r="C12" s="245"/>
      <c r="D12" s="248"/>
      <c r="E12" s="217" t="s">
        <v>43</v>
      </c>
      <c r="F12" s="191"/>
      <c r="G12" s="23" t="s">
        <v>44</v>
      </c>
      <c r="H12" s="218" t="s">
        <v>5</v>
      </c>
      <c r="I12" s="220" t="s">
        <v>45</v>
      </c>
      <c r="J12" s="222" t="s">
        <v>24</v>
      </c>
      <c r="K12" s="222" t="s">
        <v>46</v>
      </c>
      <c r="L12" s="222" t="s">
        <v>29</v>
      </c>
      <c r="M12" s="235" t="s">
        <v>31</v>
      </c>
      <c r="N12" s="215"/>
      <c r="O12" s="215"/>
    </row>
    <row r="13" spans="1:15" ht="66.75" customHeight="1" thickBot="1">
      <c r="A13" s="240"/>
      <c r="B13" s="243"/>
      <c r="C13" s="246"/>
      <c r="D13" s="249"/>
      <c r="E13" s="24" t="s">
        <v>47</v>
      </c>
      <c r="F13" s="25" t="s">
        <v>15</v>
      </c>
      <c r="G13" s="26" t="s">
        <v>52</v>
      </c>
      <c r="H13" s="219"/>
      <c r="I13" s="221"/>
      <c r="J13" s="223"/>
      <c r="K13" s="223"/>
      <c r="L13" s="223"/>
      <c r="M13" s="236"/>
      <c r="N13" s="216"/>
      <c r="O13" s="216"/>
    </row>
    <row r="14" spans="1:15" ht="13.5" thickBot="1">
      <c r="A14" s="27">
        <v>1</v>
      </c>
      <c r="B14" s="28">
        <v>2</v>
      </c>
      <c r="C14" s="29">
        <v>3</v>
      </c>
      <c r="D14" s="27">
        <v>4</v>
      </c>
      <c r="E14" s="28">
        <v>5</v>
      </c>
      <c r="F14" s="30">
        <v>6</v>
      </c>
      <c r="G14" s="31">
        <v>9</v>
      </c>
      <c r="H14" s="29">
        <v>11</v>
      </c>
      <c r="I14" s="27">
        <v>12</v>
      </c>
      <c r="J14" s="28">
        <v>13</v>
      </c>
      <c r="K14" s="28">
        <v>14</v>
      </c>
      <c r="L14" s="28">
        <v>15</v>
      </c>
      <c r="M14" s="30">
        <v>18</v>
      </c>
      <c r="N14" s="32">
        <v>19</v>
      </c>
      <c r="O14" s="32">
        <v>20</v>
      </c>
    </row>
    <row r="15" spans="1:17" ht="12.75">
      <c r="A15" s="5" t="s">
        <v>66</v>
      </c>
      <c r="B15" s="59"/>
      <c r="C15" s="47"/>
      <c r="D15" s="48"/>
      <c r="E15" s="49"/>
      <c r="F15" s="50"/>
      <c r="G15" s="51"/>
      <c r="H15" s="51"/>
      <c r="I15" s="52"/>
      <c r="J15" s="49"/>
      <c r="K15" s="49"/>
      <c r="L15" s="60"/>
      <c r="M15" s="50"/>
      <c r="N15" s="61"/>
      <c r="O15" s="61"/>
      <c r="P15" s="1"/>
      <c r="Q15" s="1"/>
    </row>
    <row r="16" spans="1:17" ht="12.75">
      <c r="A16" s="6" t="s">
        <v>32</v>
      </c>
      <c r="B16" s="7">
        <f>Лист1!B9</f>
        <v>264.2</v>
      </c>
      <c r="C16" s="33">
        <f>Лист1!C9</f>
        <v>2285.33</v>
      </c>
      <c r="D16" s="34">
        <f>Лист1!D9</f>
        <v>0</v>
      </c>
      <c r="E16" s="8">
        <f>Лист1!S9</f>
        <v>1872.87</v>
      </c>
      <c r="F16" s="10">
        <f>Лист1!T9</f>
        <v>0</v>
      </c>
      <c r="G16" s="35">
        <f>Лист1!AB9</f>
        <v>0</v>
      </c>
      <c r="H16" s="35">
        <f>Лист1!AC9</f>
        <v>0</v>
      </c>
      <c r="I16" s="36">
        <f>Лист1!AH9+Лист1!AG9</f>
        <v>158.51999999999998</v>
      </c>
      <c r="J16" s="8">
        <f>Лист1!AI9+Лист1!AJ9</f>
        <v>0</v>
      </c>
      <c r="K16" s="8">
        <f>Лист1!AK9+Лист1!AL9+Лист1!AM9+Лист1!AN9+Лист1!AO9+Лист1!AP9+Лист1!AQ9+Лист1!AR9</f>
        <v>0</v>
      </c>
      <c r="L16" s="9">
        <f>Лист1!AS9+Лист1!AT9+Лист1!AU9</f>
        <v>0</v>
      </c>
      <c r="M16" s="10">
        <f>Лист1!BB9</f>
        <v>158.51999999999998</v>
      </c>
      <c r="N16" s="37">
        <f>Лист1!BE9</f>
        <v>-158.51999999999998</v>
      </c>
      <c r="O16" s="37">
        <f>Лист1!BF9</f>
        <v>-1872.87</v>
      </c>
      <c r="P16" s="1"/>
      <c r="Q16" s="1"/>
    </row>
    <row r="17" spans="1:17" ht="12.75">
      <c r="A17" s="6" t="s">
        <v>33</v>
      </c>
      <c r="B17" s="7">
        <f>Лист1!B10</f>
        <v>264.2</v>
      </c>
      <c r="C17" s="33">
        <f>Лист1!C10</f>
        <v>2285.33</v>
      </c>
      <c r="D17" s="34">
        <f>Лист1!D10</f>
        <v>412.4299999999997</v>
      </c>
      <c r="E17" s="8">
        <f>Лист1!S10</f>
        <v>1872.9</v>
      </c>
      <c r="F17" s="10">
        <f>Лист1!T10</f>
        <v>0</v>
      </c>
      <c r="G17" s="35">
        <f>Лист1!AB10</f>
        <v>0</v>
      </c>
      <c r="H17" s="35">
        <f>Лист1!AC10</f>
        <v>412.4299999999997</v>
      </c>
      <c r="I17" s="36">
        <f>Лист1!AH10+Лист1!AG10</f>
        <v>211.35999999999999</v>
      </c>
      <c r="J17" s="8">
        <f>Лист1!AI10+Лист1!AJ10</f>
        <v>264.2</v>
      </c>
      <c r="K17" s="8">
        <f>Лист1!AK10+Лист1!AL10+Лист1!AM10+Лист1!AN10+Лист1!AO10+Лист1!AP10+Лист1!AQ10+Лист1!AR10</f>
        <v>0</v>
      </c>
      <c r="L17" s="9">
        <f>Лист1!AS10+Лист1!AT10+Лист1!AU10</f>
        <v>0</v>
      </c>
      <c r="M17" s="10">
        <f>Лист1!BB10</f>
        <v>475.55999999999995</v>
      </c>
      <c r="N17" s="37">
        <f>Лист1!BE10</f>
        <v>-63.13000000000022</v>
      </c>
      <c r="O17" s="37">
        <f>Лист1!BF10</f>
        <v>-1872.9</v>
      </c>
      <c r="P17" s="1"/>
      <c r="Q17" s="1"/>
    </row>
    <row r="18" spans="1:17" ht="13.5" thickBot="1">
      <c r="A18" s="38" t="s">
        <v>34</v>
      </c>
      <c r="B18" s="7">
        <f>Лист1!B11</f>
        <v>264.2</v>
      </c>
      <c r="C18" s="33">
        <f>Лист1!C11</f>
        <v>2285.33</v>
      </c>
      <c r="D18" s="34">
        <f>Лист1!D11</f>
        <v>0</v>
      </c>
      <c r="E18" s="8">
        <f>Лист1!S11</f>
        <v>5043.21</v>
      </c>
      <c r="F18" s="10">
        <f>Лист1!T11</f>
        <v>0</v>
      </c>
      <c r="G18" s="35">
        <f>Лист1!AB11</f>
        <v>1043.03</v>
      </c>
      <c r="H18" s="35">
        <f>Лист1!AC11</f>
        <v>1043.03</v>
      </c>
      <c r="I18" s="36">
        <f>Лист1!AH11+Лист1!AG11</f>
        <v>211.35999999999999</v>
      </c>
      <c r="J18" s="8">
        <f>Лист1!AI11+Лист1!AJ11</f>
        <v>264.2</v>
      </c>
      <c r="K18" s="8">
        <f>Лист1!AK11+Лист1!AL11+Лист1!AM11+Лист1!AN11+Лист1!AO11+Лист1!AP11+Лист1!AQ11+Лист1!AR11</f>
        <v>0</v>
      </c>
      <c r="L18" s="9">
        <f>Лист1!AS11+Лист1!AT11+Лист1!AU11</f>
        <v>0</v>
      </c>
      <c r="M18" s="10">
        <f>Лист1!BB11</f>
        <v>475.55999999999995</v>
      </c>
      <c r="N18" s="37">
        <f>Лист1!BE11</f>
        <v>567.47</v>
      </c>
      <c r="O18" s="37">
        <f>Лист1!BF11</f>
        <v>-4000.1800000000003</v>
      </c>
      <c r="P18" s="1"/>
      <c r="Q18" s="1"/>
    </row>
    <row r="19" spans="1:17" s="16" customFormat="1" ht="13.5" thickBot="1">
      <c r="A19" s="39" t="s">
        <v>3</v>
      </c>
      <c r="B19" s="40"/>
      <c r="C19" s="41">
        <f aca="true" t="shared" si="0" ref="C19:O19">SUM(C16:C18)</f>
        <v>6855.99</v>
      </c>
      <c r="D19" s="42">
        <f t="shared" si="0"/>
        <v>412.4299999999997</v>
      </c>
      <c r="E19" s="41">
        <f t="shared" si="0"/>
        <v>8788.98</v>
      </c>
      <c r="F19" s="43">
        <f t="shared" si="0"/>
        <v>0</v>
      </c>
      <c r="G19" s="44">
        <f t="shared" si="0"/>
        <v>1043.03</v>
      </c>
      <c r="H19" s="41">
        <f t="shared" si="0"/>
        <v>1455.4599999999996</v>
      </c>
      <c r="I19" s="42">
        <f t="shared" si="0"/>
        <v>581.24</v>
      </c>
      <c r="J19" s="41">
        <f t="shared" si="0"/>
        <v>528.4</v>
      </c>
      <c r="K19" s="41">
        <f t="shared" si="0"/>
        <v>0</v>
      </c>
      <c r="L19" s="41">
        <f t="shared" si="0"/>
        <v>0</v>
      </c>
      <c r="M19" s="43">
        <f t="shared" si="0"/>
        <v>1109.6399999999999</v>
      </c>
      <c r="N19" s="45">
        <f t="shared" si="0"/>
        <v>345.8199999999998</v>
      </c>
      <c r="O19" s="45">
        <f t="shared" si="0"/>
        <v>-7745.950000000001</v>
      </c>
      <c r="P19" s="46"/>
      <c r="Q19" s="46"/>
    </row>
    <row r="20" spans="1:17" ht="12.75">
      <c r="A20" s="5" t="s">
        <v>74</v>
      </c>
      <c r="B20" s="59"/>
      <c r="C20" s="47"/>
      <c r="D20" s="48"/>
      <c r="E20" s="49"/>
      <c r="F20" s="50"/>
      <c r="G20" s="51"/>
      <c r="H20" s="51"/>
      <c r="I20" s="52"/>
      <c r="J20" s="49"/>
      <c r="K20" s="49"/>
      <c r="L20" s="60"/>
      <c r="M20" s="50"/>
      <c r="N20" s="61"/>
      <c r="O20" s="61"/>
      <c r="P20" s="1"/>
      <c r="Q20" s="1"/>
    </row>
    <row r="21" spans="1:17" ht="12.75">
      <c r="A21" s="6" t="str">
        <f>Лист1!A14</f>
        <v>январь</v>
      </c>
      <c r="B21" s="7">
        <f>Лист1!B14</f>
        <v>264.2</v>
      </c>
      <c r="C21" s="33">
        <f>Лист1!C14</f>
        <v>2813.73</v>
      </c>
      <c r="D21" s="34">
        <f>Лист1!D14</f>
        <v>0</v>
      </c>
      <c r="E21" s="8">
        <f>Лист1!S14</f>
        <v>2590.7</v>
      </c>
      <c r="F21" s="10">
        <f>Лист1!T14</f>
        <v>0</v>
      </c>
      <c r="G21" s="35">
        <f>Лист1!AB14</f>
        <v>1393.1100000000001</v>
      </c>
      <c r="H21" s="35">
        <f>Лист1!AC14</f>
        <v>1393.1100000000001</v>
      </c>
      <c r="I21" s="36">
        <f>Лист1!AH14+Лист1!AG14</f>
        <v>229.854</v>
      </c>
      <c r="J21" s="8">
        <f>Лист1!AI14+Лист1!AJ14</f>
        <v>538.968</v>
      </c>
      <c r="K21" s="8">
        <f>Лист1!AK14+Лист1!AL14+Лист1!AM14+Лист1!AN14+Лист1!AO14+Лист1!AP14+Лист1!AQ14+Лист1!AR14</f>
        <v>0</v>
      </c>
      <c r="L21" s="9">
        <f>Лист1!AS14+Лист1!AT14+Лист1!AU14</f>
        <v>0</v>
      </c>
      <c r="M21" s="10">
        <f>Лист1!BB14</f>
        <v>768.822</v>
      </c>
      <c r="N21" s="37">
        <f>Лист1!BE14</f>
        <v>624.2880000000001</v>
      </c>
      <c r="O21" s="37">
        <f>Лист1!BF14</f>
        <v>-1197.5899999999997</v>
      </c>
      <c r="P21" s="1"/>
      <c r="Q21" s="1"/>
    </row>
    <row r="22" spans="1:17" ht="12.75">
      <c r="A22" s="6" t="str">
        <f>Лист1!A15</f>
        <v>февраль</v>
      </c>
      <c r="B22" s="7">
        <f>Лист1!B15</f>
        <v>264.2</v>
      </c>
      <c r="C22" s="33">
        <f>Лист1!C15</f>
        <v>2813.73</v>
      </c>
      <c r="D22" s="34">
        <f>Лист1!D15</f>
        <v>0</v>
      </c>
      <c r="E22" s="8">
        <f>Лист1!S15</f>
        <v>2590.7</v>
      </c>
      <c r="F22" s="10">
        <f>Лист1!T15</f>
        <v>0</v>
      </c>
      <c r="G22" s="35">
        <f>Лист1!AB15</f>
        <v>3221.39</v>
      </c>
      <c r="H22" s="35">
        <f>Лист1!AC15</f>
        <v>3221.39</v>
      </c>
      <c r="I22" s="36">
        <f>Лист1!AH15+Лист1!AG15</f>
        <v>229.854</v>
      </c>
      <c r="J22" s="8">
        <f>Лист1!AI15+Лист1!AJ15</f>
        <v>538.968</v>
      </c>
      <c r="K22" s="8">
        <f>Лист1!AK15+Лист1!AL15+Лист1!AM15+Лист1!AN15+Лист1!AO15+Лист1!AP15+Лист1!AQ15+Лист1!AR15</f>
        <v>0</v>
      </c>
      <c r="L22" s="9">
        <f>Лист1!AS15+Лист1!AT15+Лист1!AU15</f>
        <v>0</v>
      </c>
      <c r="M22" s="10">
        <f>Лист1!BB15</f>
        <v>768.822</v>
      </c>
      <c r="N22" s="37">
        <f>Лист1!BE15</f>
        <v>2452.5679999999998</v>
      </c>
      <c r="O22" s="37">
        <f>Лист1!BF15</f>
        <v>630.69</v>
      </c>
      <c r="P22" s="1"/>
      <c r="Q22" s="1"/>
    </row>
    <row r="23" spans="1:17" ht="13.5" thickBot="1">
      <c r="A23" s="6" t="str">
        <f>Лист1!A16</f>
        <v>март</v>
      </c>
      <c r="B23" s="7">
        <f>Лист1!B16</f>
        <v>264.2</v>
      </c>
      <c r="C23" s="33">
        <f>Лист1!C16</f>
        <v>2813.73</v>
      </c>
      <c r="D23" s="34">
        <f>Лист1!D16</f>
        <v>0</v>
      </c>
      <c r="E23" s="8">
        <f>Лист1!S16</f>
        <v>2590.7</v>
      </c>
      <c r="F23" s="10">
        <f>Лист1!T16</f>
        <v>0</v>
      </c>
      <c r="G23" s="35">
        <f>Лист1!AB16</f>
        <v>1981.5</v>
      </c>
      <c r="H23" s="35">
        <f>Лист1!AC16</f>
        <v>1981.5</v>
      </c>
      <c r="I23" s="36">
        <f>Лист1!AH16+Лист1!AG16</f>
        <v>229.854</v>
      </c>
      <c r="J23" s="8">
        <f>Лист1!AI16+Лист1!AJ16</f>
        <v>538.968</v>
      </c>
      <c r="K23" s="8">
        <f>Лист1!AK16+Лист1!AL16+Лист1!AM16+Лист1!AN16+Лист1!AO16+Лист1!AP16+Лист1!AQ16+Лист1!AR16</f>
        <v>0</v>
      </c>
      <c r="L23" s="9">
        <f>Лист1!AS16+Лист1!AT16+Лист1!AU16</f>
        <v>0</v>
      </c>
      <c r="M23" s="10">
        <f>Лист1!BB16</f>
        <v>768.822</v>
      </c>
      <c r="N23" s="37">
        <f>Лист1!BE16</f>
        <v>1212.6779999999999</v>
      </c>
      <c r="O23" s="37">
        <f>Лист1!BF16</f>
        <v>-609.1999999999998</v>
      </c>
      <c r="P23" s="1"/>
      <c r="Q23" s="1"/>
    </row>
    <row r="24" spans="1:17" s="16" customFormat="1" ht="13.5" thickBot="1">
      <c r="A24" s="39" t="s">
        <v>3</v>
      </c>
      <c r="B24" s="40"/>
      <c r="C24" s="41">
        <f aca="true" t="shared" si="1" ref="C24:O24">SUM(C21:C23)</f>
        <v>8441.19</v>
      </c>
      <c r="D24" s="42">
        <f t="shared" si="1"/>
        <v>0</v>
      </c>
      <c r="E24" s="41">
        <f t="shared" si="1"/>
        <v>7772.099999999999</v>
      </c>
      <c r="F24" s="43">
        <f t="shared" si="1"/>
        <v>0</v>
      </c>
      <c r="G24" s="44">
        <f t="shared" si="1"/>
        <v>6596</v>
      </c>
      <c r="H24" s="41">
        <f t="shared" si="1"/>
        <v>6596</v>
      </c>
      <c r="I24" s="42">
        <f t="shared" si="1"/>
        <v>689.562</v>
      </c>
      <c r="J24" s="41">
        <f t="shared" si="1"/>
        <v>1616.904</v>
      </c>
      <c r="K24" s="41">
        <f t="shared" si="1"/>
        <v>0</v>
      </c>
      <c r="L24" s="41">
        <f t="shared" si="1"/>
        <v>0</v>
      </c>
      <c r="M24" s="43">
        <f t="shared" si="1"/>
        <v>2306.466</v>
      </c>
      <c r="N24" s="45">
        <f t="shared" si="1"/>
        <v>4289.534</v>
      </c>
      <c r="O24" s="45">
        <f t="shared" si="1"/>
        <v>-1176.0999999999995</v>
      </c>
      <c r="P24" s="46"/>
      <c r="Q24" s="46"/>
    </row>
    <row r="25" spans="1:17" ht="13.5" thickBot="1">
      <c r="A25" s="233" t="s">
        <v>48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53"/>
      <c r="P25" s="1"/>
      <c r="Q25" s="1"/>
    </row>
    <row r="26" spans="1:17" s="16" customFormat="1" ht="13.5" thickBot="1">
      <c r="A26" s="54" t="s">
        <v>35</v>
      </c>
      <c r="B26" s="55"/>
      <c r="C26" s="56">
        <f>C19+C24</f>
        <v>15297.18</v>
      </c>
      <c r="D26" s="56">
        <f aca="true" t="shared" si="2" ref="D26:O26">D19+D24</f>
        <v>412.4299999999997</v>
      </c>
      <c r="E26" s="56">
        <f t="shared" si="2"/>
        <v>16561.079999999998</v>
      </c>
      <c r="F26" s="56">
        <f t="shared" si="2"/>
        <v>0</v>
      </c>
      <c r="G26" s="56">
        <f t="shared" si="2"/>
        <v>7639.03</v>
      </c>
      <c r="H26" s="56">
        <f t="shared" si="2"/>
        <v>8051.459999999999</v>
      </c>
      <c r="I26" s="56">
        <f t="shared" si="2"/>
        <v>1270.8020000000001</v>
      </c>
      <c r="J26" s="56">
        <f t="shared" si="2"/>
        <v>2145.304</v>
      </c>
      <c r="K26" s="56">
        <f t="shared" si="2"/>
        <v>0</v>
      </c>
      <c r="L26" s="56">
        <f t="shared" si="2"/>
        <v>0</v>
      </c>
      <c r="M26" s="56">
        <f t="shared" si="2"/>
        <v>3416.1059999999998</v>
      </c>
      <c r="N26" s="56">
        <f t="shared" si="2"/>
        <v>4635.353999999999</v>
      </c>
      <c r="O26" s="56">
        <f t="shared" si="2"/>
        <v>-8922.05</v>
      </c>
      <c r="P26" s="57"/>
      <c r="Q26" s="46"/>
    </row>
    <row r="27" spans="1:17" ht="12.75">
      <c r="A27" s="58"/>
      <c r="P27" s="1"/>
      <c r="Q27" s="1"/>
    </row>
    <row r="28" spans="1:17" ht="12.75">
      <c r="A28" s="16" t="s">
        <v>67</v>
      </c>
      <c r="B28" s="99"/>
      <c r="C28" s="99"/>
      <c r="D28" s="99" t="s">
        <v>78</v>
      </c>
      <c r="E28" s="99"/>
      <c r="F28" s="99"/>
      <c r="G28" s="99"/>
      <c r="H28" s="99"/>
      <c r="I28" s="99"/>
      <c r="J28" s="99"/>
      <c r="K28" s="99"/>
      <c r="P28" s="1"/>
      <c r="Q28" s="1"/>
    </row>
    <row r="29" spans="1:17" ht="12.75">
      <c r="A29" s="100" t="s">
        <v>68</v>
      </c>
      <c r="B29" s="100" t="s">
        <v>69</v>
      </c>
      <c r="C29" s="224" t="s">
        <v>70</v>
      </c>
      <c r="D29" s="224"/>
      <c r="E29" s="99"/>
      <c r="F29" s="99"/>
      <c r="G29" s="99"/>
      <c r="H29" s="99"/>
      <c r="I29" s="99"/>
      <c r="J29" s="99"/>
      <c r="K29" s="99"/>
      <c r="P29" s="1"/>
      <c r="Q29" s="1"/>
    </row>
    <row r="30" spans="1:11" ht="12.75">
      <c r="A30" s="101">
        <v>10711.1</v>
      </c>
      <c r="B30" s="102">
        <v>0</v>
      </c>
      <c r="C30" s="225">
        <f>A30-B30</f>
        <v>10711.1</v>
      </c>
      <c r="D30" s="226"/>
      <c r="E30" s="99"/>
      <c r="F30" s="99"/>
      <c r="G30" s="99"/>
      <c r="H30" s="99"/>
      <c r="I30" s="99"/>
      <c r="J30" s="99"/>
      <c r="K30" s="99"/>
    </row>
    <row r="31" spans="1:11" ht="12.75">
      <c r="A31" s="58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ht="12.75">
      <c r="A32" s="58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ht="12.75">
      <c r="A33" s="99" t="s">
        <v>49</v>
      </c>
      <c r="B33" s="99"/>
      <c r="C33" s="99"/>
      <c r="D33" s="99"/>
      <c r="E33" s="99"/>
      <c r="F33" s="99"/>
      <c r="G33" s="99" t="s">
        <v>50</v>
      </c>
      <c r="H33" s="99"/>
      <c r="I33" s="99"/>
      <c r="J33" s="99"/>
      <c r="K33" s="99"/>
    </row>
    <row r="34" spans="1:11" ht="12.75">
      <c r="A34" s="103"/>
      <c r="B34" s="99"/>
      <c r="C34" s="99"/>
      <c r="D34" s="99"/>
      <c r="E34" s="99"/>
      <c r="F34" s="99"/>
      <c r="G34" s="99"/>
      <c r="H34" s="99"/>
      <c r="I34" s="99"/>
      <c r="J34" s="99"/>
      <c r="K34" s="99"/>
    </row>
  </sheetData>
  <sheetProtection/>
  <mergeCells count="20">
    <mergeCell ref="A6:N6"/>
    <mergeCell ref="A10:A13"/>
    <mergeCell ref="B10:B13"/>
    <mergeCell ref="C10:C13"/>
    <mergeCell ref="D10:D13"/>
    <mergeCell ref="E10:F11"/>
    <mergeCell ref="L12:L13"/>
    <mergeCell ref="G10:H11"/>
    <mergeCell ref="C29:D29"/>
    <mergeCell ref="C30:D30"/>
    <mergeCell ref="I10:M11"/>
    <mergeCell ref="N10:N13"/>
    <mergeCell ref="A25:N25"/>
    <mergeCell ref="M12:M13"/>
    <mergeCell ref="O10:O13"/>
    <mergeCell ref="E12:F12"/>
    <mergeCell ref="H12:H13"/>
    <mergeCell ref="I12:I13"/>
    <mergeCell ref="J12:J13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2011-04-13T10:45:52Z</cp:lastPrinted>
  <dcterms:created xsi:type="dcterms:W3CDTF">2010-04-03T04:08:20Z</dcterms:created>
  <dcterms:modified xsi:type="dcterms:W3CDTF">2011-04-18T07:25:13Z</dcterms:modified>
  <cp:category/>
  <cp:version/>
  <cp:contentType/>
  <cp:contentStatus/>
</cp:coreProperties>
</file>