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<sst xmlns="http://schemas.openxmlformats.org/spreadsheetml/2006/main" count="178" uniqueCount="95">
  <si>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</si>
  <si>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</si>
  <si>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</si>
  <si>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</si>
  <si>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</si>
  <si>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</si>
  <si>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</si>
  <si>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</si>
  <si>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</si>
  <si>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</si>
  <si>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</si>
  <si>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</si>
  <si>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</si>
  <si>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</si>
  <si>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</si>
  <si>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</si>
  <si>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</si>
  <si>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</si>
  <si>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</si>
  <si>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</si>
  <si>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</si>
  <si>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</si>
  <si>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</si>
  <si>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</si>
  <si>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</si>
  <si>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</si>
  <si>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</si>
  <si>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</si>
  <si>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</si>
  <si>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</si>
  <si>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</si>
  <si>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</si>
  <si>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</si>
  <si>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</si>
  <si>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</si>
  <si>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</si>
  <si>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</si>
  <si>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</si>
  <si>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</si>
  <si>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</si>
  <si>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</si>
  <si>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</si>
  <si>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</si>
  <si>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</si>
  <si>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</si>
  <si>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</si>
  <si>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</si>
  <si>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</si>
  <si>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</si>
  <si>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</si>
  <si>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</si>
  <si>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</si>
  <si>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</si>
  <si>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</si>
  <si>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</si>
  <si>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</si>
  <si>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</si>
  <si>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</si>
  <si>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</si>
  <si>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</si>
  <si>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</si>
  <si>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</si>
  <si>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</si>
  <si>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</si>
  <si>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</si>
  <si>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</si>
  <si>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</si>
  <si>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Директор ООО "Таштагольская управляющая компания"</t>
  </si>
  <si>
    <t>_______________________________/ С.С. Малыгин</t>
  </si>
  <si>
    <t>тел. 3-48-80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</si>
  <si>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</si>
  <si>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</si>
  <si>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</si>
  <si>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</si>
  <si>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</si>
  <si>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Лицевой счет по адресу г. Таштагол, ул. Ленина, д. 84</t>
  </si>
  <si>
    <t>Выписка по лицевому счету по адресу г. Таштагол ул. Ленина, д. 84</t>
  </si>
  <si>
    <t>Расходы по нежил. помещениям</t>
  </si>
  <si>
    <t>Адрес</t>
  </si>
  <si>
    <t>Собрано всего по жил.услугам</t>
  </si>
  <si>
    <t>для счетов-фактур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</si>
  <si>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</si>
  <si>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</si>
  <si>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</si>
  <si>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</si>
  <si>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</si>
  <si>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</si>
  <si>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</si>
  <si>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</si>
  <si>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</si>
  <si>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 xml:space="preserve">Собрано квартплаты </t>
  </si>
  <si>
    <t>содержанию и тек.рем.</t>
  </si>
  <si>
    <t>*по состоянию на 01.01.2011 г.</t>
  </si>
  <si>
    <t>Исп. О.А. Хильчук</t>
  </si>
  <si>
    <t>на 01.01.2011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</si>
</sst>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0" borderId="0">
      <alignment horizontal="left" vertical="center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" fontId="1" fillId="24" borderId="17" xfId="0" applyNumberFormat="1" applyFont="1" applyFill="1" applyBorder="1" applyAlignment="1">
      <alignment horizontal="right"/>
    </xf>
    <xf numFmtId="0" fontId="1" fillId="22" borderId="11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right"/>
    </xf>
    <xf numFmtId="4" fontId="1" fillId="24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wrapText="1"/>
    </xf>
    <xf numFmtId="4" fontId="1" fillId="22" borderId="11" xfId="0" applyNumberFormat="1" applyFont="1" applyFill="1" applyBorder="1" applyAlignment="1">
      <alignment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4" fontId="0" fillId="0" borderId="30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1" fillId="24" borderId="11" xfId="0" applyNumberFormat="1" applyFont="1" applyFill="1" applyBorder="1" applyAlignment="1">
      <alignment horizontal="right" wrapText="1"/>
    </xf>
    <xf numFmtId="4" fontId="0" fillId="24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2" fontId="1" fillId="24" borderId="35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24" borderId="36" xfId="0" applyNumberFormat="1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8" xfId="33" applyNumberFormat="1" applyFont="1" applyFill="1" applyBorder="1" applyAlignment="1">
      <alignment horizontal="center" vertical="center" wrapText="1"/>
      <protection/>
    </xf>
    <xf numFmtId="4" fontId="2" fillId="22" borderId="13" xfId="33" applyNumberFormat="1" applyFont="1" applyFill="1" applyBorder="1" applyAlignment="1">
      <alignment horizontal="center" vertical="center" wrapText="1"/>
      <protection/>
    </xf>
    <xf numFmtId="4" fontId="0" fillId="7" borderId="15" xfId="0" applyNumberFormat="1" applyFont="1" applyFill="1" applyBorder="1" applyAlignment="1">
      <alignment horizontal="center"/>
    </xf>
    <xf numFmtId="4" fontId="0" fillId="22" borderId="30" xfId="0" applyNumberFormat="1" applyFont="1" applyFill="1" applyBorder="1" applyAlignment="1">
      <alignment/>
    </xf>
    <xf numFmtId="4" fontId="0" fillId="22" borderId="33" xfId="0" applyNumberFormat="1" applyFont="1" applyFill="1" applyBorder="1" applyAlignment="1">
      <alignment/>
    </xf>
    <xf numFmtId="4" fontId="0" fillId="22" borderId="11" xfId="0" applyNumberFormat="1" applyFont="1" applyFill="1" applyBorder="1" applyAlignment="1">
      <alignment/>
    </xf>
    <xf numFmtId="4" fontId="0" fillId="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25" borderId="20" xfId="0" applyNumberFormat="1" applyFont="1" applyFill="1" applyBorder="1" applyAlignment="1">
      <alignment/>
    </xf>
    <xf numFmtId="4" fontId="0" fillId="3" borderId="20" xfId="0" applyNumberFormat="1" applyFont="1" applyFill="1" applyBorder="1" applyAlignment="1">
      <alignment horizontal="right"/>
    </xf>
    <xf numFmtId="4" fontId="0" fillId="3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22" borderId="20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 wrapText="1"/>
    </xf>
    <xf numFmtId="4" fontId="1" fillId="4" borderId="23" xfId="0" applyNumberFormat="1" applyFont="1" applyFill="1" applyBorder="1" applyAlignment="1">
      <alignment wrapText="1"/>
    </xf>
    <xf numFmtId="4" fontId="1" fillId="24" borderId="23" xfId="0" applyNumberFormat="1" applyFont="1" applyFill="1" applyBorder="1" applyAlignment="1">
      <alignment wrapText="1"/>
    </xf>
    <xf numFmtId="4" fontId="1" fillId="0" borderId="25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0" fontId="0" fillId="24" borderId="13" xfId="0" applyFont="1" applyFill="1" applyBorder="1" applyAlignment="1">
      <alignment horizontal="right" vertical="center" wrapText="1"/>
    </xf>
    <xf numFmtId="0" fontId="0" fillId="24" borderId="38" xfId="0" applyFont="1" applyFill="1" applyBorder="1" applyAlignment="1">
      <alignment horizontal="right" vertical="center" wrapText="1"/>
    </xf>
    <xf numFmtId="0" fontId="0" fillId="24" borderId="13" xfId="0" applyFont="1" applyFill="1" applyBorder="1" applyAlignment="1">
      <alignment vertical="center" wrapText="1"/>
    </xf>
    <xf numFmtId="4" fontId="0" fillId="24" borderId="13" xfId="0" applyNumberFormat="1" applyFont="1" applyFill="1" applyBorder="1" applyAlignment="1">
      <alignment/>
    </xf>
    <xf numFmtId="0" fontId="0" fillId="22" borderId="13" xfId="0" applyFont="1" applyFill="1" applyBorder="1" applyAlignment="1">
      <alignment vertical="center" wrapText="1"/>
    </xf>
    <xf numFmtId="4" fontId="0" fillId="22" borderId="13" xfId="0" applyNumberFormat="1" applyFont="1" applyFill="1" applyBorder="1" applyAlignment="1">
      <alignment/>
    </xf>
    <xf numFmtId="4" fontId="1" fillId="22" borderId="13" xfId="0" applyNumberFormat="1" applyFont="1" applyFill="1" applyBorder="1" applyAlignment="1">
      <alignment/>
    </xf>
    <xf numFmtId="4" fontId="0" fillId="22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4" borderId="13" xfId="0" applyNumberFormat="1" applyFont="1" applyFill="1" applyBorder="1" applyAlignment="1">
      <alignment horizontal="right"/>
    </xf>
    <xf numFmtId="4" fontId="0" fillId="4" borderId="13" xfId="0" applyNumberFormat="1" applyFont="1" applyFill="1" applyBorder="1" applyAlignment="1">
      <alignment horizontal="right" vertical="center" wrapText="1"/>
    </xf>
    <xf numFmtId="4" fontId="0" fillId="24" borderId="13" xfId="0" applyNumberFormat="1" applyFont="1" applyFill="1" applyBorder="1" applyAlignment="1">
      <alignment horizontal="right" vertical="center" wrapText="1"/>
    </xf>
    <xf numFmtId="4" fontId="0" fillId="24" borderId="13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25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" borderId="39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3" borderId="10" xfId="0" applyNumberFormat="1" applyFont="1" applyFill="1" applyBorder="1" applyAlignment="1">
      <alignment horizontal="right"/>
    </xf>
    <xf numFmtId="4" fontId="2" fillId="22" borderId="11" xfId="33" applyNumberFormat="1" applyFont="1" applyFill="1" applyBorder="1" applyAlignment="1">
      <alignment horizontal="center" vertical="center" wrapText="1"/>
      <protection/>
    </xf>
    <xf numFmtId="4" fontId="0" fillId="0" borderId="40" xfId="0" applyNumberFormat="1" applyFont="1" applyFill="1" applyBorder="1" applyAlignment="1">
      <alignment horizontal="right"/>
    </xf>
    <xf numFmtId="4" fontId="0" fillId="3" borderId="17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4" fontId="2" fillId="0" borderId="33" xfId="33" applyNumberFormat="1" applyFont="1" applyFill="1" applyBorder="1" applyAlignment="1">
      <alignment horizontal="center" vertical="center" wrapText="1"/>
      <protection/>
    </xf>
    <xf numFmtId="4" fontId="27" fillId="0" borderId="20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1" fillId="4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22" borderId="11" xfId="0" applyNumberFormat="1" applyFont="1" applyFill="1" applyBorder="1" applyAlignment="1">
      <alignment horizontal="right" wrapText="1"/>
    </xf>
    <xf numFmtId="4" fontId="1" fillId="4" borderId="11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0" fontId="1" fillId="0" borderId="37" xfId="0" applyFont="1" applyFill="1" applyBorder="1" applyAlignment="1">
      <alignment/>
    </xf>
    <xf numFmtId="4" fontId="1" fillId="4" borderId="17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24" borderId="26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wrapText="1"/>
    </xf>
    <xf numFmtId="2" fontId="1" fillId="0" borderId="4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right"/>
    </xf>
    <xf numFmtId="4" fontId="1" fillId="24" borderId="33" xfId="0" applyNumberFormat="1" applyFont="1" applyFill="1" applyBorder="1" applyAlignment="1">
      <alignment horizontal="right"/>
    </xf>
    <xf numFmtId="4" fontId="1" fillId="24" borderId="15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1" fillId="24" borderId="38" xfId="0" applyNumberFormat="1" applyFont="1" applyFill="1" applyBorder="1" applyAlignment="1">
      <alignment horizontal="right"/>
    </xf>
    <xf numFmtId="4" fontId="1" fillId="24" borderId="14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 wrapText="1"/>
    </xf>
    <xf numFmtId="4" fontId="1" fillId="24" borderId="24" xfId="0" applyNumberFormat="1" applyFont="1" applyFill="1" applyBorder="1" applyAlignment="1">
      <alignment horizontal="right" wrapText="1"/>
    </xf>
    <xf numFmtId="4" fontId="1" fillId="24" borderId="25" xfId="0" applyNumberFormat="1" applyFont="1" applyFill="1" applyBorder="1" applyAlignment="1">
      <alignment horizontal="right" wrapText="1"/>
    </xf>
    <xf numFmtId="0" fontId="1" fillId="24" borderId="34" xfId="0" applyFont="1" applyFill="1" applyBorder="1" applyAlignment="1">
      <alignment/>
    </xf>
    <xf numFmtId="4" fontId="1" fillId="24" borderId="25" xfId="0" applyNumberFormat="1" applyFont="1" applyFill="1" applyBorder="1" applyAlignment="1">
      <alignment horizontal="right"/>
    </xf>
    <xf numFmtId="4" fontId="1" fillId="24" borderId="24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2" fillId="0" borderId="11" xfId="53" applyNumberFormat="1" applyFont="1" applyFill="1" applyBorder="1" applyAlignment="1">
      <alignment horizontal="right"/>
      <protection/>
    </xf>
    <xf numFmtId="4" fontId="0" fillId="7" borderId="33" xfId="0" applyNumberFormat="1" applyFont="1" applyFill="1" applyBorder="1" applyAlignment="1">
      <alignment horizontal="center"/>
    </xf>
    <xf numFmtId="4" fontId="0" fillId="7" borderId="11" xfId="0" applyNumberFormat="1" applyFont="1" applyFill="1" applyBorder="1" applyAlignment="1">
      <alignment horizontal="center"/>
    </xf>
    <xf numFmtId="4" fontId="0" fillId="7" borderId="20" xfId="0" applyNumberFormat="1" applyFont="1" applyFill="1" applyBorder="1" applyAlignment="1">
      <alignment horizontal="center"/>
    </xf>
    <xf numFmtId="4" fontId="2" fillId="17" borderId="11" xfId="33" applyNumberFormat="1" applyFont="1" applyFill="1" applyBorder="1" applyAlignment="1">
      <alignment horizontal="center" vertical="center" wrapText="1"/>
      <protection/>
    </xf>
    <xf numFmtId="0" fontId="1" fillId="0" borderId="37" xfId="0" applyFont="1" applyFill="1" applyBorder="1" applyAlignment="1">
      <alignment horizontal="center" textRotation="90"/>
    </xf>
    <xf numFmtId="0" fontId="1" fillId="0" borderId="46" xfId="0" applyFont="1" applyFill="1" applyBorder="1" applyAlignment="1">
      <alignment horizontal="center" vertical="center" wrapText="1"/>
    </xf>
    <xf numFmtId="2" fontId="1" fillId="24" borderId="42" xfId="0" applyNumberFormat="1" applyFont="1" applyFill="1" applyBorder="1" applyAlignment="1">
      <alignment horizontal="center" vertical="center" wrapText="1"/>
    </xf>
    <xf numFmtId="2" fontId="1" fillId="24" borderId="4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22" borderId="50" xfId="0" applyNumberFormat="1" applyFont="1" applyFill="1" applyBorder="1" applyAlignment="1">
      <alignment horizontal="center" vertical="center" wrapText="1"/>
    </xf>
    <xf numFmtId="4" fontId="1" fillId="22" borderId="35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4" borderId="26" xfId="0" applyNumberFormat="1" applyFont="1" applyFill="1" applyBorder="1" applyAlignment="1">
      <alignment horizontal="center" vertical="center" wrapText="1"/>
    </xf>
    <xf numFmtId="2" fontId="1" fillId="4" borderId="51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textRotation="90"/>
    </xf>
    <xf numFmtId="0" fontId="1" fillId="0" borderId="35" xfId="0" applyFont="1" applyFill="1" applyBorder="1" applyAlignment="1">
      <alignment horizontal="center" textRotation="90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7" borderId="50" xfId="0" applyFont="1" applyFill="1" applyBorder="1" applyAlignment="1">
      <alignment horizontal="center" textRotation="90"/>
    </xf>
    <xf numFmtId="0" fontId="1" fillId="7" borderId="35" xfId="0" applyFont="1" applyFill="1" applyBorder="1" applyAlignment="1">
      <alignment horizontal="center" textRotation="90"/>
    </xf>
    <xf numFmtId="0" fontId="1" fillId="0" borderId="46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24" fillId="22" borderId="50" xfId="0" applyNumberFormat="1" applyFont="1" applyFill="1" applyBorder="1" applyAlignment="1">
      <alignment horizontal="center" vertical="center" wrapText="1"/>
    </xf>
    <xf numFmtId="2" fontId="24" fillId="22" borderId="35" xfId="0" applyNumberFormat="1" applyFont="1" applyFill="1" applyBorder="1" applyAlignment="1">
      <alignment horizontal="center" vertical="center" wrapText="1"/>
    </xf>
    <xf numFmtId="2" fontId="24" fillId="22" borderId="36" xfId="0" applyNumberFormat="1" applyFont="1" applyFill="1" applyBorder="1" applyAlignment="1">
      <alignment horizontal="center" vertical="center" wrapText="1"/>
    </xf>
    <xf numFmtId="2" fontId="1" fillId="22" borderId="46" xfId="0" applyNumberFormat="1" applyFont="1" applyFill="1" applyBorder="1" applyAlignment="1">
      <alignment horizontal="center" vertical="center" wrapText="1"/>
    </xf>
    <xf numFmtId="2" fontId="1" fillId="22" borderId="37" xfId="0" applyNumberFormat="1" applyFont="1" applyFill="1" applyBorder="1" applyAlignment="1">
      <alignment horizontal="center" vertical="center" wrapText="1"/>
    </xf>
    <xf numFmtId="2" fontId="1" fillId="22" borderId="54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22" borderId="50" xfId="0" applyNumberFormat="1" applyFont="1" applyFill="1" applyBorder="1" applyAlignment="1">
      <alignment horizontal="center" vertical="center" wrapText="1"/>
    </xf>
    <xf numFmtId="2" fontId="1" fillId="22" borderId="35" xfId="0" applyNumberFormat="1" applyFont="1" applyFill="1" applyBorder="1" applyAlignment="1">
      <alignment horizontal="center" vertical="center" wrapText="1"/>
    </xf>
    <xf numFmtId="2" fontId="1" fillId="22" borderId="36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1" fillId="3" borderId="50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2" fontId="1" fillId="25" borderId="50" xfId="0" applyNumberFormat="1" applyFont="1" applyFill="1" applyBorder="1" applyAlignment="1">
      <alignment horizontal="center" vertical="center" wrapText="1"/>
    </xf>
    <xf numFmtId="2" fontId="1" fillId="25" borderId="35" xfId="0" applyNumberFormat="1" applyFont="1" applyFill="1" applyBorder="1" applyAlignment="1">
      <alignment horizontal="center" vertical="center" wrapText="1"/>
    </xf>
    <xf numFmtId="2" fontId="1" fillId="25" borderId="36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25" fillId="0" borderId="50" xfId="0" applyNumberFormat="1" applyFont="1" applyFill="1" applyBorder="1" applyAlignment="1">
      <alignment horizontal="center" vertical="center" wrapText="1"/>
    </xf>
    <xf numFmtId="2" fontId="25" fillId="0" borderId="36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4" borderId="50" xfId="0" applyNumberFormat="1" applyFont="1" applyFill="1" applyBorder="1" applyAlignment="1">
      <alignment horizontal="center" vertical="center" wrapText="1"/>
    </xf>
    <xf numFmtId="2" fontId="1" fillId="4" borderId="36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2" fontId="1" fillId="24" borderId="15" xfId="0" applyNumberFormat="1" applyFont="1" applyFill="1" applyBorder="1" applyAlignment="1">
      <alignment horizontal="center" vertical="center" textRotation="90" wrapText="1"/>
    </xf>
    <xf numFmtId="2" fontId="1" fillId="24" borderId="27" xfId="0" applyNumberFormat="1" applyFont="1" applyFill="1" applyBorder="1" applyAlignment="1">
      <alignment horizontal="center" vertical="center" textRotation="90" wrapText="1"/>
    </xf>
    <xf numFmtId="0" fontId="1" fillId="0" borderId="65" xfId="0" applyFont="1" applyFill="1" applyBorder="1" applyAlignment="1">
      <alignment horizontal="center" vertical="center" wrapText="1"/>
    </xf>
    <xf numFmtId="2" fontId="1" fillId="24" borderId="20" xfId="0" applyNumberFormat="1" applyFont="1" applyFill="1" applyBorder="1" applyAlignment="1">
      <alignment horizontal="center" vertical="center" textRotation="90" wrapText="1"/>
    </xf>
    <xf numFmtId="2" fontId="1" fillId="24" borderId="66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43" fontId="0" fillId="0" borderId="20" xfId="60" applyFont="1" applyFill="1" applyBorder="1" applyAlignment="1">
      <alignment horizontal="center"/>
    </xf>
    <xf numFmtId="43" fontId="0" fillId="0" borderId="33" xfId="60" applyFont="1" applyFill="1" applyBorder="1" applyAlignment="1">
      <alignment horizontal="center"/>
    </xf>
    <xf numFmtId="4" fontId="1" fillId="0" borderId="67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12">
          <cell r="I12">
            <v>3257.2997</v>
          </cell>
        </row>
      </sheetData>
      <sheetData sheetId="1">
        <row r="12">
          <cell r="I12">
            <v>3257.2997</v>
          </cell>
        </row>
      </sheetData>
      <sheetData sheetId="6">
        <row r="13">
          <cell r="I13">
            <v>3257.2997</v>
          </cell>
        </row>
        <row r="64">
          <cell r="I64">
            <v>6524.4766199999995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12">
          <cell r="O12">
            <v>1384.8371103000002</v>
          </cell>
        </row>
      </sheetData>
      <sheetData sheetId="1">
        <row r="12">
          <cell r="O12">
            <v>1386.9188368000002</v>
          </cell>
        </row>
      </sheetData>
      <sheetData sheetId="2">
        <row r="12">
          <cell r="O12">
            <v>1357.82889565</v>
          </cell>
        </row>
      </sheetData>
      <sheetData sheetId="3">
        <row r="12">
          <cell r="I12">
            <v>3257.2997</v>
          </cell>
          <cell r="O12">
            <v>1396.5682514</v>
          </cell>
        </row>
      </sheetData>
      <sheetData sheetId="4">
        <row r="12">
          <cell r="O12">
            <v>1558.98604799</v>
          </cell>
        </row>
      </sheetData>
      <sheetData sheetId="5">
        <row r="12">
          <cell r="I12">
            <v>3257.2997</v>
          </cell>
          <cell r="O12">
            <v>1475.8872791000001</v>
          </cell>
        </row>
      </sheetData>
      <sheetData sheetId="6">
        <row r="13">
          <cell r="O13">
            <v>1539.2627309000002</v>
          </cell>
        </row>
        <row r="64">
          <cell r="O64">
            <v>3083.1977601400004</v>
          </cell>
        </row>
      </sheetData>
      <sheetData sheetId="7">
        <row r="13">
          <cell r="O13">
            <v>1538.56334077</v>
          </cell>
        </row>
        <row r="65">
          <cell r="O65">
            <v>3081.796856942</v>
          </cell>
        </row>
      </sheetData>
      <sheetData sheetId="8">
        <row r="13">
          <cell r="O13">
            <v>1538.330642233</v>
          </cell>
        </row>
        <row r="65">
          <cell r="O65">
            <v>3081.3307535318004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13">
          <cell r="I13">
            <v>3257.2997</v>
          </cell>
        </row>
        <row r="69">
          <cell r="I69">
            <v>6524.4766199999995</v>
          </cell>
        </row>
      </sheetData>
      <sheetData sheetId="1">
        <row r="13">
          <cell r="I13">
            <v>3257.2997</v>
          </cell>
          <cell r="O13">
            <v>1552.5333</v>
          </cell>
        </row>
        <row r="69">
          <cell r="I69">
            <v>6524.4766199999995</v>
          </cell>
          <cell r="O69">
            <v>3109.7791799999995</v>
          </cell>
        </row>
      </sheetData>
      <sheetData sheetId="2">
        <row r="13">
          <cell r="I13">
            <v>3257.2997</v>
          </cell>
          <cell r="O13">
            <v>1552.5333</v>
          </cell>
        </row>
        <row r="70">
          <cell r="I70">
            <v>6524.4766199999995</v>
          </cell>
          <cell r="O70">
            <v>3109.7791799999995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13">
          <cell r="O13">
            <v>1550.35789</v>
          </cell>
        </row>
        <row r="69">
          <cell r="O69">
            <v>3105.422294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13">
          <cell r="I13">
            <v>3257.2997</v>
          </cell>
        </row>
        <row r="67">
          <cell r="I67">
            <v>6524.4766199999995</v>
          </cell>
        </row>
      </sheetData>
      <sheetData sheetId="2">
        <row r="13">
          <cell r="M13">
            <v>1550.6950000000002</v>
          </cell>
        </row>
        <row r="68">
          <cell r="M68">
            <v>3106.0969999999998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13">
          <cell r="I13">
            <v>3257.2997</v>
          </cell>
          <cell r="M13">
            <v>1550.6950000000002</v>
          </cell>
        </row>
        <row r="68">
          <cell r="I68">
            <v>6524.4766199999995</v>
          </cell>
          <cell r="M68">
            <v>3106.0969999999998</v>
          </cell>
        </row>
      </sheetData>
      <sheetData sheetId="5">
        <row r="13">
          <cell r="M13">
            <v>1550.6950000000002</v>
          </cell>
        </row>
        <row r="66">
          <cell r="M66">
            <v>3106.0969999999998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12">
          <cell r="I12">
            <v>3257.2997</v>
          </cell>
        </row>
        <row r="65">
          <cell r="I65">
            <v>6524.4766199999995</v>
          </cell>
        </row>
      </sheetData>
      <sheetData sheetId="9">
        <row r="12">
          <cell r="I12">
            <v>3257.2997</v>
          </cell>
          <cell r="M12">
            <v>1550.6950000000002</v>
          </cell>
        </row>
        <row r="65">
          <cell r="I65">
            <v>6524.4766199999995</v>
          </cell>
          <cell r="M65">
            <v>3106.0969999999998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P24">
      <selection activeCell="BF14" sqref="BF14"/>
    </sheetView>
  </sheetViews>
  <sheetFormatPr defaultColWidth="9.1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3" width="10.125" style="2" bestFit="1" customWidth="1"/>
    <col min="44" max="44" width="9.25390625" style="2" bestFit="1" customWidth="1"/>
    <col min="45" max="45" width="10.625" style="2" customWidth="1"/>
    <col min="46" max="46" width="9.25390625" style="2" bestFit="1" customWidth="1"/>
    <col min="47" max="48" width="10.125" style="2" bestFit="1" customWidth="1"/>
    <col min="49" max="50" width="10.375" style="2" customWidth="1"/>
    <col min="51" max="51" width="10.75390625" style="2" customWidth="1"/>
    <col min="52" max="52" width="14.00390625" style="2" customWidth="1"/>
    <col min="53" max="53" width="9.125" style="2" customWidth="1"/>
    <col min="54" max="54" width="10.125" style="2" customWidth="1"/>
    <col min="55" max="55" width="9.875" style="2" customWidth="1"/>
    <col min="56" max="56" width="10.25390625" style="2" customWidth="1"/>
    <col min="57" max="57" width="10.375" style="2" customWidth="1"/>
    <col min="58" max="58" width="11.00390625" style="2" customWidth="1"/>
    <col min="59" max="16384" width="9.125" style="2" customWidth="1"/>
  </cols>
  <sheetData>
    <row r="1" spans="1:18" ht="12.75">
      <c r="A1" s="191" t="s">
        <v>75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192" t="s">
        <v>78</v>
      </c>
      <c r="B3" s="194" t="s">
        <v>0</v>
      </c>
      <c r="C3" s="196" t="s">
        <v>1</v>
      </c>
      <c r="D3" s="198" t="s">
        <v>2</v>
      </c>
      <c r="E3" s="192" t="s">
        <v>11</v>
      </c>
      <c r="F3" s="236"/>
      <c r="G3" s="192" t="s">
        <v>12</v>
      </c>
      <c r="H3" s="188"/>
      <c r="I3" s="192" t="s">
        <v>13</v>
      </c>
      <c r="J3" s="188"/>
      <c r="K3" s="192" t="s">
        <v>14</v>
      </c>
      <c r="L3" s="188"/>
      <c r="M3" s="206" t="s">
        <v>15</v>
      </c>
      <c r="N3" s="188"/>
      <c r="O3" s="192" t="s">
        <v>16</v>
      </c>
      <c r="P3" s="188"/>
      <c r="Q3" s="192" t="s">
        <v>17</v>
      </c>
      <c r="R3" s="188"/>
      <c r="S3" s="192" t="s">
        <v>3</v>
      </c>
      <c r="T3" s="206"/>
      <c r="U3" s="225" t="s">
        <v>4</v>
      </c>
      <c r="V3" s="226"/>
      <c r="W3" s="226"/>
      <c r="X3" s="226"/>
      <c r="Y3" s="226"/>
      <c r="Z3" s="226"/>
      <c r="AA3" s="226"/>
      <c r="AB3" s="226"/>
      <c r="AC3" s="229" t="s">
        <v>79</v>
      </c>
      <c r="AD3" s="222" t="s">
        <v>6</v>
      </c>
      <c r="AE3" s="222" t="s">
        <v>7</v>
      </c>
      <c r="AF3" s="219" t="s">
        <v>74</v>
      </c>
      <c r="AG3" s="251" t="s">
        <v>8</v>
      </c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3"/>
      <c r="BC3" s="246" t="s">
        <v>80</v>
      </c>
      <c r="BD3" s="248"/>
      <c r="BE3" s="239" t="s">
        <v>9</v>
      </c>
      <c r="BF3" s="239" t="s">
        <v>10</v>
      </c>
    </row>
    <row r="4" spans="1:58" ht="36" customHeight="1" thickBot="1">
      <c r="A4" s="193"/>
      <c r="B4" s="195"/>
      <c r="C4" s="197"/>
      <c r="D4" s="199"/>
      <c r="E4" s="237"/>
      <c r="F4" s="238"/>
      <c r="G4" s="207"/>
      <c r="H4" s="214"/>
      <c r="I4" s="207"/>
      <c r="J4" s="214"/>
      <c r="K4" s="207"/>
      <c r="L4" s="214"/>
      <c r="M4" s="212"/>
      <c r="N4" s="213"/>
      <c r="O4" s="207"/>
      <c r="P4" s="214"/>
      <c r="Q4" s="207"/>
      <c r="R4" s="214"/>
      <c r="S4" s="207"/>
      <c r="T4" s="208"/>
      <c r="U4" s="227"/>
      <c r="V4" s="228"/>
      <c r="W4" s="228"/>
      <c r="X4" s="228"/>
      <c r="Y4" s="228"/>
      <c r="Z4" s="228"/>
      <c r="AA4" s="228"/>
      <c r="AB4" s="228"/>
      <c r="AC4" s="230"/>
      <c r="AD4" s="223"/>
      <c r="AE4" s="223"/>
      <c r="AF4" s="220"/>
      <c r="AG4" s="216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5"/>
      <c r="BC4" s="242" t="s">
        <v>77</v>
      </c>
      <c r="BD4" s="245" t="s">
        <v>81</v>
      </c>
      <c r="BE4" s="240"/>
      <c r="BF4" s="240"/>
    </row>
    <row r="5" spans="1:58" ht="29.25" customHeight="1" thickBot="1">
      <c r="A5" s="193"/>
      <c r="B5" s="195"/>
      <c r="C5" s="197"/>
      <c r="D5" s="199"/>
      <c r="E5" s="211" t="s">
        <v>18</v>
      </c>
      <c r="F5" s="204" t="s">
        <v>19</v>
      </c>
      <c r="G5" s="204" t="s">
        <v>18</v>
      </c>
      <c r="H5" s="204" t="s">
        <v>19</v>
      </c>
      <c r="I5" s="204" t="s">
        <v>18</v>
      </c>
      <c r="J5" s="204" t="s">
        <v>19</v>
      </c>
      <c r="K5" s="204" t="s">
        <v>18</v>
      </c>
      <c r="L5" s="204" t="s">
        <v>19</v>
      </c>
      <c r="M5" s="204" t="s">
        <v>18</v>
      </c>
      <c r="N5" s="204" t="s">
        <v>19</v>
      </c>
      <c r="O5" s="204" t="s">
        <v>18</v>
      </c>
      <c r="P5" s="204" t="s">
        <v>19</v>
      </c>
      <c r="Q5" s="204" t="s">
        <v>18</v>
      </c>
      <c r="R5" s="204" t="s">
        <v>19</v>
      </c>
      <c r="S5" s="204" t="s">
        <v>18</v>
      </c>
      <c r="T5" s="209" t="s">
        <v>19</v>
      </c>
      <c r="U5" s="232" t="s">
        <v>20</v>
      </c>
      <c r="V5" s="232" t="s">
        <v>21</v>
      </c>
      <c r="W5" s="232" t="s">
        <v>22</v>
      </c>
      <c r="X5" s="232" t="s">
        <v>23</v>
      </c>
      <c r="Y5" s="232" t="s">
        <v>24</v>
      </c>
      <c r="Z5" s="232" t="s">
        <v>25</v>
      </c>
      <c r="AA5" s="232" t="s">
        <v>26</v>
      </c>
      <c r="AB5" s="215" t="s">
        <v>27</v>
      </c>
      <c r="AC5" s="230"/>
      <c r="AD5" s="223"/>
      <c r="AE5" s="223"/>
      <c r="AF5" s="220"/>
      <c r="AG5" s="217" t="s">
        <v>28</v>
      </c>
      <c r="AH5" s="234" t="s">
        <v>29</v>
      </c>
      <c r="AI5" s="234" t="s">
        <v>30</v>
      </c>
      <c r="AJ5" s="200" t="s">
        <v>31</v>
      </c>
      <c r="AK5" s="234" t="s">
        <v>32</v>
      </c>
      <c r="AL5" s="200" t="s">
        <v>31</v>
      </c>
      <c r="AM5" s="200" t="s">
        <v>33</v>
      </c>
      <c r="AN5" s="200" t="s">
        <v>31</v>
      </c>
      <c r="AO5" s="200" t="s">
        <v>34</v>
      </c>
      <c r="AP5" s="200" t="s">
        <v>31</v>
      </c>
      <c r="AQ5" s="202" t="s">
        <v>82</v>
      </c>
      <c r="AR5" s="256" t="s">
        <v>31</v>
      </c>
      <c r="AS5" s="189" t="s">
        <v>83</v>
      </c>
      <c r="AT5" s="189" t="s">
        <v>84</v>
      </c>
      <c r="AU5" s="77" t="s">
        <v>31</v>
      </c>
      <c r="AV5" s="246" t="s">
        <v>85</v>
      </c>
      <c r="AW5" s="247"/>
      <c r="AX5" s="248"/>
      <c r="AY5" s="249" t="s">
        <v>17</v>
      </c>
      <c r="AZ5" s="245" t="s">
        <v>36</v>
      </c>
      <c r="BA5" s="245" t="s">
        <v>31</v>
      </c>
      <c r="BB5" s="245" t="s">
        <v>37</v>
      </c>
      <c r="BC5" s="243"/>
      <c r="BD5" s="200"/>
      <c r="BE5" s="240"/>
      <c r="BF5" s="240"/>
    </row>
    <row r="6" spans="1:58" ht="54" customHeight="1" thickBot="1">
      <c r="A6" s="193"/>
      <c r="B6" s="195"/>
      <c r="C6" s="197"/>
      <c r="D6" s="199"/>
      <c r="E6" s="187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10"/>
      <c r="U6" s="233"/>
      <c r="V6" s="233"/>
      <c r="W6" s="233"/>
      <c r="X6" s="233"/>
      <c r="Y6" s="233"/>
      <c r="Z6" s="233"/>
      <c r="AA6" s="233"/>
      <c r="AB6" s="216"/>
      <c r="AC6" s="231"/>
      <c r="AD6" s="224"/>
      <c r="AE6" s="224"/>
      <c r="AF6" s="221"/>
      <c r="AG6" s="218"/>
      <c r="AH6" s="235"/>
      <c r="AI6" s="235"/>
      <c r="AJ6" s="201"/>
      <c r="AK6" s="235"/>
      <c r="AL6" s="201"/>
      <c r="AM6" s="201"/>
      <c r="AN6" s="201"/>
      <c r="AO6" s="201"/>
      <c r="AP6" s="201"/>
      <c r="AQ6" s="203"/>
      <c r="AR6" s="257"/>
      <c r="AS6" s="190"/>
      <c r="AT6" s="190"/>
      <c r="AU6" s="79"/>
      <c r="AV6" s="78" t="s">
        <v>86</v>
      </c>
      <c r="AW6" s="78" t="s">
        <v>87</v>
      </c>
      <c r="AX6" s="78" t="s">
        <v>88</v>
      </c>
      <c r="AY6" s="250"/>
      <c r="AZ6" s="201"/>
      <c r="BA6" s="201"/>
      <c r="BB6" s="201"/>
      <c r="BC6" s="244"/>
      <c r="BD6" s="201"/>
      <c r="BE6" s="241"/>
      <c r="BF6" s="241"/>
    </row>
    <row r="7" spans="1:58" ht="13.5" thickBo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80">
        <v>43</v>
      </c>
      <c r="AR7" s="81">
        <v>44</v>
      </c>
      <c r="AS7" s="82">
        <v>45</v>
      </c>
      <c r="AT7" s="43">
        <v>46</v>
      </c>
      <c r="AU7" s="82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9">
        <v>56</v>
      </c>
      <c r="BE7" s="1"/>
      <c r="BF7" s="83"/>
    </row>
    <row r="8" spans="1:58" ht="12.75">
      <c r="A8" s="5" t="s">
        <v>38</v>
      </c>
      <c r="B8" s="6"/>
      <c r="C8" s="6"/>
      <c r="D8" s="6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6"/>
      <c r="AG8" s="6"/>
      <c r="AH8" s="6"/>
      <c r="AI8" s="6"/>
      <c r="AJ8" s="6"/>
      <c r="AK8" s="6"/>
      <c r="AL8" s="6"/>
      <c r="AM8" s="6"/>
      <c r="AN8" s="6"/>
      <c r="AO8" s="6"/>
      <c r="AP8" s="42"/>
      <c r="AQ8" s="84"/>
      <c r="AR8" s="84"/>
      <c r="AS8" s="42"/>
      <c r="AT8" s="42"/>
      <c r="AU8" s="42"/>
      <c r="AV8" s="6"/>
      <c r="AW8" s="6"/>
      <c r="AX8" s="6"/>
      <c r="AY8" s="6"/>
      <c r="AZ8" s="10"/>
      <c r="BA8" s="1"/>
      <c r="BB8" s="1"/>
      <c r="BC8" s="1"/>
      <c r="BD8" s="1"/>
      <c r="BE8" s="1"/>
      <c r="BF8" s="83"/>
    </row>
    <row r="9" spans="1:58" s="101" customFormat="1" ht="12.75">
      <c r="A9" s="85" t="s">
        <v>39</v>
      </c>
      <c r="B9" s="86">
        <v>2010.8</v>
      </c>
      <c r="C9" s="87">
        <f>B9*8.65</f>
        <v>17393.420000000002</v>
      </c>
      <c r="D9" s="88">
        <f>C9*0.24088</f>
        <v>4189.7270096</v>
      </c>
      <c r="E9" s="65">
        <v>1393.66</v>
      </c>
      <c r="F9" s="65">
        <v>292.16</v>
      </c>
      <c r="G9" s="65">
        <v>1881.49</v>
      </c>
      <c r="H9" s="65">
        <v>394.43</v>
      </c>
      <c r="I9" s="65">
        <v>4529.44</v>
      </c>
      <c r="J9" s="65">
        <v>949.52</v>
      </c>
      <c r="K9" s="65">
        <v>3135.77</v>
      </c>
      <c r="L9" s="65">
        <v>657.36</v>
      </c>
      <c r="M9" s="65">
        <v>1114.95</v>
      </c>
      <c r="N9" s="65">
        <v>233.73</v>
      </c>
      <c r="O9" s="65">
        <v>0</v>
      </c>
      <c r="P9" s="65">
        <v>0</v>
      </c>
      <c r="Q9" s="65">
        <v>0</v>
      </c>
      <c r="R9" s="65">
        <v>0</v>
      </c>
      <c r="S9" s="65">
        <f>E9+G9+I9+K9+M9+O9+Q9</f>
        <v>12055.310000000001</v>
      </c>
      <c r="T9" s="89">
        <f>P9+N9+L9+J9+H9+F9+R9</f>
        <v>2527.2</v>
      </c>
      <c r="U9" s="65">
        <v>26</v>
      </c>
      <c r="V9" s="65">
        <v>35</v>
      </c>
      <c r="W9" s="65">
        <v>83</v>
      </c>
      <c r="X9" s="65">
        <v>58</v>
      </c>
      <c r="Y9" s="65">
        <v>21</v>
      </c>
      <c r="Z9" s="69">
        <v>0</v>
      </c>
      <c r="AA9" s="69">
        <v>0</v>
      </c>
      <c r="AB9" s="69">
        <f>SUM(U9:AA9)</f>
        <v>223</v>
      </c>
      <c r="AC9" s="90">
        <f>D9+T9+AB9</f>
        <v>6939.9270096</v>
      </c>
      <c r="AD9" s="91">
        <f>P9+Z9</f>
        <v>0</v>
      </c>
      <c r="AE9" s="92">
        <f>R9+AA9</f>
        <v>0</v>
      </c>
      <c r="AF9" s="92"/>
      <c r="AG9" s="13">
        <f>0.6*B9</f>
        <v>1206.48</v>
      </c>
      <c r="AH9" s="13">
        <f>B9*0.2*1.05826</f>
        <v>425.5898416</v>
      </c>
      <c r="AI9" s="13">
        <f>0.8518*B9</f>
        <v>1712.79944</v>
      </c>
      <c r="AJ9" s="13">
        <f>AI9*0.18</f>
        <v>308.3038992</v>
      </c>
      <c r="AK9" s="13">
        <f>1.04*B9*0.9532</f>
        <v>1993.3623424</v>
      </c>
      <c r="AL9" s="13">
        <f>AK9*0.18</f>
        <v>358.805221632</v>
      </c>
      <c r="AM9" s="13">
        <f>(1.91)*B9*0.9531</f>
        <v>3660.5025467999994</v>
      </c>
      <c r="AN9" s="13">
        <f>AM9*0.18</f>
        <v>658.8904584239999</v>
      </c>
      <c r="AO9" s="13"/>
      <c r="AP9" s="13">
        <f>AO9*0.18</f>
        <v>0</v>
      </c>
      <c r="AQ9" s="93"/>
      <c r="AR9" s="93"/>
      <c r="AS9" s="71">
        <v>22013.4</v>
      </c>
      <c r="AT9" s="71"/>
      <c r="AU9" s="71">
        <f>(AS9+AT9)*0.18</f>
        <v>3962.4120000000003</v>
      </c>
      <c r="AV9" s="94"/>
      <c r="AW9" s="95"/>
      <c r="AX9" s="13">
        <f>AV9*AW9*1.12*1.18</f>
        <v>0</v>
      </c>
      <c r="AY9" s="96"/>
      <c r="AZ9" s="97"/>
      <c r="BA9" s="97">
        <f>AZ9*0.18</f>
        <v>0</v>
      </c>
      <c r="BB9" s="97">
        <f>SUM(AG9:BA9)-AV9-AW9</f>
        <v>36300.545750056</v>
      </c>
      <c r="BC9" s="98"/>
      <c r="BD9" s="27">
        <f>BB9-(AF9-BC9)</f>
        <v>36300.545750056</v>
      </c>
      <c r="BE9" s="99">
        <f>AC9-BB9</f>
        <v>-29360.618740456</v>
      </c>
      <c r="BF9" s="100">
        <f>AB9-S9</f>
        <v>-11832.310000000001</v>
      </c>
    </row>
    <row r="10" spans="1:58" ht="12.75">
      <c r="A10" s="11" t="s">
        <v>40</v>
      </c>
      <c r="B10" s="86">
        <v>2010.8</v>
      </c>
      <c r="C10" s="87">
        <f>B10*8.65</f>
        <v>17393.420000000002</v>
      </c>
      <c r="D10" s="88">
        <f>C10*0.24088</f>
        <v>4189.7270096</v>
      </c>
      <c r="E10" s="65">
        <v>1351.77</v>
      </c>
      <c r="F10" s="65">
        <v>289.64</v>
      </c>
      <c r="G10" s="65">
        <v>1824.87</v>
      </c>
      <c r="H10" s="65">
        <v>391.06</v>
      </c>
      <c r="I10" s="65">
        <v>4393.28</v>
      </c>
      <c r="J10" s="65">
        <v>941.34</v>
      </c>
      <c r="K10" s="65">
        <v>3041.49</v>
      </c>
      <c r="L10" s="65">
        <v>651.7</v>
      </c>
      <c r="M10" s="65">
        <v>1081.4</v>
      </c>
      <c r="N10" s="65">
        <v>231.72</v>
      </c>
      <c r="O10" s="65">
        <v>0</v>
      </c>
      <c r="P10" s="65">
        <v>0</v>
      </c>
      <c r="Q10" s="65">
        <v>0</v>
      </c>
      <c r="R10" s="65">
        <v>0</v>
      </c>
      <c r="S10" s="65">
        <f>E10+G10+I10+K10+M10+O10+Q10</f>
        <v>11692.81</v>
      </c>
      <c r="T10" s="89">
        <f>P10+N10+L10+J10+H10+F10+R10</f>
        <v>2505.46</v>
      </c>
      <c r="U10" s="65">
        <v>757.18</v>
      </c>
      <c r="V10" s="65">
        <v>1022.2</v>
      </c>
      <c r="W10" s="65">
        <v>2886.13</v>
      </c>
      <c r="X10" s="65">
        <v>1703.69</v>
      </c>
      <c r="Y10" s="65">
        <v>605.78</v>
      </c>
      <c r="Z10" s="65">
        <v>0</v>
      </c>
      <c r="AA10" s="69">
        <v>0</v>
      </c>
      <c r="AB10" s="102">
        <f>SUM(U10:AA10)</f>
        <v>6974.9800000000005</v>
      </c>
      <c r="AC10" s="103">
        <f>D10+T10+AB10</f>
        <v>13670.167009600002</v>
      </c>
      <c r="AD10" s="92">
        <f>P10+Z10</f>
        <v>0</v>
      </c>
      <c r="AE10" s="92">
        <f>R10+AA10</f>
        <v>0</v>
      </c>
      <c r="AF10" s="92"/>
      <c r="AG10" s="13">
        <f>0.6*B10</f>
        <v>1206.48</v>
      </c>
      <c r="AH10" s="13">
        <f>B10*0.201</f>
        <v>404.17080000000004</v>
      </c>
      <c r="AI10" s="13">
        <f>0.8518*B10</f>
        <v>1712.79944</v>
      </c>
      <c r="AJ10" s="13">
        <f>AI10*0.18</f>
        <v>308.3038992</v>
      </c>
      <c r="AK10" s="13">
        <f>1.04*B10*0.9531</f>
        <v>1993.1532192</v>
      </c>
      <c r="AL10" s="13">
        <f>AK10*0.18</f>
        <v>358.76757945599996</v>
      </c>
      <c r="AM10" s="13">
        <f>(1.91)*B10*0.9531</f>
        <v>3660.5025467999994</v>
      </c>
      <c r="AN10" s="13">
        <f>AM10*0.18</f>
        <v>658.8904584239999</v>
      </c>
      <c r="AO10" s="13"/>
      <c r="AP10" s="13">
        <f>AO10*0.18</f>
        <v>0</v>
      </c>
      <c r="AQ10" s="93"/>
      <c r="AR10" s="93"/>
      <c r="AS10" s="71">
        <v>8580</v>
      </c>
      <c r="AT10" s="71"/>
      <c r="AU10" s="71">
        <f>(AS10+AT10)*0.18</f>
        <v>1544.3999999999999</v>
      </c>
      <c r="AV10" s="94"/>
      <c r="AW10" s="95"/>
      <c r="AX10" s="13">
        <f>AV10*AW10*1.12*1.18</f>
        <v>0</v>
      </c>
      <c r="AY10" s="96"/>
      <c r="AZ10" s="97"/>
      <c r="BA10" s="97">
        <f>AZ10*0.18</f>
        <v>0</v>
      </c>
      <c r="BB10" s="97">
        <f>SUM(AG10:BA10)-AV10-AW10</f>
        <v>20427.467943080002</v>
      </c>
      <c r="BC10" s="98"/>
      <c r="BD10" s="27">
        <f>BB10-(AF10-BC10)</f>
        <v>20427.467943080002</v>
      </c>
      <c r="BE10" s="99">
        <f>AC10-BB10</f>
        <v>-6757.300933480001</v>
      </c>
      <c r="BF10" s="99">
        <f>AB10-S10</f>
        <v>-4717.829999999999</v>
      </c>
    </row>
    <row r="11" spans="1:58" ht="13.5" thickBot="1">
      <c r="A11" s="29" t="s">
        <v>41</v>
      </c>
      <c r="B11" s="86">
        <v>2010.8</v>
      </c>
      <c r="C11" s="87">
        <f>B11*8.65</f>
        <v>17393.420000000002</v>
      </c>
      <c r="D11" s="88">
        <f>C11*0.24035</f>
        <v>4180.508497000001</v>
      </c>
      <c r="E11" s="65">
        <v>1368.38</v>
      </c>
      <c r="F11" s="65">
        <v>293.62</v>
      </c>
      <c r="G11" s="65">
        <v>1847.33</v>
      </c>
      <c r="H11" s="65">
        <v>396.41</v>
      </c>
      <c r="I11" s="65">
        <v>4447.25</v>
      </c>
      <c r="J11" s="65">
        <v>954.27</v>
      </c>
      <c r="K11" s="65">
        <v>3078.87</v>
      </c>
      <c r="L11" s="65">
        <v>660.65</v>
      </c>
      <c r="M11" s="65">
        <v>1094.7</v>
      </c>
      <c r="N11" s="69">
        <v>234.9</v>
      </c>
      <c r="O11" s="69">
        <v>0</v>
      </c>
      <c r="P11" s="69">
        <v>0</v>
      </c>
      <c r="Q11" s="69">
        <v>0</v>
      </c>
      <c r="R11" s="69">
        <v>0</v>
      </c>
      <c r="S11" s="65">
        <f>E11+G11+I11+K11+M11+O11+Q11</f>
        <v>11836.53</v>
      </c>
      <c r="T11" s="89">
        <f>P11+N11+L11+J11+H11+F11+R11</f>
        <v>2539.85</v>
      </c>
      <c r="U11" s="65">
        <v>1302.18</v>
      </c>
      <c r="V11" s="65">
        <v>1755.43</v>
      </c>
      <c r="W11" s="65">
        <v>4321.87</v>
      </c>
      <c r="X11" s="65">
        <v>2930.37</v>
      </c>
      <c r="Y11" s="65">
        <v>1039.84</v>
      </c>
      <c r="Z11" s="65">
        <v>0</v>
      </c>
      <c r="AA11" s="69">
        <v>0</v>
      </c>
      <c r="AB11" s="102">
        <f>SUM(U11:AA11)</f>
        <v>11349.689999999999</v>
      </c>
      <c r="AC11" s="103">
        <f>D11+T11+AB11</f>
        <v>18070.048497</v>
      </c>
      <c r="AD11" s="92">
        <f>P11+Z11</f>
        <v>0</v>
      </c>
      <c r="AE11" s="92">
        <f>R11+AA11</f>
        <v>0</v>
      </c>
      <c r="AF11" s="92"/>
      <c r="AG11" s="13">
        <f>0.6*B11</f>
        <v>1206.48</v>
      </c>
      <c r="AH11" s="13">
        <f>B11*0.2*1.02524</f>
        <v>412.3105184</v>
      </c>
      <c r="AI11" s="13">
        <f>0.84932*B11</f>
        <v>1707.8126559999998</v>
      </c>
      <c r="AJ11" s="13">
        <f>AI11*0.18</f>
        <v>307.40627807999994</v>
      </c>
      <c r="AK11" s="13">
        <f>1.04*B11*0.95033</f>
        <v>1987.36050656</v>
      </c>
      <c r="AL11" s="13">
        <f>AK11*0.18</f>
        <v>357.7248911808</v>
      </c>
      <c r="AM11" s="13">
        <f>(1.91)*B11*0.95033</f>
        <v>3649.86400724</v>
      </c>
      <c r="AN11" s="13">
        <f>AM11*0.18</f>
        <v>656.9755213031999</v>
      </c>
      <c r="AO11" s="13"/>
      <c r="AP11" s="13">
        <f>AO11*0.18</f>
        <v>0</v>
      </c>
      <c r="AQ11" s="93"/>
      <c r="AR11" s="93"/>
      <c r="AS11" s="71"/>
      <c r="AT11" s="71"/>
      <c r="AU11" s="71">
        <f>(AS11+AT11)*0.18</f>
        <v>0</v>
      </c>
      <c r="AV11" s="94"/>
      <c r="AW11" s="95"/>
      <c r="AX11" s="13">
        <f>AV11*AW11*1.12*1.18</f>
        <v>0</v>
      </c>
      <c r="AY11" s="96"/>
      <c r="AZ11" s="97"/>
      <c r="BA11" s="97">
        <f>AZ11*0.18</f>
        <v>0</v>
      </c>
      <c r="BB11" s="97">
        <f>SUM(AG11:BA11)-AV11-AW11</f>
        <v>10285.934378764001</v>
      </c>
      <c r="BC11" s="98"/>
      <c r="BD11" s="27">
        <f>BB11-(AF11-BC11)</f>
        <v>10285.934378764001</v>
      </c>
      <c r="BE11" s="99">
        <f>AC11-BB11</f>
        <v>7784.114118235999</v>
      </c>
      <c r="BF11" s="99">
        <f>AB11-S11</f>
        <v>-486.84000000000196</v>
      </c>
    </row>
    <row r="12" spans="1:58" s="16" customFormat="1" ht="15" customHeight="1" thickBot="1">
      <c r="A12" s="30" t="s">
        <v>3</v>
      </c>
      <c r="B12" s="104"/>
      <c r="C12" s="104">
        <f>SUM(C9:C11)</f>
        <v>52180.26000000001</v>
      </c>
      <c r="D12" s="104">
        <f aca="true" t="shared" si="0" ref="D12:BD12">SUM(D9:D11)</f>
        <v>12559.962516200001</v>
      </c>
      <c r="E12" s="104">
        <f t="shared" si="0"/>
        <v>4113.81</v>
      </c>
      <c r="F12" s="104">
        <f t="shared" si="0"/>
        <v>875.42</v>
      </c>
      <c r="G12" s="104">
        <f t="shared" si="0"/>
        <v>5553.69</v>
      </c>
      <c r="H12" s="104">
        <f t="shared" si="0"/>
        <v>1181.9</v>
      </c>
      <c r="I12" s="104">
        <f t="shared" si="0"/>
        <v>13369.97</v>
      </c>
      <c r="J12" s="104">
        <f t="shared" si="0"/>
        <v>2845.13</v>
      </c>
      <c r="K12" s="104">
        <f t="shared" si="0"/>
        <v>9256.130000000001</v>
      </c>
      <c r="L12" s="104">
        <f t="shared" si="0"/>
        <v>1969.71</v>
      </c>
      <c r="M12" s="104">
        <f t="shared" si="0"/>
        <v>3291.05</v>
      </c>
      <c r="N12" s="104">
        <f t="shared" si="0"/>
        <v>700.35</v>
      </c>
      <c r="O12" s="104">
        <f t="shared" si="0"/>
        <v>0</v>
      </c>
      <c r="P12" s="104">
        <f t="shared" si="0"/>
        <v>0</v>
      </c>
      <c r="Q12" s="104">
        <f t="shared" si="0"/>
        <v>0</v>
      </c>
      <c r="R12" s="104">
        <f t="shared" si="0"/>
        <v>0</v>
      </c>
      <c r="S12" s="104">
        <f t="shared" si="0"/>
        <v>35584.65</v>
      </c>
      <c r="T12" s="104">
        <f t="shared" si="0"/>
        <v>7572.51</v>
      </c>
      <c r="U12" s="104">
        <f t="shared" si="0"/>
        <v>2085.36</v>
      </c>
      <c r="V12" s="104">
        <f t="shared" si="0"/>
        <v>2812.63</v>
      </c>
      <c r="W12" s="104">
        <f t="shared" si="0"/>
        <v>7291</v>
      </c>
      <c r="X12" s="104">
        <f t="shared" si="0"/>
        <v>4692.0599999999995</v>
      </c>
      <c r="Y12" s="104">
        <f t="shared" si="0"/>
        <v>1666.62</v>
      </c>
      <c r="Z12" s="104">
        <f t="shared" si="0"/>
        <v>0</v>
      </c>
      <c r="AA12" s="104">
        <f t="shared" si="0"/>
        <v>0</v>
      </c>
      <c r="AB12" s="104">
        <f t="shared" si="0"/>
        <v>18547.67</v>
      </c>
      <c r="AC12" s="104">
        <f t="shared" si="0"/>
        <v>38680.1425162</v>
      </c>
      <c r="AD12" s="104">
        <f t="shared" si="0"/>
        <v>0</v>
      </c>
      <c r="AE12" s="104">
        <f t="shared" si="0"/>
        <v>0</v>
      </c>
      <c r="AF12" s="104">
        <f t="shared" si="0"/>
        <v>0</v>
      </c>
      <c r="AG12" s="104">
        <f t="shared" si="0"/>
        <v>3619.44</v>
      </c>
      <c r="AH12" s="104">
        <f t="shared" si="0"/>
        <v>1242.07116</v>
      </c>
      <c r="AI12" s="104">
        <f t="shared" si="0"/>
        <v>5133.411536</v>
      </c>
      <c r="AJ12" s="104">
        <f t="shared" si="0"/>
        <v>924.0140764799999</v>
      </c>
      <c r="AK12" s="104">
        <f t="shared" si="0"/>
        <v>5973.87606816</v>
      </c>
      <c r="AL12" s="104">
        <f t="shared" si="0"/>
        <v>1075.2976922688</v>
      </c>
      <c r="AM12" s="104">
        <f t="shared" si="0"/>
        <v>10970.869100839998</v>
      </c>
      <c r="AN12" s="104">
        <f t="shared" si="0"/>
        <v>1974.7564381511997</v>
      </c>
      <c r="AO12" s="104">
        <f t="shared" si="0"/>
        <v>0</v>
      </c>
      <c r="AP12" s="104">
        <f t="shared" si="0"/>
        <v>0</v>
      </c>
      <c r="AQ12" s="105">
        <f t="shared" si="0"/>
        <v>0</v>
      </c>
      <c r="AR12" s="105">
        <f t="shared" si="0"/>
        <v>0</v>
      </c>
      <c r="AS12" s="106">
        <f t="shared" si="0"/>
        <v>30593.4</v>
      </c>
      <c r="AT12" s="106">
        <f t="shared" si="0"/>
        <v>0</v>
      </c>
      <c r="AU12" s="106">
        <f t="shared" si="0"/>
        <v>5506.812</v>
      </c>
      <c r="AV12" s="104">
        <f t="shared" si="0"/>
        <v>0</v>
      </c>
      <c r="AW12" s="104">
        <f t="shared" si="0"/>
        <v>0</v>
      </c>
      <c r="AX12" s="104">
        <f t="shared" si="0"/>
        <v>0</v>
      </c>
      <c r="AY12" s="104">
        <f t="shared" si="0"/>
        <v>0</v>
      </c>
      <c r="AZ12" s="104">
        <f t="shared" si="0"/>
        <v>0</v>
      </c>
      <c r="BA12" s="104">
        <f t="shared" si="0"/>
        <v>0</v>
      </c>
      <c r="BB12" s="104">
        <f t="shared" si="0"/>
        <v>67013.9480719</v>
      </c>
      <c r="BC12" s="104">
        <f t="shared" si="0"/>
        <v>0</v>
      </c>
      <c r="BD12" s="104">
        <f t="shared" si="0"/>
        <v>67013.9480719</v>
      </c>
      <c r="BE12" s="104">
        <f>SUM(BE9:BE11)</f>
        <v>-28333.805555700004</v>
      </c>
      <c r="BF12" s="107">
        <f>SUM(BF9:BF11)</f>
        <v>-17036.980000000003</v>
      </c>
    </row>
    <row r="13" spans="1:58" ht="15" customHeight="1">
      <c r="A13" s="7" t="s">
        <v>42</v>
      </c>
      <c r="B13" s="108"/>
      <c r="C13" s="109"/>
      <c r="D13" s="109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1"/>
      <c r="P13" s="112"/>
      <c r="Q13" s="113"/>
      <c r="R13" s="113"/>
      <c r="S13" s="113"/>
      <c r="T13" s="113"/>
      <c r="U13" s="114"/>
      <c r="V13" s="114"/>
      <c r="W13" s="114"/>
      <c r="X13" s="114"/>
      <c r="Y13" s="114"/>
      <c r="Z13" s="114"/>
      <c r="AA13" s="115"/>
      <c r="AB13" s="115"/>
      <c r="AC13" s="116"/>
      <c r="AD13" s="117"/>
      <c r="AE13" s="117"/>
      <c r="AF13" s="38"/>
      <c r="AG13" s="38"/>
      <c r="AH13" s="38"/>
      <c r="AI13" s="38"/>
      <c r="AJ13" s="38"/>
      <c r="AK13" s="38"/>
      <c r="AL13" s="38"/>
      <c r="AM13" s="38"/>
      <c r="AN13" s="118"/>
      <c r="AO13" s="118"/>
      <c r="AP13" s="118"/>
      <c r="AQ13" s="119"/>
      <c r="AR13" s="120"/>
      <c r="AS13" s="121"/>
      <c r="AT13" s="121"/>
      <c r="AU13" s="122"/>
      <c r="AV13" s="38"/>
      <c r="AW13" s="38"/>
      <c r="AX13" s="40"/>
      <c r="AY13" s="1"/>
      <c r="AZ13" s="1"/>
      <c r="BA13" s="1"/>
      <c r="BB13" s="1"/>
      <c r="BC13" s="1"/>
      <c r="BD13" s="1"/>
      <c r="BE13" s="1"/>
      <c r="BF13" s="83"/>
    </row>
    <row r="14" spans="1:58" ht="12.75">
      <c r="A14" s="11" t="s">
        <v>43</v>
      </c>
      <c r="B14" s="123">
        <v>2010.78</v>
      </c>
      <c r="C14" s="87">
        <f aca="true" t="shared" si="1" ref="C14:C25">B14*8.65</f>
        <v>17393.247</v>
      </c>
      <c r="D14" s="88">
        <f>C14*0.125</f>
        <v>2174.155875</v>
      </c>
      <c r="E14" s="65">
        <v>1238.17</v>
      </c>
      <c r="F14" s="65">
        <v>293.62</v>
      </c>
      <c r="G14" s="65">
        <v>1671.54</v>
      </c>
      <c r="H14" s="65">
        <v>396.41</v>
      </c>
      <c r="I14" s="65">
        <v>4024.05</v>
      </c>
      <c r="J14" s="65">
        <v>954.27</v>
      </c>
      <c r="K14" s="65">
        <v>2785.87</v>
      </c>
      <c r="L14" s="65">
        <v>660.65</v>
      </c>
      <c r="M14" s="65">
        <v>990.53</v>
      </c>
      <c r="N14" s="69">
        <v>234.9</v>
      </c>
      <c r="O14" s="69">
        <v>0</v>
      </c>
      <c r="P14" s="69">
        <v>0</v>
      </c>
      <c r="Q14" s="69">
        <v>0</v>
      </c>
      <c r="R14" s="69">
        <v>0</v>
      </c>
      <c r="S14" s="65">
        <f aca="true" t="shared" si="2" ref="S14:S25">E14+G14+I14+K14+M14+O14+Q14</f>
        <v>10710.160000000002</v>
      </c>
      <c r="T14" s="89">
        <f aca="true" t="shared" si="3" ref="T14:T25">P14+N14+L14+J14+H14+F14+R14</f>
        <v>2539.85</v>
      </c>
      <c r="U14" s="65">
        <v>819.24</v>
      </c>
      <c r="V14" s="65">
        <v>1108.17</v>
      </c>
      <c r="W14" s="65">
        <v>2182.18</v>
      </c>
      <c r="X14" s="65">
        <v>1842.67</v>
      </c>
      <c r="Y14" s="65">
        <v>656.84</v>
      </c>
      <c r="Z14" s="65">
        <v>0</v>
      </c>
      <c r="AA14" s="69">
        <v>0</v>
      </c>
      <c r="AB14" s="124">
        <f aca="true" t="shared" si="4" ref="AB14:AB22">SUM(U14:AA14)</f>
        <v>6609.1</v>
      </c>
      <c r="AC14" s="103">
        <f aca="true" t="shared" si="5" ref="AC14:AC22">D14+T14+AB14</f>
        <v>11323.105875000001</v>
      </c>
      <c r="AD14" s="92">
        <f aca="true" t="shared" si="6" ref="AD14:AD25">P14+Z14</f>
        <v>0</v>
      </c>
      <c r="AE14" s="92">
        <f aca="true" t="shared" si="7" ref="AE14:AE25">R14+AA14</f>
        <v>0</v>
      </c>
      <c r="AF14" s="92">
        <f>'[1]Т01-09'!$I$12</f>
        <v>3257.2997</v>
      </c>
      <c r="AG14" s="13">
        <f>0.6*B14*0.9</f>
        <v>1085.8211999999999</v>
      </c>
      <c r="AH14" s="13">
        <f>B14*0.2*0.891</f>
        <v>358.32099600000004</v>
      </c>
      <c r="AI14" s="13">
        <f>0.85*B14*0.867-0.02</f>
        <v>1481.824321</v>
      </c>
      <c r="AJ14" s="13">
        <f aca="true" t="shared" si="8" ref="AJ14:AJ25">AI14*0.18</f>
        <v>266.72837778</v>
      </c>
      <c r="AK14" s="13">
        <f>0.83*B14*0.8685</f>
        <v>1449.4808168999998</v>
      </c>
      <c r="AL14" s="13">
        <f aca="true" t="shared" si="9" ref="AL14:AL25">AK14*0.18</f>
        <v>260.90654704199994</v>
      </c>
      <c r="AM14" s="13">
        <f>1.91*B14*0.8686</f>
        <v>3335.93630028</v>
      </c>
      <c r="AN14" s="13">
        <f aca="true" t="shared" si="10" ref="AN14:AN25">AM14*0.18</f>
        <v>600.4685340504</v>
      </c>
      <c r="AO14" s="13"/>
      <c r="AP14" s="13">
        <f aca="true" t="shared" si="11" ref="AP14:AR25">AO14*0.18</f>
        <v>0</v>
      </c>
      <c r="AQ14" s="93"/>
      <c r="AR14" s="93">
        <f>AQ14*0.18</f>
        <v>0</v>
      </c>
      <c r="AS14" s="71">
        <v>23900</v>
      </c>
      <c r="AT14" s="71"/>
      <c r="AU14" s="71">
        <f>(AS14+AT14)*0.18+0.01</f>
        <v>4302.01</v>
      </c>
      <c r="AV14" s="94">
        <v>508</v>
      </c>
      <c r="AW14" s="95">
        <v>1.375</v>
      </c>
      <c r="AX14" s="13">
        <f>AV14*AW14*1.12*1.18</f>
        <v>923.1376</v>
      </c>
      <c r="AY14" s="96"/>
      <c r="AZ14" s="97"/>
      <c r="BA14" s="97">
        <f>AZ14*0.18</f>
        <v>0</v>
      </c>
      <c r="BB14" s="97">
        <f>SUM(AG14:AU14)</f>
        <v>37041.4970930524</v>
      </c>
      <c r="BC14" s="98">
        <f>'[2]Т01-09'!$O$12</f>
        <v>1384.8371103000002</v>
      </c>
      <c r="BD14" s="125">
        <f>BB14-(AF14-BC14)</f>
        <v>35169.0345033524</v>
      </c>
      <c r="BE14" s="99">
        <f>(AC14-BB14)+(AF14-BC14)</f>
        <v>-23845.928628352398</v>
      </c>
      <c r="BF14" s="99">
        <f>AB14-S14</f>
        <v>-4101.060000000001</v>
      </c>
    </row>
    <row r="15" spans="1:58" ht="12.75">
      <c r="A15" s="11" t="s">
        <v>44</v>
      </c>
      <c r="B15" s="123">
        <v>2010.78</v>
      </c>
      <c r="C15" s="87">
        <f t="shared" si="1"/>
        <v>17393.247</v>
      </c>
      <c r="D15" s="88">
        <f>C15*0.125</f>
        <v>2174.155875</v>
      </c>
      <c r="E15" s="65">
        <v>1368.64</v>
      </c>
      <c r="F15" s="65">
        <v>293.62</v>
      </c>
      <c r="G15" s="65">
        <v>1847.68</v>
      </c>
      <c r="H15" s="65">
        <v>396.41</v>
      </c>
      <c r="I15" s="65">
        <v>4448.1</v>
      </c>
      <c r="J15" s="65">
        <v>954.27</v>
      </c>
      <c r="K15" s="65">
        <v>3079.45</v>
      </c>
      <c r="L15" s="65">
        <v>660.65</v>
      </c>
      <c r="M15" s="65">
        <v>1094.91</v>
      </c>
      <c r="N15" s="69">
        <v>234.9</v>
      </c>
      <c r="O15" s="69">
        <v>0</v>
      </c>
      <c r="P15" s="69">
        <v>0</v>
      </c>
      <c r="Q15" s="69">
        <v>0</v>
      </c>
      <c r="R15" s="69">
        <v>0</v>
      </c>
      <c r="S15" s="65">
        <f t="shared" si="2"/>
        <v>11838.779999999999</v>
      </c>
      <c r="T15" s="89">
        <f t="shared" si="3"/>
        <v>2539.85</v>
      </c>
      <c r="U15" s="65">
        <v>881.26</v>
      </c>
      <c r="V15" s="65">
        <v>1189.74</v>
      </c>
      <c r="W15" s="65">
        <v>2865.15</v>
      </c>
      <c r="X15" s="65">
        <v>1982.81</v>
      </c>
      <c r="Y15" s="65">
        <v>704.99</v>
      </c>
      <c r="Z15" s="65">
        <v>0</v>
      </c>
      <c r="AA15" s="69">
        <v>0</v>
      </c>
      <c r="AB15" s="102">
        <f t="shared" si="4"/>
        <v>7623.949999999999</v>
      </c>
      <c r="AC15" s="103">
        <f t="shared" si="5"/>
        <v>12337.955875</v>
      </c>
      <c r="AD15" s="92">
        <f t="shared" si="6"/>
        <v>0</v>
      </c>
      <c r="AE15" s="92">
        <f t="shared" si="7"/>
        <v>0</v>
      </c>
      <c r="AF15" s="92">
        <f>'[1]Т02-09'!$I$12</f>
        <v>3257.2997</v>
      </c>
      <c r="AG15" s="13">
        <f>0.6*B15*0.9</f>
        <v>1085.8211999999999</v>
      </c>
      <c r="AH15" s="13">
        <f>B15*0.2*0.9153</f>
        <v>368.0933868</v>
      </c>
      <c r="AI15" s="13">
        <f>0.85*B15*0.867</f>
        <v>1481.844321</v>
      </c>
      <c r="AJ15" s="13">
        <f t="shared" si="8"/>
        <v>266.73197778</v>
      </c>
      <c r="AK15" s="13">
        <f>0.83*B15*0.8684</f>
        <v>1449.3139221599997</v>
      </c>
      <c r="AL15" s="13">
        <f t="shared" si="9"/>
        <v>260.8765059887999</v>
      </c>
      <c r="AM15" s="13">
        <f>(1.91)*B15*0.8684</f>
        <v>3335.1681823199997</v>
      </c>
      <c r="AN15" s="13">
        <f t="shared" si="10"/>
        <v>600.3302728176</v>
      </c>
      <c r="AO15" s="13"/>
      <c r="AP15" s="13">
        <f t="shared" si="11"/>
        <v>0</v>
      </c>
      <c r="AQ15" s="93"/>
      <c r="AR15" s="93">
        <f>AQ15*0.18</f>
        <v>0</v>
      </c>
      <c r="AS15" s="71">
        <v>5340</v>
      </c>
      <c r="AT15" s="71">
        <f>756*3</f>
        <v>2268</v>
      </c>
      <c r="AU15" s="71">
        <f aca="true" t="shared" si="12" ref="AU15:AU25">(AS15+AT15)*0.18</f>
        <v>1369.44</v>
      </c>
      <c r="AV15" s="94">
        <v>407</v>
      </c>
      <c r="AW15" s="95">
        <v>1.375</v>
      </c>
      <c r="AX15" s="13">
        <f>AV15*AW15*1.12*1.18</f>
        <v>739.6004</v>
      </c>
      <c r="AY15" s="96"/>
      <c r="AZ15" s="97"/>
      <c r="BA15" s="97">
        <f>AZ15*0.18</f>
        <v>0</v>
      </c>
      <c r="BB15" s="97">
        <f>SUM(AG15:AU15)+AY15</f>
        <v>17825.6197688664</v>
      </c>
      <c r="BC15" s="126">
        <f>'[2]Т02-09'!$O$12</f>
        <v>1386.9188368000002</v>
      </c>
      <c r="BD15" s="125">
        <f>BB15-(AF15-BC15)</f>
        <v>15955.2389056664</v>
      </c>
      <c r="BE15" s="99">
        <f aca="true" t="shared" si="13" ref="BE15:BE25">(AC15-BB15)+(AF15-BC15)</f>
        <v>-3617.2830306664</v>
      </c>
      <c r="BF15" s="99">
        <f>AB15-S15</f>
        <v>-4214.83</v>
      </c>
    </row>
    <row r="16" spans="1:58" ht="13.5" thickBot="1">
      <c r="A16" s="127" t="s">
        <v>45</v>
      </c>
      <c r="B16" s="128">
        <v>2010.78</v>
      </c>
      <c r="C16" s="87">
        <f t="shared" si="1"/>
        <v>17393.247</v>
      </c>
      <c r="D16" s="88">
        <f>C16*0.125</f>
        <v>2174.155875</v>
      </c>
      <c r="E16" s="65">
        <v>1339.98</v>
      </c>
      <c r="F16" s="65">
        <v>293.62</v>
      </c>
      <c r="G16" s="65">
        <v>1808.66</v>
      </c>
      <c r="H16" s="65">
        <v>396.41</v>
      </c>
      <c r="I16" s="65">
        <v>4354.14</v>
      </c>
      <c r="J16" s="65">
        <v>954.27</v>
      </c>
      <c r="K16" s="65">
        <v>3014.4</v>
      </c>
      <c r="L16" s="65">
        <v>660.65</v>
      </c>
      <c r="M16" s="65">
        <v>1071.78</v>
      </c>
      <c r="N16" s="69">
        <v>234.9</v>
      </c>
      <c r="O16" s="69">
        <v>0</v>
      </c>
      <c r="P16" s="69">
        <v>0</v>
      </c>
      <c r="Q16" s="69">
        <v>0</v>
      </c>
      <c r="R16" s="69">
        <v>0</v>
      </c>
      <c r="S16" s="65">
        <f t="shared" si="2"/>
        <v>11588.960000000001</v>
      </c>
      <c r="T16" s="89">
        <f t="shared" si="3"/>
        <v>2539.85</v>
      </c>
      <c r="U16" s="66">
        <v>1603.28</v>
      </c>
      <c r="V16" s="66">
        <v>2164.48</v>
      </c>
      <c r="W16" s="66">
        <v>5206.96</v>
      </c>
      <c r="X16" s="66">
        <v>3607.36</v>
      </c>
      <c r="Y16" s="66">
        <v>1282.58</v>
      </c>
      <c r="Z16" s="66">
        <v>0</v>
      </c>
      <c r="AA16" s="72">
        <v>0</v>
      </c>
      <c r="AB16" s="124">
        <f t="shared" si="4"/>
        <v>13864.660000000002</v>
      </c>
      <c r="AC16" s="103">
        <f t="shared" si="5"/>
        <v>18578.665875000002</v>
      </c>
      <c r="AD16" s="92">
        <f t="shared" si="6"/>
        <v>0</v>
      </c>
      <c r="AE16" s="92">
        <f t="shared" si="7"/>
        <v>0</v>
      </c>
      <c r="AF16" s="92">
        <f>'[1]Т02-09'!$I$12</f>
        <v>3257.2997</v>
      </c>
      <c r="AG16" s="13">
        <f>0.6*B16*0.9</f>
        <v>1085.8211999999999</v>
      </c>
      <c r="AH16" s="129">
        <f>B16*0.2*0.9082</f>
        <v>365.2380792</v>
      </c>
      <c r="AI16" s="13">
        <f>0.85*B16*0.8675</f>
        <v>1482.6989025</v>
      </c>
      <c r="AJ16" s="13">
        <f t="shared" si="8"/>
        <v>266.88580244999997</v>
      </c>
      <c r="AK16" s="129">
        <f>0.83*B16*0.838</f>
        <v>1398.5779211999998</v>
      </c>
      <c r="AL16" s="13">
        <f t="shared" si="9"/>
        <v>251.74402581599995</v>
      </c>
      <c r="AM16" s="13">
        <f>1.91*B16*0.8381</f>
        <v>3218.7983113799996</v>
      </c>
      <c r="AN16" s="13">
        <f t="shared" si="10"/>
        <v>579.3836960483999</v>
      </c>
      <c r="AO16" s="13"/>
      <c r="AP16" s="13">
        <f t="shared" si="11"/>
        <v>0</v>
      </c>
      <c r="AQ16" s="93"/>
      <c r="AR16" s="93">
        <f>AQ16*0.18</f>
        <v>0</v>
      </c>
      <c r="AS16" s="71">
        <v>2448</v>
      </c>
      <c r="AT16" s="71"/>
      <c r="AU16" s="71">
        <f t="shared" si="12"/>
        <v>440.64</v>
      </c>
      <c r="AV16" s="94">
        <v>383</v>
      </c>
      <c r="AW16" s="95">
        <v>1.375</v>
      </c>
      <c r="AX16" s="13">
        <f>AV16*AW16*1.12*1.18</f>
        <v>695.9876</v>
      </c>
      <c r="AY16" s="96"/>
      <c r="AZ16" s="97"/>
      <c r="BA16" s="97">
        <f>AZ16*0.18</f>
        <v>0</v>
      </c>
      <c r="BB16" s="97">
        <f>SUM(AG16:AU16)</f>
        <v>11537.787938594398</v>
      </c>
      <c r="BC16" s="126">
        <f>'[2]Т03-09'!$O$12</f>
        <v>1357.82889565</v>
      </c>
      <c r="BD16" s="130">
        <f>BB16-(AF16-BC16)</f>
        <v>9638.317134244398</v>
      </c>
      <c r="BE16" s="99">
        <f t="shared" si="13"/>
        <v>8940.348740755604</v>
      </c>
      <c r="BF16" s="131">
        <f>AB16-S16</f>
        <v>2275.7000000000007</v>
      </c>
    </row>
    <row r="17" spans="1:58" ht="13.5" thickBot="1">
      <c r="A17" s="132" t="s">
        <v>46</v>
      </c>
      <c r="B17" s="133">
        <v>2010.78</v>
      </c>
      <c r="C17" s="87">
        <f t="shared" si="1"/>
        <v>17393.247</v>
      </c>
      <c r="D17" s="88">
        <f>C17*0.125</f>
        <v>2174.155875</v>
      </c>
      <c r="E17" s="66">
        <v>1380.49</v>
      </c>
      <c r="F17" s="66">
        <v>299.53</v>
      </c>
      <c r="G17" s="66">
        <v>1863.68</v>
      </c>
      <c r="H17" s="66">
        <v>404.38</v>
      </c>
      <c r="I17" s="66">
        <v>4486.61</v>
      </c>
      <c r="J17" s="66">
        <v>973.47</v>
      </c>
      <c r="K17" s="66">
        <v>3106.11</v>
      </c>
      <c r="L17" s="66">
        <v>673.93</v>
      </c>
      <c r="M17" s="66">
        <v>1104.38</v>
      </c>
      <c r="N17" s="72">
        <v>239.63</v>
      </c>
      <c r="O17" s="72">
        <v>0</v>
      </c>
      <c r="P17" s="72">
        <v>0</v>
      </c>
      <c r="Q17" s="72">
        <v>0</v>
      </c>
      <c r="R17" s="72">
        <v>0</v>
      </c>
      <c r="S17" s="65">
        <f t="shared" si="2"/>
        <v>11941.27</v>
      </c>
      <c r="T17" s="89">
        <f t="shared" si="3"/>
        <v>2590.9399999999996</v>
      </c>
      <c r="U17" s="65">
        <v>1044.89</v>
      </c>
      <c r="V17" s="65">
        <v>1410.53</v>
      </c>
      <c r="W17" s="65">
        <v>3392.03</v>
      </c>
      <c r="X17" s="65">
        <v>2350.96</v>
      </c>
      <c r="Y17" s="65">
        <v>835.92</v>
      </c>
      <c r="Z17" s="65">
        <v>0</v>
      </c>
      <c r="AA17" s="65">
        <v>0</v>
      </c>
      <c r="AB17" s="124">
        <f t="shared" si="4"/>
        <v>9034.33</v>
      </c>
      <c r="AC17" s="103">
        <f t="shared" si="5"/>
        <v>13799.425874999999</v>
      </c>
      <c r="AD17" s="92">
        <f t="shared" si="6"/>
        <v>0</v>
      </c>
      <c r="AE17" s="92">
        <f t="shared" si="7"/>
        <v>0</v>
      </c>
      <c r="AF17" s="92">
        <f>'[2]Т04-09'!$I$12</f>
        <v>3257.2997</v>
      </c>
      <c r="AG17" s="13">
        <f>0.6*B17*0.9</f>
        <v>1085.8211999999999</v>
      </c>
      <c r="AH17" s="129">
        <f>B17*0.2*0.9234</f>
        <v>371.3508504</v>
      </c>
      <c r="AI17" s="13">
        <f>0.85*B17*0.8934</f>
        <v>1526.9662242</v>
      </c>
      <c r="AJ17" s="13">
        <f t="shared" si="8"/>
        <v>274.853920356</v>
      </c>
      <c r="AK17" s="13">
        <f>0.83*B17*0.8498</f>
        <v>1418.2715005199998</v>
      </c>
      <c r="AL17" s="13">
        <f t="shared" si="9"/>
        <v>255.28887009359994</v>
      </c>
      <c r="AM17" s="13">
        <f>(1.91)*B17*0.8498</f>
        <v>3263.7332120399997</v>
      </c>
      <c r="AN17" s="13">
        <f t="shared" si="10"/>
        <v>587.4719781672</v>
      </c>
      <c r="AO17" s="13"/>
      <c r="AP17" s="13">
        <f t="shared" si="11"/>
        <v>0</v>
      </c>
      <c r="AQ17" s="93"/>
      <c r="AR17" s="93">
        <f t="shared" si="11"/>
        <v>0</v>
      </c>
      <c r="AS17" s="71">
        <v>776.96</v>
      </c>
      <c r="AT17" s="71"/>
      <c r="AU17" s="71">
        <f t="shared" si="12"/>
        <v>139.8528</v>
      </c>
      <c r="AV17" s="94">
        <v>307</v>
      </c>
      <c r="AW17" s="95">
        <v>1.375</v>
      </c>
      <c r="AX17" s="13">
        <f>AV17*AW17*1.12*1.18+AX14+AX15+AX16</f>
        <v>2916.606</v>
      </c>
      <c r="AY17" s="96"/>
      <c r="AZ17" s="97"/>
      <c r="BA17" s="97">
        <f>AZ17*0.18</f>
        <v>0</v>
      </c>
      <c r="BB17" s="97">
        <f aca="true" t="shared" si="14" ref="BB17:BB22">SUM(AG17:BA17)-AV17-AW17</f>
        <v>12617.176555776798</v>
      </c>
      <c r="BC17" s="126">
        <f>'[2]Т04-09'!$O$12</f>
        <v>1396.5682514</v>
      </c>
      <c r="BD17" s="134">
        <f>(AC17-BA17)+(AF17-BB17)</f>
        <v>4439.549019223201</v>
      </c>
      <c r="BE17" s="99">
        <f t="shared" si="13"/>
        <v>3042.9807678232014</v>
      </c>
      <c r="BF17" s="131">
        <f>AB17-S17</f>
        <v>-2906.9400000000005</v>
      </c>
    </row>
    <row r="18" spans="1:58" ht="13.5" thickBot="1">
      <c r="A18" s="11" t="s">
        <v>47</v>
      </c>
      <c r="B18" s="128">
        <v>2010.78</v>
      </c>
      <c r="C18" s="87">
        <f t="shared" si="1"/>
        <v>17393.247</v>
      </c>
      <c r="D18" s="135">
        <f aca="true" t="shared" si="15" ref="D18:D25">C18-E18-F18-G18-H18-I18-J18-K18-L18-M18-N18</f>
        <v>4814.517000000003</v>
      </c>
      <c r="E18" s="66">
        <v>1136.41</v>
      </c>
      <c r="F18" s="66">
        <v>314.98</v>
      </c>
      <c r="G18" s="66">
        <v>1540.39</v>
      </c>
      <c r="H18" s="66">
        <v>427.05</v>
      </c>
      <c r="I18" s="66">
        <v>3699.58</v>
      </c>
      <c r="J18" s="66">
        <v>1025.49</v>
      </c>
      <c r="K18" s="66">
        <v>2563.2</v>
      </c>
      <c r="L18" s="66">
        <v>710.53</v>
      </c>
      <c r="M18" s="66">
        <v>909.11</v>
      </c>
      <c r="N18" s="66">
        <v>251.99</v>
      </c>
      <c r="O18" s="72">
        <v>0</v>
      </c>
      <c r="P18" s="72">
        <v>0</v>
      </c>
      <c r="Q18" s="72">
        <v>0</v>
      </c>
      <c r="R18" s="72">
        <v>0</v>
      </c>
      <c r="S18" s="65">
        <f t="shared" si="2"/>
        <v>9848.69</v>
      </c>
      <c r="T18" s="89">
        <f t="shared" si="3"/>
        <v>2730.04</v>
      </c>
      <c r="U18" s="66">
        <v>1135.9</v>
      </c>
      <c r="V18" s="66">
        <v>1533.5</v>
      </c>
      <c r="W18" s="66">
        <v>3681.65</v>
      </c>
      <c r="X18" s="66">
        <v>2555.76</v>
      </c>
      <c r="Y18" s="66">
        <v>908.7</v>
      </c>
      <c r="Z18" s="66">
        <v>0</v>
      </c>
      <c r="AA18" s="72">
        <v>0</v>
      </c>
      <c r="AB18" s="124">
        <f t="shared" si="4"/>
        <v>9815.510000000002</v>
      </c>
      <c r="AC18" s="103">
        <f t="shared" si="5"/>
        <v>17360.067000000003</v>
      </c>
      <c r="AD18" s="92">
        <f t="shared" si="6"/>
        <v>0</v>
      </c>
      <c r="AE18" s="92">
        <f t="shared" si="7"/>
        <v>0</v>
      </c>
      <c r="AF18" s="92">
        <f>'[2]Т04-09'!$I$12</f>
        <v>3257.2997</v>
      </c>
      <c r="AG18" s="13">
        <f aca="true" t="shared" si="16" ref="AG18:AG25">0.6*B18</f>
        <v>1206.4679999999998</v>
      </c>
      <c r="AH18" s="13">
        <f>B18*0.2*1.01</f>
        <v>406.17756</v>
      </c>
      <c r="AI18" s="13">
        <f>0.85*B18</f>
        <v>1709.163</v>
      </c>
      <c r="AJ18" s="13">
        <f t="shared" si="8"/>
        <v>307.64934</v>
      </c>
      <c r="AK18" s="13">
        <f>0.83*B18</f>
        <v>1668.9473999999998</v>
      </c>
      <c r="AL18" s="13">
        <f t="shared" si="9"/>
        <v>300.41053199999993</v>
      </c>
      <c r="AM18" s="13">
        <f>(1.91)*B18</f>
        <v>3840.5897999999997</v>
      </c>
      <c r="AN18" s="13">
        <f t="shared" si="10"/>
        <v>691.306164</v>
      </c>
      <c r="AO18" s="13"/>
      <c r="AP18" s="13">
        <f t="shared" si="11"/>
        <v>0</v>
      </c>
      <c r="AQ18" s="93"/>
      <c r="AR18" s="93">
        <f t="shared" si="11"/>
        <v>0</v>
      </c>
      <c r="AS18" s="71">
        <v>2254.35</v>
      </c>
      <c r="AT18" s="71">
        <v>300</v>
      </c>
      <c r="AU18" s="71">
        <f t="shared" si="12"/>
        <v>459.78299999999996</v>
      </c>
      <c r="AV18" s="94">
        <v>263</v>
      </c>
      <c r="AW18" s="95">
        <v>1.375</v>
      </c>
      <c r="AX18" s="13">
        <f>AV18*AW18*1.12*1.18</f>
        <v>477.9236</v>
      </c>
      <c r="AY18" s="96"/>
      <c r="AZ18" s="97"/>
      <c r="BA18" s="97">
        <f aca="true" t="shared" si="17" ref="BA18:BA25">AZ18*0.18</f>
        <v>0</v>
      </c>
      <c r="BB18" s="97">
        <f t="shared" si="14"/>
        <v>13622.768395999998</v>
      </c>
      <c r="BC18" s="126">
        <f>'[2]Т05-09'!$O$12</f>
        <v>1558.98604799</v>
      </c>
      <c r="BD18" s="27">
        <f aca="true" t="shared" si="18" ref="BD18:BD25">BB18-(AF18-BC18)</f>
        <v>11924.454743989998</v>
      </c>
      <c r="BE18" s="99">
        <f t="shared" si="13"/>
        <v>5435.612256010005</v>
      </c>
      <c r="BF18" s="131">
        <f>AB18-S18</f>
        <v>-33.17999999999847</v>
      </c>
    </row>
    <row r="19" spans="1:58" ht="13.5" thickBot="1">
      <c r="A19" s="127" t="s">
        <v>48</v>
      </c>
      <c r="B19" s="128">
        <v>2010.78</v>
      </c>
      <c r="C19" s="87">
        <f t="shared" si="1"/>
        <v>17393.247</v>
      </c>
      <c r="D19" s="135">
        <f t="shared" si="15"/>
        <v>1592.967</v>
      </c>
      <c r="E19" s="66">
        <v>1500.81</v>
      </c>
      <c r="F19" s="66">
        <v>323</v>
      </c>
      <c r="G19" s="66">
        <v>2032.39</v>
      </c>
      <c r="H19" s="66">
        <v>437.86</v>
      </c>
      <c r="I19" s="66">
        <v>4883.98</v>
      </c>
      <c r="J19" s="66">
        <v>1051.52</v>
      </c>
      <c r="K19" s="66">
        <v>3383.14</v>
      </c>
      <c r="L19" s="66">
        <v>728.55</v>
      </c>
      <c r="M19" s="66">
        <v>1200.64</v>
      </c>
      <c r="N19" s="72">
        <v>258.39</v>
      </c>
      <c r="O19" s="72">
        <v>0</v>
      </c>
      <c r="P19" s="72">
        <v>0</v>
      </c>
      <c r="Q19" s="72">
        <v>0</v>
      </c>
      <c r="R19" s="72">
        <v>0</v>
      </c>
      <c r="S19" s="65">
        <f t="shared" si="2"/>
        <v>13000.96</v>
      </c>
      <c r="T19" s="89">
        <f t="shared" si="3"/>
        <v>2799.32</v>
      </c>
      <c r="U19" s="66">
        <v>1555.28</v>
      </c>
      <c r="V19" s="66">
        <v>2104.45</v>
      </c>
      <c r="W19" s="66">
        <v>5053.37</v>
      </c>
      <c r="X19" s="66">
        <v>3504.24</v>
      </c>
      <c r="Y19" s="66">
        <v>1244.21</v>
      </c>
      <c r="Z19" s="66">
        <v>0</v>
      </c>
      <c r="AA19" s="72">
        <v>0</v>
      </c>
      <c r="AB19" s="124">
        <f t="shared" si="4"/>
        <v>13461.55</v>
      </c>
      <c r="AC19" s="103">
        <f t="shared" si="5"/>
        <v>17853.837</v>
      </c>
      <c r="AD19" s="92">
        <f t="shared" si="6"/>
        <v>0</v>
      </c>
      <c r="AE19" s="92">
        <f t="shared" si="7"/>
        <v>0</v>
      </c>
      <c r="AF19" s="92">
        <f>'[2]Т06-09'!$I$12</f>
        <v>3257.2997</v>
      </c>
      <c r="AG19" s="13">
        <f t="shared" si="16"/>
        <v>1206.4679999999998</v>
      </c>
      <c r="AH19" s="13">
        <f>B19*0.2*1.01045</f>
        <v>406.3585302</v>
      </c>
      <c r="AI19" s="13">
        <f>0.85*B19</f>
        <v>1709.163</v>
      </c>
      <c r="AJ19" s="13">
        <f t="shared" si="8"/>
        <v>307.64934</v>
      </c>
      <c r="AK19" s="13">
        <f>0.83*B19</f>
        <v>1668.9473999999998</v>
      </c>
      <c r="AL19" s="13">
        <f t="shared" si="9"/>
        <v>300.41053199999993</v>
      </c>
      <c r="AM19" s="13">
        <f>(1.91)*B19</f>
        <v>3840.5897999999997</v>
      </c>
      <c r="AN19" s="13">
        <f t="shared" si="10"/>
        <v>691.306164</v>
      </c>
      <c r="AO19" s="13"/>
      <c r="AP19" s="13">
        <f t="shared" si="11"/>
        <v>0</v>
      </c>
      <c r="AQ19" s="93"/>
      <c r="AR19" s="93">
        <f t="shared" si="11"/>
        <v>0</v>
      </c>
      <c r="AS19" s="71"/>
      <c r="AT19" s="71"/>
      <c r="AU19" s="71">
        <f t="shared" si="12"/>
        <v>0</v>
      </c>
      <c r="AV19" s="94">
        <v>233</v>
      </c>
      <c r="AW19" s="95">
        <v>1.375</v>
      </c>
      <c r="AX19" s="13">
        <f>AV19*AW19*1.12*1.18</f>
        <v>423.40760000000006</v>
      </c>
      <c r="AY19" s="96"/>
      <c r="AZ19" s="97"/>
      <c r="BA19" s="97">
        <f t="shared" si="17"/>
        <v>0</v>
      </c>
      <c r="BB19" s="97">
        <f t="shared" si="14"/>
        <v>10554.3003662</v>
      </c>
      <c r="BC19" s="126">
        <f>'[2]Т06-09'!$O$12</f>
        <v>1475.8872791000001</v>
      </c>
      <c r="BD19" s="136">
        <f t="shared" si="18"/>
        <v>8772.887945299999</v>
      </c>
      <c r="BE19" s="99">
        <f t="shared" si="13"/>
        <v>9080.9490547</v>
      </c>
      <c r="BF19" s="137">
        <f aca="true" t="shared" si="19" ref="BF19:BF24">AB19-S19</f>
        <v>460.59000000000015</v>
      </c>
    </row>
    <row r="20" spans="1:58" ht="12.75">
      <c r="A20" s="132" t="s">
        <v>49</v>
      </c>
      <c r="B20" s="123">
        <v>2010.78</v>
      </c>
      <c r="C20" s="87">
        <f t="shared" si="1"/>
        <v>17393.247</v>
      </c>
      <c r="D20" s="135">
        <f t="shared" si="15"/>
        <v>1870.4469999999974</v>
      </c>
      <c r="E20" s="66">
        <v>1468.78</v>
      </c>
      <c r="F20" s="66">
        <v>323</v>
      </c>
      <c r="G20" s="66">
        <v>1988.97</v>
      </c>
      <c r="H20" s="66">
        <v>437.86</v>
      </c>
      <c r="I20" s="66">
        <v>4779.79</v>
      </c>
      <c r="J20" s="66">
        <v>1051.52</v>
      </c>
      <c r="K20" s="66">
        <v>3310.92</v>
      </c>
      <c r="L20" s="66">
        <v>728.55</v>
      </c>
      <c r="M20" s="66">
        <v>1175.02</v>
      </c>
      <c r="N20" s="72">
        <v>258.39</v>
      </c>
      <c r="O20" s="72">
        <v>0</v>
      </c>
      <c r="P20" s="72">
        <v>0</v>
      </c>
      <c r="Q20" s="72">
        <v>0</v>
      </c>
      <c r="R20" s="72">
        <v>0</v>
      </c>
      <c r="S20" s="65">
        <f t="shared" si="2"/>
        <v>12723.480000000001</v>
      </c>
      <c r="T20" s="89">
        <f t="shared" si="3"/>
        <v>2799.32</v>
      </c>
      <c r="U20" s="66">
        <v>1659.13</v>
      </c>
      <c r="V20" s="66">
        <v>2245.07</v>
      </c>
      <c r="W20" s="66">
        <v>5392.11</v>
      </c>
      <c r="X20" s="66">
        <v>3738.22</v>
      </c>
      <c r="Y20" s="66">
        <v>1327.33</v>
      </c>
      <c r="Z20" s="66">
        <v>0</v>
      </c>
      <c r="AA20" s="72">
        <v>0</v>
      </c>
      <c r="AB20" s="124">
        <f t="shared" si="4"/>
        <v>14361.859999999999</v>
      </c>
      <c r="AC20" s="103">
        <f t="shared" si="5"/>
        <v>19031.626999999997</v>
      </c>
      <c r="AD20" s="92">
        <f t="shared" si="6"/>
        <v>0</v>
      </c>
      <c r="AE20" s="92">
        <f t="shared" si="7"/>
        <v>0</v>
      </c>
      <c r="AF20" s="92">
        <f>'[1]Т07-09'!$I$13+'[1]Т07-09'!$I$64</f>
        <v>9781.776319999999</v>
      </c>
      <c r="AG20" s="13">
        <f t="shared" si="16"/>
        <v>1206.4679999999998</v>
      </c>
      <c r="AH20" s="13">
        <f>B20*0.2*0.99426</f>
        <v>399.84762456000004</v>
      </c>
      <c r="AI20" s="13">
        <f>0.85*B20*0.9857</f>
        <v>1684.7219691</v>
      </c>
      <c r="AJ20" s="13">
        <f t="shared" si="8"/>
        <v>303.249954438</v>
      </c>
      <c r="AK20" s="13">
        <f>0.83*B20*0.9905</f>
        <v>1653.0923996999998</v>
      </c>
      <c r="AL20" s="13">
        <f t="shared" si="9"/>
        <v>297.5566319459999</v>
      </c>
      <c r="AM20" s="13">
        <f>(1.91)*B20*0.9904</f>
        <v>3803.7201379199996</v>
      </c>
      <c r="AN20" s="13">
        <f t="shared" si="10"/>
        <v>684.6696248256</v>
      </c>
      <c r="AO20" s="13"/>
      <c r="AP20" s="13">
        <f t="shared" si="11"/>
        <v>0</v>
      </c>
      <c r="AQ20" s="93"/>
      <c r="AR20" s="93">
        <f t="shared" si="11"/>
        <v>0</v>
      </c>
      <c r="AS20" s="71"/>
      <c r="AT20" s="71"/>
      <c r="AU20" s="71">
        <f t="shared" si="12"/>
        <v>0</v>
      </c>
      <c r="AV20" s="94">
        <v>248</v>
      </c>
      <c r="AW20" s="95">
        <v>1.375</v>
      </c>
      <c r="AX20" s="13">
        <f aca="true" t="shared" si="20" ref="AX20:AX25">AV20*AW20*1.12*1.18</f>
        <v>450.6656</v>
      </c>
      <c r="AY20" s="96"/>
      <c r="AZ20" s="97"/>
      <c r="BA20" s="97">
        <f t="shared" si="17"/>
        <v>0</v>
      </c>
      <c r="BB20" s="97">
        <f t="shared" si="14"/>
        <v>10483.991942489598</v>
      </c>
      <c r="BC20" s="126">
        <f>'[2]Т07-09'!$O$13+'[2]Т07-09'!$O$64</f>
        <v>4622.46049104</v>
      </c>
      <c r="BD20" s="27">
        <f t="shared" si="18"/>
        <v>5324.676113529599</v>
      </c>
      <c r="BE20" s="99">
        <f t="shared" si="13"/>
        <v>13706.950886470397</v>
      </c>
      <c r="BF20" s="100">
        <f t="shared" si="19"/>
        <v>1638.3799999999974</v>
      </c>
    </row>
    <row r="21" spans="1:58" ht="12.75">
      <c r="A21" s="11" t="s">
        <v>50</v>
      </c>
      <c r="B21" s="123">
        <v>2010.78</v>
      </c>
      <c r="C21" s="87">
        <f t="shared" si="1"/>
        <v>17393.247</v>
      </c>
      <c r="D21" s="135">
        <f t="shared" si="15"/>
        <v>1592.967</v>
      </c>
      <c r="E21" s="66">
        <v>1500.81</v>
      </c>
      <c r="F21" s="66">
        <v>323</v>
      </c>
      <c r="G21" s="66">
        <v>2032.38</v>
      </c>
      <c r="H21" s="66">
        <v>437.86</v>
      </c>
      <c r="I21" s="66">
        <v>4883.98</v>
      </c>
      <c r="J21" s="66">
        <v>1051.52</v>
      </c>
      <c r="K21" s="66">
        <v>3383.16</v>
      </c>
      <c r="L21" s="66">
        <v>728.55</v>
      </c>
      <c r="M21" s="66">
        <v>1200.63</v>
      </c>
      <c r="N21" s="72">
        <v>258.39</v>
      </c>
      <c r="O21" s="72">
        <v>0</v>
      </c>
      <c r="P21" s="72">
        <v>0</v>
      </c>
      <c r="Q21" s="66">
        <v>0</v>
      </c>
      <c r="R21" s="66">
        <v>0</v>
      </c>
      <c r="S21" s="65">
        <f t="shared" si="2"/>
        <v>13000.96</v>
      </c>
      <c r="T21" s="89">
        <f t="shared" si="3"/>
        <v>2799.32</v>
      </c>
      <c r="U21" s="66">
        <v>1266.4</v>
      </c>
      <c r="V21" s="66">
        <v>1714.73</v>
      </c>
      <c r="W21" s="66">
        <v>4119.13</v>
      </c>
      <c r="X21" s="66">
        <v>2854.45</v>
      </c>
      <c r="Y21" s="66">
        <v>1013.11</v>
      </c>
      <c r="Z21" s="66">
        <v>0</v>
      </c>
      <c r="AA21" s="72">
        <v>0</v>
      </c>
      <c r="AB21" s="124">
        <f t="shared" si="4"/>
        <v>10967.82</v>
      </c>
      <c r="AC21" s="103">
        <f t="shared" si="5"/>
        <v>15360.107</v>
      </c>
      <c r="AD21" s="92">
        <f t="shared" si="6"/>
        <v>0</v>
      </c>
      <c r="AE21" s="92">
        <f t="shared" si="7"/>
        <v>0</v>
      </c>
      <c r="AF21" s="92">
        <f>'[1]Т07-09'!$I$13+'[1]Т07-09'!$I$64</f>
        <v>9781.776319999999</v>
      </c>
      <c r="AG21" s="13">
        <f t="shared" si="16"/>
        <v>1206.4679999999998</v>
      </c>
      <c r="AH21" s="13">
        <f>B21*0.2*0.99875</f>
        <v>401.653305</v>
      </c>
      <c r="AI21" s="13">
        <f>0.85*B21*0.98526</f>
        <v>1683.9699373800001</v>
      </c>
      <c r="AJ21" s="13">
        <f t="shared" si="8"/>
        <v>303.1145887284</v>
      </c>
      <c r="AK21" s="13">
        <f>0.83*B21*0.99</f>
        <v>1652.2579259999998</v>
      </c>
      <c r="AL21" s="13">
        <f t="shared" si="9"/>
        <v>297.4064266799999</v>
      </c>
      <c r="AM21" s="13">
        <f>(1.91)*B21*0.99</f>
        <v>3802.1839019999998</v>
      </c>
      <c r="AN21" s="13">
        <f t="shared" si="10"/>
        <v>684.39310236</v>
      </c>
      <c r="AO21" s="13"/>
      <c r="AP21" s="13">
        <f t="shared" si="11"/>
        <v>0</v>
      </c>
      <c r="AQ21" s="93"/>
      <c r="AR21" s="93">
        <f t="shared" si="11"/>
        <v>0</v>
      </c>
      <c r="AS21" s="71"/>
      <c r="AT21" s="71"/>
      <c r="AU21" s="71">
        <f t="shared" si="12"/>
        <v>0</v>
      </c>
      <c r="AV21" s="94">
        <v>293</v>
      </c>
      <c r="AW21" s="95">
        <v>1.375</v>
      </c>
      <c r="AX21" s="13">
        <f t="shared" si="20"/>
        <v>532.4396</v>
      </c>
      <c r="AY21" s="96"/>
      <c r="AZ21" s="97"/>
      <c r="BA21" s="97">
        <f t="shared" si="17"/>
        <v>0</v>
      </c>
      <c r="BB21" s="97">
        <f t="shared" si="14"/>
        <v>10563.8867881484</v>
      </c>
      <c r="BC21" s="126">
        <f>'[2]Т08-09'!$O$13+'[2]Т08-09'!$O$65</f>
        <v>4620.360197712</v>
      </c>
      <c r="BD21" s="27">
        <f t="shared" si="18"/>
        <v>5402.470665860401</v>
      </c>
      <c r="BE21" s="99">
        <f t="shared" si="13"/>
        <v>9957.636334139599</v>
      </c>
      <c r="BF21" s="100">
        <f t="shared" si="19"/>
        <v>-2033.1399999999994</v>
      </c>
    </row>
    <row r="22" spans="1:58" ht="13.5" thickBot="1">
      <c r="A22" s="127" t="s">
        <v>51</v>
      </c>
      <c r="B22" s="86">
        <v>2010.78</v>
      </c>
      <c r="C22" s="87">
        <f t="shared" si="1"/>
        <v>17393.247</v>
      </c>
      <c r="D22" s="135">
        <f t="shared" si="15"/>
        <v>1592.967</v>
      </c>
      <c r="E22" s="65">
        <v>1500.81</v>
      </c>
      <c r="F22" s="65">
        <v>323</v>
      </c>
      <c r="G22" s="65">
        <v>2032.38</v>
      </c>
      <c r="H22" s="65">
        <v>437.86</v>
      </c>
      <c r="I22" s="65">
        <v>4883.98</v>
      </c>
      <c r="J22" s="65">
        <v>1051.52</v>
      </c>
      <c r="K22" s="65">
        <v>3383.16</v>
      </c>
      <c r="L22" s="65">
        <v>728.55</v>
      </c>
      <c r="M22" s="65">
        <v>1200.63</v>
      </c>
      <c r="N22" s="69">
        <v>258.39</v>
      </c>
      <c r="O22" s="69">
        <v>0</v>
      </c>
      <c r="P22" s="69">
        <v>0</v>
      </c>
      <c r="Q22" s="69">
        <v>0</v>
      </c>
      <c r="R22" s="69">
        <v>0</v>
      </c>
      <c r="S22" s="65">
        <f t="shared" si="2"/>
        <v>13000.96</v>
      </c>
      <c r="T22" s="89">
        <f t="shared" si="3"/>
        <v>2799.32</v>
      </c>
      <c r="U22" s="65">
        <v>1945.19</v>
      </c>
      <c r="V22" s="65">
        <v>2630.84</v>
      </c>
      <c r="W22" s="65">
        <v>6325.28</v>
      </c>
      <c r="X22" s="65">
        <v>4381.53</v>
      </c>
      <c r="Y22" s="65">
        <v>1555.75</v>
      </c>
      <c r="Z22" s="65">
        <v>0</v>
      </c>
      <c r="AA22" s="69">
        <v>0</v>
      </c>
      <c r="AB22" s="124">
        <f t="shared" si="4"/>
        <v>16838.59</v>
      </c>
      <c r="AC22" s="103">
        <f t="shared" si="5"/>
        <v>21230.877</v>
      </c>
      <c r="AD22" s="92">
        <f t="shared" si="6"/>
        <v>0</v>
      </c>
      <c r="AE22" s="92">
        <f t="shared" si="7"/>
        <v>0</v>
      </c>
      <c r="AF22" s="92">
        <f>'[1]Т07-09'!$I$13+'[1]Т07-09'!$I$64</f>
        <v>9781.776319999999</v>
      </c>
      <c r="AG22" s="13">
        <f t="shared" si="16"/>
        <v>1206.4679999999998</v>
      </c>
      <c r="AH22" s="13">
        <f>B22*0.2*0.9997</f>
        <v>402.03535320000003</v>
      </c>
      <c r="AI22" s="13">
        <f>0.85*B22*0.98509</f>
        <v>1683.6793796700001</v>
      </c>
      <c r="AJ22" s="13">
        <f t="shared" si="8"/>
        <v>303.0622883406</v>
      </c>
      <c r="AK22" s="13">
        <f>0.83*B22*0.98981</f>
        <v>1651.9408259939996</v>
      </c>
      <c r="AL22" s="13">
        <f t="shared" si="9"/>
        <v>297.3493486789199</v>
      </c>
      <c r="AM22" s="13">
        <f>(1.91)*B22*0.9898</f>
        <v>3801.41578404</v>
      </c>
      <c r="AN22" s="13">
        <f t="shared" si="10"/>
        <v>684.2548411271999</v>
      </c>
      <c r="AO22" s="13"/>
      <c r="AP22" s="13">
        <f t="shared" si="11"/>
        <v>0</v>
      </c>
      <c r="AQ22" s="93"/>
      <c r="AR22" s="93">
        <f t="shared" si="11"/>
        <v>0</v>
      </c>
      <c r="AS22" s="71"/>
      <c r="AT22" s="71"/>
      <c r="AU22" s="71">
        <f t="shared" si="12"/>
        <v>0</v>
      </c>
      <c r="AV22" s="94">
        <v>349</v>
      </c>
      <c r="AW22" s="95">
        <v>1.375</v>
      </c>
      <c r="AX22" s="13">
        <f t="shared" si="20"/>
        <v>634.2028</v>
      </c>
      <c r="AY22" s="96"/>
      <c r="AZ22" s="97"/>
      <c r="BA22" s="97">
        <f t="shared" si="17"/>
        <v>0</v>
      </c>
      <c r="BB22" s="97">
        <f t="shared" si="14"/>
        <v>10664.40862105072</v>
      </c>
      <c r="BC22" s="126">
        <f>'[2]Т09-09'!$O$13+'[2]Т09-09'!$O$65</f>
        <v>4619.661395764801</v>
      </c>
      <c r="BD22" s="136">
        <f t="shared" si="18"/>
        <v>5502.293696815521</v>
      </c>
      <c r="BE22" s="99">
        <f t="shared" si="13"/>
        <v>15728.58330318448</v>
      </c>
      <c r="BF22" s="137">
        <f t="shared" si="19"/>
        <v>3837.630000000001</v>
      </c>
    </row>
    <row r="23" spans="1:58" ht="12.75">
      <c r="A23" s="138" t="s">
        <v>39</v>
      </c>
      <c r="B23" s="86">
        <v>2010.78</v>
      </c>
      <c r="C23" s="139">
        <f t="shared" si="1"/>
        <v>17393.247</v>
      </c>
      <c r="D23" s="135">
        <f t="shared" si="15"/>
        <v>1571.0770000000002</v>
      </c>
      <c r="E23" s="67">
        <v>1514.99</v>
      </c>
      <c r="F23" s="65">
        <v>311.4</v>
      </c>
      <c r="G23" s="65">
        <v>2051.44</v>
      </c>
      <c r="H23" s="65">
        <v>422.14</v>
      </c>
      <c r="I23" s="65">
        <v>4930</v>
      </c>
      <c r="J23" s="65">
        <v>1013.74</v>
      </c>
      <c r="K23" s="65">
        <v>3415</v>
      </c>
      <c r="L23" s="65">
        <v>702.38</v>
      </c>
      <c r="M23" s="65">
        <v>1211.97</v>
      </c>
      <c r="N23" s="69">
        <v>249.11</v>
      </c>
      <c r="O23" s="69">
        <v>0</v>
      </c>
      <c r="P23" s="69">
        <v>0</v>
      </c>
      <c r="Q23" s="65">
        <v>0</v>
      </c>
      <c r="R23" s="65">
        <v>0</v>
      </c>
      <c r="S23" s="65">
        <f t="shared" si="2"/>
        <v>13123.4</v>
      </c>
      <c r="T23" s="89">
        <f t="shared" si="3"/>
        <v>2698.77</v>
      </c>
      <c r="U23" s="68">
        <f>1142.98+665.21</f>
        <v>1808.19</v>
      </c>
      <c r="V23" s="65">
        <f>1547.5+900.89</f>
        <v>2448.39</v>
      </c>
      <c r="W23" s="65">
        <f>3719.43+2163.85</f>
        <v>5883.28</v>
      </c>
      <c r="X23" s="65">
        <f>2576.41+1499.61</f>
        <v>4076.0199999999995</v>
      </c>
      <c r="Y23" s="65">
        <f>914.76+532.14</f>
        <v>1446.9</v>
      </c>
      <c r="Z23" s="65">
        <v>0</v>
      </c>
      <c r="AA23" s="69">
        <v>0</v>
      </c>
      <c r="AB23" s="69">
        <f>SUM(U23:AA23)</f>
        <v>15662.78</v>
      </c>
      <c r="AC23" s="103">
        <f>AB23+T23+D23</f>
        <v>19932.627</v>
      </c>
      <c r="AD23" s="92">
        <f t="shared" si="6"/>
        <v>0</v>
      </c>
      <c r="AE23" s="92">
        <f t="shared" si="7"/>
        <v>0</v>
      </c>
      <c r="AF23" s="92">
        <f>'[3]Т10'!$I$13+'[3]Т10'!$I$69</f>
        <v>9781.776319999999</v>
      </c>
      <c r="AG23" s="13">
        <f t="shared" si="16"/>
        <v>1206.4679999999998</v>
      </c>
      <c r="AH23" s="13">
        <f>B23*0.2</f>
        <v>402.156</v>
      </c>
      <c r="AI23" s="13">
        <f>0.847*B23</f>
        <v>1703.13066</v>
      </c>
      <c r="AJ23" s="13">
        <f t="shared" si="8"/>
        <v>306.5635188</v>
      </c>
      <c r="AK23" s="13">
        <f>0.83*B23</f>
        <v>1668.9473999999998</v>
      </c>
      <c r="AL23" s="13">
        <f t="shared" si="9"/>
        <v>300.41053199999993</v>
      </c>
      <c r="AM23" s="13">
        <f>(2.25/1.18)*B23</f>
        <v>3834.114406779661</v>
      </c>
      <c r="AN23" s="13">
        <f t="shared" si="10"/>
        <v>690.1405932203389</v>
      </c>
      <c r="AO23" s="13"/>
      <c r="AP23" s="13">
        <f t="shared" si="11"/>
        <v>0</v>
      </c>
      <c r="AQ23" s="93">
        <f>663.35+7355.4</f>
        <v>8018.75</v>
      </c>
      <c r="AR23" s="93">
        <f t="shared" si="11"/>
        <v>1443.375</v>
      </c>
      <c r="AS23" s="71">
        <v>1582.02</v>
      </c>
      <c r="AT23" s="71"/>
      <c r="AU23" s="71">
        <f t="shared" si="12"/>
        <v>284.7636</v>
      </c>
      <c r="AV23" s="94">
        <v>425</v>
      </c>
      <c r="AW23" s="95">
        <v>1.375</v>
      </c>
      <c r="AX23" s="13">
        <f t="shared" si="20"/>
        <v>772.3100000000001</v>
      </c>
      <c r="AY23" s="96"/>
      <c r="AZ23" s="140"/>
      <c r="BA23" s="97">
        <f t="shared" si="17"/>
        <v>0</v>
      </c>
      <c r="BB23" s="97">
        <f>SUM(AG23:AU23)+AX23+AY23+AZ23+BA23</f>
        <v>22213.1497108</v>
      </c>
      <c r="BC23" s="126">
        <f>'[4]Т10'!$O$13+'[4]Т10'!$O$69</f>
        <v>4655.780184</v>
      </c>
      <c r="BD23" s="141">
        <f t="shared" si="18"/>
        <v>17087.153574800002</v>
      </c>
      <c r="BE23" s="99">
        <f t="shared" si="13"/>
        <v>2845.473425199999</v>
      </c>
      <c r="BF23" s="99">
        <f t="shared" si="19"/>
        <v>2539.380000000001</v>
      </c>
    </row>
    <row r="24" spans="1:58" ht="12.75">
      <c r="A24" s="11" t="s">
        <v>40</v>
      </c>
      <c r="B24" s="123">
        <v>2010.58</v>
      </c>
      <c r="C24" s="139">
        <f t="shared" si="1"/>
        <v>17391.517</v>
      </c>
      <c r="D24" s="135">
        <f t="shared" si="15"/>
        <v>1560.5570000000007</v>
      </c>
      <c r="E24" s="65">
        <v>1519.62</v>
      </c>
      <c r="F24" s="65">
        <v>307.81</v>
      </c>
      <c r="G24" s="65">
        <v>2057.68</v>
      </c>
      <c r="H24" s="65">
        <v>417.26</v>
      </c>
      <c r="I24" s="65">
        <v>4945.01</v>
      </c>
      <c r="J24" s="65">
        <v>1002.04</v>
      </c>
      <c r="K24" s="65">
        <v>3425.37</v>
      </c>
      <c r="L24" s="65">
        <v>694.27</v>
      </c>
      <c r="M24" s="65">
        <v>1215.67</v>
      </c>
      <c r="N24" s="69">
        <v>246.23</v>
      </c>
      <c r="O24" s="69">
        <v>0</v>
      </c>
      <c r="P24" s="69">
        <v>0</v>
      </c>
      <c r="Q24" s="69">
        <v>0</v>
      </c>
      <c r="R24" s="69">
        <v>0</v>
      </c>
      <c r="S24" s="65">
        <f t="shared" si="2"/>
        <v>13163.35</v>
      </c>
      <c r="T24" s="89">
        <f t="shared" si="3"/>
        <v>2667.61</v>
      </c>
      <c r="U24" s="65">
        <v>1845.57</v>
      </c>
      <c r="V24" s="65">
        <v>2497.2</v>
      </c>
      <c r="W24" s="65">
        <v>6003.12</v>
      </c>
      <c r="X24" s="65">
        <v>4158.19</v>
      </c>
      <c r="Y24" s="65">
        <v>1476.45</v>
      </c>
      <c r="Z24" s="65">
        <v>0</v>
      </c>
      <c r="AA24" s="69">
        <v>0</v>
      </c>
      <c r="AB24" s="69">
        <f>SUM(U24:AA24)</f>
        <v>15980.529999999999</v>
      </c>
      <c r="AC24" s="103">
        <f>D24+T24+AB24</f>
        <v>20208.697</v>
      </c>
      <c r="AD24" s="92">
        <f t="shared" si="6"/>
        <v>0</v>
      </c>
      <c r="AE24" s="92">
        <f t="shared" si="7"/>
        <v>0</v>
      </c>
      <c r="AF24" s="92">
        <f>'[3]Т11'!$I$13+'[3]Т11'!$I$69</f>
        <v>9781.776319999999</v>
      </c>
      <c r="AG24" s="13">
        <f t="shared" si="16"/>
        <v>1206.348</v>
      </c>
      <c r="AH24" s="13">
        <f>B24*0.2</f>
        <v>402.116</v>
      </c>
      <c r="AI24" s="13">
        <f>0.85*B24</f>
        <v>1708.993</v>
      </c>
      <c r="AJ24" s="13">
        <f t="shared" si="8"/>
        <v>307.61874</v>
      </c>
      <c r="AK24" s="13">
        <f>0.83*B24</f>
        <v>1668.7813999999998</v>
      </c>
      <c r="AL24" s="13">
        <f t="shared" si="9"/>
        <v>300.38065199999994</v>
      </c>
      <c r="AM24" s="13">
        <f>(1.91)*B24</f>
        <v>3840.2077999999997</v>
      </c>
      <c r="AN24" s="13">
        <f t="shared" si="10"/>
        <v>691.237404</v>
      </c>
      <c r="AO24" s="13"/>
      <c r="AP24" s="13">
        <f t="shared" si="11"/>
        <v>0</v>
      </c>
      <c r="AQ24" s="93"/>
      <c r="AR24" s="93">
        <f t="shared" si="11"/>
        <v>0</v>
      </c>
      <c r="AS24" s="71">
        <v>8050</v>
      </c>
      <c r="AT24" s="71"/>
      <c r="AU24" s="71">
        <f t="shared" si="12"/>
        <v>1449</v>
      </c>
      <c r="AV24" s="94">
        <v>470</v>
      </c>
      <c r="AW24" s="95">
        <v>1.375</v>
      </c>
      <c r="AX24" s="13">
        <f t="shared" si="20"/>
        <v>854.0840000000001</v>
      </c>
      <c r="AY24" s="96"/>
      <c r="AZ24" s="97"/>
      <c r="BA24" s="97">
        <f t="shared" si="17"/>
        <v>0</v>
      </c>
      <c r="BB24" s="97">
        <f>SUM(AG24:AU24)+AX24+AY24+AZ24+BA24</f>
        <v>20478.766996</v>
      </c>
      <c r="BC24" s="98">
        <f>'[3]Т11'!$O$13+'[3]Т11'!$O$69</f>
        <v>4662.31248</v>
      </c>
      <c r="BD24" s="40">
        <f t="shared" si="18"/>
        <v>15359.303155999998</v>
      </c>
      <c r="BE24" s="99">
        <f t="shared" si="13"/>
        <v>4849.393844000001</v>
      </c>
      <c r="BF24" s="99">
        <f t="shared" si="19"/>
        <v>2817.1799999999985</v>
      </c>
    </row>
    <row r="25" spans="1:58" s="101" customFormat="1" ht="12.75">
      <c r="A25" s="85" t="s">
        <v>41</v>
      </c>
      <c r="B25" s="86">
        <v>2010.58</v>
      </c>
      <c r="C25" s="139">
        <f t="shared" si="1"/>
        <v>17391.517</v>
      </c>
      <c r="D25" s="135">
        <f t="shared" si="15"/>
        <v>1710.7270000000021</v>
      </c>
      <c r="E25" s="65">
        <v>1502.87</v>
      </c>
      <c r="F25" s="65">
        <v>307.34</v>
      </c>
      <c r="G25" s="65">
        <v>2034.65</v>
      </c>
      <c r="H25" s="65">
        <v>416.63</v>
      </c>
      <c r="I25" s="65">
        <v>4890.16</v>
      </c>
      <c r="J25" s="65">
        <v>1000.54</v>
      </c>
      <c r="K25" s="65">
        <v>3387.27</v>
      </c>
      <c r="L25" s="65">
        <v>693.22</v>
      </c>
      <c r="M25" s="65">
        <v>1202.25</v>
      </c>
      <c r="N25" s="69">
        <v>245.86</v>
      </c>
      <c r="O25" s="69">
        <v>0</v>
      </c>
      <c r="P25" s="69">
        <v>0</v>
      </c>
      <c r="Q25" s="69"/>
      <c r="R25" s="69"/>
      <c r="S25" s="65">
        <f t="shared" si="2"/>
        <v>13017.2</v>
      </c>
      <c r="T25" s="89">
        <f t="shared" si="3"/>
        <v>2663.59</v>
      </c>
      <c r="U25" s="65">
        <v>2767.43</v>
      </c>
      <c r="V25" s="65">
        <v>3742.17</v>
      </c>
      <c r="W25" s="65">
        <v>8999.93</v>
      </c>
      <c r="X25" s="65">
        <v>6232.9</v>
      </c>
      <c r="Y25" s="65">
        <v>2213.95</v>
      </c>
      <c r="Z25" s="65">
        <v>0</v>
      </c>
      <c r="AA25" s="69">
        <v>0</v>
      </c>
      <c r="AB25" s="69">
        <f>SUM(U25:AA25)</f>
        <v>23956.38</v>
      </c>
      <c r="AC25" s="103">
        <f>D25+T25+AB25</f>
        <v>28330.697000000004</v>
      </c>
      <c r="AD25" s="92">
        <f t="shared" si="6"/>
        <v>0</v>
      </c>
      <c r="AE25" s="92">
        <f t="shared" si="7"/>
        <v>0</v>
      </c>
      <c r="AF25" s="92">
        <f>'[3]Т12'!$I$13+'[3]Т12'!$I$70</f>
        <v>9781.776319999999</v>
      </c>
      <c r="AG25" s="13">
        <f t="shared" si="16"/>
        <v>1206.348</v>
      </c>
      <c r="AH25" s="13">
        <f>B25*0.2</f>
        <v>402.116</v>
      </c>
      <c r="AI25" s="13">
        <f>0.85*B25</f>
        <v>1708.993</v>
      </c>
      <c r="AJ25" s="13">
        <f t="shared" si="8"/>
        <v>307.61874</v>
      </c>
      <c r="AK25" s="13">
        <f>0.83*B25</f>
        <v>1668.7813999999998</v>
      </c>
      <c r="AL25" s="13">
        <f t="shared" si="9"/>
        <v>300.38065199999994</v>
      </c>
      <c r="AM25" s="13">
        <f>(1.91)*B25</f>
        <v>3840.2077999999997</v>
      </c>
      <c r="AN25" s="13">
        <f t="shared" si="10"/>
        <v>691.237404</v>
      </c>
      <c r="AO25" s="13">
        <v>2652.66</v>
      </c>
      <c r="AP25" s="13">
        <f t="shared" si="11"/>
        <v>477.4788</v>
      </c>
      <c r="AQ25" s="93"/>
      <c r="AR25" s="93">
        <f t="shared" si="11"/>
        <v>0</v>
      </c>
      <c r="AS25" s="71">
        <v>0</v>
      </c>
      <c r="AT25" s="71"/>
      <c r="AU25" s="71">
        <f t="shared" si="12"/>
        <v>0</v>
      </c>
      <c r="AV25" s="94">
        <v>514</v>
      </c>
      <c r="AW25" s="95">
        <v>1.375</v>
      </c>
      <c r="AX25" s="13">
        <f t="shared" si="20"/>
        <v>934.0408</v>
      </c>
      <c r="AY25" s="96"/>
      <c r="AZ25" s="97"/>
      <c r="BA25" s="97">
        <f t="shared" si="17"/>
        <v>0</v>
      </c>
      <c r="BB25" s="97">
        <f>SUM(AG25:BA25)-AV25-AW25</f>
        <v>14189.862596</v>
      </c>
      <c r="BC25" s="98">
        <f>'[3]Т12'!$O$13+'[3]Т12'!$O$70</f>
        <v>4662.31248</v>
      </c>
      <c r="BD25" s="46">
        <f t="shared" si="18"/>
        <v>9070.398756000002</v>
      </c>
      <c r="BE25" s="99">
        <f t="shared" si="13"/>
        <v>19260.298244</v>
      </c>
      <c r="BF25" s="99">
        <f>AB25-S25</f>
        <v>10939.18</v>
      </c>
    </row>
    <row r="26" spans="1:58" s="16" customFormat="1" ht="12.75">
      <c r="A26" s="14" t="s">
        <v>3</v>
      </c>
      <c r="B26" s="49"/>
      <c r="C26" s="49">
        <f>SUM(C14:C25)</f>
        <v>208715.504</v>
      </c>
      <c r="D26" s="49">
        <f aca="true" t="shared" si="21" ref="D26:BF26">SUM(D14:D25)</f>
        <v>25002.849500000004</v>
      </c>
      <c r="E26" s="49">
        <f t="shared" si="21"/>
        <v>16972.379999999997</v>
      </c>
      <c r="F26" s="49">
        <f t="shared" si="21"/>
        <v>3713.92</v>
      </c>
      <c r="G26" s="49">
        <f t="shared" si="21"/>
        <v>22961.84</v>
      </c>
      <c r="H26" s="49">
        <f t="shared" si="21"/>
        <v>5028.130000000001</v>
      </c>
      <c r="I26" s="49">
        <f t="shared" si="21"/>
        <v>55209.380000000005</v>
      </c>
      <c r="J26" s="49">
        <f t="shared" si="21"/>
        <v>12084.170000000002</v>
      </c>
      <c r="K26" s="49">
        <f t="shared" si="21"/>
        <v>38237.049999999996</v>
      </c>
      <c r="L26" s="49">
        <f t="shared" si="21"/>
        <v>8370.48</v>
      </c>
      <c r="M26" s="49">
        <f t="shared" si="21"/>
        <v>13577.52</v>
      </c>
      <c r="N26" s="49">
        <f t="shared" si="21"/>
        <v>2971.08</v>
      </c>
      <c r="O26" s="49">
        <f t="shared" si="21"/>
        <v>0</v>
      </c>
      <c r="P26" s="49">
        <f t="shared" si="21"/>
        <v>0</v>
      </c>
      <c r="Q26" s="49">
        <f t="shared" si="21"/>
        <v>0</v>
      </c>
      <c r="R26" s="49">
        <f t="shared" si="21"/>
        <v>0</v>
      </c>
      <c r="S26" s="49">
        <f t="shared" si="21"/>
        <v>146958.17</v>
      </c>
      <c r="T26" s="49">
        <f t="shared" si="21"/>
        <v>32167.78</v>
      </c>
      <c r="U26" s="49">
        <f t="shared" si="21"/>
        <v>18331.76</v>
      </c>
      <c r="V26" s="49">
        <f t="shared" si="21"/>
        <v>24789.269999999997</v>
      </c>
      <c r="W26" s="49">
        <f t="shared" si="21"/>
        <v>59104.19</v>
      </c>
      <c r="X26" s="49">
        <f t="shared" si="21"/>
        <v>41285.11</v>
      </c>
      <c r="Y26" s="49">
        <f t="shared" si="21"/>
        <v>14666.73</v>
      </c>
      <c r="Z26" s="49">
        <f t="shared" si="21"/>
        <v>0</v>
      </c>
      <c r="AA26" s="49">
        <f t="shared" si="21"/>
        <v>0</v>
      </c>
      <c r="AB26" s="49">
        <f t="shared" si="21"/>
        <v>158177.06</v>
      </c>
      <c r="AC26" s="49">
        <f t="shared" si="21"/>
        <v>215347.6895</v>
      </c>
      <c r="AD26" s="49">
        <f t="shared" si="21"/>
        <v>0</v>
      </c>
      <c r="AE26" s="49">
        <f t="shared" si="21"/>
        <v>0</v>
      </c>
      <c r="AF26" s="49">
        <f t="shared" si="21"/>
        <v>78234.45612</v>
      </c>
      <c r="AG26" s="49">
        <f t="shared" si="21"/>
        <v>13994.788799999998</v>
      </c>
      <c r="AH26" s="49">
        <f t="shared" si="21"/>
        <v>4685.46368536</v>
      </c>
      <c r="AI26" s="49">
        <f t="shared" si="21"/>
        <v>19565.14771485</v>
      </c>
      <c r="AJ26" s="49">
        <f t="shared" si="21"/>
        <v>3521.7265886729997</v>
      </c>
      <c r="AK26" s="49">
        <f t="shared" si="21"/>
        <v>19017.340312473996</v>
      </c>
      <c r="AL26" s="49">
        <f t="shared" si="21"/>
        <v>3423.121256245319</v>
      </c>
      <c r="AM26" s="49">
        <f t="shared" si="21"/>
        <v>43756.66543675965</v>
      </c>
      <c r="AN26" s="49">
        <f t="shared" si="21"/>
        <v>7876.199778616738</v>
      </c>
      <c r="AO26" s="49">
        <f t="shared" si="21"/>
        <v>2652.66</v>
      </c>
      <c r="AP26" s="49">
        <f t="shared" si="21"/>
        <v>477.4788</v>
      </c>
      <c r="AQ26" s="142">
        <f t="shared" si="21"/>
        <v>8018.75</v>
      </c>
      <c r="AR26" s="142">
        <f t="shared" si="21"/>
        <v>1443.375</v>
      </c>
      <c r="AS26" s="47">
        <f t="shared" si="21"/>
        <v>44351.329999999994</v>
      </c>
      <c r="AT26" s="47">
        <f t="shared" si="21"/>
        <v>2568</v>
      </c>
      <c r="AU26" s="47">
        <f t="shared" si="21"/>
        <v>8445.489400000002</v>
      </c>
      <c r="AV26" s="49">
        <f t="shared" si="21"/>
        <v>4400</v>
      </c>
      <c r="AW26" s="49">
        <f t="shared" si="21"/>
        <v>16.5</v>
      </c>
      <c r="AX26" s="49">
        <f t="shared" si="21"/>
        <v>10354.405600000002</v>
      </c>
      <c r="AY26" s="49">
        <f t="shared" si="21"/>
        <v>0</v>
      </c>
      <c r="AZ26" s="49">
        <f t="shared" si="21"/>
        <v>0</v>
      </c>
      <c r="BA26" s="49">
        <f t="shared" si="21"/>
        <v>0</v>
      </c>
      <c r="BB26" s="49">
        <f t="shared" si="21"/>
        <v>191793.2167729787</v>
      </c>
      <c r="BC26" s="49">
        <f t="shared" si="21"/>
        <v>36403.913649756796</v>
      </c>
      <c r="BD26" s="49">
        <f t="shared" si="21"/>
        <v>143645.77821478192</v>
      </c>
      <c r="BE26" s="49">
        <f t="shared" si="21"/>
        <v>65385.01519726448</v>
      </c>
      <c r="BF26" s="143">
        <f t="shared" si="21"/>
        <v>11218.89</v>
      </c>
    </row>
    <row r="27" spans="1:58" s="16" customFormat="1" ht="12.75">
      <c r="A27" s="14"/>
      <c r="B27" s="49"/>
      <c r="C27" s="49"/>
      <c r="D27" s="49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50"/>
      <c r="V27" s="50"/>
      <c r="W27" s="50"/>
      <c r="X27" s="50"/>
      <c r="Y27" s="50"/>
      <c r="Z27" s="50"/>
      <c r="AA27" s="50"/>
      <c r="AB27" s="50"/>
      <c r="AC27" s="50"/>
      <c r="AD27" s="144"/>
      <c r="AE27" s="144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70"/>
      <c r="AQ27" s="145"/>
      <c r="AR27" s="145"/>
      <c r="AS27" s="70"/>
      <c r="AT27" s="70"/>
      <c r="AU27" s="70"/>
      <c r="AV27" s="15"/>
      <c r="AW27" s="15"/>
      <c r="AX27" s="146"/>
      <c r="AY27" s="57"/>
      <c r="AZ27" s="57"/>
      <c r="BA27" s="57"/>
      <c r="BB27" s="57"/>
      <c r="BC27" s="57"/>
      <c r="BD27" s="57"/>
      <c r="BE27" s="57"/>
      <c r="BF27" s="147"/>
    </row>
    <row r="28" spans="1:58" s="16" customFormat="1" ht="13.5" thickBot="1">
      <c r="A28" s="18" t="s">
        <v>52</v>
      </c>
      <c r="B28" s="19"/>
      <c r="C28" s="19">
        <f>C12+C26</f>
        <v>260895.764</v>
      </c>
      <c r="D28" s="19">
        <f aca="true" t="shared" si="22" ref="D28:BF28">D12+D26</f>
        <v>37562.812016200005</v>
      </c>
      <c r="E28" s="19">
        <f t="shared" si="22"/>
        <v>21086.19</v>
      </c>
      <c r="F28" s="19">
        <f t="shared" si="22"/>
        <v>4589.34</v>
      </c>
      <c r="G28" s="19">
        <f t="shared" si="22"/>
        <v>28515.53</v>
      </c>
      <c r="H28" s="19">
        <f t="shared" si="22"/>
        <v>6210.030000000001</v>
      </c>
      <c r="I28" s="19">
        <f t="shared" si="22"/>
        <v>68579.35</v>
      </c>
      <c r="J28" s="19">
        <f t="shared" si="22"/>
        <v>14929.300000000003</v>
      </c>
      <c r="K28" s="19">
        <f t="shared" si="22"/>
        <v>47493.17999999999</v>
      </c>
      <c r="L28" s="19">
        <f t="shared" si="22"/>
        <v>10340.189999999999</v>
      </c>
      <c r="M28" s="19">
        <f t="shared" si="22"/>
        <v>16868.57</v>
      </c>
      <c r="N28" s="19">
        <f t="shared" si="22"/>
        <v>3671.43</v>
      </c>
      <c r="O28" s="19">
        <f t="shared" si="22"/>
        <v>0</v>
      </c>
      <c r="P28" s="19">
        <f t="shared" si="22"/>
        <v>0</v>
      </c>
      <c r="Q28" s="19">
        <f t="shared" si="22"/>
        <v>0</v>
      </c>
      <c r="R28" s="19">
        <f t="shared" si="22"/>
        <v>0</v>
      </c>
      <c r="S28" s="19">
        <f t="shared" si="22"/>
        <v>182542.82</v>
      </c>
      <c r="T28" s="19">
        <f t="shared" si="22"/>
        <v>39740.29</v>
      </c>
      <c r="U28" s="19">
        <f t="shared" si="22"/>
        <v>20417.12</v>
      </c>
      <c r="V28" s="19">
        <f t="shared" si="22"/>
        <v>27601.899999999998</v>
      </c>
      <c r="W28" s="19">
        <f t="shared" si="22"/>
        <v>66395.19</v>
      </c>
      <c r="X28" s="19">
        <f t="shared" si="22"/>
        <v>45977.17</v>
      </c>
      <c r="Y28" s="19">
        <f t="shared" si="22"/>
        <v>16333.349999999999</v>
      </c>
      <c r="Z28" s="19">
        <f t="shared" si="22"/>
        <v>0</v>
      </c>
      <c r="AA28" s="19">
        <f t="shared" si="22"/>
        <v>0</v>
      </c>
      <c r="AB28" s="19">
        <f t="shared" si="22"/>
        <v>176724.72999999998</v>
      </c>
      <c r="AC28" s="19">
        <f t="shared" si="22"/>
        <v>254027.8320162</v>
      </c>
      <c r="AD28" s="19">
        <f t="shared" si="22"/>
        <v>0</v>
      </c>
      <c r="AE28" s="19">
        <f t="shared" si="22"/>
        <v>0</v>
      </c>
      <c r="AF28" s="19">
        <f t="shared" si="22"/>
        <v>78234.45612</v>
      </c>
      <c r="AG28" s="19">
        <f t="shared" si="22"/>
        <v>17614.228799999997</v>
      </c>
      <c r="AH28" s="19">
        <f t="shared" si="22"/>
        <v>5927.53484536</v>
      </c>
      <c r="AI28" s="19">
        <f t="shared" si="22"/>
        <v>24698.55925085</v>
      </c>
      <c r="AJ28" s="19">
        <f>AJ12+AJ26</f>
        <v>4445.740665153</v>
      </c>
      <c r="AK28" s="19">
        <f t="shared" si="22"/>
        <v>24991.216380633996</v>
      </c>
      <c r="AL28" s="19">
        <f t="shared" si="22"/>
        <v>4498.418948514119</v>
      </c>
      <c r="AM28" s="19">
        <f t="shared" si="22"/>
        <v>54727.53453759965</v>
      </c>
      <c r="AN28" s="19">
        <f t="shared" si="22"/>
        <v>9850.956216767938</v>
      </c>
      <c r="AO28" s="19">
        <f t="shared" si="22"/>
        <v>2652.66</v>
      </c>
      <c r="AP28" s="19">
        <f t="shared" si="22"/>
        <v>477.4788</v>
      </c>
      <c r="AQ28" s="148">
        <f t="shared" si="22"/>
        <v>8018.75</v>
      </c>
      <c r="AR28" s="148">
        <f t="shared" si="22"/>
        <v>1443.375</v>
      </c>
      <c r="AS28" s="44">
        <f t="shared" si="22"/>
        <v>74944.73</v>
      </c>
      <c r="AT28" s="44">
        <f t="shared" si="22"/>
        <v>2568</v>
      </c>
      <c r="AU28" s="44">
        <f t="shared" si="22"/>
        <v>13952.301400000002</v>
      </c>
      <c r="AV28" s="19">
        <f t="shared" si="22"/>
        <v>4400</v>
      </c>
      <c r="AW28" s="19">
        <f t="shared" si="22"/>
        <v>16.5</v>
      </c>
      <c r="AX28" s="19">
        <f t="shared" si="22"/>
        <v>10354.405600000002</v>
      </c>
      <c r="AY28" s="19">
        <f t="shared" si="22"/>
        <v>0</v>
      </c>
      <c r="AZ28" s="19">
        <f t="shared" si="22"/>
        <v>0</v>
      </c>
      <c r="BA28" s="19">
        <f t="shared" si="22"/>
        <v>0</v>
      </c>
      <c r="BB28" s="19">
        <f t="shared" si="22"/>
        <v>258807.1648448787</v>
      </c>
      <c r="BC28" s="19">
        <f t="shared" si="22"/>
        <v>36403.913649756796</v>
      </c>
      <c r="BD28" s="19">
        <f t="shared" si="22"/>
        <v>210659.72628668192</v>
      </c>
      <c r="BE28" s="19">
        <f t="shared" si="22"/>
        <v>37051.20964156448</v>
      </c>
      <c r="BF28" s="19">
        <f t="shared" si="22"/>
        <v>-5818.090000000004</v>
      </c>
    </row>
    <row r="29" spans="1:58" ht="15" customHeight="1">
      <c r="A29" s="7" t="s">
        <v>89</v>
      </c>
      <c r="B29" s="108"/>
      <c r="C29" s="109"/>
      <c r="D29" s="109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1"/>
      <c r="P29" s="112"/>
      <c r="Q29" s="113"/>
      <c r="R29" s="113"/>
      <c r="S29" s="113"/>
      <c r="T29" s="113"/>
      <c r="U29" s="114"/>
      <c r="V29" s="114"/>
      <c r="W29" s="114"/>
      <c r="X29" s="114"/>
      <c r="Y29" s="114"/>
      <c r="Z29" s="114"/>
      <c r="AA29" s="115"/>
      <c r="AB29" s="115"/>
      <c r="AC29" s="116"/>
      <c r="AD29" s="117"/>
      <c r="AE29" s="117"/>
      <c r="AF29" s="38"/>
      <c r="AG29" s="38"/>
      <c r="AH29" s="38"/>
      <c r="AI29" s="38"/>
      <c r="AJ29" s="38"/>
      <c r="AK29" s="38"/>
      <c r="AL29" s="38"/>
      <c r="AM29" s="38"/>
      <c r="AN29" s="118"/>
      <c r="AO29" s="118"/>
      <c r="AP29" s="118"/>
      <c r="AQ29" s="119"/>
      <c r="AR29" s="120"/>
      <c r="AS29" s="121"/>
      <c r="AT29" s="121"/>
      <c r="AU29" s="122"/>
      <c r="AV29" s="38"/>
      <c r="AW29" s="38"/>
      <c r="AX29" s="40"/>
      <c r="AY29" s="1"/>
      <c r="AZ29" s="1"/>
      <c r="BA29" s="1"/>
      <c r="BB29" s="1"/>
      <c r="BC29" s="1"/>
      <c r="BD29" s="1"/>
      <c r="BE29" s="1"/>
      <c r="BF29" s="83"/>
    </row>
    <row r="30" spans="1:58" ht="12.75">
      <c r="A30" s="11" t="s">
        <v>43</v>
      </c>
      <c r="B30" s="86">
        <v>2010.58</v>
      </c>
      <c r="C30" s="139">
        <f aca="true" t="shared" si="23" ref="C30:C41">B30*8.65</f>
        <v>17391.517</v>
      </c>
      <c r="D30" s="135">
        <f aca="true" t="shared" si="24" ref="D30:D38">C30-E30-F30-G30-H30-I30-J30-K30-L30-M30-N30</f>
        <v>1530.2769999999987</v>
      </c>
      <c r="E30" s="65">
        <v>1523.78</v>
      </c>
      <c r="F30" s="65">
        <v>307.21</v>
      </c>
      <c r="G30" s="65">
        <v>2063.11</v>
      </c>
      <c r="H30" s="65">
        <v>416.45</v>
      </c>
      <c r="I30" s="65">
        <v>4958.36</v>
      </c>
      <c r="J30" s="65">
        <v>1000.1</v>
      </c>
      <c r="K30" s="65">
        <v>3434.56</v>
      </c>
      <c r="L30" s="65">
        <v>692.92</v>
      </c>
      <c r="M30" s="65">
        <v>1219</v>
      </c>
      <c r="N30" s="69">
        <v>245.75</v>
      </c>
      <c r="O30" s="69">
        <v>0</v>
      </c>
      <c r="P30" s="69">
        <v>0</v>
      </c>
      <c r="Q30" s="69"/>
      <c r="R30" s="69"/>
      <c r="S30" s="65">
        <f aca="true" t="shared" si="25" ref="S30:S41">E30+G30+I30+K30+M30+O30+Q30</f>
        <v>13198.81</v>
      </c>
      <c r="T30" s="89">
        <f aca="true" t="shared" si="26" ref="T30:T41">P30+N30+L30+J30+H30+F30+R30</f>
        <v>2662.43</v>
      </c>
      <c r="U30" s="65">
        <v>965.29</v>
      </c>
      <c r="V30" s="65">
        <v>1307.33</v>
      </c>
      <c r="W30" s="65">
        <v>3141.14</v>
      </c>
      <c r="X30" s="65">
        <v>2176.09</v>
      </c>
      <c r="Y30" s="65">
        <v>772.24</v>
      </c>
      <c r="Z30" s="65">
        <v>0</v>
      </c>
      <c r="AA30" s="69">
        <v>0</v>
      </c>
      <c r="AB30" s="69">
        <f>SUM(U30:AA30)</f>
        <v>8362.09</v>
      </c>
      <c r="AC30" s="103">
        <f aca="true" t="shared" si="27" ref="AC30:AC41">D30+T30+AB30</f>
        <v>12554.796999999999</v>
      </c>
      <c r="AD30" s="92">
        <f aca="true" t="shared" si="28" ref="AD30:AD41">P30+Z30</f>
        <v>0</v>
      </c>
      <c r="AE30" s="92">
        <f aca="true" t="shared" si="29" ref="AE30:AE41">R30+AA30</f>
        <v>0</v>
      </c>
      <c r="AF30" s="92">
        <f>'[5]Т01-10'!$I$13+'[5]Т01-10'!$I$67</f>
        <v>9781.776319999999</v>
      </c>
      <c r="AG30" s="13">
        <f aca="true" t="shared" si="30" ref="AG30:AG41">0.6*B30</f>
        <v>1206.348</v>
      </c>
      <c r="AH30" s="13">
        <f aca="true" t="shared" si="31" ref="AH30:AH41">B30*0.2</f>
        <v>402.116</v>
      </c>
      <c r="AI30" s="13">
        <f aca="true" t="shared" si="32" ref="AI30:AI41">1*B30</f>
        <v>2010.58</v>
      </c>
      <c r="AJ30" s="13">
        <v>0</v>
      </c>
      <c r="AK30" s="13">
        <f aca="true" t="shared" si="33" ref="AK30:AK41">0.98*B30</f>
        <v>1970.3683999999998</v>
      </c>
      <c r="AL30" s="13">
        <v>0</v>
      </c>
      <c r="AM30" s="13">
        <f aca="true" t="shared" si="34" ref="AM30:AM41">2.25*B30</f>
        <v>4523.805</v>
      </c>
      <c r="AN30" s="13">
        <v>0</v>
      </c>
      <c r="AO30" s="13"/>
      <c r="AP30" s="13">
        <v>0</v>
      </c>
      <c r="AQ30" s="93"/>
      <c r="AR30" s="93"/>
      <c r="AS30" s="71">
        <v>0</v>
      </c>
      <c r="AT30" s="71">
        <v>86</v>
      </c>
      <c r="AU30" s="71">
        <f>AT30*0.18</f>
        <v>15.479999999999999</v>
      </c>
      <c r="AV30" s="94">
        <v>508</v>
      </c>
      <c r="AW30" s="95">
        <v>1.375</v>
      </c>
      <c r="AX30" s="13">
        <f aca="true" t="shared" si="35" ref="AX30:AX41">AV30*AW30*1.4</f>
        <v>977.9</v>
      </c>
      <c r="AY30" s="96"/>
      <c r="AZ30" s="97"/>
      <c r="BA30" s="97">
        <f aca="true" t="shared" si="36" ref="BA30:BA41">AZ30*0.18</f>
        <v>0</v>
      </c>
      <c r="BB30" s="97">
        <f aca="true" t="shared" si="37" ref="BB30:BB41">SUM(AG30:BA30)-AV30-AW30</f>
        <v>11192.597399999999</v>
      </c>
      <c r="BC30" s="98">
        <f>'[5]Т03-10'!$M$13+'[5]Т03-10'!$M$68</f>
        <v>4656.7919999999995</v>
      </c>
      <c r="BD30" s="125"/>
      <c r="BE30" s="99">
        <f>(AC30-BB30)+(AF30-BC30)</f>
        <v>6487.1839199999995</v>
      </c>
      <c r="BF30" s="99">
        <f>AB30-S30</f>
        <v>-4836.719999999999</v>
      </c>
    </row>
    <row r="31" spans="1:58" ht="12.75">
      <c r="A31" s="11" t="s">
        <v>44</v>
      </c>
      <c r="B31" s="123">
        <v>2010.58</v>
      </c>
      <c r="C31" s="139">
        <f t="shared" si="23"/>
        <v>17391.517</v>
      </c>
      <c r="D31" s="135">
        <f t="shared" si="24"/>
        <v>1530.2769999999987</v>
      </c>
      <c r="E31" s="183">
        <v>1506.5</v>
      </c>
      <c r="F31" s="184">
        <v>324.49</v>
      </c>
      <c r="G31" s="184">
        <v>2039.71</v>
      </c>
      <c r="H31" s="184">
        <v>439.85</v>
      </c>
      <c r="I31" s="184">
        <v>4902.12</v>
      </c>
      <c r="J31" s="184">
        <v>1056.34</v>
      </c>
      <c r="K31" s="184">
        <v>3395.6</v>
      </c>
      <c r="L31" s="184">
        <v>731.88</v>
      </c>
      <c r="M31" s="184">
        <v>1205.16</v>
      </c>
      <c r="N31" s="185">
        <v>259.59</v>
      </c>
      <c r="O31" s="185">
        <v>0</v>
      </c>
      <c r="P31" s="185">
        <v>0</v>
      </c>
      <c r="Q31" s="185">
        <v>0</v>
      </c>
      <c r="R31" s="185">
        <v>0</v>
      </c>
      <c r="S31" s="65">
        <f t="shared" si="25"/>
        <v>13049.09</v>
      </c>
      <c r="T31" s="89">
        <f t="shared" si="26"/>
        <v>2812.1499999999996</v>
      </c>
      <c r="U31" s="65">
        <v>1097.26</v>
      </c>
      <c r="V31" s="65">
        <v>1485.66</v>
      </c>
      <c r="W31" s="65">
        <v>3565.28</v>
      </c>
      <c r="X31" s="65">
        <v>2473.17</v>
      </c>
      <c r="Y31" s="65">
        <v>877.73</v>
      </c>
      <c r="Z31" s="65">
        <v>0</v>
      </c>
      <c r="AA31" s="69">
        <v>0</v>
      </c>
      <c r="AB31" s="69">
        <f>SUM(U31:AA31)</f>
        <v>9499.1</v>
      </c>
      <c r="AC31" s="103">
        <f t="shared" si="27"/>
        <v>13841.526999999998</v>
      </c>
      <c r="AD31" s="92">
        <f t="shared" si="28"/>
        <v>0</v>
      </c>
      <c r="AE31" s="92">
        <f t="shared" si="29"/>
        <v>0</v>
      </c>
      <c r="AF31" s="92">
        <f>'[5]Т01-10'!$I$13+'[5]Т01-10'!$I$67</f>
        <v>9781.776319999999</v>
      </c>
      <c r="AG31" s="13">
        <f t="shared" si="30"/>
        <v>1206.348</v>
      </c>
      <c r="AH31" s="13">
        <f t="shared" si="31"/>
        <v>402.116</v>
      </c>
      <c r="AI31" s="13">
        <f t="shared" si="32"/>
        <v>2010.58</v>
      </c>
      <c r="AJ31" s="13">
        <v>0</v>
      </c>
      <c r="AK31" s="13">
        <f t="shared" si="33"/>
        <v>1970.3683999999998</v>
      </c>
      <c r="AL31" s="13">
        <v>0</v>
      </c>
      <c r="AM31" s="13">
        <f t="shared" si="34"/>
        <v>4523.805</v>
      </c>
      <c r="AN31" s="13">
        <v>0</v>
      </c>
      <c r="AO31" s="13"/>
      <c r="AP31" s="13"/>
      <c r="AQ31" s="93"/>
      <c r="AR31" s="93"/>
      <c r="AS31" s="71">
        <v>21213</v>
      </c>
      <c r="AT31" s="71">
        <f>258+81+74+21+38+10</f>
        <v>482</v>
      </c>
      <c r="AU31" s="71">
        <f>AT31*0.18</f>
        <v>86.75999999999999</v>
      </c>
      <c r="AV31" s="94">
        <v>407</v>
      </c>
      <c r="AW31" s="95">
        <v>1.375</v>
      </c>
      <c r="AX31" s="13">
        <f t="shared" si="35"/>
        <v>783.4749999999999</v>
      </c>
      <c r="AY31" s="96"/>
      <c r="AZ31" s="97"/>
      <c r="BA31" s="97">
        <f t="shared" si="36"/>
        <v>0</v>
      </c>
      <c r="BB31" s="97">
        <f t="shared" si="37"/>
        <v>32678.452400000002</v>
      </c>
      <c r="BC31" s="98">
        <f>'[5]Т03-10'!$M$13+'[5]Т03-10'!$M$68</f>
        <v>4656.7919999999995</v>
      </c>
      <c r="BD31" s="125"/>
      <c r="BE31" s="99">
        <f aca="true" t="shared" si="38" ref="BE31:BE41">(AC31-BB31)+(AF31-BC31)</f>
        <v>-13711.941080000004</v>
      </c>
      <c r="BF31" s="99">
        <f aca="true" t="shared" si="39" ref="BF31:BF41">AB31-S31</f>
        <v>-3549.99</v>
      </c>
    </row>
    <row r="32" spans="1:58" ht="13.5" thickBot="1">
      <c r="A32" s="127" t="s">
        <v>45</v>
      </c>
      <c r="B32" s="86">
        <v>2010.58</v>
      </c>
      <c r="C32" s="139">
        <f t="shared" si="23"/>
        <v>17391.517</v>
      </c>
      <c r="D32" s="135">
        <f t="shared" si="24"/>
        <v>1530.2769999999996</v>
      </c>
      <c r="E32" s="65">
        <v>1504.42</v>
      </c>
      <c r="F32" s="65">
        <v>326.57</v>
      </c>
      <c r="G32" s="65">
        <v>2036.87</v>
      </c>
      <c r="H32" s="65">
        <v>442.69</v>
      </c>
      <c r="I32" s="65">
        <v>4895.36</v>
      </c>
      <c r="J32" s="65">
        <v>1063.1</v>
      </c>
      <c r="K32" s="65">
        <v>3390.92</v>
      </c>
      <c r="L32" s="65">
        <v>736.56</v>
      </c>
      <c r="M32" s="65">
        <v>1203.52</v>
      </c>
      <c r="N32" s="69">
        <v>261.23</v>
      </c>
      <c r="O32" s="69">
        <v>0</v>
      </c>
      <c r="P32" s="69">
        <v>0</v>
      </c>
      <c r="Q32" s="69">
        <v>0</v>
      </c>
      <c r="R32" s="69">
        <v>0</v>
      </c>
      <c r="S32" s="65">
        <f t="shared" si="25"/>
        <v>13031.09</v>
      </c>
      <c r="T32" s="89">
        <f t="shared" si="26"/>
        <v>2830.15</v>
      </c>
      <c r="U32" s="65">
        <v>1334.69</v>
      </c>
      <c r="V32" s="65">
        <v>1806.96</v>
      </c>
      <c r="W32" s="65">
        <v>4337.91</v>
      </c>
      <c r="X32" s="65">
        <v>3008.27</v>
      </c>
      <c r="Y32" s="65">
        <v>1067.77</v>
      </c>
      <c r="Z32" s="65">
        <v>0</v>
      </c>
      <c r="AA32" s="69">
        <v>0</v>
      </c>
      <c r="AB32" s="69">
        <f>SUM(U32:AA32)</f>
        <v>11555.6</v>
      </c>
      <c r="AC32" s="103">
        <f t="shared" si="27"/>
        <v>15916.027</v>
      </c>
      <c r="AD32" s="92">
        <f t="shared" si="28"/>
        <v>0</v>
      </c>
      <c r="AE32" s="92">
        <f t="shared" si="29"/>
        <v>0</v>
      </c>
      <c r="AF32" s="92">
        <f>'[5]Т01-10'!$I$13+'[5]Т01-10'!$I$67</f>
        <v>9781.776319999999</v>
      </c>
      <c r="AG32" s="13">
        <f t="shared" si="30"/>
        <v>1206.348</v>
      </c>
      <c r="AH32" s="13">
        <f t="shared" si="31"/>
        <v>402.116</v>
      </c>
      <c r="AI32" s="13">
        <f t="shared" si="32"/>
        <v>2010.58</v>
      </c>
      <c r="AJ32" s="13">
        <v>0</v>
      </c>
      <c r="AK32" s="13">
        <f t="shared" si="33"/>
        <v>1970.3683999999998</v>
      </c>
      <c r="AL32" s="13">
        <v>0</v>
      </c>
      <c r="AM32" s="13">
        <f t="shared" si="34"/>
        <v>4523.805</v>
      </c>
      <c r="AN32" s="13">
        <v>0</v>
      </c>
      <c r="AO32" s="13"/>
      <c r="AP32" s="13"/>
      <c r="AQ32" s="93"/>
      <c r="AR32" s="93"/>
      <c r="AS32" s="71">
        <v>2021</v>
      </c>
      <c r="AT32" s="71"/>
      <c r="AU32" s="71">
        <f>AT32*0.18</f>
        <v>0</v>
      </c>
      <c r="AV32" s="94">
        <v>383</v>
      </c>
      <c r="AW32" s="95">
        <v>1.375</v>
      </c>
      <c r="AX32" s="13">
        <f t="shared" si="35"/>
        <v>737.275</v>
      </c>
      <c r="AY32" s="96"/>
      <c r="AZ32" s="97"/>
      <c r="BA32" s="97">
        <f t="shared" si="36"/>
        <v>0</v>
      </c>
      <c r="BB32" s="97">
        <f t="shared" si="37"/>
        <v>12871.4924</v>
      </c>
      <c r="BC32" s="98">
        <f>'[5]Т03-10'!$M$13+'[5]Т03-10'!$M$68</f>
        <v>4656.7919999999995</v>
      </c>
      <c r="BD32" s="130"/>
      <c r="BE32" s="99">
        <f t="shared" si="38"/>
        <v>8169.51892</v>
      </c>
      <c r="BF32" s="99">
        <f t="shared" si="39"/>
        <v>-1475.4899999999998</v>
      </c>
    </row>
    <row r="33" spans="1:58" ht="12.75">
      <c r="A33" s="132" t="s">
        <v>46</v>
      </c>
      <c r="B33" s="86">
        <v>2010.58</v>
      </c>
      <c r="C33" s="139">
        <f t="shared" si="23"/>
        <v>17391.517</v>
      </c>
      <c r="D33" s="135">
        <f t="shared" si="24"/>
        <v>1549.297000000001</v>
      </c>
      <c r="E33" s="65">
        <v>1502.18</v>
      </c>
      <c r="F33" s="65">
        <v>326.57</v>
      </c>
      <c r="G33" s="65">
        <v>2033.96</v>
      </c>
      <c r="H33" s="65">
        <v>442.69</v>
      </c>
      <c r="I33" s="65">
        <v>4888.2</v>
      </c>
      <c r="J33" s="65">
        <v>1063.1</v>
      </c>
      <c r="K33" s="65">
        <v>3386</v>
      </c>
      <c r="L33" s="65">
        <v>736.56</v>
      </c>
      <c r="M33" s="65">
        <v>1201.73</v>
      </c>
      <c r="N33" s="69">
        <v>261.23</v>
      </c>
      <c r="O33" s="69">
        <v>0</v>
      </c>
      <c r="P33" s="69">
        <v>0</v>
      </c>
      <c r="Q33" s="69"/>
      <c r="R33" s="69"/>
      <c r="S33" s="65">
        <f t="shared" si="25"/>
        <v>13012.07</v>
      </c>
      <c r="T33" s="89">
        <f t="shared" si="26"/>
        <v>2830.15</v>
      </c>
      <c r="U33" s="65">
        <v>1044.89</v>
      </c>
      <c r="V33" s="65">
        <v>1410.53</v>
      </c>
      <c r="W33" s="65">
        <v>3392.03</v>
      </c>
      <c r="X33" s="65">
        <v>2350.96</v>
      </c>
      <c r="Y33" s="65">
        <v>835.92</v>
      </c>
      <c r="Z33" s="65">
        <v>0</v>
      </c>
      <c r="AA33" s="69">
        <v>0</v>
      </c>
      <c r="AB33" s="69">
        <f>SUM(U33:AA33)</f>
        <v>9034.33</v>
      </c>
      <c r="AC33" s="103">
        <f t="shared" si="27"/>
        <v>13413.777000000002</v>
      </c>
      <c r="AD33" s="92">
        <f t="shared" si="28"/>
        <v>0</v>
      </c>
      <c r="AE33" s="92">
        <f t="shared" si="29"/>
        <v>0</v>
      </c>
      <c r="AF33" s="92">
        <f>'[6]Т04-10'!$I$13+'[6]Т04-10'!$I$68</f>
        <v>9781.776319999999</v>
      </c>
      <c r="AG33" s="13">
        <f t="shared" si="30"/>
        <v>1206.348</v>
      </c>
      <c r="AH33" s="13">
        <f t="shared" si="31"/>
        <v>402.116</v>
      </c>
      <c r="AI33" s="13">
        <f t="shared" si="32"/>
        <v>2010.58</v>
      </c>
      <c r="AJ33" s="13">
        <v>0</v>
      </c>
      <c r="AK33" s="13">
        <f t="shared" si="33"/>
        <v>1970.3683999999998</v>
      </c>
      <c r="AL33" s="13">
        <v>0</v>
      </c>
      <c r="AM33" s="13">
        <f t="shared" si="34"/>
        <v>4523.805</v>
      </c>
      <c r="AN33" s="13">
        <v>0</v>
      </c>
      <c r="AO33" s="13"/>
      <c r="AP33" s="13"/>
      <c r="AQ33" s="93"/>
      <c r="AR33" s="93"/>
      <c r="AS33" s="71">
        <v>6193</v>
      </c>
      <c r="AT33" s="71"/>
      <c r="AU33" s="71">
        <f>AT33*0.18</f>
        <v>0</v>
      </c>
      <c r="AV33" s="94">
        <v>307</v>
      </c>
      <c r="AW33" s="95">
        <v>1.375</v>
      </c>
      <c r="AX33" s="13">
        <f t="shared" si="35"/>
        <v>590.9749999999999</v>
      </c>
      <c r="AY33" s="96"/>
      <c r="AZ33" s="97"/>
      <c r="BA33" s="97">
        <f t="shared" si="36"/>
        <v>0</v>
      </c>
      <c r="BB33" s="97">
        <f t="shared" si="37"/>
        <v>16897.1924</v>
      </c>
      <c r="BC33" s="98">
        <f>'[6]Т04-10'!$M$13+'[6]Т04-10'!$M$68</f>
        <v>4656.7919999999995</v>
      </c>
      <c r="BD33" s="46"/>
      <c r="BE33" s="99">
        <f t="shared" si="38"/>
        <v>1641.5689200000015</v>
      </c>
      <c r="BF33" s="99">
        <f t="shared" si="39"/>
        <v>-3977.74</v>
      </c>
    </row>
    <row r="34" spans="1:58" ht="12.75">
      <c r="A34" s="11" t="s">
        <v>47</v>
      </c>
      <c r="B34" s="86">
        <v>2010.98</v>
      </c>
      <c r="C34" s="139">
        <f t="shared" si="23"/>
        <v>17394.977000000003</v>
      </c>
      <c r="D34" s="135">
        <f t="shared" si="24"/>
        <v>1564.637000000003</v>
      </c>
      <c r="E34" s="65">
        <v>1500.77</v>
      </c>
      <c r="F34" s="65">
        <v>326.57</v>
      </c>
      <c r="G34" s="65">
        <v>2032.17</v>
      </c>
      <c r="H34" s="65">
        <v>442.68</v>
      </c>
      <c r="I34" s="65">
        <v>4883.72</v>
      </c>
      <c r="J34" s="65">
        <v>1063.09</v>
      </c>
      <c r="K34" s="65">
        <v>3382.94</v>
      </c>
      <c r="L34" s="65">
        <v>736.55</v>
      </c>
      <c r="M34" s="65">
        <v>1200.62</v>
      </c>
      <c r="N34" s="69">
        <v>261.23</v>
      </c>
      <c r="O34" s="69">
        <v>0</v>
      </c>
      <c r="P34" s="69">
        <v>0</v>
      </c>
      <c r="Q34" s="69"/>
      <c r="R34" s="69"/>
      <c r="S34" s="65">
        <f t="shared" si="25"/>
        <v>13000.220000000001</v>
      </c>
      <c r="T34" s="89">
        <f t="shared" si="26"/>
        <v>2830.12</v>
      </c>
      <c r="U34" s="149">
        <v>1360.35</v>
      </c>
      <c r="V34" s="149">
        <v>1841.58</v>
      </c>
      <c r="W34" s="149">
        <v>4421.41</v>
      </c>
      <c r="X34" s="149">
        <v>3065.84</v>
      </c>
      <c r="Y34" s="149">
        <v>1088.2</v>
      </c>
      <c r="Z34" s="149">
        <v>0</v>
      </c>
      <c r="AA34" s="150">
        <v>0</v>
      </c>
      <c r="AB34" s="69">
        <f aca="true" t="shared" si="40" ref="AB34:AB41">SUM(U34:AA34)</f>
        <v>11777.380000000001</v>
      </c>
      <c r="AC34" s="103">
        <f t="shared" si="27"/>
        <v>16172.137000000004</v>
      </c>
      <c r="AD34" s="92">
        <f t="shared" si="28"/>
        <v>0</v>
      </c>
      <c r="AE34" s="92">
        <f t="shared" si="29"/>
        <v>0</v>
      </c>
      <c r="AF34" s="92">
        <f>'[6]Т04-10'!$I$13+'[6]Т04-10'!$I$68</f>
        <v>9781.776319999999</v>
      </c>
      <c r="AG34" s="13">
        <f t="shared" si="30"/>
        <v>1206.588</v>
      </c>
      <c r="AH34" s="13">
        <f t="shared" si="31"/>
        <v>402.196</v>
      </c>
      <c r="AI34" s="13">
        <f t="shared" si="32"/>
        <v>2010.98</v>
      </c>
      <c r="AJ34" s="13">
        <v>0</v>
      </c>
      <c r="AK34" s="13">
        <f t="shared" si="33"/>
        <v>1970.7604</v>
      </c>
      <c r="AL34" s="13">
        <v>0</v>
      </c>
      <c r="AM34" s="13">
        <f t="shared" si="34"/>
        <v>4524.705</v>
      </c>
      <c r="AN34" s="13">
        <v>0</v>
      </c>
      <c r="AO34" s="13"/>
      <c r="AP34" s="13"/>
      <c r="AQ34" s="93"/>
      <c r="AR34" s="93"/>
      <c r="AS34" s="71">
        <v>3559</v>
      </c>
      <c r="AT34" s="71">
        <f>3449+4023+1700+180+300+60+1980+652+521+348+94+766.27</f>
        <v>14073.27</v>
      </c>
      <c r="AU34" s="71">
        <f>AT34*0.18+0.18</f>
        <v>2533.3686</v>
      </c>
      <c r="AV34" s="94">
        <v>263</v>
      </c>
      <c r="AW34" s="95">
        <v>1.375</v>
      </c>
      <c r="AX34" s="13">
        <f t="shared" si="35"/>
        <v>506.275</v>
      </c>
      <c r="AY34" s="96"/>
      <c r="AZ34" s="97"/>
      <c r="BA34" s="97">
        <f t="shared" si="36"/>
        <v>0</v>
      </c>
      <c r="BB34" s="97">
        <f t="shared" si="37"/>
        <v>30787.143000000004</v>
      </c>
      <c r="BC34" s="98">
        <f>'[6]Т04-10'!$M$13+'[6]Т04-10'!$M$68</f>
        <v>4656.7919999999995</v>
      </c>
      <c r="BD34" s="27"/>
      <c r="BE34" s="99">
        <f t="shared" si="38"/>
        <v>-9490.02168</v>
      </c>
      <c r="BF34" s="99">
        <f t="shared" si="39"/>
        <v>-1222.8400000000001</v>
      </c>
    </row>
    <row r="35" spans="1:58" ht="13.5" thickBot="1">
      <c r="A35" s="127" t="s">
        <v>48</v>
      </c>
      <c r="B35" s="86">
        <v>2010.98</v>
      </c>
      <c r="C35" s="139">
        <f t="shared" si="23"/>
        <v>17394.977000000003</v>
      </c>
      <c r="D35" s="135">
        <f t="shared" si="24"/>
        <v>1534.7170000000024</v>
      </c>
      <c r="E35" s="65">
        <v>1516.26</v>
      </c>
      <c r="F35" s="65">
        <v>314.6</v>
      </c>
      <c r="G35" s="65">
        <v>2052.99</v>
      </c>
      <c r="H35" s="65">
        <v>426.45</v>
      </c>
      <c r="I35" s="65">
        <v>4933.94</v>
      </c>
      <c r="J35" s="65">
        <v>1024.12</v>
      </c>
      <c r="K35" s="65">
        <v>3417.68</v>
      </c>
      <c r="L35" s="65">
        <v>709.55</v>
      </c>
      <c r="M35" s="65">
        <v>1213.02</v>
      </c>
      <c r="N35" s="69">
        <v>251.65</v>
      </c>
      <c r="O35" s="69">
        <v>0</v>
      </c>
      <c r="P35" s="69">
        <v>0</v>
      </c>
      <c r="Q35" s="69">
        <v>0</v>
      </c>
      <c r="R35" s="69">
        <v>0</v>
      </c>
      <c r="S35" s="65">
        <f t="shared" si="25"/>
        <v>13133.89</v>
      </c>
      <c r="T35" s="89">
        <f t="shared" si="26"/>
        <v>2726.3699999999994</v>
      </c>
      <c r="U35" s="65">
        <v>1126.15</v>
      </c>
      <c r="V35" s="65">
        <v>1524.96</v>
      </c>
      <c r="W35" s="65">
        <v>3660.04</v>
      </c>
      <c r="X35" s="65">
        <v>2538.6</v>
      </c>
      <c r="Y35" s="65">
        <v>901</v>
      </c>
      <c r="Z35" s="65">
        <v>0</v>
      </c>
      <c r="AA35" s="69">
        <v>0</v>
      </c>
      <c r="AB35" s="69">
        <f t="shared" si="40"/>
        <v>9750.75</v>
      </c>
      <c r="AC35" s="103">
        <f t="shared" si="27"/>
        <v>14011.837000000001</v>
      </c>
      <c r="AD35" s="92">
        <f t="shared" si="28"/>
        <v>0</v>
      </c>
      <c r="AE35" s="92">
        <f t="shared" si="29"/>
        <v>0</v>
      </c>
      <c r="AF35" s="92">
        <f>'[6]Т04-10'!$I$13+'[6]Т04-10'!$I$68</f>
        <v>9781.776319999999</v>
      </c>
      <c r="AG35" s="13">
        <f t="shared" si="30"/>
        <v>1206.588</v>
      </c>
      <c r="AH35" s="13">
        <f t="shared" si="31"/>
        <v>402.196</v>
      </c>
      <c r="AI35" s="13">
        <f t="shared" si="32"/>
        <v>2010.98</v>
      </c>
      <c r="AJ35" s="13">
        <v>0</v>
      </c>
      <c r="AK35" s="13">
        <f t="shared" si="33"/>
        <v>1970.7604</v>
      </c>
      <c r="AL35" s="13">
        <v>0</v>
      </c>
      <c r="AM35" s="13">
        <f t="shared" si="34"/>
        <v>4524.705</v>
      </c>
      <c r="AN35" s="13">
        <v>0</v>
      </c>
      <c r="AO35" s="13"/>
      <c r="AP35" s="13"/>
      <c r="AQ35" s="93">
        <v>100</v>
      </c>
      <c r="AR35" s="93"/>
      <c r="AS35" s="71">
        <v>4659</v>
      </c>
      <c r="AT35" s="71"/>
      <c r="AU35" s="71">
        <f>AT35*0.18</f>
        <v>0</v>
      </c>
      <c r="AV35" s="94">
        <v>233</v>
      </c>
      <c r="AW35" s="95">
        <v>1.375</v>
      </c>
      <c r="AX35" s="13">
        <f t="shared" si="35"/>
        <v>448.525</v>
      </c>
      <c r="AY35" s="96"/>
      <c r="AZ35" s="97"/>
      <c r="BA35" s="97">
        <f t="shared" si="36"/>
        <v>0</v>
      </c>
      <c r="BB35" s="97">
        <f t="shared" si="37"/>
        <v>15322.7544</v>
      </c>
      <c r="BC35" s="98">
        <f>'[6]Т06-10'!$M$13+'[6]Т06-10'!$M$66</f>
        <v>4656.7919999999995</v>
      </c>
      <c r="BD35" s="136"/>
      <c r="BE35" s="99">
        <f t="shared" si="38"/>
        <v>3814.066920000001</v>
      </c>
      <c r="BF35" s="99">
        <f t="shared" si="39"/>
        <v>-3383.1399999999994</v>
      </c>
    </row>
    <row r="36" spans="1:58" ht="12.75">
      <c r="A36" s="132" t="s">
        <v>49</v>
      </c>
      <c r="B36" s="86">
        <v>2010.98</v>
      </c>
      <c r="C36" s="139">
        <f t="shared" si="23"/>
        <v>17394.977000000003</v>
      </c>
      <c r="D36" s="135">
        <f t="shared" si="24"/>
        <v>1524.4270000000017</v>
      </c>
      <c r="E36" s="67">
        <v>1832.07</v>
      </c>
      <c r="F36" s="65">
        <v>0</v>
      </c>
      <c r="G36" s="65">
        <v>2481</v>
      </c>
      <c r="H36" s="65">
        <v>0</v>
      </c>
      <c r="I36" s="65">
        <v>5903.35</v>
      </c>
      <c r="J36" s="65">
        <v>58.6</v>
      </c>
      <c r="K36" s="65">
        <v>4129.89</v>
      </c>
      <c r="L36" s="65">
        <v>0</v>
      </c>
      <c r="M36" s="65">
        <v>1465.64</v>
      </c>
      <c r="N36" s="69">
        <v>0</v>
      </c>
      <c r="O36" s="69">
        <v>0</v>
      </c>
      <c r="P36" s="69">
        <v>0</v>
      </c>
      <c r="Q36" s="69"/>
      <c r="R36" s="69"/>
      <c r="S36" s="65">
        <f t="shared" si="25"/>
        <v>15811.95</v>
      </c>
      <c r="T36" s="89">
        <f t="shared" si="26"/>
        <v>58.6</v>
      </c>
      <c r="U36" s="67">
        <v>1423.3</v>
      </c>
      <c r="V36" s="65">
        <v>1926.87</v>
      </c>
      <c r="W36" s="65">
        <v>4625.73</v>
      </c>
      <c r="X36" s="65">
        <v>3207.8</v>
      </c>
      <c r="Y36" s="65">
        <v>1138.65</v>
      </c>
      <c r="Z36" s="65">
        <v>0</v>
      </c>
      <c r="AA36" s="69">
        <v>0</v>
      </c>
      <c r="AB36" s="69">
        <f t="shared" si="40"/>
        <v>12322.35</v>
      </c>
      <c r="AC36" s="103">
        <f t="shared" si="27"/>
        <v>13905.377000000002</v>
      </c>
      <c r="AD36" s="92">
        <f t="shared" si="28"/>
        <v>0</v>
      </c>
      <c r="AE36" s="92">
        <f t="shared" si="29"/>
        <v>0</v>
      </c>
      <c r="AF36" s="92">
        <f>'[7]Т07-10'!$I$12+'[7]Т07-10'!$I$65</f>
        <v>9781.776319999999</v>
      </c>
      <c r="AG36" s="13">
        <f t="shared" si="30"/>
        <v>1206.588</v>
      </c>
      <c r="AH36" s="13">
        <f t="shared" si="31"/>
        <v>402.196</v>
      </c>
      <c r="AI36" s="13">
        <f t="shared" si="32"/>
        <v>2010.98</v>
      </c>
      <c r="AJ36" s="13">
        <v>0</v>
      </c>
      <c r="AK36" s="13">
        <f t="shared" si="33"/>
        <v>1970.7604</v>
      </c>
      <c r="AL36" s="13">
        <v>0</v>
      </c>
      <c r="AM36" s="13">
        <f t="shared" si="34"/>
        <v>4524.705</v>
      </c>
      <c r="AN36" s="13">
        <v>0</v>
      </c>
      <c r="AO36" s="13"/>
      <c r="AP36" s="13"/>
      <c r="AQ36" s="93"/>
      <c r="AR36" s="93"/>
      <c r="AS36" s="71"/>
      <c r="AT36" s="71"/>
      <c r="AU36" s="71">
        <f>AT36*0.18</f>
        <v>0</v>
      </c>
      <c r="AV36" s="94">
        <v>248</v>
      </c>
      <c r="AW36" s="95">
        <v>1.375</v>
      </c>
      <c r="AX36" s="13">
        <f t="shared" si="35"/>
        <v>477.4</v>
      </c>
      <c r="AY36" s="96"/>
      <c r="AZ36" s="97"/>
      <c r="BA36" s="97">
        <f t="shared" si="36"/>
        <v>0</v>
      </c>
      <c r="BB36" s="97">
        <f t="shared" si="37"/>
        <v>10592.6294</v>
      </c>
      <c r="BC36" s="98">
        <f>'[6]Т06-10'!$M$13+'[6]Т06-10'!$M$66</f>
        <v>4656.7919999999995</v>
      </c>
      <c r="BD36" s="27"/>
      <c r="BE36" s="99">
        <f t="shared" si="38"/>
        <v>8437.731920000002</v>
      </c>
      <c r="BF36" s="99">
        <f t="shared" si="39"/>
        <v>-3489.6000000000004</v>
      </c>
    </row>
    <row r="37" spans="1:58" ht="12.75">
      <c r="A37" s="11" t="s">
        <v>50</v>
      </c>
      <c r="B37" s="86">
        <v>2010.98</v>
      </c>
      <c r="C37" s="139">
        <f t="shared" si="23"/>
        <v>17394.977000000003</v>
      </c>
      <c r="D37" s="135">
        <f t="shared" si="24"/>
        <v>1482.3570000000022</v>
      </c>
      <c r="E37" s="67">
        <v>1837.02</v>
      </c>
      <c r="F37" s="65">
        <v>0</v>
      </c>
      <c r="G37" s="65">
        <v>2487.43</v>
      </c>
      <c r="H37" s="65">
        <v>0</v>
      </c>
      <c r="I37" s="65">
        <v>5919.19</v>
      </c>
      <c r="J37" s="65">
        <v>58.6</v>
      </c>
      <c r="K37" s="65">
        <v>4140.78</v>
      </c>
      <c r="L37" s="65">
        <v>0</v>
      </c>
      <c r="M37" s="65">
        <v>1469.6</v>
      </c>
      <c r="N37" s="69">
        <v>0</v>
      </c>
      <c r="O37" s="69">
        <v>0</v>
      </c>
      <c r="P37" s="69">
        <v>0</v>
      </c>
      <c r="Q37" s="69"/>
      <c r="R37" s="69"/>
      <c r="S37" s="65">
        <f t="shared" si="25"/>
        <v>15854.019999999999</v>
      </c>
      <c r="T37" s="89">
        <f t="shared" si="26"/>
        <v>58.6</v>
      </c>
      <c r="U37" s="149">
        <v>1485.98</v>
      </c>
      <c r="V37" s="149">
        <v>2012.65</v>
      </c>
      <c r="W37" s="149">
        <v>4713.54</v>
      </c>
      <c r="X37" s="149">
        <v>3350.09</v>
      </c>
      <c r="Y37" s="149">
        <v>1188.77</v>
      </c>
      <c r="Z37" s="149">
        <v>0</v>
      </c>
      <c r="AA37" s="150">
        <v>0</v>
      </c>
      <c r="AB37" s="69">
        <f t="shared" si="40"/>
        <v>12751.03</v>
      </c>
      <c r="AC37" s="103">
        <f t="shared" si="27"/>
        <v>14291.987000000003</v>
      </c>
      <c r="AD37" s="92">
        <f t="shared" si="28"/>
        <v>0</v>
      </c>
      <c r="AE37" s="92">
        <f t="shared" si="29"/>
        <v>0</v>
      </c>
      <c r="AF37" s="92">
        <f>'[7]Т07-10'!$I$12+'[7]Т07-10'!$I$65</f>
        <v>9781.776319999999</v>
      </c>
      <c r="AG37" s="13">
        <f t="shared" si="30"/>
        <v>1206.588</v>
      </c>
      <c r="AH37" s="13">
        <f t="shared" si="31"/>
        <v>402.196</v>
      </c>
      <c r="AI37" s="13">
        <f t="shared" si="32"/>
        <v>2010.98</v>
      </c>
      <c r="AJ37" s="13">
        <v>0</v>
      </c>
      <c r="AK37" s="13">
        <f t="shared" si="33"/>
        <v>1970.7604</v>
      </c>
      <c r="AL37" s="13">
        <v>0</v>
      </c>
      <c r="AM37" s="13">
        <f t="shared" si="34"/>
        <v>4524.705</v>
      </c>
      <c r="AN37" s="13">
        <v>0</v>
      </c>
      <c r="AO37" s="13"/>
      <c r="AP37" s="13"/>
      <c r="AQ37" s="93"/>
      <c r="AR37" s="93"/>
      <c r="AS37" s="71"/>
      <c r="AT37" s="71">
        <f>47.8+168</f>
        <v>215.8</v>
      </c>
      <c r="AU37" s="71">
        <f>AT37*0.18</f>
        <v>38.844</v>
      </c>
      <c r="AV37" s="94">
        <v>293</v>
      </c>
      <c r="AW37" s="95">
        <v>1.375</v>
      </c>
      <c r="AX37" s="13">
        <f t="shared" si="35"/>
        <v>564.025</v>
      </c>
      <c r="AY37" s="96"/>
      <c r="AZ37" s="97"/>
      <c r="BA37" s="97">
        <f t="shared" si="36"/>
        <v>0</v>
      </c>
      <c r="BB37" s="97">
        <f t="shared" si="37"/>
        <v>10933.898399999998</v>
      </c>
      <c r="BC37" s="98">
        <f>'[6]Т06-10'!$M$13+'[6]Т06-10'!$M$66</f>
        <v>4656.7919999999995</v>
      </c>
      <c r="BD37" s="27"/>
      <c r="BE37" s="99">
        <f t="shared" si="38"/>
        <v>8483.072920000004</v>
      </c>
      <c r="BF37" s="99">
        <f t="shared" si="39"/>
        <v>-3102.989999999998</v>
      </c>
    </row>
    <row r="38" spans="1:58" ht="13.5" thickBot="1">
      <c r="A38" s="127" t="s">
        <v>51</v>
      </c>
      <c r="B38" s="86">
        <v>2010.98</v>
      </c>
      <c r="C38" s="139">
        <f t="shared" si="23"/>
        <v>17394.977000000003</v>
      </c>
      <c r="D38" s="135">
        <f t="shared" si="24"/>
        <v>1465.1670000000024</v>
      </c>
      <c r="E38" s="65">
        <v>1839.04</v>
      </c>
      <c r="F38" s="65">
        <v>0</v>
      </c>
      <c r="G38" s="65">
        <v>2490.06</v>
      </c>
      <c r="H38" s="65">
        <v>0</v>
      </c>
      <c r="I38" s="65">
        <v>5925.66</v>
      </c>
      <c r="J38" s="65">
        <v>58.6</v>
      </c>
      <c r="K38" s="65">
        <v>4145.23</v>
      </c>
      <c r="L38" s="65">
        <v>0</v>
      </c>
      <c r="M38" s="65">
        <v>1471.22</v>
      </c>
      <c r="N38" s="69">
        <v>0</v>
      </c>
      <c r="O38" s="69">
        <v>0</v>
      </c>
      <c r="P38" s="69">
        <v>0</v>
      </c>
      <c r="Q38" s="69"/>
      <c r="R38" s="69"/>
      <c r="S38" s="65">
        <f t="shared" si="25"/>
        <v>15871.21</v>
      </c>
      <c r="T38" s="89">
        <f t="shared" si="26"/>
        <v>58.6</v>
      </c>
      <c r="U38" s="65">
        <v>1943.14</v>
      </c>
      <c r="V38" s="65">
        <v>2629.47</v>
      </c>
      <c r="W38" s="65">
        <v>6316.18</v>
      </c>
      <c r="X38" s="65">
        <v>4378.2</v>
      </c>
      <c r="Y38" s="65">
        <v>1554.49</v>
      </c>
      <c r="Z38" s="65">
        <v>0</v>
      </c>
      <c r="AA38" s="69">
        <v>0</v>
      </c>
      <c r="AB38" s="69">
        <f t="shared" si="40"/>
        <v>16821.480000000003</v>
      </c>
      <c r="AC38" s="103">
        <f t="shared" si="27"/>
        <v>18345.247000000007</v>
      </c>
      <c r="AD38" s="92">
        <f t="shared" si="28"/>
        <v>0</v>
      </c>
      <c r="AE38" s="92">
        <f t="shared" si="29"/>
        <v>0</v>
      </c>
      <c r="AF38" s="92">
        <f>'[7]Т07-10'!$I$12+'[7]Т07-10'!$I$65</f>
        <v>9781.776319999999</v>
      </c>
      <c r="AG38" s="13">
        <f t="shared" si="30"/>
        <v>1206.588</v>
      </c>
      <c r="AH38" s="13">
        <f t="shared" si="31"/>
        <v>402.196</v>
      </c>
      <c r="AI38" s="13">
        <f t="shared" si="32"/>
        <v>2010.98</v>
      </c>
      <c r="AJ38" s="13">
        <v>0</v>
      </c>
      <c r="AK38" s="13">
        <f t="shared" si="33"/>
        <v>1970.7604</v>
      </c>
      <c r="AL38" s="13">
        <v>0</v>
      </c>
      <c r="AM38" s="13">
        <f t="shared" si="34"/>
        <v>4524.705</v>
      </c>
      <c r="AN38" s="13">
        <v>0</v>
      </c>
      <c r="AO38" s="13">
        <v>3054.24</v>
      </c>
      <c r="AP38" s="13"/>
      <c r="AQ38" s="93"/>
      <c r="AR38" s="93"/>
      <c r="AS38" s="71">
        <v>288</v>
      </c>
      <c r="AT38" s="71">
        <f>49036.03</f>
        <v>49036.03</v>
      </c>
      <c r="AU38" s="151">
        <f>0*0.18</f>
        <v>0</v>
      </c>
      <c r="AV38" s="94">
        <v>349</v>
      </c>
      <c r="AW38" s="95">
        <v>1.375</v>
      </c>
      <c r="AX38" s="13">
        <f t="shared" si="35"/>
        <v>671.8249999999999</v>
      </c>
      <c r="AY38" s="96"/>
      <c r="AZ38" s="97"/>
      <c r="BA38" s="97">
        <f t="shared" si="36"/>
        <v>0</v>
      </c>
      <c r="BB38" s="97">
        <f t="shared" si="37"/>
        <v>63165.3244</v>
      </c>
      <c r="BC38" s="98">
        <f>'[6]Т06-10'!$M$13+'[6]Т06-10'!$M$66</f>
        <v>4656.7919999999995</v>
      </c>
      <c r="BD38" s="136"/>
      <c r="BE38" s="99">
        <f t="shared" si="38"/>
        <v>-39695.09307999999</v>
      </c>
      <c r="BF38" s="99">
        <f t="shared" si="39"/>
        <v>950.2700000000041</v>
      </c>
    </row>
    <row r="39" spans="1:58" ht="12.75">
      <c r="A39" s="138" t="s">
        <v>39</v>
      </c>
      <c r="B39" s="86">
        <v>2010.98</v>
      </c>
      <c r="C39" s="139">
        <f t="shared" si="23"/>
        <v>17394.977000000003</v>
      </c>
      <c r="D39" s="186">
        <f>C39-E39-F39-G39-H39-I39-J39-K39-L39-M39-N39+40000</f>
        <v>41466.44700000001</v>
      </c>
      <c r="E39" s="66">
        <v>1838.89</v>
      </c>
      <c r="F39" s="66">
        <v>0</v>
      </c>
      <c r="G39" s="66">
        <v>2489.87</v>
      </c>
      <c r="H39" s="66">
        <v>0</v>
      </c>
      <c r="I39" s="66">
        <v>5925.17</v>
      </c>
      <c r="J39" s="66">
        <v>58.6</v>
      </c>
      <c r="K39" s="66">
        <v>4144.9</v>
      </c>
      <c r="L39" s="66">
        <v>0</v>
      </c>
      <c r="M39" s="66">
        <v>1471.1</v>
      </c>
      <c r="N39" s="72">
        <v>0</v>
      </c>
      <c r="O39" s="72">
        <v>0</v>
      </c>
      <c r="P39" s="72">
        <v>0</v>
      </c>
      <c r="Q39" s="72"/>
      <c r="R39" s="72"/>
      <c r="S39" s="65">
        <f t="shared" si="25"/>
        <v>15869.93</v>
      </c>
      <c r="T39" s="89">
        <f t="shared" si="26"/>
        <v>58.6</v>
      </c>
      <c r="U39" s="65">
        <v>2707.39</v>
      </c>
      <c r="V39" s="65">
        <v>3665.14</v>
      </c>
      <c r="W39" s="65">
        <v>8806.56</v>
      </c>
      <c r="X39" s="65">
        <v>6101.92</v>
      </c>
      <c r="Y39" s="65">
        <v>2165.88</v>
      </c>
      <c r="Z39" s="65">
        <v>0</v>
      </c>
      <c r="AA39" s="69">
        <v>0</v>
      </c>
      <c r="AB39" s="69">
        <f t="shared" si="40"/>
        <v>23446.890000000003</v>
      </c>
      <c r="AC39" s="103">
        <f t="shared" si="27"/>
        <v>64971.937000000005</v>
      </c>
      <c r="AD39" s="92">
        <f t="shared" si="28"/>
        <v>0</v>
      </c>
      <c r="AE39" s="92">
        <f t="shared" si="29"/>
        <v>0</v>
      </c>
      <c r="AF39" s="92">
        <f>'[7]Т10-10'!$I$12+'[7]Т10-10'!$I$65+100</f>
        <v>9881.776319999999</v>
      </c>
      <c r="AG39" s="13">
        <f t="shared" si="30"/>
        <v>1206.588</v>
      </c>
      <c r="AH39" s="13">
        <f t="shared" si="31"/>
        <v>402.196</v>
      </c>
      <c r="AI39" s="13">
        <f t="shared" si="32"/>
        <v>2010.98</v>
      </c>
      <c r="AJ39" s="13">
        <v>0</v>
      </c>
      <c r="AK39" s="13">
        <f t="shared" si="33"/>
        <v>1970.7604</v>
      </c>
      <c r="AL39" s="13">
        <v>0</v>
      </c>
      <c r="AM39" s="13">
        <f t="shared" si="34"/>
        <v>4524.705</v>
      </c>
      <c r="AN39" s="13">
        <v>0</v>
      </c>
      <c r="AO39" s="13"/>
      <c r="AP39" s="13"/>
      <c r="AQ39" s="93"/>
      <c r="AR39" s="93"/>
      <c r="AS39" s="71">
        <v>8632</v>
      </c>
      <c r="AT39" s="71">
        <f>6750+60</f>
        <v>6810</v>
      </c>
      <c r="AU39" s="71">
        <f>60*0.18</f>
        <v>10.799999999999999</v>
      </c>
      <c r="AV39" s="94">
        <v>425</v>
      </c>
      <c r="AW39" s="95">
        <v>1.375</v>
      </c>
      <c r="AX39" s="13">
        <f t="shared" si="35"/>
        <v>818.125</v>
      </c>
      <c r="AY39" s="96"/>
      <c r="AZ39" s="97"/>
      <c r="BA39" s="97">
        <f t="shared" si="36"/>
        <v>0</v>
      </c>
      <c r="BB39" s="97">
        <f t="shared" si="37"/>
        <v>26386.1544</v>
      </c>
      <c r="BC39" s="98">
        <f>'[7]Т10-10'!$M$12+'[7]Т10-10'!$M$65+25</f>
        <v>4681.7919999999995</v>
      </c>
      <c r="BD39" s="141"/>
      <c r="BE39" s="99">
        <f t="shared" si="38"/>
        <v>43785.76692000001</v>
      </c>
      <c r="BF39" s="99">
        <f t="shared" si="39"/>
        <v>7576.960000000003</v>
      </c>
    </row>
    <row r="40" spans="1:58" ht="12.75">
      <c r="A40" s="11" t="s">
        <v>40</v>
      </c>
      <c r="B40" s="86">
        <v>2010.98</v>
      </c>
      <c r="C40" s="139">
        <f t="shared" si="23"/>
        <v>17394.977000000003</v>
      </c>
      <c r="D40" s="135">
        <f>C40-E40-F40-G40-H40-I40-J40-K40-L40-M40-N40</f>
        <v>1463.8170000000014</v>
      </c>
      <c r="E40" s="65">
        <v>1839.2</v>
      </c>
      <c r="F40" s="65">
        <v>0</v>
      </c>
      <c r="G40" s="65">
        <v>2490.28</v>
      </c>
      <c r="H40" s="65">
        <v>0</v>
      </c>
      <c r="I40" s="65">
        <v>5926.16</v>
      </c>
      <c r="J40" s="65">
        <v>58.6</v>
      </c>
      <c r="K40" s="65">
        <v>4145.57</v>
      </c>
      <c r="L40" s="65">
        <v>0</v>
      </c>
      <c r="M40" s="65">
        <v>1471.35</v>
      </c>
      <c r="N40" s="69">
        <v>0</v>
      </c>
      <c r="O40" s="69">
        <v>0</v>
      </c>
      <c r="P40" s="69">
        <v>0</v>
      </c>
      <c r="Q40" s="69"/>
      <c r="R40" s="69"/>
      <c r="S40" s="65">
        <f t="shared" si="25"/>
        <v>15872.56</v>
      </c>
      <c r="T40" s="89">
        <f t="shared" si="26"/>
        <v>58.6</v>
      </c>
      <c r="U40" s="67">
        <v>1481.88</v>
      </c>
      <c r="V40" s="65">
        <v>2006.69</v>
      </c>
      <c r="W40" s="65">
        <v>4749.99</v>
      </c>
      <c r="X40" s="65">
        <v>3340.32</v>
      </c>
      <c r="Y40" s="65">
        <v>1185.47</v>
      </c>
      <c r="Z40" s="65">
        <v>0</v>
      </c>
      <c r="AA40" s="69">
        <v>0</v>
      </c>
      <c r="AB40" s="69">
        <f t="shared" si="40"/>
        <v>12764.349999999999</v>
      </c>
      <c r="AC40" s="103">
        <f t="shared" si="27"/>
        <v>14286.767</v>
      </c>
      <c r="AD40" s="92">
        <f t="shared" si="28"/>
        <v>0</v>
      </c>
      <c r="AE40" s="92">
        <f t="shared" si="29"/>
        <v>0</v>
      </c>
      <c r="AF40" s="92">
        <f>'[7]Т10-10'!$I$12+'[7]Т10-10'!$I$65+100</f>
        <v>9881.776319999999</v>
      </c>
      <c r="AG40" s="13">
        <f t="shared" si="30"/>
        <v>1206.588</v>
      </c>
      <c r="AH40" s="13">
        <f t="shared" si="31"/>
        <v>402.196</v>
      </c>
      <c r="AI40" s="13">
        <f t="shared" si="32"/>
        <v>2010.98</v>
      </c>
      <c r="AJ40" s="13">
        <v>0</v>
      </c>
      <c r="AK40" s="13">
        <f t="shared" si="33"/>
        <v>1970.7604</v>
      </c>
      <c r="AL40" s="13">
        <v>0</v>
      </c>
      <c r="AM40" s="13">
        <f t="shared" si="34"/>
        <v>4524.705</v>
      </c>
      <c r="AN40" s="13">
        <v>0</v>
      </c>
      <c r="AO40" s="13"/>
      <c r="AP40" s="13"/>
      <c r="AQ40" s="93"/>
      <c r="AR40" s="93"/>
      <c r="AS40" s="71"/>
      <c r="AT40" s="71"/>
      <c r="AU40" s="71">
        <f>0*0.18</f>
        <v>0</v>
      </c>
      <c r="AV40" s="94">
        <v>470</v>
      </c>
      <c r="AW40" s="95">
        <v>1.375</v>
      </c>
      <c r="AX40" s="13">
        <f t="shared" si="35"/>
        <v>904.7499999999999</v>
      </c>
      <c r="AY40" s="96"/>
      <c r="AZ40" s="97"/>
      <c r="BA40" s="97">
        <f t="shared" si="36"/>
        <v>0</v>
      </c>
      <c r="BB40" s="97">
        <f t="shared" si="37"/>
        <v>11019.9794</v>
      </c>
      <c r="BC40" s="98">
        <f>'[7]Т10-10'!$M$12+'[7]Т10-10'!$M$65+25</f>
        <v>4681.7919999999995</v>
      </c>
      <c r="BD40" s="40"/>
      <c r="BE40" s="99">
        <f t="shared" si="38"/>
        <v>8466.77192</v>
      </c>
      <c r="BF40" s="99">
        <f t="shared" si="39"/>
        <v>-3108.210000000001</v>
      </c>
    </row>
    <row r="41" spans="1:58" s="101" customFormat="1" ht="12.75">
      <c r="A41" s="85" t="s">
        <v>41</v>
      </c>
      <c r="B41" s="86">
        <v>2010.98</v>
      </c>
      <c r="C41" s="139">
        <f t="shared" si="23"/>
        <v>17394.977000000003</v>
      </c>
      <c r="D41" s="135">
        <f>C41-E41-F41-G41-H41-I41-J41-K41-L41-M41-N41</f>
        <v>1480.077000000001</v>
      </c>
      <c r="E41" s="65">
        <v>1837.29</v>
      </c>
      <c r="F41" s="65">
        <v>0</v>
      </c>
      <c r="G41" s="65">
        <v>2487.79</v>
      </c>
      <c r="H41" s="65">
        <v>0</v>
      </c>
      <c r="I41" s="65">
        <v>5920.04</v>
      </c>
      <c r="J41" s="65">
        <v>58.6</v>
      </c>
      <c r="K41" s="65">
        <v>4141.36</v>
      </c>
      <c r="L41" s="65">
        <v>0</v>
      </c>
      <c r="M41" s="65">
        <v>1469.82</v>
      </c>
      <c r="N41" s="69">
        <v>0</v>
      </c>
      <c r="O41" s="69">
        <v>0</v>
      </c>
      <c r="P41" s="69">
        <v>0</v>
      </c>
      <c r="Q41" s="69"/>
      <c r="R41" s="69"/>
      <c r="S41" s="65">
        <f t="shared" si="25"/>
        <v>15856.3</v>
      </c>
      <c r="T41" s="89">
        <f t="shared" si="26"/>
        <v>58.6</v>
      </c>
      <c r="U41" s="65">
        <v>2698.42</v>
      </c>
      <c r="V41" s="65">
        <v>3653.44</v>
      </c>
      <c r="W41" s="65">
        <v>8663.55</v>
      </c>
      <c r="X41" s="65">
        <v>6082.3</v>
      </c>
      <c r="Y41" s="65">
        <v>2158.78</v>
      </c>
      <c r="Z41" s="65">
        <v>0</v>
      </c>
      <c r="AA41" s="69">
        <v>0</v>
      </c>
      <c r="AB41" s="69">
        <f t="shared" si="40"/>
        <v>23256.489999999998</v>
      </c>
      <c r="AC41" s="103">
        <f t="shared" si="27"/>
        <v>24795.166999999998</v>
      </c>
      <c r="AD41" s="92">
        <f t="shared" si="28"/>
        <v>0</v>
      </c>
      <c r="AE41" s="92">
        <f t="shared" si="29"/>
        <v>0</v>
      </c>
      <c r="AF41" s="92">
        <f>'[7]Т10-10'!$I$12+'[7]Т10-10'!$I$65+100</f>
        <v>9881.776319999999</v>
      </c>
      <c r="AG41" s="13">
        <f t="shared" si="30"/>
        <v>1206.588</v>
      </c>
      <c r="AH41" s="13">
        <f t="shared" si="31"/>
        <v>402.196</v>
      </c>
      <c r="AI41" s="13">
        <f t="shared" si="32"/>
        <v>2010.98</v>
      </c>
      <c r="AJ41" s="13">
        <v>0</v>
      </c>
      <c r="AK41" s="13">
        <f t="shared" si="33"/>
        <v>1970.7604</v>
      </c>
      <c r="AL41" s="13">
        <v>0</v>
      </c>
      <c r="AM41" s="13">
        <f t="shared" si="34"/>
        <v>4524.705</v>
      </c>
      <c r="AN41" s="13">
        <v>0</v>
      </c>
      <c r="AO41" s="13">
        <v>3054.24</v>
      </c>
      <c r="AP41" s="13"/>
      <c r="AQ41" s="93"/>
      <c r="AR41" s="93"/>
      <c r="AS41" s="71"/>
      <c r="AT41" s="71"/>
      <c r="AU41" s="71">
        <f>0*0.18</f>
        <v>0</v>
      </c>
      <c r="AV41" s="94">
        <v>514</v>
      </c>
      <c r="AW41" s="95">
        <v>1.375</v>
      </c>
      <c r="AX41" s="13">
        <f t="shared" si="35"/>
        <v>989.4499999999999</v>
      </c>
      <c r="AY41" s="96"/>
      <c r="AZ41" s="97"/>
      <c r="BA41" s="97">
        <f t="shared" si="36"/>
        <v>0</v>
      </c>
      <c r="BB41" s="97">
        <f t="shared" si="37"/>
        <v>14158.9194</v>
      </c>
      <c r="BC41" s="98">
        <f>'[7]Т10-10'!$M$12+'[7]Т10-10'!$M$65+25</f>
        <v>4681.7919999999995</v>
      </c>
      <c r="BD41" s="46"/>
      <c r="BE41" s="99">
        <f t="shared" si="38"/>
        <v>15836.231919999997</v>
      </c>
      <c r="BF41" s="99">
        <f t="shared" si="39"/>
        <v>7400.189999999999</v>
      </c>
    </row>
    <row r="42" spans="1:58" s="16" customFormat="1" ht="12.75">
      <c r="A42" s="14" t="s">
        <v>3</v>
      </c>
      <c r="B42" s="49"/>
      <c r="C42" s="49">
        <f>SUM(C30:C41)</f>
        <v>208725.88400000005</v>
      </c>
      <c r="D42" s="49">
        <f aca="true" t="shared" si="41" ref="D42:BF42">SUM(D30:D41)</f>
        <v>58121.77400000002</v>
      </c>
      <c r="E42" s="49">
        <f t="shared" si="41"/>
        <v>20077.420000000002</v>
      </c>
      <c r="F42" s="49">
        <f t="shared" si="41"/>
        <v>1926.0099999999998</v>
      </c>
      <c r="G42" s="49">
        <f t="shared" si="41"/>
        <v>27185.239999999998</v>
      </c>
      <c r="H42" s="49">
        <f t="shared" si="41"/>
        <v>2610.81</v>
      </c>
      <c r="I42" s="49">
        <f t="shared" si="41"/>
        <v>64981.27000000001</v>
      </c>
      <c r="J42" s="49">
        <f t="shared" si="41"/>
        <v>6621.450000000002</v>
      </c>
      <c r="K42" s="49">
        <f t="shared" si="41"/>
        <v>45255.43</v>
      </c>
      <c r="L42" s="49">
        <f t="shared" si="41"/>
        <v>4344.0199999999995</v>
      </c>
      <c r="M42" s="49">
        <f t="shared" si="41"/>
        <v>16061.779999999999</v>
      </c>
      <c r="N42" s="49">
        <f t="shared" si="41"/>
        <v>1540.68</v>
      </c>
      <c r="O42" s="49">
        <f t="shared" si="41"/>
        <v>0</v>
      </c>
      <c r="P42" s="49">
        <f t="shared" si="41"/>
        <v>0</v>
      </c>
      <c r="Q42" s="49">
        <f t="shared" si="41"/>
        <v>0</v>
      </c>
      <c r="R42" s="49">
        <f t="shared" si="41"/>
        <v>0</v>
      </c>
      <c r="S42" s="49">
        <f t="shared" si="41"/>
        <v>173561.13999999998</v>
      </c>
      <c r="T42" s="49">
        <f t="shared" si="41"/>
        <v>17042.96999999999</v>
      </c>
      <c r="U42" s="49">
        <f t="shared" si="41"/>
        <v>18668.739999999998</v>
      </c>
      <c r="V42" s="49">
        <f t="shared" si="41"/>
        <v>25271.279999999995</v>
      </c>
      <c r="W42" s="49">
        <f t="shared" si="41"/>
        <v>60393.36</v>
      </c>
      <c r="X42" s="49">
        <f t="shared" si="41"/>
        <v>42073.560000000005</v>
      </c>
      <c r="Y42" s="49">
        <f t="shared" si="41"/>
        <v>14934.900000000001</v>
      </c>
      <c r="Z42" s="49">
        <f t="shared" si="41"/>
        <v>0</v>
      </c>
      <c r="AA42" s="49">
        <f t="shared" si="41"/>
        <v>0</v>
      </c>
      <c r="AB42" s="49">
        <f t="shared" si="41"/>
        <v>161341.84</v>
      </c>
      <c r="AC42" s="49">
        <f t="shared" si="41"/>
        <v>236506.584</v>
      </c>
      <c r="AD42" s="49">
        <f t="shared" si="41"/>
        <v>0</v>
      </c>
      <c r="AE42" s="49">
        <f t="shared" si="41"/>
        <v>0</v>
      </c>
      <c r="AF42" s="49">
        <f t="shared" si="41"/>
        <v>117681.31584000001</v>
      </c>
      <c r="AG42" s="49">
        <f t="shared" si="41"/>
        <v>14478.095999999998</v>
      </c>
      <c r="AH42" s="49">
        <f t="shared" si="41"/>
        <v>4826.031999999999</v>
      </c>
      <c r="AI42" s="49">
        <f t="shared" si="41"/>
        <v>24130.159999999996</v>
      </c>
      <c r="AJ42" s="49">
        <f t="shared" si="41"/>
        <v>0</v>
      </c>
      <c r="AK42" s="49">
        <f t="shared" si="41"/>
        <v>23647.556799999995</v>
      </c>
      <c r="AL42" s="49">
        <f t="shared" si="41"/>
        <v>0</v>
      </c>
      <c r="AM42" s="49">
        <f t="shared" si="41"/>
        <v>54292.860000000015</v>
      </c>
      <c r="AN42" s="49">
        <f t="shared" si="41"/>
        <v>0</v>
      </c>
      <c r="AO42" s="49">
        <f t="shared" si="41"/>
        <v>6108.48</v>
      </c>
      <c r="AP42" s="49">
        <f t="shared" si="41"/>
        <v>0</v>
      </c>
      <c r="AQ42" s="142">
        <f t="shared" si="41"/>
        <v>100</v>
      </c>
      <c r="AR42" s="142">
        <f t="shared" si="41"/>
        <v>0</v>
      </c>
      <c r="AS42" s="47">
        <f t="shared" si="41"/>
        <v>46565</v>
      </c>
      <c r="AT42" s="47">
        <f t="shared" si="41"/>
        <v>70703.1</v>
      </c>
      <c r="AU42" s="47">
        <f t="shared" si="41"/>
        <v>2685.2526</v>
      </c>
      <c r="AV42" s="49">
        <f t="shared" si="41"/>
        <v>4400</v>
      </c>
      <c r="AW42" s="49">
        <f t="shared" si="41"/>
        <v>16.5</v>
      </c>
      <c r="AX42" s="49">
        <f t="shared" si="41"/>
        <v>8470</v>
      </c>
      <c r="AY42" s="49">
        <f t="shared" si="41"/>
        <v>0</v>
      </c>
      <c r="AZ42" s="49">
        <f t="shared" si="41"/>
        <v>0</v>
      </c>
      <c r="BA42" s="49">
        <f t="shared" si="41"/>
        <v>0</v>
      </c>
      <c r="BB42" s="49">
        <f t="shared" si="41"/>
        <v>256006.53740000003</v>
      </c>
      <c r="BC42" s="49">
        <f t="shared" si="41"/>
        <v>55956.50400000001</v>
      </c>
      <c r="BD42" s="49">
        <f t="shared" si="41"/>
        <v>0</v>
      </c>
      <c r="BE42" s="49">
        <f t="shared" si="41"/>
        <v>42224.85844000002</v>
      </c>
      <c r="BF42" s="143">
        <f t="shared" si="41"/>
        <v>-12219.299999999992</v>
      </c>
    </row>
    <row r="43" spans="1:58" s="16" customFormat="1" ht="12.75">
      <c r="A43" s="14"/>
      <c r="B43" s="49"/>
      <c r="C43" s="49"/>
      <c r="D43" s="49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50"/>
      <c r="V43" s="50"/>
      <c r="W43" s="50"/>
      <c r="X43" s="50"/>
      <c r="Y43" s="50"/>
      <c r="Z43" s="50"/>
      <c r="AA43" s="50"/>
      <c r="AB43" s="50"/>
      <c r="AC43" s="50"/>
      <c r="AD43" s="144"/>
      <c r="AE43" s="14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70"/>
      <c r="AQ43" s="145"/>
      <c r="AR43" s="145"/>
      <c r="AS43" s="70"/>
      <c r="AT43" s="70"/>
      <c r="AU43" s="70"/>
      <c r="AV43" s="15"/>
      <c r="AW43" s="15"/>
      <c r="AX43" s="146"/>
      <c r="AY43" s="57"/>
      <c r="AZ43" s="57"/>
      <c r="BA43" s="57"/>
      <c r="BB43" s="57"/>
      <c r="BC43" s="57"/>
      <c r="BD43" s="57"/>
      <c r="BE43" s="57"/>
      <c r="BF43" s="147"/>
    </row>
    <row r="44" spans="1:58" s="16" customFormat="1" ht="13.5" thickBot="1">
      <c r="A44" s="18" t="s">
        <v>52</v>
      </c>
      <c r="B44" s="19"/>
      <c r="C44" s="19">
        <f>C28+C42</f>
        <v>469621.64800000004</v>
      </c>
      <c r="D44" s="19">
        <f aca="true" t="shared" si="42" ref="D44:BF44">D28+D42</f>
        <v>95684.58601620002</v>
      </c>
      <c r="E44" s="19">
        <f t="shared" si="42"/>
        <v>41163.61</v>
      </c>
      <c r="F44" s="19">
        <f t="shared" si="42"/>
        <v>6515.35</v>
      </c>
      <c r="G44" s="19">
        <f t="shared" si="42"/>
        <v>55700.77</v>
      </c>
      <c r="H44" s="19">
        <f t="shared" si="42"/>
        <v>8820.84</v>
      </c>
      <c r="I44" s="19">
        <f t="shared" si="42"/>
        <v>133560.62000000002</v>
      </c>
      <c r="J44" s="19">
        <f t="shared" si="42"/>
        <v>21550.750000000004</v>
      </c>
      <c r="K44" s="19">
        <f t="shared" si="42"/>
        <v>92748.60999999999</v>
      </c>
      <c r="L44" s="19">
        <f t="shared" si="42"/>
        <v>14684.21</v>
      </c>
      <c r="M44" s="19">
        <f t="shared" si="42"/>
        <v>32930.35</v>
      </c>
      <c r="N44" s="19">
        <f t="shared" si="42"/>
        <v>5212.11</v>
      </c>
      <c r="O44" s="19">
        <f t="shared" si="42"/>
        <v>0</v>
      </c>
      <c r="P44" s="19">
        <f t="shared" si="42"/>
        <v>0</v>
      </c>
      <c r="Q44" s="19">
        <f t="shared" si="42"/>
        <v>0</v>
      </c>
      <c r="R44" s="19">
        <f t="shared" si="42"/>
        <v>0</v>
      </c>
      <c r="S44" s="19">
        <f t="shared" si="42"/>
        <v>356103.95999999996</v>
      </c>
      <c r="T44" s="19">
        <f t="shared" si="42"/>
        <v>56783.259999999995</v>
      </c>
      <c r="U44" s="19">
        <f t="shared" si="42"/>
        <v>39085.86</v>
      </c>
      <c r="V44" s="19">
        <f t="shared" si="42"/>
        <v>52873.17999999999</v>
      </c>
      <c r="W44" s="19">
        <f t="shared" si="42"/>
        <v>126788.55</v>
      </c>
      <c r="X44" s="19">
        <f t="shared" si="42"/>
        <v>88050.73000000001</v>
      </c>
      <c r="Y44" s="19">
        <f t="shared" si="42"/>
        <v>31268.25</v>
      </c>
      <c r="Z44" s="19">
        <f t="shared" si="42"/>
        <v>0</v>
      </c>
      <c r="AA44" s="19">
        <f t="shared" si="42"/>
        <v>0</v>
      </c>
      <c r="AB44" s="19">
        <f t="shared" si="42"/>
        <v>338066.56999999995</v>
      </c>
      <c r="AC44" s="19">
        <f t="shared" si="42"/>
        <v>490534.4160162</v>
      </c>
      <c r="AD44" s="19">
        <f t="shared" si="42"/>
        <v>0</v>
      </c>
      <c r="AE44" s="19">
        <f t="shared" si="42"/>
        <v>0</v>
      </c>
      <c r="AF44" s="19">
        <f t="shared" si="42"/>
        <v>195915.77196</v>
      </c>
      <c r="AG44" s="19">
        <f t="shared" si="42"/>
        <v>32092.324799999995</v>
      </c>
      <c r="AH44" s="19">
        <f t="shared" si="42"/>
        <v>10753.56684536</v>
      </c>
      <c r="AI44" s="19">
        <f t="shared" si="42"/>
        <v>48828.71925085</v>
      </c>
      <c r="AJ44" s="19">
        <f t="shared" si="42"/>
        <v>4445.740665153</v>
      </c>
      <c r="AK44" s="19">
        <f t="shared" si="42"/>
        <v>48638.77318063399</v>
      </c>
      <c r="AL44" s="19">
        <f t="shared" si="42"/>
        <v>4498.418948514119</v>
      </c>
      <c r="AM44" s="19">
        <f t="shared" si="42"/>
        <v>109020.39453759967</v>
      </c>
      <c r="AN44" s="19">
        <f t="shared" si="42"/>
        <v>9850.956216767938</v>
      </c>
      <c r="AO44" s="19">
        <f t="shared" si="42"/>
        <v>8761.14</v>
      </c>
      <c r="AP44" s="19">
        <f t="shared" si="42"/>
        <v>477.4788</v>
      </c>
      <c r="AQ44" s="148">
        <f t="shared" si="42"/>
        <v>8118.75</v>
      </c>
      <c r="AR44" s="148">
        <f t="shared" si="42"/>
        <v>1443.375</v>
      </c>
      <c r="AS44" s="44">
        <f t="shared" si="42"/>
        <v>121509.73</v>
      </c>
      <c r="AT44" s="44">
        <f t="shared" si="42"/>
        <v>73271.1</v>
      </c>
      <c r="AU44" s="44">
        <f t="shared" si="42"/>
        <v>16637.554000000004</v>
      </c>
      <c r="AV44" s="19">
        <f t="shared" si="42"/>
        <v>8800</v>
      </c>
      <c r="AW44" s="19">
        <f t="shared" si="42"/>
        <v>33</v>
      </c>
      <c r="AX44" s="19">
        <f t="shared" si="42"/>
        <v>18824.405600000002</v>
      </c>
      <c r="AY44" s="19">
        <f t="shared" si="42"/>
        <v>0</v>
      </c>
      <c r="AZ44" s="19">
        <f t="shared" si="42"/>
        <v>0</v>
      </c>
      <c r="BA44" s="19">
        <f t="shared" si="42"/>
        <v>0</v>
      </c>
      <c r="BB44" s="19">
        <f t="shared" si="42"/>
        <v>514813.70224487875</v>
      </c>
      <c r="BC44" s="19">
        <f t="shared" si="42"/>
        <v>92360.4176497568</v>
      </c>
      <c r="BD44" s="19">
        <f t="shared" si="42"/>
        <v>210659.72628668192</v>
      </c>
      <c r="BE44" s="19">
        <f t="shared" si="42"/>
        <v>79276.0680815645</v>
      </c>
      <c r="BF44" s="19">
        <f t="shared" si="42"/>
        <v>-18037.389999999996</v>
      </c>
    </row>
  </sheetData>
  <sheetProtection/>
  <mergeCells count="67">
    <mergeCell ref="AI5:AI6"/>
    <mergeCell ref="AJ5:AJ6"/>
    <mergeCell ref="AK5:AK6"/>
    <mergeCell ref="BE3:BE6"/>
    <mergeCell ref="AT5:AT6"/>
    <mergeCell ref="AO5:AO6"/>
    <mergeCell ref="AR5:AR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E3:F4"/>
    <mergeCell ref="G3:H4"/>
    <mergeCell ref="I3:J4"/>
    <mergeCell ref="K3:L4"/>
    <mergeCell ref="S5:S6"/>
    <mergeCell ref="Z5:Z6"/>
    <mergeCell ref="AA5:AA6"/>
    <mergeCell ref="V5:V6"/>
    <mergeCell ref="W5:W6"/>
    <mergeCell ref="X5:X6"/>
    <mergeCell ref="Y5:Y6"/>
    <mergeCell ref="AB5:AB6"/>
    <mergeCell ref="AG5:AG6"/>
    <mergeCell ref="AF3:AF6"/>
    <mergeCell ref="AN5:AN6"/>
    <mergeCell ref="AD3:AD6"/>
    <mergeCell ref="U3:AB4"/>
    <mergeCell ref="AC3:AC6"/>
    <mergeCell ref="AE3:AE6"/>
    <mergeCell ref="U5:U6"/>
    <mergeCell ref="AH5:AH6"/>
    <mergeCell ref="Q3:R4"/>
    <mergeCell ref="L5:L6"/>
    <mergeCell ref="M5:M6"/>
    <mergeCell ref="N5:N6"/>
    <mergeCell ref="O5:O6"/>
    <mergeCell ref="E5:E6"/>
    <mergeCell ref="F5:F6"/>
    <mergeCell ref="G5:G6"/>
    <mergeCell ref="H5:H6"/>
    <mergeCell ref="I5:I6"/>
    <mergeCell ref="J5:J6"/>
    <mergeCell ref="K5:K6"/>
    <mergeCell ref="S3:T4"/>
    <mergeCell ref="T5:T6"/>
    <mergeCell ref="P5:P6"/>
    <mergeCell ref="Q5:Q6"/>
    <mergeCell ref="R5:R6"/>
    <mergeCell ref="M3:N4"/>
    <mergeCell ref="O3:P4"/>
    <mergeCell ref="AS5:AS6"/>
    <mergeCell ref="A1:N1"/>
    <mergeCell ref="A3:A6"/>
    <mergeCell ref="B3:B6"/>
    <mergeCell ref="C3:C6"/>
    <mergeCell ref="D3:D6"/>
    <mergeCell ref="AL5:AL6"/>
    <mergeCell ref="AM5:AM6"/>
    <mergeCell ref="AP5:AP6"/>
    <mergeCell ref="AQ5:AQ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34">
      <selection activeCell="C55" sqref="C55"/>
    </sheetView>
  </sheetViews>
  <sheetFormatPr defaultColWidth="9.125" defaultRowHeight="12.75"/>
  <cols>
    <col min="1" max="1" width="10.25390625" style="2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7" width="9.875" style="2" customWidth="1"/>
    <col min="8" max="8" width="10.875" style="2" customWidth="1"/>
    <col min="9" max="9" width="10.125" style="2" customWidth="1"/>
    <col min="10" max="10" width="9.25390625" style="2" customWidth="1"/>
    <col min="11" max="11" width="10.25390625" style="2" customWidth="1"/>
    <col min="12" max="12" width="10.375" style="2" customWidth="1"/>
    <col min="13" max="13" width="10.125" style="2" customWidth="1"/>
    <col min="14" max="14" width="10.625" style="2" customWidth="1"/>
    <col min="15" max="15" width="10.375" style="2" customWidth="1"/>
    <col min="16" max="16" width="9.37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ht="18.75">
      <c r="E1" s="20" t="s">
        <v>53</v>
      </c>
    </row>
    <row r="2" ht="18.75">
      <c r="E2" s="20" t="s">
        <v>54</v>
      </c>
    </row>
    <row r="5" spans="1:17" ht="12.75">
      <c r="A5" s="75" t="s">
        <v>76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ht="12.75">
      <c r="A6" s="76" t="s">
        <v>94</v>
      </c>
      <c r="B6" s="76"/>
      <c r="C6" s="76"/>
      <c r="D6" s="76"/>
      <c r="E6" s="76"/>
      <c r="F6" s="76"/>
      <c r="G6" s="76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5" ht="13.5" thickBot="1">
      <c r="A8" s="22" t="s">
        <v>55</v>
      </c>
      <c r="D8" s="4"/>
      <c r="E8" s="22">
        <v>8.65</v>
      </c>
    </row>
    <row r="9" spans="1:16" ht="12.75" customHeight="1">
      <c r="A9" s="261" t="s">
        <v>56</v>
      </c>
      <c r="B9" s="264" t="s">
        <v>0</v>
      </c>
      <c r="C9" s="288" t="s">
        <v>57</v>
      </c>
      <c r="D9" s="291" t="s">
        <v>2</v>
      </c>
      <c r="E9" s="294" t="s">
        <v>58</v>
      </c>
      <c r="F9" s="188"/>
      <c r="G9" s="297" t="s">
        <v>90</v>
      </c>
      <c r="H9" s="297"/>
      <c r="I9" s="267" t="s">
        <v>8</v>
      </c>
      <c r="J9" s="268"/>
      <c r="K9" s="268"/>
      <c r="L9" s="268"/>
      <c r="M9" s="268"/>
      <c r="N9" s="269"/>
      <c r="O9" s="273" t="s">
        <v>59</v>
      </c>
      <c r="P9" s="258" t="s">
        <v>10</v>
      </c>
    </row>
    <row r="10" spans="1:16" ht="12.75">
      <c r="A10" s="262"/>
      <c r="B10" s="265"/>
      <c r="C10" s="289"/>
      <c r="D10" s="292"/>
      <c r="E10" s="295"/>
      <c r="F10" s="296"/>
      <c r="G10" s="298"/>
      <c r="H10" s="298"/>
      <c r="I10" s="270"/>
      <c r="J10" s="271"/>
      <c r="K10" s="271"/>
      <c r="L10" s="271"/>
      <c r="M10" s="271"/>
      <c r="N10" s="272"/>
      <c r="O10" s="274"/>
      <c r="P10" s="259"/>
    </row>
    <row r="11" spans="1:16" ht="26.25" customHeight="1">
      <c r="A11" s="262"/>
      <c r="B11" s="265"/>
      <c r="C11" s="289"/>
      <c r="D11" s="292"/>
      <c r="E11" s="280" t="s">
        <v>60</v>
      </c>
      <c r="F11" s="213"/>
      <c r="G11" s="152" t="s">
        <v>61</v>
      </c>
      <c r="H11" s="281" t="s">
        <v>5</v>
      </c>
      <c r="I11" s="283" t="s">
        <v>62</v>
      </c>
      <c r="J11" s="276" t="s">
        <v>30</v>
      </c>
      <c r="K11" s="276" t="s">
        <v>63</v>
      </c>
      <c r="L11" s="276" t="s">
        <v>35</v>
      </c>
      <c r="M11" s="276" t="s">
        <v>64</v>
      </c>
      <c r="N11" s="278" t="s">
        <v>37</v>
      </c>
      <c r="O11" s="274"/>
      <c r="P11" s="259"/>
    </row>
    <row r="12" spans="1:16" ht="66.75" customHeight="1" thickBot="1">
      <c r="A12" s="263"/>
      <c r="B12" s="266"/>
      <c r="C12" s="290"/>
      <c r="D12" s="293"/>
      <c r="E12" s="51" t="s">
        <v>65</v>
      </c>
      <c r="F12" s="54" t="s">
        <v>19</v>
      </c>
      <c r="G12" s="153" t="s">
        <v>91</v>
      </c>
      <c r="H12" s="282"/>
      <c r="I12" s="284"/>
      <c r="J12" s="277"/>
      <c r="K12" s="277"/>
      <c r="L12" s="277"/>
      <c r="M12" s="277"/>
      <c r="N12" s="279"/>
      <c r="O12" s="275"/>
      <c r="P12" s="260"/>
    </row>
    <row r="13" spans="1:16" ht="13.5" thickBot="1">
      <c r="A13" s="52">
        <v>1</v>
      </c>
      <c r="B13" s="53">
        <v>2</v>
      </c>
      <c r="C13" s="154">
        <v>3</v>
      </c>
      <c r="D13" s="52">
        <v>4</v>
      </c>
      <c r="E13" s="53">
        <v>5</v>
      </c>
      <c r="F13" s="155">
        <v>6</v>
      </c>
      <c r="G13" s="156">
        <v>7</v>
      </c>
      <c r="H13" s="157">
        <v>8</v>
      </c>
      <c r="I13" s="52">
        <v>9</v>
      </c>
      <c r="J13" s="53">
        <v>10</v>
      </c>
      <c r="K13" s="53">
        <v>11</v>
      </c>
      <c r="L13" s="53">
        <v>12</v>
      </c>
      <c r="M13" s="53">
        <v>13</v>
      </c>
      <c r="N13" s="158">
        <v>14</v>
      </c>
      <c r="O13" s="159">
        <v>15</v>
      </c>
      <c r="P13" s="160">
        <v>16</v>
      </c>
    </row>
    <row r="14" spans="1:16" ht="12.75">
      <c r="A14" s="7" t="s">
        <v>38</v>
      </c>
      <c r="B14" s="8"/>
      <c r="C14" s="23"/>
      <c r="D14" s="7"/>
      <c r="E14" s="8"/>
      <c r="F14" s="9"/>
      <c r="G14" s="161"/>
      <c r="H14" s="162"/>
      <c r="I14" s="7"/>
      <c r="J14" s="8"/>
      <c r="K14" s="8"/>
      <c r="L14" s="8"/>
      <c r="M14" s="8"/>
      <c r="N14" s="163"/>
      <c r="O14" s="164"/>
      <c r="P14" s="59"/>
    </row>
    <row r="15" spans="1:18" ht="12.75">
      <c r="A15" s="11" t="s">
        <v>39</v>
      </c>
      <c r="B15" s="48">
        <f>Лист1!B9</f>
        <v>2010.8</v>
      </c>
      <c r="C15" s="24">
        <f>Лист1!C9</f>
        <v>17393.420000000002</v>
      </c>
      <c r="D15" s="25">
        <f>Лист1!D9</f>
        <v>4189.7270096</v>
      </c>
      <c r="E15" s="12">
        <f>Лист1!S9</f>
        <v>12055.310000000001</v>
      </c>
      <c r="F15" s="27">
        <f>Лист1!T9</f>
        <v>2527.2</v>
      </c>
      <c r="G15" s="165">
        <f>Лист1!AB9</f>
        <v>223</v>
      </c>
      <c r="H15" s="166">
        <f>Лист1!AC9</f>
        <v>6939.9270096</v>
      </c>
      <c r="I15" s="26">
        <f>Лист1!AG9</f>
        <v>1206.48</v>
      </c>
      <c r="J15" s="12">
        <f>Лист1!AI9+Лист1!AJ9</f>
        <v>2021.1033392</v>
      </c>
      <c r="K15" s="12">
        <f>Лист1!AH9+Лист1!AK9+Лист1!AL9+Лист1!AM9+Лист1!AN9+Лист1!AO9+Лист1!AP9+Лист1!AQ9+Лист1!AR9</f>
        <v>7097.150410855999</v>
      </c>
      <c r="L15" s="28">
        <f>Лист1!AS9+Лист1!AT9+Лист1!AU9</f>
        <v>25975.812</v>
      </c>
      <c r="M15" s="28">
        <f>Лист1!AX9</f>
        <v>0</v>
      </c>
      <c r="N15" s="167">
        <f>Лист1!BB9</f>
        <v>36300.545750056</v>
      </c>
      <c r="O15" s="168">
        <f>Лист1!BE9</f>
        <v>-29360.618740456</v>
      </c>
      <c r="P15" s="60">
        <f>Лист1!BF9</f>
        <v>-11832.310000000001</v>
      </c>
      <c r="Q15" s="1"/>
      <c r="R15" s="1"/>
    </row>
    <row r="16" spans="1:18" ht="12.75">
      <c r="A16" s="11" t="s">
        <v>40</v>
      </c>
      <c r="B16" s="48">
        <f>Лист1!B10</f>
        <v>2010.8</v>
      </c>
      <c r="C16" s="24">
        <f>Лист1!C10</f>
        <v>17393.420000000002</v>
      </c>
      <c r="D16" s="25">
        <f>Лист1!D10</f>
        <v>4189.7270096</v>
      </c>
      <c r="E16" s="12">
        <f>Лист1!S10</f>
        <v>11692.81</v>
      </c>
      <c r="F16" s="27">
        <f>Лист1!T10</f>
        <v>2505.46</v>
      </c>
      <c r="G16" s="165">
        <f>Лист1!AB10</f>
        <v>6974.9800000000005</v>
      </c>
      <c r="H16" s="166">
        <f>Лист1!AC10</f>
        <v>13670.167009600002</v>
      </c>
      <c r="I16" s="26">
        <f>Лист1!AG10</f>
        <v>1206.48</v>
      </c>
      <c r="J16" s="12">
        <f>Лист1!AI10+Лист1!AJ10</f>
        <v>2021.1033392</v>
      </c>
      <c r="K16" s="12">
        <f>Лист1!AH10+Лист1!AK10+Лист1!AL10+Лист1!AM10+Лист1!AN10+Лист1!AO10+Лист1!AP10+Лист1!AQ10+Лист1!AR10</f>
        <v>7075.48460388</v>
      </c>
      <c r="L16" s="28">
        <f>Лист1!AS10+Лист1!AT10+Лист1!AU10</f>
        <v>10124.4</v>
      </c>
      <c r="M16" s="28">
        <f>Лист1!AX10</f>
        <v>0</v>
      </c>
      <c r="N16" s="167">
        <f>Лист1!BB10</f>
        <v>20427.467943080002</v>
      </c>
      <c r="O16" s="168">
        <f>Лист1!BE10</f>
        <v>-6757.300933480001</v>
      </c>
      <c r="P16" s="60">
        <f>Лист1!BF10</f>
        <v>-4717.829999999999</v>
      </c>
      <c r="Q16" s="1"/>
      <c r="R16" s="1"/>
    </row>
    <row r="17" spans="1:18" ht="13.5" thickBot="1">
      <c r="A17" s="29" t="s">
        <v>41</v>
      </c>
      <c r="B17" s="48">
        <f>Лист1!B11</f>
        <v>2010.8</v>
      </c>
      <c r="C17" s="24">
        <f>Лист1!C11</f>
        <v>17393.420000000002</v>
      </c>
      <c r="D17" s="25">
        <f>Лист1!D11</f>
        <v>4180.508497000001</v>
      </c>
      <c r="E17" s="12">
        <f>Лист1!S11</f>
        <v>11836.53</v>
      </c>
      <c r="F17" s="27">
        <f>Лист1!T11</f>
        <v>2539.85</v>
      </c>
      <c r="G17" s="165">
        <f>Лист1!AB11</f>
        <v>11349.689999999999</v>
      </c>
      <c r="H17" s="166">
        <f>Лист1!AC11</f>
        <v>18070.048497</v>
      </c>
      <c r="I17" s="26">
        <f>Лист1!AG11</f>
        <v>1206.48</v>
      </c>
      <c r="J17" s="12">
        <f>Лист1!AI11+Лист1!AJ11</f>
        <v>2015.2189340799998</v>
      </c>
      <c r="K17" s="12">
        <f>Лист1!AH11+Лист1!AK11+Лист1!AL11+Лист1!AM11+Лист1!AN11+Лист1!AO11+Лист1!AP11+Лист1!AQ11+Лист1!AR11</f>
        <v>7064.235444684</v>
      </c>
      <c r="L17" s="28">
        <f>Лист1!AS11+Лист1!AT11+Лист1!AU11</f>
        <v>0</v>
      </c>
      <c r="M17" s="28">
        <f>Лист1!AX11</f>
        <v>0</v>
      </c>
      <c r="N17" s="167">
        <f>Лист1!BB11</f>
        <v>10285.934378764001</v>
      </c>
      <c r="O17" s="168">
        <f>Лист1!BE11</f>
        <v>7784.114118235999</v>
      </c>
      <c r="P17" s="60">
        <f>Лист1!BF11</f>
        <v>-486.84000000000196</v>
      </c>
      <c r="Q17" s="1"/>
      <c r="R17" s="1"/>
    </row>
    <row r="18" spans="1:18" s="16" customFormat="1" ht="13.5" thickBot="1">
      <c r="A18" s="30" t="s">
        <v>3</v>
      </c>
      <c r="B18" s="31"/>
      <c r="C18" s="32">
        <f>SUM(C15:C17)</f>
        <v>52180.26000000001</v>
      </c>
      <c r="D18" s="32">
        <f aca="true" t="shared" si="0" ref="D18:P18">SUM(D15:D17)</f>
        <v>12559.962516200001</v>
      </c>
      <c r="E18" s="32">
        <f t="shared" si="0"/>
        <v>35584.65</v>
      </c>
      <c r="F18" s="32">
        <f t="shared" si="0"/>
        <v>7572.51</v>
      </c>
      <c r="G18" s="32">
        <f t="shared" si="0"/>
        <v>18547.67</v>
      </c>
      <c r="H18" s="32">
        <f t="shared" si="0"/>
        <v>38680.1425162</v>
      </c>
      <c r="I18" s="32">
        <f t="shared" si="0"/>
        <v>3619.44</v>
      </c>
      <c r="J18" s="32">
        <f t="shared" si="0"/>
        <v>6057.4256124799995</v>
      </c>
      <c r="K18" s="32">
        <f t="shared" si="0"/>
        <v>21236.87045942</v>
      </c>
      <c r="L18" s="32">
        <f t="shared" si="0"/>
        <v>36100.212</v>
      </c>
      <c r="M18" s="32">
        <f t="shared" si="0"/>
        <v>0</v>
      </c>
      <c r="N18" s="32">
        <f t="shared" si="0"/>
        <v>67013.9480719</v>
      </c>
      <c r="O18" s="32">
        <f t="shared" si="0"/>
        <v>-28333.805555700004</v>
      </c>
      <c r="P18" s="32">
        <f t="shared" si="0"/>
        <v>-17036.980000000003</v>
      </c>
      <c r="Q18" s="57"/>
      <c r="R18" s="57"/>
    </row>
    <row r="19" spans="1:18" ht="12.75">
      <c r="A19" s="7" t="s">
        <v>42</v>
      </c>
      <c r="B19" s="108"/>
      <c r="C19" s="36"/>
      <c r="D19" s="37"/>
      <c r="E19" s="38"/>
      <c r="F19" s="40"/>
      <c r="G19" s="169"/>
      <c r="H19" s="170"/>
      <c r="I19" s="39"/>
      <c r="J19" s="38"/>
      <c r="K19" s="38"/>
      <c r="L19" s="118"/>
      <c r="M19" s="118"/>
      <c r="N19" s="171"/>
      <c r="O19" s="172"/>
      <c r="P19" s="173"/>
      <c r="Q19" s="1"/>
      <c r="R19" s="1"/>
    </row>
    <row r="20" spans="1:18" ht="12.75">
      <c r="A20" s="11" t="s">
        <v>43</v>
      </c>
      <c r="B20" s="48">
        <f>Лист1!B14</f>
        <v>2010.78</v>
      </c>
      <c r="C20" s="24">
        <f>Лист1!C14</f>
        <v>17393.247</v>
      </c>
      <c r="D20" s="25">
        <f>Лист1!D14</f>
        <v>2174.155875</v>
      </c>
      <c r="E20" s="12">
        <f>Лист1!S14</f>
        <v>10710.160000000002</v>
      </c>
      <c r="F20" s="27">
        <f>Лист1!T14</f>
        <v>2539.85</v>
      </c>
      <c r="G20" s="165">
        <f>Лист1!AB14</f>
        <v>6609.1</v>
      </c>
      <c r="H20" s="166">
        <f>Лист1!AC14</f>
        <v>11323.105875000001</v>
      </c>
      <c r="I20" s="26">
        <f>Лист1!AG14</f>
        <v>1085.8211999999999</v>
      </c>
      <c r="J20" s="12">
        <f>Лист1!AI14+Лист1!AJ14</f>
        <v>1748.5526987800001</v>
      </c>
      <c r="K20" s="12">
        <f>Лист1!AH14+Лист1!AK14+Лист1!AL14+Лист1!AM14+Лист1!AN14+Лист1!AO14+Лист1!AP14+Лист1!AQ14+Лист1!AR14</f>
        <v>6005.1131942724005</v>
      </c>
      <c r="L20" s="28">
        <f>Лист1!AS14+Лист1!AT14+Лист1!AU14</f>
        <v>28202.010000000002</v>
      </c>
      <c r="M20" s="28">
        <f>Лист1!AX14</f>
        <v>923.1376</v>
      </c>
      <c r="N20" s="167">
        <f>Лист1!BB14</f>
        <v>37041.4970930524</v>
      </c>
      <c r="O20" s="168">
        <f>Лист1!BE14</f>
        <v>-23845.928628352398</v>
      </c>
      <c r="P20" s="60">
        <f>Лист1!BF14</f>
        <v>-4101.060000000001</v>
      </c>
      <c r="Q20" s="1"/>
      <c r="R20" s="1"/>
    </row>
    <row r="21" spans="1:18" ht="12.75">
      <c r="A21" s="11" t="s">
        <v>44</v>
      </c>
      <c r="B21" s="48">
        <f>Лист1!B15</f>
        <v>2010.78</v>
      </c>
      <c r="C21" s="24">
        <f>Лист1!C15</f>
        <v>17393.247</v>
      </c>
      <c r="D21" s="25">
        <f>Лист1!D15</f>
        <v>2174.155875</v>
      </c>
      <c r="E21" s="12">
        <f>Лист1!S15</f>
        <v>11838.779999999999</v>
      </c>
      <c r="F21" s="27">
        <f>Лист1!T15</f>
        <v>2539.85</v>
      </c>
      <c r="G21" s="165">
        <f>Лист1!AB15</f>
        <v>7623.949999999999</v>
      </c>
      <c r="H21" s="166">
        <f>Лист1!AC15</f>
        <v>12337.955875</v>
      </c>
      <c r="I21" s="26">
        <f>Лист1!AG15</f>
        <v>1085.8211999999999</v>
      </c>
      <c r="J21" s="12">
        <f>Лист1!AI15+Лист1!AJ15</f>
        <v>1748.5762987800001</v>
      </c>
      <c r="K21" s="12">
        <f>Лист1!AH15+Лист1!AK15+Лист1!AL15+Лист1!AM15+Лист1!AN15+Лист1!AO15+Лист1!AP15+Лист1!AQ15+Лист1!AR15</f>
        <v>6013.7822700864</v>
      </c>
      <c r="L21" s="28">
        <f>Лист1!AS15+Лист1!AT15+Лист1!AU15</f>
        <v>8977.44</v>
      </c>
      <c r="M21" s="28">
        <f>Лист1!AX15</f>
        <v>739.6004</v>
      </c>
      <c r="N21" s="167">
        <f>Лист1!BB15</f>
        <v>17825.6197688664</v>
      </c>
      <c r="O21" s="168">
        <f>Лист1!BE15</f>
        <v>-3617.2830306664</v>
      </c>
      <c r="P21" s="60">
        <f>Лист1!BF15</f>
        <v>-4214.83</v>
      </c>
      <c r="Q21" s="1"/>
      <c r="R21" s="1"/>
    </row>
    <row r="22" spans="1:18" ht="12.75">
      <c r="A22" s="11" t="s">
        <v>45</v>
      </c>
      <c r="B22" s="48">
        <f>Лист1!B16</f>
        <v>2010.78</v>
      </c>
      <c r="C22" s="24">
        <f>Лист1!C16</f>
        <v>17393.247</v>
      </c>
      <c r="D22" s="25">
        <f>Лист1!D16</f>
        <v>2174.155875</v>
      </c>
      <c r="E22" s="12">
        <f>Лист1!S16</f>
        <v>11588.960000000001</v>
      </c>
      <c r="F22" s="27">
        <f>Лист1!T16</f>
        <v>2539.85</v>
      </c>
      <c r="G22" s="165">
        <f>Лист1!AB16</f>
        <v>13864.660000000002</v>
      </c>
      <c r="H22" s="166">
        <f>Лист1!AC16</f>
        <v>18578.665875000002</v>
      </c>
      <c r="I22" s="26">
        <f>Лист1!AG16</f>
        <v>1085.8211999999999</v>
      </c>
      <c r="J22" s="12">
        <f>Лист1!AI16+Лист1!AJ16</f>
        <v>1749.58470495</v>
      </c>
      <c r="K22" s="12">
        <f>Лист1!AH16+Лист1!AK16+Лист1!AL16+Лист1!AM16+Лист1!AN16+Лист1!AO16+Лист1!AP16+Лист1!AQ16+Лист1!AR16</f>
        <v>5813.742033644398</v>
      </c>
      <c r="L22" s="28">
        <f>Лист1!AS16+Лист1!AT16+Лист1!AU16</f>
        <v>2888.64</v>
      </c>
      <c r="M22" s="28">
        <f>Лист1!AX16</f>
        <v>695.9876</v>
      </c>
      <c r="N22" s="167">
        <f>Лист1!BB16</f>
        <v>11537.787938594398</v>
      </c>
      <c r="O22" s="168">
        <f>Лист1!BE16</f>
        <v>8940.348740755604</v>
      </c>
      <c r="P22" s="60">
        <f>Лист1!BF16</f>
        <v>2275.7000000000007</v>
      </c>
      <c r="Q22" s="1"/>
      <c r="R22" s="1"/>
    </row>
    <row r="23" spans="1:18" ht="12.75">
      <c r="A23" s="11" t="s">
        <v>46</v>
      </c>
      <c r="B23" s="48">
        <f>Лист1!B17</f>
        <v>2010.78</v>
      </c>
      <c r="C23" s="24">
        <f>Лист1!C17</f>
        <v>17393.247</v>
      </c>
      <c r="D23" s="25">
        <f>Лист1!D17</f>
        <v>2174.155875</v>
      </c>
      <c r="E23" s="12">
        <f>Лист1!S17</f>
        <v>11941.27</v>
      </c>
      <c r="F23" s="27">
        <f>Лист1!T17</f>
        <v>2590.9399999999996</v>
      </c>
      <c r="G23" s="165">
        <f>Лист1!AB17</f>
        <v>9034.33</v>
      </c>
      <c r="H23" s="166">
        <f>Лист1!AC17</f>
        <v>13799.425874999999</v>
      </c>
      <c r="I23" s="26">
        <f>Лист1!AG17</f>
        <v>1085.8211999999999</v>
      </c>
      <c r="J23" s="12">
        <f>Лист1!AI17+Лист1!AJ17</f>
        <v>1801.8201445559998</v>
      </c>
      <c r="K23" s="12">
        <f>Лист1!AH17+Лист1!AK17+Лист1!AL17+Лист1!AM17+Лист1!AN17+Лист1!AO17+Лист1!AP17+Лист1!AQ17+Лист1!AR17</f>
        <v>5896.1164112208</v>
      </c>
      <c r="L23" s="28">
        <f>Лист1!AS17+Лист1!AT17+Лист1!AU17</f>
        <v>916.8128</v>
      </c>
      <c r="M23" s="28">
        <f>Лист1!AX17</f>
        <v>2916.606</v>
      </c>
      <c r="N23" s="167">
        <f>Лист1!BB17</f>
        <v>12617.176555776798</v>
      </c>
      <c r="O23" s="168">
        <f>Лист1!BE17</f>
        <v>3042.9807678232014</v>
      </c>
      <c r="P23" s="60">
        <f>Лист1!BF17</f>
        <v>-2906.9400000000005</v>
      </c>
      <c r="Q23" s="1"/>
      <c r="R23" s="1"/>
    </row>
    <row r="24" spans="1:18" ht="12.75">
      <c r="A24" s="11" t="s">
        <v>47</v>
      </c>
      <c r="B24" s="48">
        <f>Лист1!B18</f>
        <v>2010.78</v>
      </c>
      <c r="C24" s="24">
        <f>Лист1!C18</f>
        <v>17393.247</v>
      </c>
      <c r="D24" s="25">
        <f>Лист1!D18</f>
        <v>4814.517000000003</v>
      </c>
      <c r="E24" s="12">
        <f>Лист1!S18</f>
        <v>9848.69</v>
      </c>
      <c r="F24" s="27">
        <f>Лист1!T18</f>
        <v>2730.04</v>
      </c>
      <c r="G24" s="165">
        <f>Лист1!AB18</f>
        <v>9815.510000000002</v>
      </c>
      <c r="H24" s="166">
        <f>Лист1!AC18</f>
        <v>17360.067000000003</v>
      </c>
      <c r="I24" s="26">
        <f>Лист1!AG18</f>
        <v>1206.4679999999998</v>
      </c>
      <c r="J24" s="12">
        <f>Лист1!AI18+Лист1!AJ18</f>
        <v>2016.81234</v>
      </c>
      <c r="K24" s="12">
        <f>Лист1!AH18+Лист1!AK18+Лист1!AL18+Лист1!AM18+Лист1!AN18+Лист1!AO18+Лист1!AP18+Лист1!AQ18+Лист1!AR18</f>
        <v>6907.431455999998</v>
      </c>
      <c r="L24" s="28">
        <f>Лист1!AS18+Лист1!AT18+Лист1!AU18</f>
        <v>3014.133</v>
      </c>
      <c r="M24" s="28">
        <f>Лист1!AX18</f>
        <v>477.9236</v>
      </c>
      <c r="N24" s="167">
        <f>Лист1!BB18</f>
        <v>13622.768395999998</v>
      </c>
      <c r="O24" s="168">
        <f>Лист1!BE18</f>
        <v>5435.612256010005</v>
      </c>
      <c r="P24" s="60">
        <f>Лист1!BF18</f>
        <v>-33.17999999999847</v>
      </c>
      <c r="Q24" s="1"/>
      <c r="R24" s="1"/>
    </row>
    <row r="25" spans="1:18" ht="12.75">
      <c r="A25" s="11" t="s">
        <v>48</v>
      </c>
      <c r="B25" s="48">
        <f>Лист1!B19</f>
        <v>2010.78</v>
      </c>
      <c r="C25" s="24">
        <f>Лист1!C19</f>
        <v>17393.247</v>
      </c>
      <c r="D25" s="25">
        <f>Лист1!D19</f>
        <v>1592.967</v>
      </c>
      <c r="E25" s="12">
        <f>Лист1!S19</f>
        <v>13000.96</v>
      </c>
      <c r="F25" s="27">
        <f>Лист1!T19</f>
        <v>2799.32</v>
      </c>
      <c r="G25" s="165">
        <f>Лист1!AB19</f>
        <v>13461.55</v>
      </c>
      <c r="H25" s="166">
        <f>Лист1!AC19</f>
        <v>17853.837</v>
      </c>
      <c r="I25" s="26">
        <f>Лист1!AG19</f>
        <v>1206.4679999999998</v>
      </c>
      <c r="J25" s="12">
        <f>Лист1!AI19+Лист1!AJ19</f>
        <v>2016.81234</v>
      </c>
      <c r="K25" s="12">
        <f>Лист1!AH19+Лист1!AK19+Лист1!AL19+Лист1!AM19+Лист1!AN19+Лист1!AO19+Лист1!AP19+Лист1!AQ19+Лист1!AR19</f>
        <v>6907.612426199999</v>
      </c>
      <c r="L25" s="28">
        <f>Лист1!AS19+Лист1!AT19+Лист1!AU19</f>
        <v>0</v>
      </c>
      <c r="M25" s="28">
        <f>Лист1!AX19</f>
        <v>423.40760000000006</v>
      </c>
      <c r="N25" s="167">
        <f>Лист1!BB19</f>
        <v>10554.3003662</v>
      </c>
      <c r="O25" s="168">
        <f>Лист1!BE19</f>
        <v>9080.9490547</v>
      </c>
      <c r="P25" s="60">
        <f>Лист1!BF19</f>
        <v>460.59000000000015</v>
      </c>
      <c r="Q25" s="1"/>
      <c r="R25" s="1"/>
    </row>
    <row r="26" spans="1:18" ht="12.75">
      <c r="A26" s="11" t="s">
        <v>49</v>
      </c>
      <c r="B26" s="48">
        <f>Лист1!B20</f>
        <v>2010.78</v>
      </c>
      <c r="C26" s="24">
        <f>Лист1!C20</f>
        <v>17393.247</v>
      </c>
      <c r="D26" s="25">
        <f>Лист1!D20</f>
        <v>1870.4469999999974</v>
      </c>
      <c r="E26" s="12">
        <f>Лист1!S20</f>
        <v>12723.480000000001</v>
      </c>
      <c r="F26" s="27">
        <f>Лист1!T20</f>
        <v>2799.32</v>
      </c>
      <c r="G26" s="165">
        <f>Лист1!AB20</f>
        <v>14361.859999999999</v>
      </c>
      <c r="H26" s="166">
        <f>Лист1!AC20</f>
        <v>19031.626999999997</v>
      </c>
      <c r="I26" s="26">
        <f>Лист1!AG20</f>
        <v>1206.4679999999998</v>
      </c>
      <c r="J26" s="12">
        <f>Лист1!AI20+Лист1!AJ20</f>
        <v>1987.971923538</v>
      </c>
      <c r="K26" s="12">
        <f>Лист1!AH20+Лист1!AK20+Лист1!AL20+Лист1!AM20+Лист1!AN20+Лист1!AO20+Лист1!AP20+Лист1!AQ20+Лист1!AR20</f>
        <v>6838.8864189516</v>
      </c>
      <c r="L26" s="28">
        <f>Лист1!AS20+Лист1!AT20+Лист1!AU20</f>
        <v>0</v>
      </c>
      <c r="M26" s="28">
        <f>Лист1!AX20</f>
        <v>450.6656</v>
      </c>
      <c r="N26" s="167">
        <f>Лист1!BB20</f>
        <v>10483.991942489598</v>
      </c>
      <c r="O26" s="168">
        <f>Лист1!BE20</f>
        <v>13706.950886470397</v>
      </c>
      <c r="P26" s="60">
        <f>Лист1!BF20</f>
        <v>1638.3799999999974</v>
      </c>
      <c r="Q26" s="1"/>
      <c r="R26" s="1"/>
    </row>
    <row r="27" spans="1:18" ht="12.75">
      <c r="A27" s="11" t="s">
        <v>50</v>
      </c>
      <c r="B27" s="48">
        <f>Лист1!B21</f>
        <v>2010.78</v>
      </c>
      <c r="C27" s="24">
        <f>Лист1!C21</f>
        <v>17393.247</v>
      </c>
      <c r="D27" s="25">
        <f>Лист1!D21</f>
        <v>1592.967</v>
      </c>
      <c r="E27" s="12">
        <f>Лист1!S21</f>
        <v>13000.96</v>
      </c>
      <c r="F27" s="27">
        <f>Лист1!T21</f>
        <v>2799.32</v>
      </c>
      <c r="G27" s="165">
        <f>Лист1!AB21</f>
        <v>10967.82</v>
      </c>
      <c r="H27" s="166">
        <f>Лист1!AC21</f>
        <v>15360.107</v>
      </c>
      <c r="I27" s="26">
        <f>Лист1!AG21</f>
        <v>1206.4679999999998</v>
      </c>
      <c r="J27" s="12">
        <f>Лист1!AI21+Лист1!AJ21</f>
        <v>1987.0845261084</v>
      </c>
      <c r="K27" s="12">
        <f>Лист1!AH21+Лист1!AK21+Лист1!AL21+Лист1!AM21+Лист1!AN21+Лист1!AO21+Лист1!AP21+Лист1!AQ21+Лист1!AR21</f>
        <v>6837.894662039999</v>
      </c>
      <c r="L27" s="28">
        <f>Лист1!AS21+Лист1!AT21+Лист1!AU21</f>
        <v>0</v>
      </c>
      <c r="M27" s="28">
        <f>Лист1!AX21</f>
        <v>532.4396</v>
      </c>
      <c r="N27" s="167">
        <f>Лист1!BB21</f>
        <v>10563.8867881484</v>
      </c>
      <c r="O27" s="168">
        <f>Лист1!BE21</f>
        <v>9957.636334139599</v>
      </c>
      <c r="P27" s="60">
        <f>Лист1!BF21</f>
        <v>-2033.1399999999994</v>
      </c>
      <c r="Q27" s="1"/>
      <c r="R27" s="1"/>
    </row>
    <row r="28" spans="1:18" ht="12.75">
      <c r="A28" s="11" t="s">
        <v>51</v>
      </c>
      <c r="B28" s="48">
        <f>Лист1!B22</f>
        <v>2010.78</v>
      </c>
      <c r="C28" s="24">
        <f>Лист1!C22</f>
        <v>17393.247</v>
      </c>
      <c r="D28" s="25">
        <f>Лист1!D22</f>
        <v>1592.967</v>
      </c>
      <c r="E28" s="12">
        <f>Лист1!S22</f>
        <v>13000.96</v>
      </c>
      <c r="F28" s="27">
        <f>Лист1!T22</f>
        <v>2799.32</v>
      </c>
      <c r="G28" s="165">
        <f>Лист1!AB22</f>
        <v>16838.59</v>
      </c>
      <c r="H28" s="166">
        <f>Лист1!AC22</f>
        <v>21230.877</v>
      </c>
      <c r="I28" s="26">
        <f>Лист1!AG22</f>
        <v>1206.4679999999998</v>
      </c>
      <c r="J28" s="12">
        <f>Лист1!AI22+Лист1!AJ22</f>
        <v>1986.7416680106</v>
      </c>
      <c r="K28" s="12">
        <f>Лист1!AH22+Лист1!AK22+Лист1!AL22+Лист1!AM22+Лист1!AN22+Лист1!AO22+Лист1!AP22+Лист1!AQ22+Лист1!AR22</f>
        <v>6836.99615304012</v>
      </c>
      <c r="L28" s="28">
        <f>Лист1!AS22+Лист1!AT22+Лист1!AU22</f>
        <v>0</v>
      </c>
      <c r="M28" s="28">
        <f>Лист1!AX22</f>
        <v>634.2028</v>
      </c>
      <c r="N28" s="167">
        <f>Лист1!BB22</f>
        <v>10664.40862105072</v>
      </c>
      <c r="O28" s="168">
        <f>Лист1!BE22</f>
        <v>15728.58330318448</v>
      </c>
      <c r="P28" s="60">
        <f>Лист1!BF22</f>
        <v>3837.630000000001</v>
      </c>
      <c r="Q28" s="1"/>
      <c r="R28" s="1"/>
    </row>
    <row r="29" spans="1:18" ht="12.75">
      <c r="A29" s="11" t="s">
        <v>39</v>
      </c>
      <c r="B29" s="48">
        <f>Лист1!B23</f>
        <v>2010.78</v>
      </c>
      <c r="C29" s="24">
        <f>Лист1!C23</f>
        <v>17393.247</v>
      </c>
      <c r="D29" s="25">
        <f>Лист1!D23</f>
        <v>1571.0770000000002</v>
      </c>
      <c r="E29" s="12">
        <f>Лист1!S23</f>
        <v>13123.4</v>
      </c>
      <c r="F29" s="27">
        <f>Лист1!T23</f>
        <v>2698.77</v>
      </c>
      <c r="G29" s="165">
        <f>Лист1!AB23</f>
        <v>15662.78</v>
      </c>
      <c r="H29" s="166">
        <f>Лист1!AC23</f>
        <v>19932.627</v>
      </c>
      <c r="I29" s="26">
        <f>Лист1!AG23</f>
        <v>1206.4679999999998</v>
      </c>
      <c r="J29" s="12">
        <f>Лист1!AI23+Лист1!AJ23</f>
        <v>2009.6941788</v>
      </c>
      <c r="K29" s="12">
        <f>Лист1!AH23+Лист1!AK23+Лист1!AL23+Лист1!AM23+Лист1!AN23+Лист1!AO23+Лист1!AP23+Лист1!AQ23+Лист1!AR23</f>
        <v>16357.893931999999</v>
      </c>
      <c r="L29" s="28">
        <f>Лист1!AS23+Лист1!AT23+Лист1!AU23</f>
        <v>1866.7836</v>
      </c>
      <c r="M29" s="28">
        <f>Лист1!AX23</f>
        <v>772.3100000000001</v>
      </c>
      <c r="N29" s="167">
        <f>Лист1!BB23</f>
        <v>22213.1497108</v>
      </c>
      <c r="O29" s="168">
        <f>Лист1!BE23</f>
        <v>2845.473425199999</v>
      </c>
      <c r="P29" s="60">
        <f>Лист1!BF23</f>
        <v>2539.380000000001</v>
      </c>
      <c r="Q29" s="1"/>
      <c r="R29" s="1"/>
    </row>
    <row r="30" spans="1:18" ht="12.75">
      <c r="A30" s="11" t="s">
        <v>40</v>
      </c>
      <c r="B30" s="48">
        <f>Лист1!B24</f>
        <v>2010.58</v>
      </c>
      <c r="C30" s="24">
        <f>Лист1!C24</f>
        <v>17391.517</v>
      </c>
      <c r="D30" s="25">
        <f>Лист1!D24</f>
        <v>1560.5570000000007</v>
      </c>
      <c r="E30" s="12">
        <f>Лист1!S24</f>
        <v>13163.35</v>
      </c>
      <c r="F30" s="27">
        <f>Лист1!T24</f>
        <v>2667.61</v>
      </c>
      <c r="G30" s="165">
        <f>Лист1!AB24</f>
        <v>15980.529999999999</v>
      </c>
      <c r="H30" s="166">
        <f>Лист1!AC24</f>
        <v>20208.697</v>
      </c>
      <c r="I30" s="26">
        <f>Лист1!AG24</f>
        <v>1206.348</v>
      </c>
      <c r="J30" s="12">
        <f>Лист1!AI24+Лист1!AJ24</f>
        <v>2016.6117399999998</v>
      </c>
      <c r="K30" s="12">
        <f>Лист1!AH24+Лист1!AK24+Лист1!AL24+Лист1!AM24+Лист1!AN24+Лист1!AO24+Лист1!AP24+Лист1!AQ24+Лист1!AR24</f>
        <v>6902.723255999999</v>
      </c>
      <c r="L30" s="28">
        <f>Лист1!AS24+Лист1!AT24+Лист1!AU24</f>
        <v>9499</v>
      </c>
      <c r="M30" s="28">
        <f>Лист1!AX24</f>
        <v>854.0840000000001</v>
      </c>
      <c r="N30" s="167">
        <f>Лист1!BB24</f>
        <v>20478.766996</v>
      </c>
      <c r="O30" s="168">
        <f>Лист1!BE24</f>
        <v>4849.393844000001</v>
      </c>
      <c r="P30" s="60">
        <f>Лист1!BF24</f>
        <v>2817.1799999999985</v>
      </c>
      <c r="Q30" s="1"/>
      <c r="R30" s="1"/>
    </row>
    <row r="31" spans="1:18" ht="13.5" thickBot="1">
      <c r="A31" s="29" t="s">
        <v>41</v>
      </c>
      <c r="B31" s="48">
        <f>Лист1!B25</f>
        <v>2010.58</v>
      </c>
      <c r="C31" s="24">
        <f>Лист1!C25</f>
        <v>17391.517</v>
      </c>
      <c r="D31" s="25">
        <f>Лист1!D25</f>
        <v>1710.7270000000021</v>
      </c>
      <c r="E31" s="12">
        <f>Лист1!S25</f>
        <v>13017.2</v>
      </c>
      <c r="F31" s="27">
        <f>Лист1!T25</f>
        <v>2663.59</v>
      </c>
      <c r="G31" s="165">
        <f>Лист1!AB25</f>
        <v>23956.38</v>
      </c>
      <c r="H31" s="166">
        <f>Лист1!AC25</f>
        <v>28330.697000000004</v>
      </c>
      <c r="I31" s="26">
        <f>Лист1!AG25</f>
        <v>1206.348</v>
      </c>
      <c r="J31" s="12">
        <f>Лист1!AI25+Лист1!AJ25</f>
        <v>2016.6117399999998</v>
      </c>
      <c r="K31" s="12">
        <f>Лист1!AH25+Лист1!AK25+Лист1!AL25+Лист1!AM25+Лист1!AN25+Лист1!AO25+Лист1!AP25+Лист1!AQ25+Лист1!AR25</f>
        <v>10032.862056</v>
      </c>
      <c r="L31" s="28">
        <f>Лист1!AS25+Лист1!AT25+Лист1!AU25</f>
        <v>0</v>
      </c>
      <c r="M31" s="28">
        <f>Лист1!AX25</f>
        <v>934.0408</v>
      </c>
      <c r="N31" s="167">
        <f>Лист1!BB25</f>
        <v>14189.862596</v>
      </c>
      <c r="O31" s="168">
        <f>Лист1!BE25</f>
        <v>19260.298244</v>
      </c>
      <c r="P31" s="60">
        <f>Лист1!BF25</f>
        <v>10939.18</v>
      </c>
      <c r="Q31" s="1"/>
      <c r="R31" s="1"/>
    </row>
    <row r="32" spans="1:18" s="16" customFormat="1" ht="13.5" thickBot="1">
      <c r="A32" s="30" t="s">
        <v>3</v>
      </c>
      <c r="B32" s="31"/>
      <c r="C32" s="32">
        <f aca="true" t="shared" si="1" ref="C32:P32">SUM(C20:C31)</f>
        <v>208715.504</v>
      </c>
      <c r="D32" s="55">
        <f t="shared" si="1"/>
        <v>25002.849500000004</v>
      </c>
      <c r="E32" s="32">
        <f t="shared" si="1"/>
        <v>146958.17</v>
      </c>
      <c r="F32" s="56">
        <f t="shared" si="1"/>
        <v>32167.78</v>
      </c>
      <c r="G32" s="174">
        <f t="shared" si="1"/>
        <v>158177.06</v>
      </c>
      <c r="H32" s="175">
        <f t="shared" si="1"/>
        <v>215347.6895</v>
      </c>
      <c r="I32" s="55">
        <f t="shared" si="1"/>
        <v>13994.788799999998</v>
      </c>
      <c r="J32" s="32">
        <f t="shared" si="1"/>
        <v>23086.874303523</v>
      </c>
      <c r="K32" s="32">
        <f t="shared" si="1"/>
        <v>91351.05426945571</v>
      </c>
      <c r="L32" s="32">
        <f t="shared" si="1"/>
        <v>55364.81940000001</v>
      </c>
      <c r="M32" s="32">
        <f t="shared" si="1"/>
        <v>10354.405600000002</v>
      </c>
      <c r="N32" s="176">
        <f t="shared" si="1"/>
        <v>191793.2167729787</v>
      </c>
      <c r="O32" s="55">
        <f t="shared" si="1"/>
        <v>65385.01519726448</v>
      </c>
      <c r="P32" s="61">
        <f t="shared" si="1"/>
        <v>11218.89</v>
      </c>
      <c r="Q32" s="57"/>
      <c r="R32" s="57"/>
    </row>
    <row r="33" spans="1:18" ht="13.5" thickBot="1">
      <c r="A33" s="73" t="s">
        <v>66</v>
      </c>
      <c r="B33" s="74"/>
      <c r="C33" s="74"/>
      <c r="D33" s="74"/>
      <c r="E33" s="74"/>
      <c r="F33" s="74"/>
      <c r="G33" s="74"/>
      <c r="H33" s="177"/>
      <c r="I33" s="74"/>
      <c r="J33" s="74"/>
      <c r="K33" s="74"/>
      <c r="L33" s="74"/>
      <c r="M33" s="74"/>
      <c r="N33" s="177"/>
      <c r="O33" s="74"/>
      <c r="P33" s="63"/>
      <c r="Q33" s="1"/>
      <c r="R33" s="1"/>
    </row>
    <row r="34" spans="1:18" s="16" customFormat="1" ht="13.5" thickBot="1">
      <c r="A34" s="64" t="s">
        <v>52</v>
      </c>
      <c r="B34" s="34"/>
      <c r="C34" s="35">
        <f>C18+C32</f>
        <v>260895.764</v>
      </c>
      <c r="D34" s="33">
        <f aca="true" t="shared" si="2" ref="D34:P34">D18+D32</f>
        <v>37562.812016200005</v>
      </c>
      <c r="E34" s="34">
        <f t="shared" si="2"/>
        <v>182542.82</v>
      </c>
      <c r="F34" s="35">
        <f t="shared" si="2"/>
        <v>39740.29</v>
      </c>
      <c r="G34" s="33">
        <f t="shared" si="2"/>
        <v>176724.72999999998</v>
      </c>
      <c r="H34" s="178">
        <f t="shared" si="2"/>
        <v>254027.8320162</v>
      </c>
      <c r="I34" s="33">
        <f t="shared" si="2"/>
        <v>17614.228799999997</v>
      </c>
      <c r="J34" s="34">
        <f t="shared" si="2"/>
        <v>29144.299916003</v>
      </c>
      <c r="K34" s="34">
        <f t="shared" si="2"/>
        <v>112587.9247288757</v>
      </c>
      <c r="L34" s="34">
        <f t="shared" si="2"/>
        <v>91465.0314</v>
      </c>
      <c r="M34" s="34">
        <f t="shared" si="2"/>
        <v>10354.405600000002</v>
      </c>
      <c r="N34" s="179">
        <f t="shared" si="2"/>
        <v>258807.1648448787</v>
      </c>
      <c r="O34" s="180">
        <f t="shared" si="2"/>
        <v>37051.20964156448</v>
      </c>
      <c r="P34" s="62">
        <f t="shared" si="2"/>
        <v>-5818.090000000004</v>
      </c>
      <c r="Q34" s="58"/>
      <c r="R34" s="57"/>
    </row>
    <row r="35" spans="1:18" ht="12.75">
      <c r="A35" s="7" t="s">
        <v>89</v>
      </c>
      <c r="B35" s="108"/>
      <c r="C35" s="36"/>
      <c r="D35" s="37"/>
      <c r="E35" s="38"/>
      <c r="F35" s="40"/>
      <c r="G35" s="169"/>
      <c r="H35" s="170"/>
      <c r="I35" s="39"/>
      <c r="J35" s="38"/>
      <c r="K35" s="38"/>
      <c r="L35" s="118"/>
      <c r="M35" s="118"/>
      <c r="N35" s="171"/>
      <c r="O35" s="172"/>
      <c r="P35" s="173"/>
      <c r="Q35" s="1"/>
      <c r="R35" s="1"/>
    </row>
    <row r="36" spans="1:18" ht="12.75">
      <c r="A36" s="11" t="s">
        <v>43</v>
      </c>
      <c r="B36" s="48">
        <f>Лист1!B30</f>
        <v>2010.58</v>
      </c>
      <c r="C36" s="24">
        <f>Лист1!C30</f>
        <v>17391.517</v>
      </c>
      <c r="D36" s="25">
        <f>Лист1!D30</f>
        <v>1530.2769999999987</v>
      </c>
      <c r="E36" s="12">
        <f>Лист1!S30</f>
        <v>13198.81</v>
      </c>
      <c r="F36" s="27">
        <f>Лист1!T30</f>
        <v>2662.43</v>
      </c>
      <c r="G36" s="165">
        <f>Лист1!AB30</f>
        <v>8362.09</v>
      </c>
      <c r="H36" s="166">
        <f>Лист1!AC30</f>
        <v>12554.796999999999</v>
      </c>
      <c r="I36" s="26">
        <f>Лист1!AG30</f>
        <v>1206.348</v>
      </c>
      <c r="J36" s="12">
        <f>Лист1!AI30+Лист1!AJ30</f>
        <v>2010.58</v>
      </c>
      <c r="K36" s="12">
        <f>Лист1!AH30+Лист1!AK30+Лист1!AL30+Лист1!AM30+Лист1!AN30+Лист1!AO30+Лист1!AP30+Лист1!AQ30+Лист1!AR30</f>
        <v>6896.2894</v>
      </c>
      <c r="L36" s="28">
        <f>Лист1!AS30+Лист1!AT30+Лист1!AU30</f>
        <v>101.48</v>
      </c>
      <c r="M36" s="28">
        <f>Лист1!AX30</f>
        <v>977.9</v>
      </c>
      <c r="N36" s="167">
        <f>Лист1!BB30</f>
        <v>11192.597399999999</v>
      </c>
      <c r="O36" s="168">
        <f>Лист1!BE30</f>
        <v>6487.1839199999995</v>
      </c>
      <c r="P36" s="60">
        <f>Лист1!BF30</f>
        <v>-4836.719999999999</v>
      </c>
      <c r="Q36" s="1"/>
      <c r="R36" s="1"/>
    </row>
    <row r="37" spans="1:18" ht="12.75">
      <c r="A37" s="11" t="s">
        <v>44</v>
      </c>
      <c r="B37" s="48">
        <f>Лист1!B31</f>
        <v>2010.58</v>
      </c>
      <c r="C37" s="24">
        <f>Лист1!C31</f>
        <v>17391.517</v>
      </c>
      <c r="D37" s="25">
        <f>Лист1!D31</f>
        <v>1530.2769999999987</v>
      </c>
      <c r="E37" s="12">
        <f>Лист1!S31</f>
        <v>13049.09</v>
      </c>
      <c r="F37" s="27">
        <f>Лист1!T31</f>
        <v>2812.1499999999996</v>
      </c>
      <c r="G37" s="165">
        <f>Лист1!AB31</f>
        <v>9499.1</v>
      </c>
      <c r="H37" s="166">
        <f>Лист1!AC31</f>
        <v>13841.526999999998</v>
      </c>
      <c r="I37" s="26">
        <f>Лист1!AG31</f>
        <v>1206.348</v>
      </c>
      <c r="J37" s="12">
        <f>Лист1!AI31+Лист1!AJ31</f>
        <v>2010.58</v>
      </c>
      <c r="K37" s="12">
        <f>Лист1!AH31+Лист1!AK31+Лист1!AL31+Лист1!AM31+Лист1!AN31+Лист1!AO31+Лист1!AP31+Лист1!AQ31+Лист1!AR31</f>
        <v>6896.2894</v>
      </c>
      <c r="L37" s="28">
        <f>Лист1!AS31+Лист1!AT31+Лист1!AU31</f>
        <v>21781.76</v>
      </c>
      <c r="M37" s="28">
        <f>Лист1!AX31</f>
        <v>783.4749999999999</v>
      </c>
      <c r="N37" s="167">
        <f>Лист1!BB31</f>
        <v>32678.452400000002</v>
      </c>
      <c r="O37" s="168">
        <f>Лист1!BE31</f>
        <v>-13711.941080000004</v>
      </c>
      <c r="P37" s="60">
        <f>Лист1!BF31</f>
        <v>-3549.99</v>
      </c>
      <c r="Q37" s="1"/>
      <c r="R37" s="1"/>
    </row>
    <row r="38" spans="1:18" ht="12.75">
      <c r="A38" s="11" t="s">
        <v>45</v>
      </c>
      <c r="B38" s="48">
        <f>Лист1!B32</f>
        <v>2010.58</v>
      </c>
      <c r="C38" s="24">
        <f>Лист1!C32</f>
        <v>17391.517</v>
      </c>
      <c r="D38" s="25">
        <f>Лист1!D32</f>
        <v>1530.2769999999996</v>
      </c>
      <c r="E38" s="12">
        <f>Лист1!S32</f>
        <v>13031.09</v>
      </c>
      <c r="F38" s="27">
        <f>Лист1!T32</f>
        <v>2830.15</v>
      </c>
      <c r="G38" s="165">
        <f>Лист1!AB32</f>
        <v>11555.6</v>
      </c>
      <c r="H38" s="166">
        <f>Лист1!AC32</f>
        <v>15916.027</v>
      </c>
      <c r="I38" s="26">
        <f>Лист1!AG32</f>
        <v>1206.348</v>
      </c>
      <c r="J38" s="12">
        <f>Лист1!AI32+Лист1!AJ32</f>
        <v>2010.58</v>
      </c>
      <c r="K38" s="12">
        <f>Лист1!AH32+Лист1!AK32+Лист1!AL32+Лист1!AM32+Лист1!AN32+Лист1!AO32+Лист1!AP32+Лист1!AQ32+Лист1!AR32</f>
        <v>6896.2894</v>
      </c>
      <c r="L38" s="28">
        <f>Лист1!AS32+Лист1!AT32+Лист1!AU32</f>
        <v>2021</v>
      </c>
      <c r="M38" s="28">
        <f>Лист1!AX32</f>
        <v>737.275</v>
      </c>
      <c r="N38" s="167">
        <f>Лист1!BB32</f>
        <v>12871.4924</v>
      </c>
      <c r="O38" s="168">
        <f>Лист1!BE32</f>
        <v>8169.51892</v>
      </c>
      <c r="P38" s="60">
        <f>Лист1!BF32</f>
        <v>-1475.4899999999998</v>
      </c>
      <c r="Q38" s="1"/>
      <c r="R38" s="1"/>
    </row>
    <row r="39" spans="1:18" ht="12.75">
      <c r="A39" s="11" t="s">
        <v>46</v>
      </c>
      <c r="B39" s="48">
        <f>Лист1!B33</f>
        <v>2010.58</v>
      </c>
      <c r="C39" s="24">
        <f>Лист1!C33</f>
        <v>17391.517</v>
      </c>
      <c r="D39" s="25">
        <f>Лист1!D33</f>
        <v>1549.297000000001</v>
      </c>
      <c r="E39" s="12">
        <f>Лист1!S33</f>
        <v>13012.07</v>
      </c>
      <c r="F39" s="27">
        <f>Лист1!T33</f>
        <v>2830.15</v>
      </c>
      <c r="G39" s="165">
        <f>Лист1!AB33</f>
        <v>9034.33</v>
      </c>
      <c r="H39" s="166">
        <f>Лист1!AC33</f>
        <v>13413.777000000002</v>
      </c>
      <c r="I39" s="26">
        <f>Лист1!AG33</f>
        <v>1206.348</v>
      </c>
      <c r="J39" s="12">
        <f>Лист1!AI33+Лист1!AJ33</f>
        <v>2010.58</v>
      </c>
      <c r="K39" s="12">
        <f>Лист1!AH33+Лист1!AK33+Лист1!AL33+Лист1!AM33+Лист1!AN33+Лист1!AO33+Лист1!AP33+Лист1!AQ33+Лист1!AR33</f>
        <v>6896.2894</v>
      </c>
      <c r="L39" s="28">
        <f>Лист1!AS33+Лист1!AT33+Лист1!AU33</f>
        <v>6193</v>
      </c>
      <c r="M39" s="28">
        <f>Лист1!AX33</f>
        <v>590.9749999999999</v>
      </c>
      <c r="N39" s="167">
        <f>Лист1!BB33</f>
        <v>16897.1924</v>
      </c>
      <c r="O39" s="168">
        <f>Лист1!BE33</f>
        <v>1641.5689200000015</v>
      </c>
      <c r="P39" s="60">
        <f>Лист1!BF33</f>
        <v>-3977.74</v>
      </c>
      <c r="Q39" s="1"/>
      <c r="R39" s="1"/>
    </row>
    <row r="40" spans="1:18" ht="12.75">
      <c r="A40" s="11" t="s">
        <v>47</v>
      </c>
      <c r="B40" s="48">
        <f>Лист1!B34</f>
        <v>2010.98</v>
      </c>
      <c r="C40" s="24">
        <f>Лист1!C34</f>
        <v>17394.977000000003</v>
      </c>
      <c r="D40" s="25">
        <f>Лист1!D34</f>
        <v>1564.637000000003</v>
      </c>
      <c r="E40" s="12">
        <f>Лист1!S34</f>
        <v>13000.220000000001</v>
      </c>
      <c r="F40" s="27">
        <f>Лист1!T34</f>
        <v>2830.12</v>
      </c>
      <c r="G40" s="165">
        <f>Лист1!AB34</f>
        <v>11777.380000000001</v>
      </c>
      <c r="H40" s="166">
        <f>Лист1!AC34</f>
        <v>16172.137000000004</v>
      </c>
      <c r="I40" s="26">
        <f>Лист1!AG34</f>
        <v>1206.588</v>
      </c>
      <c r="J40" s="12">
        <f>Лист1!AI34+Лист1!AJ34</f>
        <v>2010.98</v>
      </c>
      <c r="K40" s="12">
        <f>Лист1!AH34+Лист1!AK34+Лист1!AL34+Лист1!AM34+Лист1!AN34+Лист1!AO34+Лист1!AP34+Лист1!AQ34+Лист1!AR34</f>
        <v>6897.6614</v>
      </c>
      <c r="L40" s="28">
        <f>Лист1!AS34+Лист1!AT34+Лист1!AU34</f>
        <v>20165.6386</v>
      </c>
      <c r="M40" s="28">
        <f>Лист1!AX34</f>
        <v>506.275</v>
      </c>
      <c r="N40" s="167">
        <f>Лист1!BB34</f>
        <v>30787.143000000004</v>
      </c>
      <c r="O40" s="168">
        <f>Лист1!BE34</f>
        <v>-9490.02168</v>
      </c>
      <c r="P40" s="60">
        <f>Лист1!BF34</f>
        <v>-1222.8400000000001</v>
      </c>
      <c r="Q40" s="1"/>
      <c r="R40" s="1"/>
    </row>
    <row r="41" spans="1:18" ht="12.75">
      <c r="A41" s="11" t="s">
        <v>48</v>
      </c>
      <c r="B41" s="48">
        <f>Лист1!B35</f>
        <v>2010.98</v>
      </c>
      <c r="C41" s="24">
        <f>Лист1!C35</f>
        <v>17394.977000000003</v>
      </c>
      <c r="D41" s="25">
        <f>Лист1!D35</f>
        <v>1534.7170000000024</v>
      </c>
      <c r="E41" s="12">
        <f>Лист1!S35</f>
        <v>13133.89</v>
      </c>
      <c r="F41" s="27">
        <f>Лист1!T35</f>
        <v>2726.3699999999994</v>
      </c>
      <c r="G41" s="165">
        <f>Лист1!AB35</f>
        <v>9750.75</v>
      </c>
      <c r="H41" s="166">
        <f>Лист1!AC35</f>
        <v>14011.837000000001</v>
      </c>
      <c r="I41" s="26">
        <f>Лист1!AG35</f>
        <v>1206.588</v>
      </c>
      <c r="J41" s="12">
        <f>Лист1!AI35+Лист1!AJ35</f>
        <v>2010.98</v>
      </c>
      <c r="K41" s="12">
        <f>Лист1!AH35+Лист1!AK35+Лист1!AL35+Лист1!AM35+Лист1!AN35+Лист1!AO35+Лист1!AP35+Лист1!AQ35+Лист1!AR35</f>
        <v>6997.6614</v>
      </c>
      <c r="L41" s="28">
        <f>Лист1!AS35+Лист1!AT35+Лист1!AU35</f>
        <v>4659</v>
      </c>
      <c r="M41" s="28">
        <f>Лист1!AX35</f>
        <v>448.525</v>
      </c>
      <c r="N41" s="167">
        <f>Лист1!BB35</f>
        <v>15322.7544</v>
      </c>
      <c r="O41" s="168">
        <f>Лист1!BE35</f>
        <v>3814.066920000001</v>
      </c>
      <c r="P41" s="60">
        <f>Лист1!BF35</f>
        <v>-3383.1399999999994</v>
      </c>
      <c r="Q41" s="1"/>
      <c r="R41" s="1"/>
    </row>
    <row r="42" spans="1:18" ht="12.75">
      <c r="A42" s="11" t="s">
        <v>49</v>
      </c>
      <c r="B42" s="48">
        <f>Лист1!B36</f>
        <v>2010.98</v>
      </c>
      <c r="C42" s="24">
        <f>Лист1!C36</f>
        <v>17394.977000000003</v>
      </c>
      <c r="D42" s="25">
        <f>Лист1!D36</f>
        <v>1524.4270000000017</v>
      </c>
      <c r="E42" s="12">
        <f>Лист1!S36</f>
        <v>15811.95</v>
      </c>
      <c r="F42" s="27">
        <f>Лист1!T36</f>
        <v>58.6</v>
      </c>
      <c r="G42" s="165">
        <f>Лист1!AB36</f>
        <v>12322.35</v>
      </c>
      <c r="H42" s="166">
        <f>Лист1!AC36</f>
        <v>13905.377000000002</v>
      </c>
      <c r="I42" s="26">
        <f>Лист1!AG36</f>
        <v>1206.588</v>
      </c>
      <c r="J42" s="12">
        <f>Лист1!AI36+Лист1!AJ36</f>
        <v>2010.98</v>
      </c>
      <c r="K42" s="12">
        <f>Лист1!AH36+Лист1!AK36+Лист1!AL36+Лист1!AM36+Лист1!AN36+Лист1!AO36+Лист1!AP36+Лист1!AQ36+Лист1!AR36</f>
        <v>6897.6614</v>
      </c>
      <c r="L42" s="28">
        <f>Лист1!AS36+Лист1!AT36+Лист1!AU36</f>
        <v>0</v>
      </c>
      <c r="M42" s="28">
        <f>Лист1!AX36</f>
        <v>477.4</v>
      </c>
      <c r="N42" s="167">
        <f>Лист1!BB36</f>
        <v>10592.6294</v>
      </c>
      <c r="O42" s="168">
        <f>Лист1!BE36</f>
        <v>8437.731920000002</v>
      </c>
      <c r="P42" s="60">
        <f>Лист1!BF36</f>
        <v>-3489.6000000000004</v>
      </c>
      <c r="Q42" s="1"/>
      <c r="R42" s="1"/>
    </row>
    <row r="43" spans="1:18" ht="12.75">
      <c r="A43" s="11" t="s">
        <v>50</v>
      </c>
      <c r="B43" s="48">
        <f>Лист1!B37</f>
        <v>2010.98</v>
      </c>
      <c r="C43" s="24">
        <f>Лист1!C37</f>
        <v>17394.977000000003</v>
      </c>
      <c r="D43" s="25">
        <f>Лист1!D37</f>
        <v>1482.3570000000022</v>
      </c>
      <c r="E43" s="12">
        <f>Лист1!S37</f>
        <v>15854.019999999999</v>
      </c>
      <c r="F43" s="27">
        <f>Лист1!T37</f>
        <v>58.6</v>
      </c>
      <c r="G43" s="165">
        <f>Лист1!AB37</f>
        <v>12751.03</v>
      </c>
      <c r="H43" s="166">
        <f>Лист1!AC37</f>
        <v>14291.987000000003</v>
      </c>
      <c r="I43" s="26">
        <f>Лист1!AG37</f>
        <v>1206.588</v>
      </c>
      <c r="J43" s="12">
        <f>Лист1!AI37+Лист1!AJ37</f>
        <v>2010.98</v>
      </c>
      <c r="K43" s="12">
        <f>Лист1!AH37+Лист1!AK37+Лист1!AL37+Лист1!AM37+Лист1!AN37+Лист1!AO37+Лист1!AP37+Лист1!AQ37+Лист1!AR37</f>
        <v>6897.6614</v>
      </c>
      <c r="L43" s="28">
        <f>Лист1!AS37+Лист1!AT37+Лист1!AU37</f>
        <v>254.644</v>
      </c>
      <c r="M43" s="28">
        <f>Лист1!AX37</f>
        <v>564.025</v>
      </c>
      <c r="N43" s="167">
        <f>Лист1!BB37</f>
        <v>10933.898399999998</v>
      </c>
      <c r="O43" s="168">
        <f>Лист1!BE37</f>
        <v>8483.072920000004</v>
      </c>
      <c r="P43" s="60">
        <f>Лист1!BF37</f>
        <v>-3102.989999999998</v>
      </c>
      <c r="Q43" s="1"/>
      <c r="R43" s="1"/>
    </row>
    <row r="44" spans="1:18" ht="12.75">
      <c r="A44" s="11" t="s">
        <v>51</v>
      </c>
      <c r="B44" s="48">
        <f>Лист1!B38</f>
        <v>2010.98</v>
      </c>
      <c r="C44" s="24">
        <f>Лист1!C38</f>
        <v>17394.977000000003</v>
      </c>
      <c r="D44" s="25">
        <f>Лист1!D38</f>
        <v>1465.1670000000024</v>
      </c>
      <c r="E44" s="12">
        <f>Лист1!S38</f>
        <v>15871.21</v>
      </c>
      <c r="F44" s="27">
        <f>Лист1!T38</f>
        <v>58.6</v>
      </c>
      <c r="G44" s="165">
        <f>Лист1!AB38</f>
        <v>16821.480000000003</v>
      </c>
      <c r="H44" s="166">
        <f>Лист1!AC38</f>
        <v>18345.247000000007</v>
      </c>
      <c r="I44" s="26">
        <f>Лист1!AG38</f>
        <v>1206.588</v>
      </c>
      <c r="J44" s="12">
        <f>Лист1!AI38+Лист1!AJ38</f>
        <v>2010.98</v>
      </c>
      <c r="K44" s="12">
        <f>Лист1!AH38+Лист1!AK38+Лист1!AL38+Лист1!AM38+Лист1!AN38+Лист1!AO38+Лист1!AP38+Лист1!AQ38+Лист1!AR38</f>
        <v>9951.901399999999</v>
      </c>
      <c r="L44" s="28">
        <f>Лист1!AS38+Лист1!AT38+Лист1!AU38</f>
        <v>49324.03</v>
      </c>
      <c r="M44" s="28">
        <f>Лист1!AX38</f>
        <v>671.8249999999999</v>
      </c>
      <c r="N44" s="167">
        <f>Лист1!BB38</f>
        <v>63165.3244</v>
      </c>
      <c r="O44" s="168">
        <f>Лист1!BE38</f>
        <v>-39695.09307999999</v>
      </c>
      <c r="P44" s="60">
        <f>Лист1!BF38</f>
        <v>950.2700000000041</v>
      </c>
      <c r="Q44" s="1"/>
      <c r="R44" s="1"/>
    </row>
    <row r="45" spans="1:18" ht="12.75">
      <c r="A45" s="11" t="s">
        <v>39</v>
      </c>
      <c r="B45" s="48">
        <f>Лист1!B39</f>
        <v>2010.98</v>
      </c>
      <c r="C45" s="24">
        <f>Лист1!C39</f>
        <v>17394.977000000003</v>
      </c>
      <c r="D45" s="25">
        <f>Лист1!D39</f>
        <v>41466.44700000001</v>
      </c>
      <c r="E45" s="12">
        <f>Лист1!S39</f>
        <v>15869.93</v>
      </c>
      <c r="F45" s="27">
        <f>Лист1!T39</f>
        <v>58.6</v>
      </c>
      <c r="G45" s="165">
        <f>Лист1!AB39</f>
        <v>23446.890000000003</v>
      </c>
      <c r="H45" s="166">
        <f>Лист1!AC39</f>
        <v>64971.937000000005</v>
      </c>
      <c r="I45" s="26">
        <f>Лист1!AG39</f>
        <v>1206.588</v>
      </c>
      <c r="J45" s="12">
        <f>Лист1!AI39+Лист1!AJ39</f>
        <v>2010.98</v>
      </c>
      <c r="K45" s="12">
        <f>Лист1!AH39+Лист1!AK39+Лист1!AL39+Лист1!AM39+Лист1!AN39+Лист1!AO39+Лист1!AP39+Лист1!AQ39+Лист1!AR39</f>
        <v>6897.6614</v>
      </c>
      <c r="L45" s="28">
        <f>Лист1!AS39+Лист1!AT39+Лист1!AU39</f>
        <v>15452.8</v>
      </c>
      <c r="M45" s="28">
        <f>Лист1!AX39</f>
        <v>818.125</v>
      </c>
      <c r="N45" s="167">
        <f>Лист1!BB39</f>
        <v>26386.1544</v>
      </c>
      <c r="O45" s="168">
        <f>Лист1!BE39</f>
        <v>43785.76692000001</v>
      </c>
      <c r="P45" s="60">
        <f>Лист1!BF39</f>
        <v>7576.960000000003</v>
      </c>
      <c r="Q45" s="1"/>
      <c r="R45" s="1"/>
    </row>
    <row r="46" spans="1:18" ht="12.75">
      <c r="A46" s="11" t="s">
        <v>40</v>
      </c>
      <c r="B46" s="48">
        <f>Лист1!B40</f>
        <v>2010.98</v>
      </c>
      <c r="C46" s="24">
        <f>Лист1!C40</f>
        <v>17394.977000000003</v>
      </c>
      <c r="D46" s="25">
        <f>Лист1!D40</f>
        <v>1463.8170000000014</v>
      </c>
      <c r="E46" s="12">
        <f>Лист1!S40</f>
        <v>15872.56</v>
      </c>
      <c r="F46" s="27">
        <f>Лист1!T40</f>
        <v>58.6</v>
      </c>
      <c r="G46" s="165">
        <f>Лист1!AB40</f>
        <v>12764.349999999999</v>
      </c>
      <c r="H46" s="166">
        <f>Лист1!AC40</f>
        <v>14286.767</v>
      </c>
      <c r="I46" s="26">
        <f>Лист1!AG40</f>
        <v>1206.588</v>
      </c>
      <c r="J46" s="12">
        <f>Лист1!AI40+Лист1!AJ40</f>
        <v>2010.98</v>
      </c>
      <c r="K46" s="12">
        <f>Лист1!AH40+Лист1!AK40+Лист1!AL40+Лист1!AM40+Лист1!AN40+Лист1!AO40+Лист1!AP40+Лист1!AQ40+Лист1!AR40</f>
        <v>6897.6614</v>
      </c>
      <c r="L46" s="28">
        <f>Лист1!AS40+Лист1!AT40+Лист1!AU40</f>
        <v>0</v>
      </c>
      <c r="M46" s="28">
        <f>Лист1!AX40</f>
        <v>904.7499999999999</v>
      </c>
      <c r="N46" s="167">
        <f>Лист1!BB40</f>
        <v>11019.9794</v>
      </c>
      <c r="O46" s="168">
        <f>Лист1!BE40</f>
        <v>8466.77192</v>
      </c>
      <c r="P46" s="60">
        <f>Лист1!BF40</f>
        <v>-3108.210000000001</v>
      </c>
      <c r="Q46" s="1"/>
      <c r="R46" s="1"/>
    </row>
    <row r="47" spans="1:18" ht="13.5" thickBot="1">
      <c r="A47" s="29" t="s">
        <v>41</v>
      </c>
      <c r="B47" s="48">
        <f>Лист1!B41</f>
        <v>2010.98</v>
      </c>
      <c r="C47" s="24">
        <f>Лист1!C41</f>
        <v>17394.977000000003</v>
      </c>
      <c r="D47" s="25">
        <f>Лист1!D41</f>
        <v>1480.077000000001</v>
      </c>
      <c r="E47" s="12">
        <f>Лист1!S41</f>
        <v>15856.3</v>
      </c>
      <c r="F47" s="27">
        <f>Лист1!T41</f>
        <v>58.6</v>
      </c>
      <c r="G47" s="165">
        <f>Лист1!AB41</f>
        <v>23256.489999999998</v>
      </c>
      <c r="H47" s="166">
        <f>Лист1!AC41</f>
        <v>24795.166999999998</v>
      </c>
      <c r="I47" s="26">
        <f>Лист1!AG41</f>
        <v>1206.588</v>
      </c>
      <c r="J47" s="12">
        <f>Лист1!AI41+Лист1!AJ41</f>
        <v>2010.98</v>
      </c>
      <c r="K47" s="12">
        <f>Лист1!AH41+Лист1!AK41+Лист1!AL41+Лист1!AM41+Лист1!AN41+Лист1!AO41+Лист1!AP41+Лист1!AQ41+Лист1!AR41</f>
        <v>9951.901399999999</v>
      </c>
      <c r="L47" s="28">
        <f>Лист1!AS41+Лист1!AT41+Лист1!AU41</f>
        <v>0</v>
      </c>
      <c r="M47" s="28">
        <f>Лист1!AX41</f>
        <v>989.4499999999999</v>
      </c>
      <c r="N47" s="167">
        <f>Лист1!BB41</f>
        <v>14158.9194</v>
      </c>
      <c r="O47" s="168">
        <f>Лист1!BE41</f>
        <v>15836.231919999997</v>
      </c>
      <c r="P47" s="60">
        <f>Лист1!BF41</f>
        <v>7400.189999999999</v>
      </c>
      <c r="Q47" s="1"/>
      <c r="R47" s="1"/>
    </row>
    <row r="48" spans="1:18" s="16" customFormat="1" ht="13.5" thickBot="1">
      <c r="A48" s="30" t="s">
        <v>3</v>
      </c>
      <c r="B48" s="31"/>
      <c r="C48" s="32">
        <f aca="true" t="shared" si="3" ref="C48:P48">SUM(C36:C47)</f>
        <v>208725.88400000005</v>
      </c>
      <c r="D48" s="55">
        <f t="shared" si="3"/>
        <v>58121.77400000002</v>
      </c>
      <c r="E48" s="32">
        <f t="shared" si="3"/>
        <v>173561.13999999998</v>
      </c>
      <c r="F48" s="56">
        <f t="shared" si="3"/>
        <v>17042.96999999999</v>
      </c>
      <c r="G48" s="174">
        <f t="shared" si="3"/>
        <v>161341.84</v>
      </c>
      <c r="H48" s="175">
        <f t="shared" si="3"/>
        <v>236506.584</v>
      </c>
      <c r="I48" s="55">
        <f t="shared" si="3"/>
        <v>14478.095999999998</v>
      </c>
      <c r="J48" s="32">
        <f t="shared" si="3"/>
        <v>24130.159999999996</v>
      </c>
      <c r="K48" s="32">
        <f t="shared" si="3"/>
        <v>88974.92879999998</v>
      </c>
      <c r="L48" s="32">
        <f t="shared" si="3"/>
        <v>119953.3526</v>
      </c>
      <c r="M48" s="32">
        <f t="shared" si="3"/>
        <v>8470</v>
      </c>
      <c r="N48" s="176">
        <f t="shared" si="3"/>
        <v>256006.53740000003</v>
      </c>
      <c r="O48" s="55">
        <f t="shared" si="3"/>
        <v>42224.85844000002</v>
      </c>
      <c r="P48" s="61">
        <f t="shared" si="3"/>
        <v>-12219.299999999992</v>
      </c>
      <c r="Q48" s="57"/>
      <c r="R48" s="57"/>
    </row>
    <row r="49" spans="1:18" ht="13.5" thickBot="1">
      <c r="A49" s="73" t="s">
        <v>66</v>
      </c>
      <c r="B49" s="74"/>
      <c r="C49" s="74"/>
      <c r="D49" s="74"/>
      <c r="E49" s="74"/>
      <c r="F49" s="74"/>
      <c r="G49" s="74"/>
      <c r="H49" s="177"/>
      <c r="I49" s="74"/>
      <c r="J49" s="74"/>
      <c r="K49" s="74"/>
      <c r="L49" s="74"/>
      <c r="M49" s="74"/>
      <c r="N49" s="177"/>
      <c r="O49" s="74"/>
      <c r="P49" s="63"/>
      <c r="Q49" s="1"/>
      <c r="R49" s="1"/>
    </row>
    <row r="50" spans="1:18" s="16" customFormat="1" ht="13.5" thickBot="1">
      <c r="A50" s="64" t="s">
        <v>52</v>
      </c>
      <c r="B50" s="34"/>
      <c r="C50" s="35">
        <f>C34+C48</f>
        <v>469621.64800000004</v>
      </c>
      <c r="D50" s="33">
        <f aca="true" t="shared" si="4" ref="D50:P50">D34+D48</f>
        <v>95684.58601620002</v>
      </c>
      <c r="E50" s="34">
        <f t="shared" si="4"/>
        <v>356103.95999999996</v>
      </c>
      <c r="F50" s="35">
        <f t="shared" si="4"/>
        <v>56783.259999999995</v>
      </c>
      <c r="G50" s="33">
        <f t="shared" si="4"/>
        <v>338066.56999999995</v>
      </c>
      <c r="H50" s="178">
        <f t="shared" si="4"/>
        <v>490534.4160162</v>
      </c>
      <c r="I50" s="33">
        <f t="shared" si="4"/>
        <v>32092.324799999995</v>
      </c>
      <c r="J50" s="34">
        <f t="shared" si="4"/>
        <v>53274.459916003</v>
      </c>
      <c r="K50" s="34">
        <f t="shared" si="4"/>
        <v>201562.85352887568</v>
      </c>
      <c r="L50" s="34">
        <f t="shared" si="4"/>
        <v>211418.38400000002</v>
      </c>
      <c r="M50" s="34">
        <f t="shared" si="4"/>
        <v>18824.405600000002</v>
      </c>
      <c r="N50" s="179">
        <f t="shared" si="4"/>
        <v>514813.70224487875</v>
      </c>
      <c r="O50" s="180">
        <f t="shared" si="4"/>
        <v>79276.0680815645</v>
      </c>
      <c r="P50" s="62">
        <f t="shared" si="4"/>
        <v>-18037.389999999996</v>
      </c>
      <c r="Q50" s="58"/>
      <c r="R50" s="57"/>
    </row>
    <row r="52" spans="1:18" ht="12.75">
      <c r="A52" s="16" t="s">
        <v>70</v>
      </c>
      <c r="D52" s="2" t="s">
        <v>92</v>
      </c>
      <c r="Q52" s="1"/>
      <c r="R52" s="1"/>
    </row>
    <row r="53" spans="1:18" ht="12.75">
      <c r="A53" s="17" t="s">
        <v>71</v>
      </c>
      <c r="B53" s="17" t="s">
        <v>72</v>
      </c>
      <c r="C53" s="285" t="s">
        <v>73</v>
      </c>
      <c r="D53" s="285"/>
      <c r="Q53" s="1"/>
      <c r="R53" s="1"/>
    </row>
    <row r="54" spans="1:18" ht="12.75">
      <c r="A54" s="181">
        <v>126792.66</v>
      </c>
      <c r="B54" s="182">
        <v>111014.31</v>
      </c>
      <c r="C54" s="286">
        <f>A54-B54</f>
        <v>15778.350000000006</v>
      </c>
      <c r="D54" s="287"/>
      <c r="Q54" s="1"/>
      <c r="R54" s="1"/>
    </row>
    <row r="55" spans="1:18" ht="12.75">
      <c r="A55" s="41"/>
      <c r="Q55" s="1"/>
      <c r="R55" s="1"/>
    </row>
    <row r="56" spans="1:18" ht="12.75">
      <c r="A56" s="41"/>
      <c r="Q56" s="1"/>
      <c r="R56" s="1"/>
    </row>
    <row r="57" spans="1:18" ht="12.75">
      <c r="A57" s="2" t="s">
        <v>67</v>
      </c>
      <c r="G57" s="2" t="s">
        <v>68</v>
      </c>
      <c r="Q57" s="1"/>
      <c r="R57" s="1"/>
    </row>
    <row r="58" ht="12.75">
      <c r="A58" s="1"/>
    </row>
    <row r="59" ht="12.75">
      <c r="A59" s="1"/>
    </row>
    <row r="60" ht="12.75">
      <c r="A60" s="1" t="s">
        <v>93</v>
      </c>
    </row>
    <row r="61" ht="12.75">
      <c r="A61" s="2" t="s">
        <v>69</v>
      </c>
    </row>
  </sheetData>
  <sheetProtection/>
  <mergeCells count="19">
    <mergeCell ref="L11:L12"/>
    <mergeCell ref="C9:C12"/>
    <mergeCell ref="D9:D12"/>
    <mergeCell ref="E9:F10"/>
    <mergeCell ref="G9:H10"/>
    <mergeCell ref="J11:J12"/>
    <mergeCell ref="C53:D53"/>
    <mergeCell ref="C54:D54"/>
    <mergeCell ref="K11:K12"/>
    <mergeCell ref="P9:P12"/>
    <mergeCell ref="A9:A12"/>
    <mergeCell ref="B9:B12"/>
    <mergeCell ref="I9:N10"/>
    <mergeCell ref="O9:O12"/>
    <mergeCell ref="M11:M12"/>
    <mergeCell ref="N11:N12"/>
    <mergeCell ref="E11:F11"/>
    <mergeCell ref="H11:H12"/>
    <mergeCell ref="I11:I12"/>
  </mergeCells>
  <printOptions/>
  <pageMargins left="0.25" right="0.25" top="0.75" bottom="0.44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2010-07-26T04:50:43Z</cp:lastPrinted>
  <dcterms:created xsi:type="dcterms:W3CDTF">2010-04-02T05:03:24Z</dcterms:created>
  <dcterms:modified xsi:type="dcterms:W3CDTF">2011-03-31T07:26:15Z</dcterms:modified>
  <cp:category/>
  <cp:version/>
  <cp:contentType/>
  <cp:contentStatus/>
</cp:coreProperties>
</file>