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<sst xmlns="http://schemas.openxmlformats.org/spreadsheetml/2006/main" count="178" uniqueCount="96">
  <si>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</si>
  <si>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</si>
  <si>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</si>
  <si>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</si>
  <si>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</si>
  <si>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</si>
  <si>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</si>
  <si>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</si>
  <si>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</si>
  <si>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</si>
  <si>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</si>
  <si>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</si>
  <si>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</si>
  <si>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</si>
  <si>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</si>
  <si>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</si>
  <si>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</si>
  <si>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</si>
  <si>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</si>
  <si>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</si>
  <si>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</si>
  <si>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</si>
  <si>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</si>
  <si>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</si>
  <si>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</si>
  <si>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</si>
  <si>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</si>
  <si>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</si>
  <si>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</si>
  <si>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</si>
  <si>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</si>
  <si>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</si>
  <si>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</si>
  <si>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</si>
  <si>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</si>
  <si>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</si>
  <si>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</si>
  <si>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</si>
  <si>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</si>
  <si>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</si>
  <si>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</si>
  <si>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</si>
  <si>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</si>
  <si>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</si>
  <si>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</si>
  <si>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</si>
  <si>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</si>
  <si>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</si>
  <si>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</si>
  <si>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</si>
  <si>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</si>
  <si>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</si>
  <si>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</si>
  <si>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</si>
  <si>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</si>
  <si>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</si>
  <si>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</si>
  <si>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</si>
  <si>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</si>
  <si>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</si>
  <si>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</si>
  <si>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</si>
  <si>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</si>
  <si>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</si>
  <si>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</si>
  <si>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</si>
  <si>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</si>
  <si>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</si>
  <si>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</si>
  <si>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</si>
  <si>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</si>
  <si>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</si>
  <si>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</si>
  <si>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</si>
  <si>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</si>
  <si>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</si>
  <si>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</si>
  <si>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Ленина, д. 82</t>
  </si>
  <si>
    <t>Выписка по лицевому счету по адресу г. Таштагол, ул. Ленина, д. 82</t>
  </si>
  <si>
    <t>Расходы по нежил. помещениям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</si>
  <si>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</si>
  <si>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</si>
  <si>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</si>
  <si>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</si>
  <si>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</si>
  <si>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</si>
  <si>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</si>
  <si>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</si>
  <si>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</si>
  <si>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</si>
  <si>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</si>
  <si>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</si>
  <si>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</si>
  <si>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Исп. О.А. Хильчук</t>
  </si>
  <si>
    <t>201 год</t>
  </si>
  <si>
    <t>на 01.01.2011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</si>
</sst>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2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4" fontId="1" fillId="33" borderId="31" xfId="0" applyNumberFormat="1" applyFont="1" applyFill="1" applyBorder="1" applyAlignment="1">
      <alignment horizontal="right" wrapText="1"/>
    </xf>
    <xf numFmtId="4" fontId="1" fillId="33" borderId="3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4" fontId="1" fillId="33" borderId="33" xfId="0" applyNumberFormat="1" applyFont="1" applyFill="1" applyBorder="1" applyAlignment="1">
      <alignment horizontal="right" wrapText="1"/>
    </xf>
    <xf numFmtId="4" fontId="1" fillId="33" borderId="31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7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4" borderId="29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4" fontId="0" fillId="38" borderId="27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1" fillId="35" borderId="24" xfId="0" applyNumberFormat="1" applyFont="1" applyFill="1" applyBorder="1" applyAlignment="1">
      <alignment wrapText="1"/>
    </xf>
    <xf numFmtId="4" fontId="1" fillId="33" borderId="24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4" fontId="2" fillId="0" borderId="11" xfId="53" applyNumberFormat="1" applyFont="1" applyFill="1" applyBorder="1" applyAlignment="1">
      <alignment horizontal="right"/>
      <protection/>
    </xf>
    <xf numFmtId="4" fontId="0" fillId="36" borderId="28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7" xfId="0" applyNumberFormat="1" applyFont="1" applyFill="1" applyBorder="1" applyAlignment="1">
      <alignment horizontal="center"/>
    </xf>
    <xf numFmtId="4" fontId="2" fillId="39" borderId="11" xfId="33" applyNumberFormat="1" applyFont="1" applyFill="1" applyBorder="1" applyAlignment="1">
      <alignment horizontal="center" vertical="center" wrapText="1"/>
      <protection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7" borderId="45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5" borderId="20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textRotation="90"/>
    </xf>
    <xf numFmtId="0" fontId="1" fillId="36" borderId="37" xfId="0" applyFont="1" applyFill="1" applyBorder="1" applyAlignment="1">
      <alignment horizontal="center" textRotation="90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2" fontId="1" fillId="0" borderId="57" xfId="0" applyNumberFormat="1" applyFont="1" applyBorder="1" applyAlignment="1">
      <alignment horizontal="center" vertical="center" wrapText="1"/>
    </xf>
    <xf numFmtId="2" fontId="8" fillId="34" borderId="45" xfId="0" applyNumberFormat="1" applyFont="1" applyFill="1" applyBorder="1" applyAlignment="1">
      <alignment horizontal="center" vertical="center" wrapText="1"/>
    </xf>
    <xf numFmtId="2" fontId="8" fillId="34" borderId="37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27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textRotation="90" wrapText="1"/>
    </xf>
    <xf numFmtId="2" fontId="1" fillId="33" borderId="62" xfId="0" applyNumberFormat="1" applyFont="1" applyFill="1" applyBorder="1" applyAlignment="1">
      <alignment horizontal="center" vertical="center" textRotation="90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1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1">
          <cell r="O31">
            <v>616.494334</v>
          </cell>
        </row>
        <row r="35">
          <cell r="O35">
            <v>390.581662</v>
          </cell>
        </row>
        <row r="109">
          <cell r="O109">
            <v>137.703744</v>
          </cell>
        </row>
        <row r="112">
          <cell r="O112">
            <v>366.5261459999999</v>
          </cell>
        </row>
      </sheetData>
      <sheetData sheetId="1">
        <row r="31">
          <cell r="I31">
            <v>1295.22582</v>
          </cell>
        </row>
        <row r="35">
          <cell r="I35">
            <v>820.63926</v>
          </cell>
        </row>
        <row r="109">
          <cell r="I109">
            <v>342.98351999999994</v>
          </cell>
        </row>
        <row r="112">
          <cell r="I112">
            <v>770.1045799999999</v>
          </cell>
        </row>
      </sheetData>
      <sheetData sheetId="2">
        <row r="31">
          <cell r="I31">
            <v>1295.22582</v>
          </cell>
        </row>
        <row r="35">
          <cell r="I35">
            <v>820.63926</v>
          </cell>
        </row>
        <row r="110">
          <cell r="I110">
            <v>342.98351999999994</v>
          </cell>
        </row>
        <row r="114">
          <cell r="I114">
            <v>770.1045799999999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1">
          <cell r="I31">
            <v>1295.22582</v>
          </cell>
        </row>
        <row r="35">
          <cell r="I35">
            <v>820.63926</v>
          </cell>
        </row>
        <row r="109">
          <cell r="I109">
            <v>342.98351999999994</v>
          </cell>
        </row>
        <row r="112">
          <cell r="I112">
            <v>770.1045799999999</v>
          </cell>
        </row>
      </sheetData>
      <sheetData sheetId="1">
        <row r="31">
          <cell r="O31">
            <v>617.3479800000001</v>
          </cell>
        </row>
        <row r="35">
          <cell r="O35">
            <v>391.14414</v>
          </cell>
        </row>
        <row r="109">
          <cell r="O109">
            <v>138.23568</v>
          </cell>
        </row>
        <row r="112">
          <cell r="O112">
            <v>367.05762000000004</v>
          </cell>
        </row>
      </sheetData>
      <sheetData sheetId="2">
        <row r="31">
          <cell r="O31">
            <v>617.3479800000001</v>
          </cell>
        </row>
        <row r="35">
          <cell r="O35">
            <v>391.14414</v>
          </cell>
        </row>
        <row r="110">
          <cell r="O110">
            <v>138.23568</v>
          </cell>
        </row>
        <row r="114">
          <cell r="O114">
            <v>367.05762000000004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29">
          <cell r="I29">
            <v>1295.22582</v>
          </cell>
          <cell r="O29">
            <v>550.6654141800001</v>
          </cell>
        </row>
        <row r="33">
          <cell r="I33">
            <v>820.63926</v>
          </cell>
          <cell r="O33">
            <v>348.89488074</v>
          </cell>
        </row>
      </sheetData>
      <sheetData sheetId="1">
        <row r="29">
          <cell r="I29">
            <v>1295.22582</v>
          </cell>
          <cell r="O29">
            <v>551.4931900800001</v>
          </cell>
        </row>
        <row r="33">
          <cell r="I33">
            <v>820.63926</v>
          </cell>
          <cell r="O33">
            <v>349.41934944</v>
          </cell>
        </row>
      </sheetData>
      <sheetData sheetId="2">
        <row r="29">
          <cell r="I29">
            <v>1295.22582</v>
          </cell>
          <cell r="O29">
            <v>539.9258913900001</v>
          </cell>
        </row>
        <row r="33">
          <cell r="I33">
            <v>820.63926</v>
          </cell>
          <cell r="O33">
            <v>342.09045027</v>
          </cell>
        </row>
      </sheetData>
      <sheetData sheetId="3">
        <row r="29">
          <cell r="O29">
            <v>555.33017484</v>
          </cell>
        </row>
        <row r="33">
          <cell r="O33">
            <v>351.85041612000003</v>
          </cell>
        </row>
      </sheetData>
      <sheetData sheetId="4">
        <row r="29">
          <cell r="O29">
            <v>619.918537194</v>
          </cell>
        </row>
        <row r="33">
          <cell r="O33">
            <v>392.772813642</v>
          </cell>
        </row>
      </sheetData>
      <sheetData sheetId="5">
        <row r="29">
          <cell r="I29">
            <v>1295.22582</v>
          </cell>
          <cell r="O29">
            <v>586.8705234600001</v>
          </cell>
        </row>
        <row r="33">
          <cell r="I33">
            <v>820.63926</v>
          </cell>
          <cell r="O33">
            <v>371.83399578</v>
          </cell>
        </row>
      </sheetData>
      <sheetData sheetId="6">
        <row r="30">
          <cell r="I30">
            <v>1295.22582</v>
          </cell>
          <cell r="O30">
            <v>612.0710825400001</v>
          </cell>
        </row>
        <row r="34">
          <cell r="I34">
            <v>820.63926</v>
          </cell>
          <cell r="O34">
            <v>387.80076222</v>
          </cell>
        </row>
      </sheetData>
      <sheetData sheetId="7">
        <row r="30">
          <cell r="I30">
            <v>1295.22582</v>
          </cell>
          <cell r="O30">
            <v>611.792977662</v>
          </cell>
        </row>
        <row r="34">
          <cell r="I34">
            <v>820.63926</v>
          </cell>
          <cell r="O34">
            <v>387.62455836600003</v>
          </cell>
        </row>
      </sheetData>
      <sheetData sheetId="8">
        <row r="30">
          <cell r="I30">
            <v>1295.22582</v>
          </cell>
          <cell r="O30">
            <v>611.7004476198</v>
          </cell>
        </row>
        <row r="34">
          <cell r="I34">
            <v>820.63926</v>
          </cell>
          <cell r="O34">
            <v>387.56593246140005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31">
          <cell r="I31">
            <v>1295.22582</v>
          </cell>
        </row>
        <row r="107">
          <cell r="I107">
            <v>342.98351999999994</v>
          </cell>
        </row>
        <row r="111">
          <cell r="I111">
            <v>770.1045799999999</v>
          </cell>
        </row>
        <row r="122">
          <cell r="I122">
            <v>820.63926</v>
          </cell>
        </row>
      </sheetData>
      <sheetData sheetId="2">
        <row r="31">
          <cell r="M31">
            <v>616.617</v>
          </cell>
        </row>
        <row r="108">
          <cell r="M108">
            <v>138.072</v>
          </cell>
        </row>
        <row r="112">
          <cell r="M112">
            <v>366.62299999999993</v>
          </cell>
        </row>
        <row r="123">
          <cell r="M123">
            <v>390.68100000000004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31">
          <cell r="I31">
            <v>1295.22582</v>
          </cell>
          <cell r="M31">
            <v>616.617</v>
          </cell>
        </row>
        <row r="108">
          <cell r="I108">
            <v>342.98351999999994</v>
          </cell>
          <cell r="M108">
            <v>138.072</v>
          </cell>
        </row>
        <row r="112">
          <cell r="I112">
            <v>770.1045799999999</v>
          </cell>
          <cell r="M112">
            <v>366.62299999999993</v>
          </cell>
        </row>
        <row r="123">
          <cell r="I123">
            <v>820.63926</v>
          </cell>
          <cell r="M123">
            <v>390.68100000000004</v>
          </cell>
        </row>
      </sheetData>
      <sheetData sheetId="5">
        <row r="31">
          <cell r="M31">
            <v>616.617</v>
          </cell>
        </row>
        <row r="105">
          <cell r="M105">
            <v>138.072</v>
          </cell>
        </row>
        <row r="109">
          <cell r="M109">
            <v>366.62299999999993</v>
          </cell>
        </row>
        <row r="120">
          <cell r="M120">
            <v>390.68100000000004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30">
          <cell r="I30">
            <v>1295.22582</v>
          </cell>
        </row>
        <row r="104">
          <cell r="I104">
            <v>342.98351999999994</v>
          </cell>
        </row>
        <row r="108">
          <cell r="I108">
            <v>770.1045799999999</v>
          </cell>
        </row>
        <row r="119">
          <cell r="I119">
            <v>820.63926</v>
          </cell>
        </row>
      </sheetData>
      <sheetData sheetId="9">
        <row r="30">
          <cell r="I30">
            <v>1295.22582</v>
          </cell>
          <cell r="M30">
            <v>616.617</v>
          </cell>
        </row>
        <row r="105">
          <cell r="I105">
            <v>342.98351999999994</v>
          </cell>
          <cell r="M105">
            <v>138.072</v>
          </cell>
        </row>
        <row r="109">
          <cell r="I109">
            <v>770.1045799999999</v>
          </cell>
          <cell r="M109">
            <v>366.62299999999993</v>
          </cell>
        </row>
        <row r="120">
          <cell r="I120">
            <v>820.63926</v>
          </cell>
          <cell r="M120">
            <v>390.68100000000004</v>
          </cell>
        </row>
      </sheetData>
      <sheetData sheetId="10">
        <row r="30">
          <cell r="I30">
            <v>1295.22582</v>
          </cell>
          <cell r="M30">
            <v>616.617</v>
          </cell>
        </row>
        <row r="104">
          <cell r="I104">
            <v>342.98351999999994</v>
          </cell>
          <cell r="M104">
            <v>138.072</v>
          </cell>
        </row>
        <row r="108">
          <cell r="I108">
            <v>770.1045799999999</v>
          </cell>
          <cell r="M108">
            <v>366.62299999999993</v>
          </cell>
        </row>
        <row r="119">
          <cell r="I119">
            <v>820.63926</v>
          </cell>
          <cell r="M119">
            <v>390.68100000000004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A19">
      <selection activeCell="BF48" sqref="BF48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0.125" style="2" customWidth="1"/>
    <col min="55" max="55" width="9.125" style="2" customWidth="1"/>
    <col min="56" max="56" width="10.875" style="2" customWidth="1"/>
    <col min="57" max="58" width="11.125" style="2" customWidth="1"/>
    <col min="59" max="16384" width="9.125" style="2" customWidth="1"/>
  </cols>
  <sheetData>
    <row r="1" spans="1:18" ht="12.75">
      <c r="A1" s="247" t="s">
        <v>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02" t="s">
        <v>80</v>
      </c>
      <c r="B3" s="249" t="s">
        <v>0</v>
      </c>
      <c r="C3" s="251" t="s">
        <v>1</v>
      </c>
      <c r="D3" s="253" t="s">
        <v>2</v>
      </c>
      <c r="E3" s="202" t="s">
        <v>11</v>
      </c>
      <c r="F3" s="221"/>
      <c r="G3" s="202" t="s">
        <v>12</v>
      </c>
      <c r="H3" s="199"/>
      <c r="I3" s="202" t="s">
        <v>13</v>
      </c>
      <c r="J3" s="199"/>
      <c r="K3" s="202" t="s">
        <v>14</v>
      </c>
      <c r="L3" s="199"/>
      <c r="M3" s="198" t="s">
        <v>15</v>
      </c>
      <c r="N3" s="199"/>
      <c r="O3" s="202" t="s">
        <v>16</v>
      </c>
      <c r="P3" s="199"/>
      <c r="Q3" s="202" t="s">
        <v>17</v>
      </c>
      <c r="R3" s="199"/>
      <c r="S3" s="202" t="s">
        <v>3</v>
      </c>
      <c r="T3" s="198"/>
      <c r="U3" s="212" t="s">
        <v>4</v>
      </c>
      <c r="V3" s="213"/>
      <c r="W3" s="213"/>
      <c r="X3" s="213"/>
      <c r="Y3" s="213"/>
      <c r="Z3" s="213"/>
      <c r="AA3" s="213"/>
      <c r="AB3" s="213"/>
      <c r="AC3" s="216" t="s">
        <v>81</v>
      </c>
      <c r="AD3" s="226" t="s">
        <v>6</v>
      </c>
      <c r="AE3" s="226" t="s">
        <v>7</v>
      </c>
      <c r="AF3" s="244" t="s">
        <v>76</v>
      </c>
      <c r="AG3" s="205" t="s">
        <v>8</v>
      </c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7"/>
      <c r="BC3" s="186" t="s">
        <v>82</v>
      </c>
      <c r="BD3" s="188"/>
      <c r="BE3" s="191" t="s">
        <v>9</v>
      </c>
      <c r="BF3" s="191" t="s">
        <v>10</v>
      </c>
    </row>
    <row r="4" spans="1:58" ht="36" customHeight="1" thickBot="1">
      <c r="A4" s="248"/>
      <c r="B4" s="250"/>
      <c r="C4" s="252"/>
      <c r="D4" s="254"/>
      <c r="E4" s="222"/>
      <c r="F4" s="223"/>
      <c r="G4" s="203"/>
      <c r="H4" s="204"/>
      <c r="I4" s="203"/>
      <c r="J4" s="204"/>
      <c r="K4" s="203"/>
      <c r="L4" s="204"/>
      <c r="M4" s="200"/>
      <c r="N4" s="201"/>
      <c r="O4" s="203"/>
      <c r="P4" s="204"/>
      <c r="Q4" s="203"/>
      <c r="R4" s="204"/>
      <c r="S4" s="203"/>
      <c r="T4" s="211"/>
      <c r="U4" s="214"/>
      <c r="V4" s="215"/>
      <c r="W4" s="215"/>
      <c r="X4" s="215"/>
      <c r="Y4" s="215"/>
      <c r="Z4" s="215"/>
      <c r="AA4" s="215"/>
      <c r="AB4" s="215"/>
      <c r="AC4" s="217"/>
      <c r="AD4" s="227"/>
      <c r="AE4" s="227"/>
      <c r="AF4" s="245"/>
      <c r="AG4" s="208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10"/>
      <c r="BC4" s="194" t="s">
        <v>79</v>
      </c>
      <c r="BD4" s="184" t="s">
        <v>83</v>
      </c>
      <c r="BE4" s="192"/>
      <c r="BF4" s="192"/>
    </row>
    <row r="5" spans="1:58" ht="29.25" customHeight="1" thickBot="1">
      <c r="A5" s="248"/>
      <c r="B5" s="250"/>
      <c r="C5" s="252"/>
      <c r="D5" s="254"/>
      <c r="E5" s="241" t="s">
        <v>18</v>
      </c>
      <c r="F5" s="219" t="s">
        <v>19</v>
      </c>
      <c r="G5" s="219" t="s">
        <v>18</v>
      </c>
      <c r="H5" s="219" t="s">
        <v>19</v>
      </c>
      <c r="I5" s="219" t="s">
        <v>18</v>
      </c>
      <c r="J5" s="219" t="s">
        <v>19</v>
      </c>
      <c r="K5" s="219" t="s">
        <v>18</v>
      </c>
      <c r="L5" s="219" t="s">
        <v>19</v>
      </c>
      <c r="M5" s="219" t="s">
        <v>18</v>
      </c>
      <c r="N5" s="219" t="s">
        <v>19</v>
      </c>
      <c r="O5" s="219" t="s">
        <v>18</v>
      </c>
      <c r="P5" s="219" t="s">
        <v>19</v>
      </c>
      <c r="Q5" s="219" t="s">
        <v>18</v>
      </c>
      <c r="R5" s="219" t="s">
        <v>19</v>
      </c>
      <c r="S5" s="219" t="s">
        <v>18</v>
      </c>
      <c r="T5" s="237" t="s">
        <v>19</v>
      </c>
      <c r="U5" s="239" t="s">
        <v>20</v>
      </c>
      <c r="V5" s="239" t="s">
        <v>21</v>
      </c>
      <c r="W5" s="239" t="s">
        <v>22</v>
      </c>
      <c r="X5" s="239" t="s">
        <v>23</v>
      </c>
      <c r="Y5" s="239" t="s">
        <v>24</v>
      </c>
      <c r="Z5" s="239" t="s">
        <v>25</v>
      </c>
      <c r="AA5" s="239" t="s">
        <v>26</v>
      </c>
      <c r="AB5" s="243" t="s">
        <v>27</v>
      </c>
      <c r="AC5" s="217"/>
      <c r="AD5" s="227"/>
      <c r="AE5" s="227"/>
      <c r="AF5" s="245"/>
      <c r="AG5" s="224" t="s">
        <v>28</v>
      </c>
      <c r="AH5" s="229" t="s">
        <v>29</v>
      </c>
      <c r="AI5" s="229" t="s">
        <v>30</v>
      </c>
      <c r="AJ5" s="197" t="s">
        <v>31</v>
      </c>
      <c r="AK5" s="229" t="s">
        <v>32</v>
      </c>
      <c r="AL5" s="197" t="s">
        <v>31</v>
      </c>
      <c r="AM5" s="197" t="s">
        <v>33</v>
      </c>
      <c r="AN5" s="197" t="s">
        <v>31</v>
      </c>
      <c r="AO5" s="197" t="s">
        <v>34</v>
      </c>
      <c r="AP5" s="197" t="s">
        <v>31</v>
      </c>
      <c r="AQ5" s="231" t="s">
        <v>84</v>
      </c>
      <c r="AR5" s="233" t="s">
        <v>31</v>
      </c>
      <c r="AS5" s="235" t="s">
        <v>85</v>
      </c>
      <c r="AT5" s="235" t="s">
        <v>86</v>
      </c>
      <c r="AU5" s="108" t="s">
        <v>31</v>
      </c>
      <c r="AV5" s="186" t="s">
        <v>87</v>
      </c>
      <c r="AW5" s="187"/>
      <c r="AX5" s="188"/>
      <c r="AY5" s="189" t="s">
        <v>17</v>
      </c>
      <c r="AZ5" s="184" t="s">
        <v>36</v>
      </c>
      <c r="BA5" s="184" t="s">
        <v>31</v>
      </c>
      <c r="BB5" s="184" t="s">
        <v>37</v>
      </c>
      <c r="BC5" s="195"/>
      <c r="BD5" s="197"/>
      <c r="BE5" s="192"/>
      <c r="BF5" s="192"/>
    </row>
    <row r="6" spans="1:58" ht="54" customHeight="1" thickBot="1">
      <c r="A6" s="248"/>
      <c r="B6" s="250"/>
      <c r="C6" s="252"/>
      <c r="D6" s="254"/>
      <c r="E6" s="242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38"/>
      <c r="U6" s="240"/>
      <c r="V6" s="240"/>
      <c r="W6" s="240"/>
      <c r="X6" s="240"/>
      <c r="Y6" s="240"/>
      <c r="Z6" s="240"/>
      <c r="AA6" s="240"/>
      <c r="AB6" s="208"/>
      <c r="AC6" s="218"/>
      <c r="AD6" s="228"/>
      <c r="AE6" s="228"/>
      <c r="AF6" s="246"/>
      <c r="AG6" s="225"/>
      <c r="AH6" s="230"/>
      <c r="AI6" s="230"/>
      <c r="AJ6" s="185"/>
      <c r="AK6" s="230"/>
      <c r="AL6" s="185"/>
      <c r="AM6" s="185"/>
      <c r="AN6" s="185"/>
      <c r="AO6" s="185"/>
      <c r="AP6" s="185"/>
      <c r="AQ6" s="232"/>
      <c r="AR6" s="234"/>
      <c r="AS6" s="236"/>
      <c r="AT6" s="236"/>
      <c r="AU6" s="110"/>
      <c r="AV6" s="109" t="s">
        <v>88</v>
      </c>
      <c r="AW6" s="109" t="s">
        <v>89</v>
      </c>
      <c r="AX6" s="109" t="s">
        <v>90</v>
      </c>
      <c r="AY6" s="190"/>
      <c r="AZ6" s="185"/>
      <c r="BA6" s="185"/>
      <c r="BB6" s="185"/>
      <c r="BC6" s="196"/>
      <c r="BD6" s="185"/>
      <c r="BE6" s="193"/>
      <c r="BF6" s="193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11">
        <v>43</v>
      </c>
      <c r="AR7" s="112">
        <v>44</v>
      </c>
      <c r="AS7" s="113">
        <v>45</v>
      </c>
      <c r="AT7" s="10">
        <v>46</v>
      </c>
      <c r="AU7" s="113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4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15"/>
      <c r="AR8" s="115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14"/>
    </row>
    <row r="9" spans="1:58" s="123" customFormat="1" ht="12.75">
      <c r="A9" s="116" t="s">
        <v>39</v>
      </c>
      <c r="B9" s="75">
        <v>2041.58</v>
      </c>
      <c r="C9" s="117">
        <f>B9*8.65</f>
        <v>17659.667</v>
      </c>
      <c r="D9" s="118">
        <f>C9*0.24088</f>
        <v>4253.860586960001</v>
      </c>
      <c r="E9" s="76">
        <v>1409.55</v>
      </c>
      <c r="F9" s="76">
        <v>272.6</v>
      </c>
      <c r="G9" s="76">
        <v>1902.89</v>
      </c>
      <c r="H9" s="76">
        <v>368.01</v>
      </c>
      <c r="I9" s="76">
        <v>4581.03</v>
      </c>
      <c r="J9" s="76">
        <v>885.98</v>
      </c>
      <c r="K9" s="76">
        <v>3171.51</v>
      </c>
      <c r="L9" s="76">
        <v>613.36</v>
      </c>
      <c r="M9" s="76">
        <v>1127.61</v>
      </c>
      <c r="N9" s="76">
        <v>218.1</v>
      </c>
      <c r="O9" s="76">
        <v>0</v>
      </c>
      <c r="P9" s="76">
        <v>0</v>
      </c>
      <c r="Q9" s="76">
        <v>0</v>
      </c>
      <c r="R9" s="76">
        <v>0</v>
      </c>
      <c r="S9" s="76">
        <f>E9+G9+I9+K9+M9+O9+Q9</f>
        <v>12192.59</v>
      </c>
      <c r="T9" s="100">
        <f>P9+N9+L9+J9+H9+F9+R9</f>
        <v>2358.0499999999997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80">
        <v>0</v>
      </c>
      <c r="AA9" s="80">
        <v>0</v>
      </c>
      <c r="AB9" s="80">
        <f>SUM(U9:AA9)</f>
        <v>0</v>
      </c>
      <c r="AC9" s="119">
        <f>D9+T9+AB9</f>
        <v>6611.910586960001</v>
      </c>
      <c r="AD9" s="120">
        <f>P9+Z9</f>
        <v>0</v>
      </c>
      <c r="AE9" s="102">
        <f>R9+AA9</f>
        <v>0</v>
      </c>
      <c r="AF9" s="102"/>
      <c r="AG9" s="25">
        <f>0.6*B9</f>
        <v>1224.9479999999999</v>
      </c>
      <c r="AH9" s="25">
        <f>B9*0.2*1.05826</f>
        <v>432.10449016</v>
      </c>
      <c r="AI9" s="25">
        <f>0.8518*B9</f>
        <v>1739.017844</v>
      </c>
      <c r="AJ9" s="25">
        <f>AI9*0.18</f>
        <v>313.02321192</v>
      </c>
      <c r="AK9" s="25">
        <f>1.04*B9*0.9531</f>
        <v>2023.6630939199997</v>
      </c>
      <c r="AL9" s="25">
        <f>AK9*0.18</f>
        <v>364.25935690559993</v>
      </c>
      <c r="AM9" s="25">
        <f>(1.91)*B9*0.9531</f>
        <v>3716.5351051799994</v>
      </c>
      <c r="AN9" s="25">
        <f>AM9*0.18</f>
        <v>668.9763189323999</v>
      </c>
      <c r="AO9" s="25"/>
      <c r="AP9" s="25">
        <f>AO9*0.18</f>
        <v>0</v>
      </c>
      <c r="AQ9" s="95"/>
      <c r="AR9" s="95"/>
      <c r="AS9" s="78"/>
      <c r="AT9" s="78"/>
      <c r="AU9" s="78">
        <f>(AS9+AT9)*0.18</f>
        <v>0</v>
      </c>
      <c r="AV9" s="103"/>
      <c r="AW9" s="104"/>
      <c r="AX9" s="25">
        <f>AV9*AW9*1.12*1.18</f>
        <v>0</v>
      </c>
      <c r="AY9" s="105"/>
      <c r="AZ9" s="106"/>
      <c r="BA9" s="106">
        <f>AZ9*0.18</f>
        <v>0</v>
      </c>
      <c r="BB9" s="106">
        <f>SUM(AG9:BA9)-AV9-AW9</f>
        <v>10482.527421018</v>
      </c>
      <c r="BC9" s="107"/>
      <c r="BD9" s="18">
        <f>BB9-(AF9-BC9)</f>
        <v>10482.527421018</v>
      </c>
      <c r="BE9" s="121">
        <f>AC9-BB9</f>
        <v>-3870.616834057999</v>
      </c>
      <c r="BF9" s="122">
        <f>AB9-S9</f>
        <v>-12192.59</v>
      </c>
    </row>
    <row r="10" spans="1:58" ht="12.75">
      <c r="A10" s="14" t="s">
        <v>40</v>
      </c>
      <c r="B10" s="75">
        <v>2041.58</v>
      </c>
      <c r="C10" s="117">
        <f>B10*8.65</f>
        <v>17659.667</v>
      </c>
      <c r="D10" s="118">
        <f>C10*0.24088</f>
        <v>4253.860586960001</v>
      </c>
      <c r="E10" s="76">
        <v>1369.76</v>
      </c>
      <c r="F10" s="76">
        <v>265.7</v>
      </c>
      <c r="G10" s="76">
        <v>1849.15</v>
      </c>
      <c r="H10" s="76">
        <v>358.73</v>
      </c>
      <c r="I10" s="76">
        <v>4451.67</v>
      </c>
      <c r="J10" s="76">
        <v>863.58</v>
      </c>
      <c r="K10" s="76">
        <v>3081.96</v>
      </c>
      <c r="L10" s="76">
        <v>597.86</v>
      </c>
      <c r="M10" s="76">
        <v>1095.78</v>
      </c>
      <c r="N10" s="76">
        <v>212.56</v>
      </c>
      <c r="O10" s="76">
        <v>0</v>
      </c>
      <c r="P10" s="76">
        <v>0</v>
      </c>
      <c r="Q10" s="76">
        <v>0</v>
      </c>
      <c r="R10" s="76">
        <v>0</v>
      </c>
      <c r="S10" s="76">
        <f>E10+G10+I10+K10+M10+O10+Q10</f>
        <v>11848.320000000002</v>
      </c>
      <c r="T10" s="100">
        <f>P10+N10+L10+J10+H10+F10+R10</f>
        <v>2298.43</v>
      </c>
      <c r="U10" s="76">
        <v>856.67</v>
      </c>
      <c r="V10" s="76">
        <v>1156.53</v>
      </c>
      <c r="W10" s="76">
        <v>3150.97</v>
      </c>
      <c r="X10" s="76">
        <v>1927.59</v>
      </c>
      <c r="Y10" s="76">
        <v>685.31</v>
      </c>
      <c r="Z10" s="76">
        <v>0</v>
      </c>
      <c r="AA10" s="80">
        <v>0</v>
      </c>
      <c r="AB10" s="124">
        <f>SUM(U10:AA10)</f>
        <v>7777.07</v>
      </c>
      <c r="AC10" s="101">
        <f>D10+T10+AB10</f>
        <v>14329.36058696</v>
      </c>
      <c r="AD10" s="102">
        <f>P10+Z10</f>
        <v>0</v>
      </c>
      <c r="AE10" s="102">
        <f>R10+AA10</f>
        <v>0</v>
      </c>
      <c r="AF10" s="102"/>
      <c r="AG10" s="25">
        <f>0.6*B10</f>
        <v>1224.9479999999999</v>
      </c>
      <c r="AH10" s="25">
        <f>B10*0.201</f>
        <v>410.35758</v>
      </c>
      <c r="AI10" s="25">
        <f>0.8518*B10</f>
        <v>1739.017844</v>
      </c>
      <c r="AJ10" s="25">
        <f>AI10*0.18</f>
        <v>313.02321192</v>
      </c>
      <c r="AK10" s="25">
        <f>1.04*B10*0.9531</f>
        <v>2023.6630939199997</v>
      </c>
      <c r="AL10" s="25">
        <f>AK10*0.18</f>
        <v>364.25935690559993</v>
      </c>
      <c r="AM10" s="25">
        <f>(1.91)*B10*0.9531</f>
        <v>3716.5351051799994</v>
      </c>
      <c r="AN10" s="25">
        <f>AM10*0.18</f>
        <v>668.9763189323999</v>
      </c>
      <c r="AO10" s="25"/>
      <c r="AP10" s="25">
        <f>AO10*0.18</f>
        <v>0</v>
      </c>
      <c r="AQ10" s="95"/>
      <c r="AR10" s="95"/>
      <c r="AS10" s="78">
        <v>7361</v>
      </c>
      <c r="AT10" s="78"/>
      <c r="AU10" s="78">
        <f>(AS10+AT10)*0.18</f>
        <v>1324.98</v>
      </c>
      <c r="AV10" s="103"/>
      <c r="AW10" s="104"/>
      <c r="AX10" s="25">
        <f>AV10*AW10*1.12*1.18</f>
        <v>0</v>
      </c>
      <c r="AY10" s="105"/>
      <c r="AZ10" s="106"/>
      <c r="BA10" s="106">
        <f>AZ10*0.18</f>
        <v>0</v>
      </c>
      <c r="BB10" s="106">
        <f>SUM(AG10:BA10)-AV10-AW10</f>
        <v>19146.760510858</v>
      </c>
      <c r="BC10" s="107"/>
      <c r="BD10" s="18">
        <f>BB10-(AF10-BC10)</f>
        <v>19146.760510858</v>
      </c>
      <c r="BE10" s="121">
        <f>AC10-BB10</f>
        <v>-4817.3999238979995</v>
      </c>
      <c r="BF10" s="121">
        <f>AB10-S10</f>
        <v>-4071.250000000002</v>
      </c>
    </row>
    <row r="11" spans="1:58" ht="13.5" thickBot="1">
      <c r="A11" s="45" t="s">
        <v>41</v>
      </c>
      <c r="B11" s="75">
        <v>2041.58</v>
      </c>
      <c r="C11" s="117">
        <f>B11*8.65</f>
        <v>17659.667</v>
      </c>
      <c r="D11" s="118">
        <f>C11*0.24035</f>
        <v>4244.50096345</v>
      </c>
      <c r="E11" s="76">
        <v>1368.16</v>
      </c>
      <c r="F11" s="76">
        <v>269.15</v>
      </c>
      <c r="G11" s="76">
        <v>1846.98</v>
      </c>
      <c r="H11" s="76">
        <v>363.37</v>
      </c>
      <c r="I11" s="76">
        <v>4446.44</v>
      </c>
      <c r="J11" s="76">
        <v>874.78</v>
      </c>
      <c r="K11" s="76">
        <v>3078.35</v>
      </c>
      <c r="L11" s="76">
        <v>605.61</v>
      </c>
      <c r="M11" s="76">
        <v>1094.51</v>
      </c>
      <c r="N11" s="80">
        <v>215.33</v>
      </c>
      <c r="O11" s="80">
        <v>0</v>
      </c>
      <c r="P11" s="80">
        <v>0</v>
      </c>
      <c r="Q11" s="80">
        <v>0</v>
      </c>
      <c r="R11" s="80">
        <v>0</v>
      </c>
      <c r="S11" s="76">
        <f>E11+G11+I11+K11+M11+O11+Q11</f>
        <v>11834.44</v>
      </c>
      <c r="T11" s="100">
        <f>P11+N11+L11+J11+H11+F11+R11</f>
        <v>2328.2400000000002</v>
      </c>
      <c r="U11" s="76">
        <v>1027.12</v>
      </c>
      <c r="V11" s="76">
        <v>1386.56</v>
      </c>
      <c r="W11" s="76">
        <v>3323.11</v>
      </c>
      <c r="X11" s="76">
        <v>2310.97</v>
      </c>
      <c r="Y11" s="76">
        <v>821.93</v>
      </c>
      <c r="Z11" s="76">
        <v>0</v>
      </c>
      <c r="AA11" s="80">
        <v>0</v>
      </c>
      <c r="AB11" s="124">
        <f>SUM(U11:AA11)</f>
        <v>8869.69</v>
      </c>
      <c r="AC11" s="101">
        <f>D11+T11+AB11</f>
        <v>15442.43096345</v>
      </c>
      <c r="AD11" s="102">
        <f>P11+Z11</f>
        <v>0</v>
      </c>
      <c r="AE11" s="102">
        <f>R11+AA11</f>
        <v>0</v>
      </c>
      <c r="AF11" s="102"/>
      <c r="AG11" s="25">
        <f>0.6*B11</f>
        <v>1224.9479999999999</v>
      </c>
      <c r="AH11" s="25">
        <f>B11*0.2*1.02524</f>
        <v>418.62189584</v>
      </c>
      <c r="AI11" s="25">
        <f>0.84932*B11</f>
        <v>1733.9547255999998</v>
      </c>
      <c r="AJ11" s="25">
        <f>AI11*0.18</f>
        <v>312.11185060799994</v>
      </c>
      <c r="AK11" s="25">
        <f>1.04*B11*0.95033</f>
        <v>2017.781710256</v>
      </c>
      <c r="AL11" s="25">
        <f>AK11*0.18</f>
        <v>363.20070784608</v>
      </c>
      <c r="AM11" s="25">
        <f>(1.91)*B11*0.95033</f>
        <v>3705.733717874</v>
      </c>
      <c r="AN11" s="25">
        <f>AM11*0.18</f>
        <v>667.03206921732</v>
      </c>
      <c r="AO11" s="25"/>
      <c r="AP11" s="25">
        <f>AO11*0.18</f>
        <v>0</v>
      </c>
      <c r="AQ11" s="95"/>
      <c r="AR11" s="95"/>
      <c r="AS11" s="78"/>
      <c r="AT11" s="78"/>
      <c r="AU11" s="78">
        <f>(AS11+AT11)*0.18</f>
        <v>0</v>
      </c>
      <c r="AV11" s="103"/>
      <c r="AW11" s="104"/>
      <c r="AX11" s="25">
        <f>AV11*AW11*1.12*1.18</f>
        <v>0</v>
      </c>
      <c r="AY11" s="105"/>
      <c r="AZ11" s="106"/>
      <c r="BA11" s="106">
        <f>AZ11*0.18</f>
        <v>0</v>
      </c>
      <c r="BB11" s="106">
        <f>SUM(AG11:BA11)-AV11-AW11</f>
        <v>10443.3846772414</v>
      </c>
      <c r="BC11" s="107"/>
      <c r="BD11" s="18">
        <f>BB11-(AF11-BC11)</f>
        <v>10443.3846772414</v>
      </c>
      <c r="BE11" s="121">
        <f>AC11-BB11</f>
        <v>4999.046286208601</v>
      </c>
      <c r="BF11" s="121">
        <f>AB11-S11</f>
        <v>-2964.75</v>
      </c>
    </row>
    <row r="12" spans="1:58" s="24" customFormat="1" ht="15" customHeight="1" thickBot="1">
      <c r="A12" s="46" t="s">
        <v>3</v>
      </c>
      <c r="B12" s="71"/>
      <c r="C12" s="71">
        <f>SUM(C9:C11)</f>
        <v>52979.001000000004</v>
      </c>
      <c r="D12" s="71">
        <f aca="true" t="shared" si="0" ref="D12:BD12">SUM(D9:D11)</f>
        <v>12752.222137370001</v>
      </c>
      <c r="E12" s="71">
        <f t="shared" si="0"/>
        <v>4147.47</v>
      </c>
      <c r="F12" s="71">
        <f t="shared" si="0"/>
        <v>807.4499999999999</v>
      </c>
      <c r="G12" s="71">
        <f t="shared" si="0"/>
        <v>5599.02</v>
      </c>
      <c r="H12" s="71">
        <f t="shared" si="0"/>
        <v>1090.1100000000001</v>
      </c>
      <c r="I12" s="71">
        <f t="shared" si="0"/>
        <v>13479.14</v>
      </c>
      <c r="J12" s="71">
        <f t="shared" si="0"/>
        <v>2624.34</v>
      </c>
      <c r="K12" s="71">
        <f t="shared" si="0"/>
        <v>9331.82</v>
      </c>
      <c r="L12" s="71">
        <f t="shared" si="0"/>
        <v>1816.83</v>
      </c>
      <c r="M12" s="71">
        <f t="shared" si="0"/>
        <v>3317.8999999999996</v>
      </c>
      <c r="N12" s="71">
        <f t="shared" si="0"/>
        <v>645.99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35875.350000000006</v>
      </c>
      <c r="T12" s="71">
        <f t="shared" si="0"/>
        <v>6984.719999999999</v>
      </c>
      <c r="U12" s="71">
        <f t="shared" si="0"/>
        <v>1883.79</v>
      </c>
      <c r="V12" s="71">
        <f t="shared" si="0"/>
        <v>2543.09</v>
      </c>
      <c r="W12" s="71">
        <f t="shared" si="0"/>
        <v>6474.08</v>
      </c>
      <c r="X12" s="71">
        <f t="shared" si="0"/>
        <v>4238.5599999999995</v>
      </c>
      <c r="Y12" s="71">
        <f t="shared" si="0"/>
        <v>1507.2399999999998</v>
      </c>
      <c r="Z12" s="71">
        <f t="shared" si="0"/>
        <v>0</v>
      </c>
      <c r="AA12" s="71">
        <f t="shared" si="0"/>
        <v>0</v>
      </c>
      <c r="AB12" s="71">
        <f t="shared" si="0"/>
        <v>16646.760000000002</v>
      </c>
      <c r="AC12" s="71">
        <f t="shared" si="0"/>
        <v>36383.702137370004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3674.8439999999996</v>
      </c>
      <c r="AH12" s="71">
        <f t="shared" si="0"/>
        <v>1261.083966</v>
      </c>
      <c r="AI12" s="71">
        <f t="shared" si="0"/>
        <v>5211.9904136</v>
      </c>
      <c r="AJ12" s="71">
        <f t="shared" si="0"/>
        <v>938.1582744479999</v>
      </c>
      <c r="AK12" s="71">
        <f t="shared" si="0"/>
        <v>6065.107898095999</v>
      </c>
      <c r="AL12" s="71">
        <f t="shared" si="0"/>
        <v>1091.7194216572798</v>
      </c>
      <c r="AM12" s="71">
        <f t="shared" si="0"/>
        <v>11138.803928234</v>
      </c>
      <c r="AN12" s="71">
        <f t="shared" si="0"/>
        <v>2004.9847070821197</v>
      </c>
      <c r="AO12" s="71">
        <f t="shared" si="0"/>
        <v>0</v>
      </c>
      <c r="AP12" s="71">
        <f t="shared" si="0"/>
        <v>0</v>
      </c>
      <c r="AQ12" s="125">
        <f t="shared" si="0"/>
        <v>0</v>
      </c>
      <c r="AR12" s="125">
        <f t="shared" si="0"/>
        <v>0</v>
      </c>
      <c r="AS12" s="126">
        <f t="shared" si="0"/>
        <v>7361</v>
      </c>
      <c r="AT12" s="126">
        <f t="shared" si="0"/>
        <v>0</v>
      </c>
      <c r="AU12" s="126">
        <f t="shared" si="0"/>
        <v>1324.98</v>
      </c>
      <c r="AV12" s="71">
        <f t="shared" si="0"/>
        <v>0</v>
      </c>
      <c r="AW12" s="71">
        <f t="shared" si="0"/>
        <v>0</v>
      </c>
      <c r="AX12" s="71">
        <f t="shared" si="0"/>
        <v>0</v>
      </c>
      <c r="AY12" s="71">
        <f t="shared" si="0"/>
        <v>0</v>
      </c>
      <c r="AZ12" s="71">
        <f t="shared" si="0"/>
        <v>0</v>
      </c>
      <c r="BA12" s="71">
        <f t="shared" si="0"/>
        <v>0</v>
      </c>
      <c r="BB12" s="71">
        <f t="shared" si="0"/>
        <v>40072.6726091174</v>
      </c>
      <c r="BC12" s="71">
        <f t="shared" si="0"/>
        <v>0</v>
      </c>
      <c r="BD12" s="71">
        <f t="shared" si="0"/>
        <v>40072.6726091174</v>
      </c>
      <c r="BE12" s="71">
        <f>SUM(BE9:BE11)</f>
        <v>-3688.970471747398</v>
      </c>
      <c r="BF12" s="127">
        <f>SUM(BF9:BF11)</f>
        <v>-19228.590000000004</v>
      </c>
    </row>
    <row r="13" spans="1:58" ht="15" customHeight="1">
      <c r="A13" s="8" t="s">
        <v>42</v>
      </c>
      <c r="B13" s="68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  <c r="P13" s="131"/>
      <c r="Q13" s="132"/>
      <c r="R13" s="132"/>
      <c r="S13" s="132"/>
      <c r="T13" s="132"/>
      <c r="U13" s="133"/>
      <c r="V13" s="133"/>
      <c r="W13" s="133"/>
      <c r="X13" s="133"/>
      <c r="Y13" s="133"/>
      <c r="Z13" s="133"/>
      <c r="AA13" s="134"/>
      <c r="AB13" s="134"/>
      <c r="AC13" s="135"/>
      <c r="AD13" s="136"/>
      <c r="AE13" s="136"/>
      <c r="AF13" s="56"/>
      <c r="AG13" s="56"/>
      <c r="AH13" s="56"/>
      <c r="AI13" s="56"/>
      <c r="AJ13" s="56"/>
      <c r="AK13" s="56"/>
      <c r="AL13" s="56"/>
      <c r="AM13" s="56"/>
      <c r="AN13" s="69"/>
      <c r="AO13" s="69"/>
      <c r="AP13" s="69"/>
      <c r="AQ13" s="137"/>
      <c r="AR13" s="138"/>
      <c r="AS13" s="139"/>
      <c r="AT13" s="139"/>
      <c r="AU13" s="140"/>
      <c r="AV13" s="56"/>
      <c r="AW13" s="56"/>
      <c r="AX13" s="57"/>
      <c r="AY13" s="1"/>
      <c r="AZ13" s="1"/>
      <c r="BA13" s="1"/>
      <c r="BB13" s="1"/>
      <c r="BC13" s="1"/>
      <c r="BD13" s="1"/>
      <c r="BE13" s="1"/>
      <c r="BF13" s="114"/>
    </row>
    <row r="14" spans="1:58" ht="12.75">
      <c r="A14" s="14" t="s">
        <v>43</v>
      </c>
      <c r="B14" s="93">
        <v>2040.58</v>
      </c>
      <c r="C14" s="117">
        <f aca="true" t="shared" si="1" ref="C14:C20">B14*8.65</f>
        <v>17651.017</v>
      </c>
      <c r="D14" s="118">
        <f>C14*0.125</f>
        <v>2206.377125</v>
      </c>
      <c r="E14" s="76">
        <v>1405.74</v>
      </c>
      <c r="F14" s="76">
        <v>269.15</v>
      </c>
      <c r="G14" s="76">
        <v>1897.71</v>
      </c>
      <c r="H14" s="76">
        <v>363.37</v>
      </c>
      <c r="I14" s="76">
        <v>4568.59</v>
      </c>
      <c r="J14" s="76">
        <v>874.78</v>
      </c>
      <c r="K14" s="76">
        <v>3162.9</v>
      </c>
      <c r="L14" s="76">
        <v>605.61</v>
      </c>
      <c r="M14" s="76">
        <v>1124.56</v>
      </c>
      <c r="N14" s="80">
        <v>215.33</v>
      </c>
      <c r="O14" s="80">
        <v>0</v>
      </c>
      <c r="P14" s="80">
        <v>0</v>
      </c>
      <c r="Q14" s="80">
        <v>0</v>
      </c>
      <c r="R14" s="80">
        <v>0</v>
      </c>
      <c r="S14" s="76">
        <f aca="true" t="shared" si="2" ref="S14:S20">E14+G14+I14+K14+M14+O14+Q14</f>
        <v>12159.5</v>
      </c>
      <c r="T14" s="100">
        <f aca="true" t="shared" si="3" ref="T14:T20">P14+N14+L14+J14+H14+F14+R14</f>
        <v>2328.2400000000002</v>
      </c>
      <c r="U14" s="76">
        <v>1240.9</v>
      </c>
      <c r="V14" s="76">
        <v>1674.83</v>
      </c>
      <c r="W14" s="76">
        <v>3709.57</v>
      </c>
      <c r="X14" s="76">
        <v>2791.05</v>
      </c>
      <c r="Y14" s="76">
        <v>992.46</v>
      </c>
      <c r="Z14" s="76">
        <v>0</v>
      </c>
      <c r="AA14" s="80">
        <v>0</v>
      </c>
      <c r="AB14" s="141">
        <f aca="true" t="shared" si="4" ref="AB14:AB20">SUM(U14:AA14)</f>
        <v>10408.810000000001</v>
      </c>
      <c r="AC14" s="101">
        <f aca="true" t="shared" si="5" ref="AC14:AC20">D14+T14+AB14</f>
        <v>14943.427125000002</v>
      </c>
      <c r="AD14" s="102">
        <f aca="true" t="shared" si="6" ref="AD14:AD20">P14+Z14</f>
        <v>0</v>
      </c>
      <c r="AE14" s="102">
        <f aca="true" t="shared" si="7" ref="AE14:AE20">R14+AA14</f>
        <v>0</v>
      </c>
      <c r="AF14" s="102">
        <f>'[3]Т01-09'!$I$29+'[3]Т01-09'!$I$33</f>
        <v>2115.86508</v>
      </c>
      <c r="AG14" s="25">
        <f>0.6*B14*0.9</f>
        <v>1101.9132</v>
      </c>
      <c r="AH14" s="25">
        <f>B14*0.2*0.891</f>
        <v>363.631356</v>
      </c>
      <c r="AI14" s="25">
        <f>0.85*B14*0.867-0.02</f>
        <v>1503.785431</v>
      </c>
      <c r="AJ14" s="25">
        <f aca="true" t="shared" si="8" ref="AJ14:AJ20">AI14*0.18</f>
        <v>270.68137758</v>
      </c>
      <c r="AK14" s="25">
        <f>0.83*B14*0.8685</f>
        <v>1470.9622959</v>
      </c>
      <c r="AL14" s="25">
        <f aca="true" t="shared" si="9" ref="AL14:AL20">AK14*0.18</f>
        <v>264.773213262</v>
      </c>
      <c r="AM14" s="25">
        <f>1.91*B14*0.8686</f>
        <v>3385.37527508</v>
      </c>
      <c r="AN14" s="25">
        <f aca="true" t="shared" si="10" ref="AN14:AN20">AM14*0.18</f>
        <v>609.3675495143999</v>
      </c>
      <c r="AO14" s="25"/>
      <c r="AP14" s="25">
        <f aca="true" t="shared" si="11" ref="AP14:AP25">AO14*0.18</f>
        <v>0</v>
      </c>
      <c r="AQ14" s="95"/>
      <c r="AR14" s="95">
        <f aca="true" t="shared" si="12" ref="AR14:AR25">AQ14*0.18</f>
        <v>0</v>
      </c>
      <c r="AS14" s="78">
        <v>269</v>
      </c>
      <c r="AT14" s="78"/>
      <c r="AU14" s="78">
        <f aca="true" t="shared" si="13" ref="AU14:AU20">(AS14+AT14)*0.18</f>
        <v>48.42</v>
      </c>
      <c r="AV14" s="103">
        <v>508</v>
      </c>
      <c r="AW14" s="104">
        <v>1.375</v>
      </c>
      <c r="AX14" s="25">
        <f>AV14*AW14*1.12*1.18</f>
        <v>923.1376</v>
      </c>
      <c r="AY14" s="105"/>
      <c r="AZ14" s="106"/>
      <c r="BA14" s="106">
        <f aca="true" t="shared" si="14" ref="BA14:BA25">AZ14*0.18</f>
        <v>0</v>
      </c>
      <c r="BB14" s="106">
        <f>SUM(AG14:AU14)</f>
        <v>9287.9096983364</v>
      </c>
      <c r="BC14" s="107">
        <f>'[3]Т01-09'!$O$29+'[3]Т01-09'!$O$33</f>
        <v>899.5602949200002</v>
      </c>
      <c r="BD14" s="142">
        <f>BB14-(AF14-BC14)</f>
        <v>8071.6049132564</v>
      </c>
      <c r="BE14" s="121">
        <f>(AC14-BB14)+(AF14-BC14)</f>
        <v>6871.822211743602</v>
      </c>
      <c r="BF14" s="121">
        <f>AB14-S14</f>
        <v>-1750.6899999999987</v>
      </c>
    </row>
    <row r="15" spans="1:58" ht="12.75">
      <c r="A15" s="14" t="s">
        <v>44</v>
      </c>
      <c r="B15" s="93">
        <v>2040.58</v>
      </c>
      <c r="C15" s="117">
        <f t="shared" si="1"/>
        <v>17651.017</v>
      </c>
      <c r="D15" s="118">
        <f>C15*0.125</f>
        <v>2206.377125</v>
      </c>
      <c r="E15" s="76">
        <v>1391.57</v>
      </c>
      <c r="F15" s="76">
        <v>269.15</v>
      </c>
      <c r="G15" s="76">
        <v>1878.61</v>
      </c>
      <c r="H15" s="76">
        <v>363.37</v>
      </c>
      <c r="I15" s="76">
        <v>4522.56</v>
      </c>
      <c r="J15" s="76">
        <v>874.78</v>
      </c>
      <c r="K15" s="76">
        <v>3131.03</v>
      </c>
      <c r="L15" s="76">
        <v>605.61</v>
      </c>
      <c r="M15" s="76">
        <v>1113.24</v>
      </c>
      <c r="N15" s="80">
        <v>215.33</v>
      </c>
      <c r="O15" s="80">
        <v>0</v>
      </c>
      <c r="P15" s="80">
        <v>0</v>
      </c>
      <c r="Q15" s="80">
        <v>0</v>
      </c>
      <c r="R15" s="80">
        <v>0</v>
      </c>
      <c r="S15" s="76">
        <f t="shared" si="2"/>
        <v>12037.01</v>
      </c>
      <c r="T15" s="100">
        <f t="shared" si="3"/>
        <v>2328.2400000000002</v>
      </c>
      <c r="U15" s="76">
        <v>1271.09</v>
      </c>
      <c r="V15" s="76">
        <v>1716.11</v>
      </c>
      <c r="W15" s="76">
        <v>4126.47</v>
      </c>
      <c r="X15" s="76">
        <v>2860.4</v>
      </c>
      <c r="Y15" s="76">
        <v>1016.93</v>
      </c>
      <c r="Z15" s="76">
        <v>0</v>
      </c>
      <c r="AA15" s="80">
        <v>0</v>
      </c>
      <c r="AB15" s="124">
        <f t="shared" si="4"/>
        <v>10991</v>
      </c>
      <c r="AC15" s="101">
        <f t="shared" si="5"/>
        <v>15525.617125</v>
      </c>
      <c r="AD15" s="102">
        <f t="shared" si="6"/>
        <v>0</v>
      </c>
      <c r="AE15" s="102">
        <f t="shared" si="7"/>
        <v>0</v>
      </c>
      <c r="AF15" s="102">
        <f>'[3]Т02-09'!$I$33+'[3]Т02-09'!$I$29</f>
        <v>2115.86508</v>
      </c>
      <c r="AG15" s="25">
        <f>0.6*B15*0.9</f>
        <v>1101.9132</v>
      </c>
      <c r="AH15" s="25">
        <f>B15*0.2*0.9153</f>
        <v>373.5485748</v>
      </c>
      <c r="AI15" s="25">
        <f>0.85*B15*0.867</f>
        <v>1503.805431</v>
      </c>
      <c r="AJ15" s="25">
        <f t="shared" si="8"/>
        <v>270.68497758</v>
      </c>
      <c r="AK15" s="25">
        <f>0.83*B15*0.8684</f>
        <v>1470.7929277599999</v>
      </c>
      <c r="AL15" s="25">
        <f t="shared" si="9"/>
        <v>264.74272699679995</v>
      </c>
      <c r="AM15" s="25">
        <f>(1.91)*B15*0.8684</f>
        <v>3384.5957735199995</v>
      </c>
      <c r="AN15" s="25">
        <f t="shared" si="10"/>
        <v>609.2272392335999</v>
      </c>
      <c r="AO15" s="25"/>
      <c r="AP15" s="25">
        <f t="shared" si="11"/>
        <v>0</v>
      </c>
      <c r="AQ15" s="95"/>
      <c r="AR15" s="95">
        <f t="shared" si="12"/>
        <v>0</v>
      </c>
      <c r="AS15" s="78"/>
      <c r="AT15" s="78"/>
      <c r="AU15" s="78">
        <f t="shared" si="13"/>
        <v>0</v>
      </c>
      <c r="AV15" s="103">
        <v>407</v>
      </c>
      <c r="AW15" s="104">
        <v>1.375</v>
      </c>
      <c r="AX15" s="25">
        <f>AV15*AW15*1.12*1.18</f>
        <v>739.6004</v>
      </c>
      <c r="AY15" s="105"/>
      <c r="AZ15" s="106"/>
      <c r="BA15" s="106">
        <f t="shared" si="14"/>
        <v>0</v>
      </c>
      <c r="BB15" s="106">
        <f>SUM(AG15:AU15)+AY15</f>
        <v>8979.310850890399</v>
      </c>
      <c r="BC15" s="143">
        <f>'[3]Т02-09'!$O$29+'[3]Т02-09'!$O$33</f>
        <v>900.9125395200001</v>
      </c>
      <c r="BD15" s="142">
        <f aca="true" t="shared" si="15" ref="BD15:BD25">BB15-(AF15-BC15)</f>
        <v>7764.358310410399</v>
      </c>
      <c r="BE15" s="121">
        <f aca="true" t="shared" si="16" ref="BE15:BE25">(AC15-BB15)+(AF15-BC15)</f>
        <v>7761.258814589602</v>
      </c>
      <c r="BF15" s="121">
        <f aca="true" t="shared" si="17" ref="BF15:BF25">AB15-S15</f>
        <v>-1046.0100000000002</v>
      </c>
    </row>
    <row r="16" spans="1:58" ht="13.5" thickBot="1">
      <c r="A16" s="144" t="s">
        <v>45</v>
      </c>
      <c r="B16" s="145">
        <v>2040.6</v>
      </c>
      <c r="C16" s="117">
        <f t="shared" si="1"/>
        <v>17651.19</v>
      </c>
      <c r="D16" s="118">
        <f>C16*0.125</f>
        <v>2206.39875</v>
      </c>
      <c r="E16" s="76">
        <v>1385.27</v>
      </c>
      <c r="F16" s="76">
        <v>269.15</v>
      </c>
      <c r="G16" s="76">
        <v>1870.1</v>
      </c>
      <c r="H16" s="76">
        <v>363.37</v>
      </c>
      <c r="I16" s="76">
        <v>4502.1</v>
      </c>
      <c r="J16" s="76">
        <v>874.78</v>
      </c>
      <c r="K16" s="76">
        <v>3116.88</v>
      </c>
      <c r="L16" s="76">
        <v>605.61</v>
      </c>
      <c r="M16" s="76">
        <v>1108.21</v>
      </c>
      <c r="N16" s="80">
        <v>215.33</v>
      </c>
      <c r="O16" s="80">
        <v>0</v>
      </c>
      <c r="P16" s="80">
        <v>0</v>
      </c>
      <c r="Q16" s="80">
        <v>0</v>
      </c>
      <c r="R16" s="80">
        <v>0</v>
      </c>
      <c r="S16" s="76">
        <f t="shared" si="2"/>
        <v>11982.560000000001</v>
      </c>
      <c r="T16" s="100">
        <f t="shared" si="3"/>
        <v>2328.2400000000002</v>
      </c>
      <c r="U16" s="77">
        <v>1295</v>
      </c>
      <c r="V16" s="77">
        <v>1748.31</v>
      </c>
      <c r="W16" s="77">
        <v>4195.96</v>
      </c>
      <c r="X16" s="77">
        <v>2913.98</v>
      </c>
      <c r="Y16" s="77">
        <v>1035.76</v>
      </c>
      <c r="Z16" s="77">
        <v>0</v>
      </c>
      <c r="AA16" s="94">
        <v>0</v>
      </c>
      <c r="AB16" s="141">
        <f t="shared" si="4"/>
        <v>11189.01</v>
      </c>
      <c r="AC16" s="101">
        <f t="shared" si="5"/>
        <v>15723.64875</v>
      </c>
      <c r="AD16" s="102">
        <f t="shared" si="6"/>
        <v>0</v>
      </c>
      <c r="AE16" s="102">
        <f t="shared" si="7"/>
        <v>0</v>
      </c>
      <c r="AF16" s="102">
        <f>'[3]Т03-09'!$I$33+'[3]Т03-09'!$I$29</f>
        <v>2115.86508</v>
      </c>
      <c r="AG16" s="25">
        <f>0.6*B16*0.9</f>
        <v>1101.924</v>
      </c>
      <c r="AH16" s="146">
        <f>B16*0.2*0.9082</f>
        <v>370.654584</v>
      </c>
      <c r="AI16" s="25">
        <f>0.85*B16*0.8675</f>
        <v>1504.687425</v>
      </c>
      <c r="AJ16" s="25">
        <f t="shared" si="8"/>
        <v>270.8437365</v>
      </c>
      <c r="AK16" s="146">
        <f>0.83*B16*0.838</f>
        <v>1419.318924</v>
      </c>
      <c r="AL16" s="25">
        <f t="shared" si="9"/>
        <v>255.47740631999997</v>
      </c>
      <c r="AM16" s="25">
        <f>1.91*B16*0.8381</f>
        <v>3266.5333026</v>
      </c>
      <c r="AN16" s="25">
        <f t="shared" si="10"/>
        <v>587.975994468</v>
      </c>
      <c r="AO16" s="25"/>
      <c r="AP16" s="25">
        <f t="shared" si="11"/>
        <v>0</v>
      </c>
      <c r="AQ16" s="95"/>
      <c r="AR16" s="95">
        <f t="shared" si="12"/>
        <v>0</v>
      </c>
      <c r="AS16" s="78">
        <v>4578</v>
      </c>
      <c r="AT16" s="78"/>
      <c r="AU16" s="78">
        <f t="shared" si="13"/>
        <v>824.04</v>
      </c>
      <c r="AV16" s="103">
        <v>383</v>
      </c>
      <c r="AW16" s="104">
        <v>1.375</v>
      </c>
      <c r="AX16" s="25">
        <f>AV16*AW16*1.12*1.18</f>
        <v>695.9876</v>
      </c>
      <c r="AY16" s="105"/>
      <c r="AZ16" s="106"/>
      <c r="BA16" s="106">
        <f t="shared" si="14"/>
        <v>0</v>
      </c>
      <c r="BB16" s="106">
        <f>SUM(AG16:AU16)</f>
        <v>14179.455372888002</v>
      </c>
      <c r="BC16" s="143">
        <f>'[3]Т03-09'!$O$29+'[3]Т03-09'!$O$33</f>
        <v>882.0163416600001</v>
      </c>
      <c r="BD16" s="142">
        <f t="shared" si="15"/>
        <v>12945.606634548001</v>
      </c>
      <c r="BE16" s="121">
        <f t="shared" si="16"/>
        <v>2778.042115451998</v>
      </c>
      <c r="BF16" s="121">
        <f t="shared" si="17"/>
        <v>-793.5500000000011</v>
      </c>
    </row>
    <row r="17" spans="1:58" ht="12.75">
      <c r="A17" s="148" t="s">
        <v>46</v>
      </c>
      <c r="B17" s="149">
        <v>2040.6</v>
      </c>
      <c r="C17" s="117">
        <f t="shared" si="1"/>
        <v>17651.19</v>
      </c>
      <c r="D17" s="118">
        <f>C17*0.125</f>
        <v>2206.39875</v>
      </c>
      <c r="E17" s="77">
        <v>1403.17</v>
      </c>
      <c r="F17" s="77">
        <v>278.76</v>
      </c>
      <c r="G17" s="77">
        <v>1894.27</v>
      </c>
      <c r="H17" s="77">
        <v>376.34</v>
      </c>
      <c r="I17" s="77">
        <v>4560.26</v>
      </c>
      <c r="J17" s="77">
        <v>906.01</v>
      </c>
      <c r="K17" s="77">
        <v>3157.14</v>
      </c>
      <c r="L17" s="77">
        <v>627.23</v>
      </c>
      <c r="M17" s="77">
        <v>1122.51</v>
      </c>
      <c r="N17" s="94">
        <v>223.03</v>
      </c>
      <c r="O17" s="94">
        <v>0</v>
      </c>
      <c r="P17" s="94">
        <v>0</v>
      </c>
      <c r="Q17" s="94">
        <v>0</v>
      </c>
      <c r="R17" s="94">
        <v>0</v>
      </c>
      <c r="S17" s="76">
        <f t="shared" si="2"/>
        <v>12137.35</v>
      </c>
      <c r="T17" s="100">
        <f t="shared" si="3"/>
        <v>2411.37</v>
      </c>
      <c r="U17" s="76">
        <v>1131.7</v>
      </c>
      <c r="V17" s="76">
        <v>1527.91</v>
      </c>
      <c r="W17" s="76">
        <v>3672.52</v>
      </c>
      <c r="X17" s="76">
        <v>2546.67</v>
      </c>
      <c r="Y17" s="76">
        <v>905.42</v>
      </c>
      <c r="Z17" s="76">
        <v>0</v>
      </c>
      <c r="AA17" s="76">
        <v>0</v>
      </c>
      <c r="AB17" s="141">
        <f t="shared" si="4"/>
        <v>9784.22</v>
      </c>
      <c r="AC17" s="101">
        <f t="shared" si="5"/>
        <v>14401.988749999999</v>
      </c>
      <c r="AD17" s="102">
        <f t="shared" si="6"/>
        <v>0</v>
      </c>
      <c r="AE17" s="102">
        <f t="shared" si="7"/>
        <v>0</v>
      </c>
      <c r="AF17" s="102">
        <f>'[3]Т03-09'!$I$33+'[3]Т03-09'!$I$29</f>
        <v>2115.86508</v>
      </c>
      <c r="AG17" s="25">
        <f>0.6*B17*0.9</f>
        <v>1101.924</v>
      </c>
      <c r="AH17" s="146">
        <f>B17*0.2*0.9234</f>
        <v>376.858008</v>
      </c>
      <c r="AI17" s="25">
        <f>0.85*B17*0.8934</f>
        <v>1549.611234</v>
      </c>
      <c r="AJ17" s="25">
        <f t="shared" si="8"/>
        <v>278.93002212</v>
      </c>
      <c r="AK17" s="25">
        <f>0.83*B17*0.8498</f>
        <v>1439.3045604</v>
      </c>
      <c r="AL17" s="25">
        <f t="shared" si="9"/>
        <v>259.074820872</v>
      </c>
      <c r="AM17" s="25">
        <f>(1.91)*B17*0.8498</f>
        <v>3312.1345908</v>
      </c>
      <c r="AN17" s="25">
        <f t="shared" si="10"/>
        <v>596.184226344</v>
      </c>
      <c r="AO17" s="25"/>
      <c r="AP17" s="25">
        <f t="shared" si="11"/>
        <v>0</v>
      </c>
      <c r="AQ17" s="95"/>
      <c r="AR17" s="95">
        <f t="shared" si="12"/>
        <v>0</v>
      </c>
      <c r="AS17" s="78">
        <v>1770.88</v>
      </c>
      <c r="AT17" s="78"/>
      <c r="AU17" s="78">
        <f t="shared" si="13"/>
        <v>318.7584</v>
      </c>
      <c r="AV17" s="103">
        <v>307</v>
      </c>
      <c r="AW17" s="104">
        <v>1.375</v>
      </c>
      <c r="AX17" s="25">
        <f>AV17*AW17*1.12*1.18+AX14+AX15+AX16</f>
        <v>2916.606</v>
      </c>
      <c r="AY17" s="105"/>
      <c r="AZ17" s="106"/>
      <c r="BA17" s="106">
        <f t="shared" si="14"/>
        <v>0</v>
      </c>
      <c r="BB17" s="106">
        <f aca="true" t="shared" si="18" ref="BB17:BB22">SUM(AG17:BA17)-AV17-AW17</f>
        <v>13920.265862536</v>
      </c>
      <c r="BC17" s="143">
        <f>'[3]Т04-09'!$O$29+'[3]Т04-09'!$O$33</f>
        <v>907.18059096</v>
      </c>
      <c r="BD17" s="142">
        <f t="shared" si="15"/>
        <v>12711.581373496</v>
      </c>
      <c r="BE17" s="121">
        <f t="shared" si="16"/>
        <v>1690.4073765039986</v>
      </c>
      <c r="BF17" s="121">
        <f t="shared" si="17"/>
        <v>-2353.130000000001</v>
      </c>
    </row>
    <row r="18" spans="1:58" ht="12.75">
      <c r="A18" s="14" t="s">
        <v>47</v>
      </c>
      <c r="B18" s="145">
        <v>2040.58</v>
      </c>
      <c r="C18" s="117">
        <f t="shared" si="1"/>
        <v>17651.017</v>
      </c>
      <c r="D18" s="99">
        <f aca="true" t="shared" si="19" ref="D18:D25">C18-E18-F18-G18-H18-I18-J18-K18-L18-M18-N18</f>
        <v>1675.7270000000026</v>
      </c>
      <c r="E18" s="77">
        <v>1531.47</v>
      </c>
      <c r="F18" s="77">
        <v>312.41</v>
      </c>
      <c r="G18" s="77">
        <v>2074.34</v>
      </c>
      <c r="H18" s="77">
        <v>423.48</v>
      </c>
      <c r="I18" s="77">
        <v>4984.11</v>
      </c>
      <c r="J18" s="77">
        <v>1017.06</v>
      </c>
      <c r="K18" s="77">
        <v>3452.66</v>
      </c>
      <c r="L18" s="77">
        <v>704.63</v>
      </c>
      <c r="M18" s="77">
        <v>1225.23</v>
      </c>
      <c r="N18" s="77">
        <v>249.9</v>
      </c>
      <c r="O18" s="94">
        <v>0</v>
      </c>
      <c r="P18" s="94">
        <v>0</v>
      </c>
      <c r="Q18" s="94">
        <v>0</v>
      </c>
      <c r="R18" s="94">
        <v>0</v>
      </c>
      <c r="S18" s="76">
        <f t="shared" si="2"/>
        <v>13267.81</v>
      </c>
      <c r="T18" s="100">
        <f t="shared" si="3"/>
        <v>2707.4799999999996</v>
      </c>
      <c r="U18" s="77">
        <v>1243.72</v>
      </c>
      <c r="V18" s="77">
        <v>1679</v>
      </c>
      <c r="W18" s="77">
        <v>4036.363</v>
      </c>
      <c r="X18" s="77">
        <v>2798.34</v>
      </c>
      <c r="Y18" s="77">
        <v>994.94</v>
      </c>
      <c r="Z18" s="77">
        <v>0</v>
      </c>
      <c r="AA18" s="94">
        <v>0</v>
      </c>
      <c r="AB18" s="141">
        <f t="shared" si="4"/>
        <v>10752.363000000001</v>
      </c>
      <c r="AC18" s="101">
        <f t="shared" si="5"/>
        <v>15135.570000000003</v>
      </c>
      <c r="AD18" s="102">
        <f t="shared" si="6"/>
        <v>0</v>
      </c>
      <c r="AE18" s="102">
        <f t="shared" si="7"/>
        <v>0</v>
      </c>
      <c r="AF18" s="102">
        <f>'[3]Т03-09'!$I$33+'[3]Т03-09'!$I$29</f>
        <v>2115.86508</v>
      </c>
      <c r="AG18" s="25">
        <f aca="true" t="shared" si="20" ref="AG18:AG25">0.6*B18</f>
        <v>1224.348</v>
      </c>
      <c r="AH18" s="25">
        <f>B18*0.2*1.01</f>
        <v>412.19716</v>
      </c>
      <c r="AI18" s="25">
        <f>0.85*B18</f>
        <v>1734.493</v>
      </c>
      <c r="AJ18" s="25">
        <f t="shared" si="8"/>
        <v>312.20874</v>
      </c>
      <c r="AK18" s="25">
        <f>0.83*B18</f>
        <v>1693.6814</v>
      </c>
      <c r="AL18" s="25">
        <f t="shared" si="9"/>
        <v>304.86265199999997</v>
      </c>
      <c r="AM18" s="25">
        <f>(1.91)*B18</f>
        <v>3897.5078</v>
      </c>
      <c r="AN18" s="25">
        <f t="shared" si="10"/>
        <v>701.5514039999999</v>
      </c>
      <c r="AO18" s="25"/>
      <c r="AP18" s="25">
        <f t="shared" si="11"/>
        <v>0</v>
      </c>
      <c r="AQ18" s="95"/>
      <c r="AR18" s="95">
        <f t="shared" si="12"/>
        <v>0</v>
      </c>
      <c r="AS18" s="78">
        <v>9272.46</v>
      </c>
      <c r="AT18" s="78"/>
      <c r="AU18" s="78">
        <f t="shared" si="13"/>
        <v>1669.0427999999997</v>
      </c>
      <c r="AV18" s="103">
        <v>263</v>
      </c>
      <c r="AW18" s="104">
        <v>1.375</v>
      </c>
      <c r="AX18" s="25">
        <f aca="true" t="shared" si="21" ref="AX18:AX25">AV18*AW18*1.12*1.18</f>
        <v>477.9236</v>
      </c>
      <c r="AY18" s="105"/>
      <c r="AZ18" s="106"/>
      <c r="BA18" s="106">
        <f t="shared" si="14"/>
        <v>0</v>
      </c>
      <c r="BB18" s="106">
        <f t="shared" si="18"/>
        <v>21700.276555999997</v>
      </c>
      <c r="BC18" s="143">
        <f>'[3]Т05-09'!$O$29+'[3]Т05-09'!$O$33</f>
        <v>1012.6913508360001</v>
      </c>
      <c r="BD18" s="142">
        <f t="shared" si="15"/>
        <v>20597.102826836</v>
      </c>
      <c r="BE18" s="121">
        <f t="shared" si="16"/>
        <v>-5461.532826835994</v>
      </c>
      <c r="BF18" s="121">
        <f t="shared" si="17"/>
        <v>-2515.4469999999983</v>
      </c>
    </row>
    <row r="19" spans="1:58" ht="13.5" thickBot="1">
      <c r="A19" s="144" t="s">
        <v>48</v>
      </c>
      <c r="B19" s="145">
        <v>2040.58</v>
      </c>
      <c r="C19" s="117">
        <f t="shared" si="1"/>
        <v>17651.017</v>
      </c>
      <c r="D19" s="99">
        <f t="shared" si="19"/>
        <v>1695.4070000000002</v>
      </c>
      <c r="E19" s="77">
        <v>1529.2</v>
      </c>
      <c r="F19" s="77">
        <v>312.41</v>
      </c>
      <c r="G19" s="77">
        <v>2071.25</v>
      </c>
      <c r="H19" s="77">
        <v>423.48</v>
      </c>
      <c r="I19" s="77">
        <v>4976.73</v>
      </c>
      <c r="J19" s="77">
        <v>1017.06</v>
      </c>
      <c r="K19" s="77">
        <v>3447.53</v>
      </c>
      <c r="L19" s="77">
        <v>704.63</v>
      </c>
      <c r="M19" s="77">
        <v>1223.42</v>
      </c>
      <c r="N19" s="94">
        <v>249.9</v>
      </c>
      <c r="O19" s="94">
        <v>0</v>
      </c>
      <c r="P19" s="94">
        <v>0</v>
      </c>
      <c r="Q19" s="94">
        <v>0</v>
      </c>
      <c r="R19" s="94">
        <v>0</v>
      </c>
      <c r="S19" s="76">
        <f t="shared" si="2"/>
        <v>13248.130000000001</v>
      </c>
      <c r="T19" s="100">
        <f t="shared" si="3"/>
        <v>2707.4799999999996</v>
      </c>
      <c r="U19" s="77">
        <v>1396.33</v>
      </c>
      <c r="V19" s="77">
        <v>1889.46</v>
      </c>
      <c r="W19" s="77">
        <v>4542.38</v>
      </c>
      <c r="X19" s="77">
        <v>3145.97</v>
      </c>
      <c r="Y19" s="77">
        <v>1117.11</v>
      </c>
      <c r="Z19" s="77">
        <v>0</v>
      </c>
      <c r="AA19" s="94">
        <v>0</v>
      </c>
      <c r="AB19" s="141">
        <f t="shared" si="4"/>
        <v>12091.25</v>
      </c>
      <c r="AC19" s="101">
        <f t="shared" si="5"/>
        <v>16494.137</v>
      </c>
      <c r="AD19" s="102">
        <f t="shared" si="6"/>
        <v>0</v>
      </c>
      <c r="AE19" s="102">
        <f t="shared" si="7"/>
        <v>0</v>
      </c>
      <c r="AF19" s="102">
        <f>'[3]Т06-09'!$I$29+'[3]Т06-09'!$I$33</f>
        <v>2115.86508</v>
      </c>
      <c r="AG19" s="25">
        <f t="shared" si="20"/>
        <v>1224.348</v>
      </c>
      <c r="AH19" s="25">
        <f>B19*0.2*1.01045</f>
        <v>412.38081220000004</v>
      </c>
      <c r="AI19" s="25">
        <f>0.85*B19</f>
        <v>1734.493</v>
      </c>
      <c r="AJ19" s="25">
        <f t="shared" si="8"/>
        <v>312.20874</v>
      </c>
      <c r="AK19" s="25">
        <f>0.83*B19</f>
        <v>1693.6814</v>
      </c>
      <c r="AL19" s="25">
        <f t="shared" si="9"/>
        <v>304.86265199999997</v>
      </c>
      <c r="AM19" s="25">
        <f>(1.91)*B19</f>
        <v>3897.5078</v>
      </c>
      <c r="AN19" s="25">
        <f t="shared" si="10"/>
        <v>701.5514039999999</v>
      </c>
      <c r="AO19" s="25"/>
      <c r="AP19" s="25">
        <f t="shared" si="11"/>
        <v>0</v>
      </c>
      <c r="AQ19" s="95"/>
      <c r="AR19" s="95">
        <f t="shared" si="12"/>
        <v>0</v>
      </c>
      <c r="AS19" s="78">
        <v>5546.19</v>
      </c>
      <c r="AT19" s="78"/>
      <c r="AU19" s="78">
        <f t="shared" si="13"/>
        <v>998.3141999999999</v>
      </c>
      <c r="AV19" s="103">
        <v>233</v>
      </c>
      <c r="AW19" s="104">
        <v>1.375</v>
      </c>
      <c r="AX19" s="25">
        <f t="shared" si="21"/>
        <v>423.40760000000006</v>
      </c>
      <c r="AY19" s="105"/>
      <c r="AZ19" s="106"/>
      <c r="BA19" s="106">
        <f t="shared" si="14"/>
        <v>0</v>
      </c>
      <c r="BB19" s="106">
        <f t="shared" si="18"/>
        <v>17248.9456082</v>
      </c>
      <c r="BC19" s="143">
        <f>'[3]Т06-09'!$O$29+'[3]Т06-09'!$O$33</f>
        <v>958.7045192400001</v>
      </c>
      <c r="BD19" s="142">
        <f t="shared" si="15"/>
        <v>16091.78504744</v>
      </c>
      <c r="BE19" s="121">
        <f t="shared" si="16"/>
        <v>402.35195255999906</v>
      </c>
      <c r="BF19" s="121">
        <f t="shared" si="17"/>
        <v>-1156.880000000001</v>
      </c>
    </row>
    <row r="20" spans="1:58" ht="12.75">
      <c r="A20" s="148" t="s">
        <v>49</v>
      </c>
      <c r="B20" s="93">
        <v>2040.58</v>
      </c>
      <c r="C20" s="117">
        <f t="shared" si="1"/>
        <v>17651.017</v>
      </c>
      <c r="D20" s="99">
        <f t="shared" si="19"/>
        <v>1649.2270000000005</v>
      </c>
      <c r="E20" s="77">
        <v>1534.52</v>
      </c>
      <c r="F20" s="77">
        <v>312.41</v>
      </c>
      <c r="G20" s="77">
        <v>2078.48</v>
      </c>
      <c r="H20" s="77">
        <v>423.48</v>
      </c>
      <c r="I20" s="77">
        <v>4994.09</v>
      </c>
      <c r="J20" s="77">
        <v>1017.06</v>
      </c>
      <c r="K20" s="77">
        <v>3459.54</v>
      </c>
      <c r="L20" s="77">
        <v>704.63</v>
      </c>
      <c r="M20" s="77">
        <v>1227.68</v>
      </c>
      <c r="N20" s="94">
        <v>249.9</v>
      </c>
      <c r="O20" s="94">
        <v>0</v>
      </c>
      <c r="P20" s="94">
        <v>0</v>
      </c>
      <c r="Q20" s="94">
        <v>0</v>
      </c>
      <c r="R20" s="94">
        <v>0</v>
      </c>
      <c r="S20" s="76">
        <f t="shared" si="2"/>
        <v>13294.310000000001</v>
      </c>
      <c r="T20" s="100">
        <f t="shared" si="3"/>
        <v>2707.4799999999996</v>
      </c>
      <c r="U20" s="77">
        <v>1659.37</v>
      </c>
      <c r="V20" s="77">
        <v>2245.68</v>
      </c>
      <c r="W20" s="77">
        <v>5398.5</v>
      </c>
      <c r="X20" s="77">
        <v>3739.2</v>
      </c>
      <c r="Y20" s="77">
        <v>1327.44</v>
      </c>
      <c r="Z20" s="77">
        <v>0</v>
      </c>
      <c r="AA20" s="94">
        <v>0</v>
      </c>
      <c r="AB20" s="141">
        <f t="shared" si="4"/>
        <v>14370.19</v>
      </c>
      <c r="AC20" s="101">
        <f t="shared" si="5"/>
        <v>18726.897</v>
      </c>
      <c r="AD20" s="102">
        <f t="shared" si="6"/>
        <v>0</v>
      </c>
      <c r="AE20" s="102">
        <f t="shared" si="7"/>
        <v>0</v>
      </c>
      <c r="AF20" s="102">
        <f>'[3]Т07-09'!$I$34+'[3]Т07-09'!$I$30</f>
        <v>2115.86508</v>
      </c>
      <c r="AG20" s="25">
        <f t="shared" si="20"/>
        <v>1224.348</v>
      </c>
      <c r="AH20" s="25">
        <f>B20*0.2*0.99426</f>
        <v>405.77341416</v>
      </c>
      <c r="AI20" s="25">
        <f>0.85*B20*0.9857</f>
        <v>1709.6897501</v>
      </c>
      <c r="AJ20" s="25">
        <f t="shared" si="8"/>
        <v>307.744155018</v>
      </c>
      <c r="AK20" s="25">
        <f>0.83*B20*0.9905</f>
        <v>1677.5914267</v>
      </c>
      <c r="AL20" s="25">
        <f t="shared" si="9"/>
        <v>301.966456806</v>
      </c>
      <c r="AM20" s="25">
        <f>(1.91)*B20*0.9904</f>
        <v>3860.09172512</v>
      </c>
      <c r="AN20" s="25">
        <f t="shared" si="10"/>
        <v>694.8165105216</v>
      </c>
      <c r="AO20" s="25"/>
      <c r="AP20" s="25">
        <f t="shared" si="11"/>
        <v>0</v>
      </c>
      <c r="AQ20" s="95"/>
      <c r="AR20" s="95">
        <f t="shared" si="12"/>
        <v>0</v>
      </c>
      <c r="AS20" s="78"/>
      <c r="AT20" s="78"/>
      <c r="AU20" s="78">
        <f t="shared" si="13"/>
        <v>0</v>
      </c>
      <c r="AV20" s="103">
        <v>248</v>
      </c>
      <c r="AW20" s="104">
        <v>1.375</v>
      </c>
      <c r="AX20" s="25">
        <f t="shared" si="21"/>
        <v>450.6656</v>
      </c>
      <c r="AY20" s="105"/>
      <c r="AZ20" s="106"/>
      <c r="BA20" s="106">
        <f t="shared" si="14"/>
        <v>0</v>
      </c>
      <c r="BB20" s="106">
        <f t="shared" si="18"/>
        <v>10632.6870384256</v>
      </c>
      <c r="BC20" s="143">
        <f>'[3]Т07-09'!$O$30+'[3]Т07-09'!$O$34</f>
        <v>999.8718447600002</v>
      </c>
      <c r="BD20" s="142">
        <f t="shared" si="15"/>
        <v>9516.6938031856</v>
      </c>
      <c r="BE20" s="121">
        <f t="shared" si="16"/>
        <v>9210.2031968144</v>
      </c>
      <c r="BF20" s="121">
        <f t="shared" si="17"/>
        <v>1075.8799999999992</v>
      </c>
    </row>
    <row r="21" spans="1:58" ht="12.75">
      <c r="A21" s="14" t="s">
        <v>50</v>
      </c>
      <c r="B21" s="93">
        <v>2040.58</v>
      </c>
      <c r="C21" s="117">
        <f>B21*8.65</f>
        <v>17651.017</v>
      </c>
      <c r="D21" s="99">
        <f t="shared" si="19"/>
        <v>1648.9670000000003</v>
      </c>
      <c r="E21" s="77">
        <v>1534.53</v>
      </c>
      <c r="F21" s="77">
        <v>312.41</v>
      </c>
      <c r="G21" s="77">
        <v>2078.47</v>
      </c>
      <c r="H21" s="77">
        <v>423.48</v>
      </c>
      <c r="I21" s="77">
        <v>4994.07</v>
      </c>
      <c r="J21" s="77">
        <v>1017.05</v>
      </c>
      <c r="K21" s="77">
        <v>3459.55</v>
      </c>
      <c r="L21" s="77">
        <v>704.91</v>
      </c>
      <c r="M21" s="77">
        <v>1227.68</v>
      </c>
      <c r="N21" s="94">
        <v>249.9</v>
      </c>
      <c r="O21" s="94">
        <v>0</v>
      </c>
      <c r="P21" s="94">
        <v>0</v>
      </c>
      <c r="Q21" s="77">
        <v>0</v>
      </c>
      <c r="R21" s="77">
        <v>0</v>
      </c>
      <c r="S21" s="76">
        <f>E21+G21+I21+K21+M21+O21+Q21</f>
        <v>13294.3</v>
      </c>
      <c r="T21" s="100">
        <f>P21+N21+L21+J21+H21+F21+R21</f>
        <v>2707.75</v>
      </c>
      <c r="U21" s="77">
        <v>1746.51</v>
      </c>
      <c r="V21" s="77">
        <v>2363.65</v>
      </c>
      <c r="W21" s="77">
        <v>5682.06</v>
      </c>
      <c r="X21" s="77">
        <v>3935.49</v>
      </c>
      <c r="Y21" s="77">
        <v>1397.33</v>
      </c>
      <c r="Z21" s="77">
        <v>0</v>
      </c>
      <c r="AA21" s="94">
        <v>0</v>
      </c>
      <c r="AB21" s="141">
        <f>SUM(U21:AA21)</f>
        <v>15125.04</v>
      </c>
      <c r="AC21" s="101">
        <f>D21+T21+AB21</f>
        <v>19481.757</v>
      </c>
      <c r="AD21" s="102">
        <f>P21+Z21</f>
        <v>0</v>
      </c>
      <c r="AE21" s="102">
        <f>R21+AA21</f>
        <v>0</v>
      </c>
      <c r="AF21" s="102">
        <f>'[3]Т08-09'!$I$30+'[3]Т08-09'!$I$34</f>
        <v>2115.86508</v>
      </c>
      <c r="AG21" s="25">
        <f t="shared" si="20"/>
        <v>1224.348</v>
      </c>
      <c r="AH21" s="25">
        <f>B21*0.2*0.99875</f>
        <v>407.605855</v>
      </c>
      <c r="AI21" s="25">
        <f>0.85*B21*0.98526</f>
        <v>1708.9265731799999</v>
      </c>
      <c r="AJ21" s="25">
        <f>AI21*0.18</f>
        <v>307.60678317239996</v>
      </c>
      <c r="AK21" s="25">
        <f>0.83*B21*0.99</f>
        <v>1676.744586</v>
      </c>
      <c r="AL21" s="25">
        <f>AK21*0.18</f>
        <v>301.81402548</v>
      </c>
      <c r="AM21" s="25">
        <f>(1.91)*B21*0.99</f>
        <v>3858.532722</v>
      </c>
      <c r="AN21" s="25">
        <f>AM21*0.18</f>
        <v>694.53588996</v>
      </c>
      <c r="AO21" s="25"/>
      <c r="AP21" s="25">
        <f t="shared" si="11"/>
        <v>0</v>
      </c>
      <c r="AQ21" s="95">
        <f>3010.17+651.01+7921.2</f>
        <v>11582.380000000001</v>
      </c>
      <c r="AR21" s="95">
        <f t="shared" si="12"/>
        <v>2084.8284000000003</v>
      </c>
      <c r="AS21" s="78">
        <v>3009.78</v>
      </c>
      <c r="AT21" s="78"/>
      <c r="AU21" s="78">
        <f>(AS21+AT21)*0.18</f>
        <v>541.7604</v>
      </c>
      <c r="AV21" s="103">
        <v>293</v>
      </c>
      <c r="AW21" s="104">
        <v>1.375</v>
      </c>
      <c r="AX21" s="25">
        <f t="shared" si="21"/>
        <v>532.4396</v>
      </c>
      <c r="AY21" s="105"/>
      <c r="AZ21" s="106"/>
      <c r="BA21" s="106">
        <f t="shared" si="14"/>
        <v>0</v>
      </c>
      <c r="BB21" s="106">
        <f t="shared" si="18"/>
        <v>27931.3028347924</v>
      </c>
      <c r="BC21" s="143">
        <f>'[3]Т08-09'!$O$30+'[3]Т08-09'!$O$34</f>
        <v>999.4175360280001</v>
      </c>
      <c r="BD21" s="142">
        <f t="shared" si="15"/>
        <v>26814.8552908204</v>
      </c>
      <c r="BE21" s="121">
        <f t="shared" si="16"/>
        <v>-7333.0982908204</v>
      </c>
      <c r="BF21" s="121">
        <f t="shared" si="17"/>
        <v>1830.7400000000016</v>
      </c>
    </row>
    <row r="22" spans="1:58" ht="13.5" thickBot="1">
      <c r="A22" s="144" t="s">
        <v>51</v>
      </c>
      <c r="B22" s="75">
        <v>2040.58</v>
      </c>
      <c r="C22" s="117">
        <f>B22*8.65</f>
        <v>17651.017</v>
      </c>
      <c r="D22" s="99">
        <f t="shared" si="19"/>
        <v>1648.9670000000003</v>
      </c>
      <c r="E22" s="76">
        <v>1534.53</v>
      </c>
      <c r="F22" s="76">
        <v>312.41</v>
      </c>
      <c r="G22" s="76">
        <v>2078.47</v>
      </c>
      <c r="H22" s="76">
        <v>423.48</v>
      </c>
      <c r="I22" s="76">
        <v>4994.07</v>
      </c>
      <c r="J22" s="76">
        <v>1017.05</v>
      </c>
      <c r="K22" s="76">
        <v>3459.55</v>
      </c>
      <c r="L22" s="76">
        <v>704.91</v>
      </c>
      <c r="M22" s="76">
        <v>1227.68</v>
      </c>
      <c r="N22" s="80">
        <v>249.9</v>
      </c>
      <c r="O22" s="80">
        <v>0</v>
      </c>
      <c r="P22" s="80">
        <v>0</v>
      </c>
      <c r="Q22" s="80">
        <v>0</v>
      </c>
      <c r="R22" s="80">
        <v>0</v>
      </c>
      <c r="S22" s="76">
        <f>E22+G22+I22+K22+M22+O22+Q22</f>
        <v>13294.3</v>
      </c>
      <c r="T22" s="100">
        <f>P22+N22+L22+J22+H22+F22+R22</f>
        <v>2707.75</v>
      </c>
      <c r="U22" s="76">
        <v>1448.33</v>
      </c>
      <c r="V22" s="76">
        <v>1961.45</v>
      </c>
      <c r="W22" s="76">
        <v>4713.39</v>
      </c>
      <c r="X22" s="76">
        <v>3264.99</v>
      </c>
      <c r="Y22" s="76">
        <v>1158.75</v>
      </c>
      <c r="Z22" s="76">
        <v>0</v>
      </c>
      <c r="AA22" s="80">
        <v>0</v>
      </c>
      <c r="AB22" s="141">
        <f>SUM(U22:AA22)</f>
        <v>12546.91</v>
      </c>
      <c r="AC22" s="101">
        <f>D22+T22+AB22</f>
        <v>16903.627</v>
      </c>
      <c r="AD22" s="102">
        <f>P22+Z22</f>
        <v>0</v>
      </c>
      <c r="AE22" s="102">
        <f>R22+AA22</f>
        <v>0</v>
      </c>
      <c r="AF22" s="102">
        <f>'[3]Т09-09'!$I$30+'[3]Т09-09'!$I$34</f>
        <v>2115.86508</v>
      </c>
      <c r="AG22" s="25">
        <f t="shared" si="20"/>
        <v>1224.348</v>
      </c>
      <c r="AH22" s="25">
        <f>B22*0.2*0.9997</f>
        <v>407.9935652</v>
      </c>
      <c r="AI22" s="25">
        <f>0.85*B22*0.98509</f>
        <v>1708.63170937</v>
      </c>
      <c r="AJ22" s="25">
        <f>AI22*0.18</f>
        <v>307.5537076866</v>
      </c>
      <c r="AK22" s="25">
        <f>0.83*B22*0.98981</f>
        <v>1676.422786534</v>
      </c>
      <c r="AL22" s="25">
        <f>AK22*0.18</f>
        <v>301.75610157612</v>
      </c>
      <c r="AM22" s="25">
        <f>(1.91)*B22*0.9898</f>
        <v>3857.75322044</v>
      </c>
      <c r="AN22" s="25">
        <f>AM22*0.18</f>
        <v>694.3955796792</v>
      </c>
      <c r="AO22" s="25"/>
      <c r="AP22" s="25">
        <f t="shared" si="11"/>
        <v>0</v>
      </c>
      <c r="AQ22" s="95"/>
      <c r="AR22" s="95">
        <f t="shared" si="12"/>
        <v>0</v>
      </c>
      <c r="AS22" s="78"/>
      <c r="AT22" s="78"/>
      <c r="AU22" s="78">
        <f>(AS22+AT22)*0.18</f>
        <v>0</v>
      </c>
      <c r="AV22" s="103">
        <v>349</v>
      </c>
      <c r="AW22" s="104">
        <v>1.375</v>
      </c>
      <c r="AX22" s="25">
        <f t="shared" si="21"/>
        <v>634.2028</v>
      </c>
      <c r="AY22" s="105"/>
      <c r="AZ22" s="106"/>
      <c r="BA22" s="106">
        <f t="shared" si="14"/>
        <v>0</v>
      </c>
      <c r="BB22" s="106">
        <f t="shared" si="18"/>
        <v>10813.057470485921</v>
      </c>
      <c r="BC22" s="143">
        <f>'[3]Т09-09'!$O$30+'[3]Т09-09'!$O$34</f>
        <v>999.2663800812</v>
      </c>
      <c r="BD22" s="142">
        <f t="shared" si="15"/>
        <v>9696.458770567122</v>
      </c>
      <c r="BE22" s="121">
        <f t="shared" si="16"/>
        <v>7207.168229432879</v>
      </c>
      <c r="BF22" s="121">
        <f t="shared" si="17"/>
        <v>-747.3899999999994</v>
      </c>
    </row>
    <row r="23" spans="1:58" ht="12.75">
      <c r="A23" s="151" t="s">
        <v>39</v>
      </c>
      <c r="B23" s="75">
        <v>2040.58</v>
      </c>
      <c r="C23" s="98">
        <f>B23*8.65</f>
        <v>17651.017</v>
      </c>
      <c r="D23" s="99">
        <f t="shared" si="19"/>
        <v>1649.3870000000027</v>
      </c>
      <c r="E23" s="79">
        <v>1534.55</v>
      </c>
      <c r="F23" s="76">
        <v>312.38</v>
      </c>
      <c r="G23" s="76">
        <v>2078.44</v>
      </c>
      <c r="H23" s="76">
        <v>423.46</v>
      </c>
      <c r="I23" s="76">
        <v>4994.05</v>
      </c>
      <c r="J23" s="76">
        <v>1017.03</v>
      </c>
      <c r="K23" s="76">
        <v>3459.54</v>
      </c>
      <c r="L23" s="76">
        <v>704.65</v>
      </c>
      <c r="M23" s="76">
        <v>1227.58</v>
      </c>
      <c r="N23" s="80">
        <v>249.95</v>
      </c>
      <c r="O23" s="80">
        <v>0</v>
      </c>
      <c r="P23" s="80">
        <v>0</v>
      </c>
      <c r="Q23" s="76">
        <v>0</v>
      </c>
      <c r="R23" s="76">
        <v>0</v>
      </c>
      <c r="S23" s="76">
        <f>E23+G23+I23+K23+M23+O23+Q23</f>
        <v>13294.160000000002</v>
      </c>
      <c r="T23" s="100">
        <f>P23+N23+L23+J23+H23+F23+R23</f>
        <v>2707.47</v>
      </c>
      <c r="U23" s="81">
        <f>974.63+467.75</f>
        <v>1442.38</v>
      </c>
      <c r="V23" s="76">
        <f>1319.92+633.49</f>
        <v>1953.41</v>
      </c>
      <c r="W23" s="76">
        <f>3171.55+1522.28</f>
        <v>4693.83</v>
      </c>
      <c r="X23" s="76">
        <f>2196.98+1054.52</f>
        <v>3251.5</v>
      </c>
      <c r="Y23" s="76">
        <f>779.75+374.21</f>
        <v>1153.96</v>
      </c>
      <c r="Z23" s="80">
        <v>0</v>
      </c>
      <c r="AA23" s="80">
        <v>0</v>
      </c>
      <c r="AB23" s="80">
        <f>SUM(U23:AA23)</f>
        <v>12495.079999999998</v>
      </c>
      <c r="AC23" s="101">
        <f>AB23+T23+D23</f>
        <v>16851.937</v>
      </c>
      <c r="AD23" s="102">
        <f>P23+Z23</f>
        <v>0</v>
      </c>
      <c r="AE23" s="102">
        <f>R23+AA23</f>
        <v>0</v>
      </c>
      <c r="AF23" s="102">
        <f>'[2]Т10'!$I$31+'[2]Т10'!$I$35+'[2]Т10'!$I$109+'[2]Т10'!$I$112</f>
        <v>3228.9531799999995</v>
      </c>
      <c r="AG23" s="25">
        <f t="shared" si="20"/>
        <v>1224.348</v>
      </c>
      <c r="AH23" s="25">
        <f>B23*0.2</f>
        <v>408.116</v>
      </c>
      <c r="AI23" s="25">
        <f>0.847*B23</f>
        <v>1728.37126</v>
      </c>
      <c r="AJ23" s="25">
        <f>AI23*0.18</f>
        <v>311.10682679999996</v>
      </c>
      <c r="AK23" s="25">
        <f>0.83*B23</f>
        <v>1693.6814</v>
      </c>
      <c r="AL23" s="25">
        <f>AK23*0.18</f>
        <v>304.86265199999997</v>
      </c>
      <c r="AM23" s="25">
        <f>(2.25/1.18)*B23</f>
        <v>3890.936440677966</v>
      </c>
      <c r="AN23" s="25">
        <f>AM23*0.18</f>
        <v>700.3685593220339</v>
      </c>
      <c r="AO23" s="25"/>
      <c r="AP23" s="25">
        <f t="shared" si="11"/>
        <v>0</v>
      </c>
      <c r="AQ23" s="95"/>
      <c r="AR23" s="95">
        <f t="shared" si="12"/>
        <v>0</v>
      </c>
      <c r="AS23" s="78">
        <v>369.25</v>
      </c>
      <c r="AT23" s="78"/>
      <c r="AU23" s="78">
        <f>(AS23+AT23)*0.18</f>
        <v>66.465</v>
      </c>
      <c r="AV23" s="103">
        <v>425</v>
      </c>
      <c r="AW23" s="104">
        <v>1.375</v>
      </c>
      <c r="AX23" s="25">
        <f t="shared" si="21"/>
        <v>772.3100000000001</v>
      </c>
      <c r="AY23" s="105"/>
      <c r="AZ23" s="152"/>
      <c r="BA23" s="106">
        <f t="shared" si="14"/>
        <v>0</v>
      </c>
      <c r="BB23" s="106">
        <f>SUM(AG23:AU23)+AX23+AY23+AZ23+BA23</f>
        <v>11469.816138799999</v>
      </c>
      <c r="BC23" s="143">
        <f>'[1]Т10'!$O$31+'[1]Т10'!$O$35+'[1]Т10'!$O$109+'[1]Т10'!$O$112</f>
        <v>1511.3058859999999</v>
      </c>
      <c r="BD23" s="142">
        <f t="shared" si="15"/>
        <v>9752.168844799999</v>
      </c>
      <c r="BE23" s="121">
        <f t="shared" si="16"/>
        <v>7099.768155200002</v>
      </c>
      <c r="BF23" s="121">
        <f t="shared" si="17"/>
        <v>-799.0800000000036</v>
      </c>
    </row>
    <row r="24" spans="1:58" ht="12.75">
      <c r="A24" s="14" t="s">
        <v>40</v>
      </c>
      <c r="B24" s="93">
        <v>2042.18</v>
      </c>
      <c r="C24" s="98">
        <f>B24*8.65</f>
        <v>17664.857</v>
      </c>
      <c r="D24" s="99">
        <f t="shared" si="19"/>
        <v>1651.1869999999997</v>
      </c>
      <c r="E24" s="76">
        <v>1535.21</v>
      </c>
      <c r="F24" s="76">
        <v>313.1</v>
      </c>
      <c r="G24" s="76">
        <v>2079.42</v>
      </c>
      <c r="H24" s="76">
        <v>424.41</v>
      </c>
      <c r="I24" s="76">
        <v>4996.31</v>
      </c>
      <c r="J24" s="76">
        <v>1019.28</v>
      </c>
      <c r="K24" s="76">
        <v>3461.08</v>
      </c>
      <c r="L24" s="76">
        <v>706.18</v>
      </c>
      <c r="M24" s="76">
        <v>1228.23</v>
      </c>
      <c r="N24" s="80">
        <v>250.45</v>
      </c>
      <c r="O24" s="80">
        <v>0</v>
      </c>
      <c r="P24" s="80">
        <v>0</v>
      </c>
      <c r="Q24" s="80">
        <v>0</v>
      </c>
      <c r="R24" s="80">
        <v>0</v>
      </c>
      <c r="S24" s="76">
        <f>E24+G24+I24+K24+M24+O24+Q24</f>
        <v>13300.25</v>
      </c>
      <c r="T24" s="100">
        <f>P24+N24+L24+J24+H24+F24+R24</f>
        <v>2713.4199999999996</v>
      </c>
      <c r="U24" s="76">
        <v>1434.21</v>
      </c>
      <c r="V24" s="76">
        <v>1941.37</v>
      </c>
      <c r="W24" s="76">
        <v>4666.42</v>
      </c>
      <c r="X24" s="76">
        <v>3232.22</v>
      </c>
      <c r="Y24" s="76">
        <v>1147.32</v>
      </c>
      <c r="Z24" s="76">
        <v>0</v>
      </c>
      <c r="AA24" s="80">
        <v>0</v>
      </c>
      <c r="AB24" s="80">
        <f>SUM(U24:AA24)</f>
        <v>12421.539999999999</v>
      </c>
      <c r="AC24" s="101">
        <f>D24+T24+AB24</f>
        <v>16786.146999999997</v>
      </c>
      <c r="AD24" s="102">
        <f>P24+Z24</f>
        <v>0</v>
      </c>
      <c r="AE24" s="102">
        <f>R24+AA24</f>
        <v>0</v>
      </c>
      <c r="AF24" s="102">
        <f>'[1]Т11'!$I$31+'[1]Т11'!$I$35+'[1]Т11'!$I$109+'[1]Т11'!$I$112</f>
        <v>3228.9531799999995</v>
      </c>
      <c r="AG24" s="25">
        <f t="shared" si="20"/>
        <v>1225.308</v>
      </c>
      <c r="AH24" s="25">
        <f>B24*0.2</f>
        <v>408.43600000000004</v>
      </c>
      <c r="AI24" s="25">
        <f>0.85*B24</f>
        <v>1735.853</v>
      </c>
      <c r="AJ24" s="25">
        <f>AI24*0.18</f>
        <v>312.45354</v>
      </c>
      <c r="AK24" s="25">
        <f>0.83*B24</f>
        <v>1695.0094</v>
      </c>
      <c r="AL24" s="25">
        <f>AK24*0.18</f>
        <v>305.10169199999996</v>
      </c>
      <c r="AM24" s="25">
        <f>(1.91)*B24</f>
        <v>3900.5638</v>
      </c>
      <c r="AN24" s="25">
        <f>AM24*0.18</f>
        <v>702.1014839999999</v>
      </c>
      <c r="AO24" s="25"/>
      <c r="AP24" s="25">
        <f t="shared" si="11"/>
        <v>0</v>
      </c>
      <c r="AQ24" s="95"/>
      <c r="AR24" s="95">
        <f t="shared" si="12"/>
        <v>0</v>
      </c>
      <c r="AS24" s="78">
        <v>264</v>
      </c>
      <c r="AT24" s="78"/>
      <c r="AU24" s="78">
        <f>(AS24+AT24)*0.18</f>
        <v>47.519999999999996</v>
      </c>
      <c r="AV24" s="103">
        <v>470</v>
      </c>
      <c r="AW24" s="104">
        <v>1.375</v>
      </c>
      <c r="AX24" s="25">
        <f t="shared" si="21"/>
        <v>854.0840000000001</v>
      </c>
      <c r="AY24" s="105"/>
      <c r="AZ24" s="106"/>
      <c r="BA24" s="106">
        <f t="shared" si="14"/>
        <v>0</v>
      </c>
      <c r="BB24" s="106">
        <f>SUM(AG24:AU24)+AX24+AY24+AZ24+BA24</f>
        <v>11450.430916000001</v>
      </c>
      <c r="BC24" s="107">
        <f>'[2]Т11'!$O$31+'[2]Т11'!$O$35+'[2]Т11'!$O$109+'[2]Т11'!$O$112</f>
        <v>1513.7854200000002</v>
      </c>
      <c r="BD24" s="142">
        <f t="shared" si="15"/>
        <v>9735.263156</v>
      </c>
      <c r="BE24" s="121">
        <f t="shared" si="16"/>
        <v>7050.883843999995</v>
      </c>
      <c r="BF24" s="121">
        <f t="shared" si="17"/>
        <v>-878.710000000001</v>
      </c>
    </row>
    <row r="25" spans="1:58" s="123" customFormat="1" ht="12.75">
      <c r="A25" s="116" t="s">
        <v>41</v>
      </c>
      <c r="B25" s="75">
        <v>2042.68</v>
      </c>
      <c r="C25" s="98">
        <f>B25*8.65</f>
        <v>17669.182</v>
      </c>
      <c r="D25" s="99">
        <f t="shared" si="19"/>
        <v>2095.702000000002</v>
      </c>
      <c r="E25" s="76">
        <v>1484.72</v>
      </c>
      <c r="F25" s="76">
        <v>313.1</v>
      </c>
      <c r="G25" s="76">
        <v>2010.08</v>
      </c>
      <c r="H25" s="76">
        <v>424.41</v>
      </c>
      <c r="I25" s="76">
        <v>4831.07</v>
      </c>
      <c r="J25" s="76">
        <v>1019.28</v>
      </c>
      <c r="K25" s="76">
        <v>3346.33</v>
      </c>
      <c r="L25" s="76">
        <v>706.18</v>
      </c>
      <c r="M25" s="76">
        <v>1187.86</v>
      </c>
      <c r="N25" s="80">
        <v>250.45</v>
      </c>
      <c r="O25" s="80">
        <v>0</v>
      </c>
      <c r="P25" s="80">
        <v>0</v>
      </c>
      <c r="Q25" s="80"/>
      <c r="R25" s="80"/>
      <c r="S25" s="76">
        <f>E25+G25+I25+K25+M25+O25+Q25</f>
        <v>12860.06</v>
      </c>
      <c r="T25" s="100">
        <f>P25+N25+L25+J25+H25+F25+R25</f>
        <v>2713.4199999999996</v>
      </c>
      <c r="U25" s="76">
        <v>1730.72</v>
      </c>
      <c r="V25" s="76">
        <v>2344.3</v>
      </c>
      <c r="W25" s="76">
        <v>5632.69</v>
      </c>
      <c r="X25" s="76">
        <v>3902.03</v>
      </c>
      <c r="Y25" s="76">
        <v>1384.6</v>
      </c>
      <c r="Z25" s="76">
        <v>0</v>
      </c>
      <c r="AA25" s="80">
        <v>0</v>
      </c>
      <c r="AB25" s="80">
        <f>SUM(U25:AA25)</f>
        <v>14994.34</v>
      </c>
      <c r="AC25" s="101">
        <f>D25+T25+AB25</f>
        <v>19803.462</v>
      </c>
      <c r="AD25" s="102">
        <f>P25+Z25</f>
        <v>0</v>
      </c>
      <c r="AE25" s="102">
        <f>R25+AA25</f>
        <v>0</v>
      </c>
      <c r="AF25" s="102">
        <f>'[1]Т12'!$I$31+'[1]Т12'!$I$35+'[1]Т12'!$I$110+'[1]Т12'!$I$114</f>
        <v>3228.9531799999995</v>
      </c>
      <c r="AG25" s="25">
        <f t="shared" si="20"/>
        <v>1225.608</v>
      </c>
      <c r="AH25" s="25">
        <f>B25*0.2</f>
        <v>408.53600000000006</v>
      </c>
      <c r="AI25" s="25">
        <f>0.85*B25</f>
        <v>1736.278</v>
      </c>
      <c r="AJ25" s="25">
        <f>AI25*0.18</f>
        <v>312.53004</v>
      </c>
      <c r="AK25" s="25">
        <f>0.83*B25</f>
        <v>1695.4243999999999</v>
      </c>
      <c r="AL25" s="25">
        <f>AK25*0.18</f>
        <v>305.17639199999996</v>
      </c>
      <c r="AM25" s="25">
        <f>(1.91)*B25</f>
        <v>3901.5188</v>
      </c>
      <c r="AN25" s="25">
        <f>AM25*0.18</f>
        <v>702.273384</v>
      </c>
      <c r="AO25" s="25"/>
      <c r="AP25" s="25">
        <f t="shared" si="11"/>
        <v>0</v>
      </c>
      <c r="AQ25" s="95"/>
      <c r="AR25" s="95">
        <f t="shared" si="12"/>
        <v>0</v>
      </c>
      <c r="AS25" s="78">
        <v>2775</v>
      </c>
      <c r="AT25" s="78">
        <f>96</f>
        <v>96</v>
      </c>
      <c r="AU25" s="78">
        <f>(AS25+AT25)*0.18</f>
        <v>516.78</v>
      </c>
      <c r="AV25" s="103">
        <v>514</v>
      </c>
      <c r="AW25" s="104">
        <v>1.375</v>
      </c>
      <c r="AX25" s="25">
        <f t="shared" si="21"/>
        <v>934.0408</v>
      </c>
      <c r="AY25" s="105"/>
      <c r="AZ25" s="106"/>
      <c r="BA25" s="106">
        <f t="shared" si="14"/>
        <v>0</v>
      </c>
      <c r="BB25" s="106">
        <f>SUM(AG25:BA25)-AV25-AW25</f>
        <v>14609.165816</v>
      </c>
      <c r="BC25" s="107">
        <f>'[2]Т12'!$O$31+'[2]Т12'!$O$35+'[2]Т12'!$O$110+'[2]Т12'!$O$114</f>
        <v>1513.7854200000002</v>
      </c>
      <c r="BD25" s="142">
        <f t="shared" si="15"/>
        <v>12893.998056</v>
      </c>
      <c r="BE25" s="121">
        <f t="shared" si="16"/>
        <v>6909.463943999998</v>
      </c>
      <c r="BF25" s="121">
        <f t="shared" si="17"/>
        <v>2134.2800000000007</v>
      </c>
    </row>
    <row r="26" spans="1:58" s="24" customFormat="1" ht="12.75">
      <c r="A26" s="19" t="s">
        <v>3</v>
      </c>
      <c r="B26" s="20"/>
      <c r="C26" s="20">
        <f>SUM(C14:C25)</f>
        <v>211844.55499999996</v>
      </c>
      <c r="D26" s="20">
        <f aca="true" t="shared" si="22" ref="D26:BF26">SUM(D14:D25)</f>
        <v>22540.122750000006</v>
      </c>
      <c r="E26" s="20">
        <f t="shared" si="22"/>
        <v>17804.480000000003</v>
      </c>
      <c r="F26" s="20">
        <f t="shared" si="22"/>
        <v>3586.84</v>
      </c>
      <c r="G26" s="20">
        <f t="shared" si="22"/>
        <v>24089.64</v>
      </c>
      <c r="H26" s="20">
        <f t="shared" si="22"/>
        <v>4856.13</v>
      </c>
      <c r="I26" s="20">
        <f t="shared" si="22"/>
        <v>57918.01</v>
      </c>
      <c r="J26" s="20">
        <f t="shared" si="22"/>
        <v>11671.220000000001</v>
      </c>
      <c r="K26" s="20">
        <f t="shared" si="22"/>
        <v>40113.73</v>
      </c>
      <c r="L26" s="20">
        <f t="shared" si="22"/>
        <v>8084.78</v>
      </c>
      <c r="M26" s="20">
        <f t="shared" si="22"/>
        <v>14243.880000000001</v>
      </c>
      <c r="N26" s="20">
        <f t="shared" si="22"/>
        <v>2869.37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154169.74</v>
      </c>
      <c r="T26" s="20">
        <f t="shared" si="22"/>
        <v>31068.339999999997</v>
      </c>
      <c r="U26" s="20">
        <f t="shared" si="22"/>
        <v>17040.260000000002</v>
      </c>
      <c r="V26" s="20">
        <f t="shared" si="22"/>
        <v>23045.479999999996</v>
      </c>
      <c r="W26" s="20">
        <f t="shared" si="22"/>
        <v>55070.153000000006</v>
      </c>
      <c r="X26" s="20">
        <f t="shared" si="22"/>
        <v>38381.84</v>
      </c>
      <c r="Y26" s="20">
        <f t="shared" si="22"/>
        <v>13632.019999999999</v>
      </c>
      <c r="Z26" s="20">
        <f t="shared" si="22"/>
        <v>0</v>
      </c>
      <c r="AA26" s="20">
        <f t="shared" si="22"/>
        <v>0</v>
      </c>
      <c r="AB26" s="20">
        <f t="shared" si="22"/>
        <v>147169.753</v>
      </c>
      <c r="AC26" s="20">
        <f t="shared" si="22"/>
        <v>200778.21575</v>
      </c>
      <c r="AD26" s="20">
        <f t="shared" si="22"/>
        <v>0</v>
      </c>
      <c r="AE26" s="20">
        <f t="shared" si="22"/>
        <v>0</v>
      </c>
      <c r="AF26" s="20">
        <f t="shared" si="22"/>
        <v>28729.64526</v>
      </c>
      <c r="AG26" s="20">
        <f t="shared" si="22"/>
        <v>14204.6784</v>
      </c>
      <c r="AH26" s="20">
        <f t="shared" si="22"/>
        <v>4755.73132936</v>
      </c>
      <c r="AI26" s="20">
        <f t="shared" si="22"/>
        <v>19858.62581365</v>
      </c>
      <c r="AJ26" s="20">
        <f t="shared" si="22"/>
        <v>3574.552646457</v>
      </c>
      <c r="AK26" s="20">
        <f t="shared" si="22"/>
        <v>19302.615507294</v>
      </c>
      <c r="AL26" s="20">
        <f t="shared" si="22"/>
        <v>3474.470791312919</v>
      </c>
      <c r="AM26" s="20">
        <f t="shared" si="22"/>
        <v>44413.051250237964</v>
      </c>
      <c r="AN26" s="20">
        <f t="shared" si="22"/>
        <v>7994.349225042833</v>
      </c>
      <c r="AO26" s="20">
        <f t="shared" si="22"/>
        <v>0</v>
      </c>
      <c r="AP26" s="20">
        <f t="shared" si="22"/>
        <v>0</v>
      </c>
      <c r="AQ26" s="154">
        <f t="shared" si="22"/>
        <v>11582.380000000001</v>
      </c>
      <c r="AR26" s="154">
        <f t="shared" si="22"/>
        <v>2084.8284000000003</v>
      </c>
      <c r="AS26" s="21">
        <f t="shared" si="22"/>
        <v>27854.559999999998</v>
      </c>
      <c r="AT26" s="21">
        <f t="shared" si="22"/>
        <v>96</v>
      </c>
      <c r="AU26" s="21">
        <f t="shared" si="22"/>
        <v>5031.1008</v>
      </c>
      <c r="AV26" s="20">
        <f t="shared" si="22"/>
        <v>4400</v>
      </c>
      <c r="AW26" s="20">
        <f t="shared" si="22"/>
        <v>16.5</v>
      </c>
      <c r="AX26" s="20">
        <f t="shared" si="22"/>
        <v>10354.405600000002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172222.62416335472</v>
      </c>
      <c r="BC26" s="20">
        <f>SUM(BC14:BC25)</f>
        <v>13098.498124005202</v>
      </c>
      <c r="BD26" s="20">
        <f>SUM(BD14:BD25)</f>
        <v>156591.47702735994</v>
      </c>
      <c r="BE26" s="20">
        <f t="shared" si="22"/>
        <v>44186.738722640075</v>
      </c>
      <c r="BF26" s="155">
        <f t="shared" si="22"/>
        <v>-6999.987000000003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56"/>
      <c r="AE27" s="15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3"/>
      <c r="AQ27" s="157"/>
      <c r="AR27" s="157"/>
      <c r="AS27" s="73"/>
      <c r="AT27" s="73"/>
      <c r="AU27" s="73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58"/>
    </row>
    <row r="28" spans="1:58" s="24" customFormat="1" ht="13.5" thickBot="1">
      <c r="A28" s="27" t="s">
        <v>52</v>
      </c>
      <c r="B28" s="28"/>
      <c r="C28" s="28">
        <f>C12+C26</f>
        <v>264823.556</v>
      </c>
      <c r="D28" s="28">
        <f aca="true" t="shared" si="23" ref="D28:BF28">D12+D26</f>
        <v>35292.34488737001</v>
      </c>
      <c r="E28" s="28">
        <f t="shared" si="23"/>
        <v>21951.950000000004</v>
      </c>
      <c r="F28" s="28">
        <f t="shared" si="23"/>
        <v>4394.29</v>
      </c>
      <c r="G28" s="28">
        <f t="shared" si="23"/>
        <v>29688.66</v>
      </c>
      <c r="H28" s="28">
        <f t="shared" si="23"/>
        <v>5946.24</v>
      </c>
      <c r="I28" s="28">
        <f t="shared" si="23"/>
        <v>71397.15</v>
      </c>
      <c r="J28" s="28">
        <f t="shared" si="23"/>
        <v>14295.560000000001</v>
      </c>
      <c r="K28" s="28">
        <f t="shared" si="23"/>
        <v>49445.55</v>
      </c>
      <c r="L28" s="28">
        <f t="shared" si="23"/>
        <v>9901.61</v>
      </c>
      <c r="M28" s="28">
        <f t="shared" si="23"/>
        <v>17561.78</v>
      </c>
      <c r="N28" s="28">
        <f t="shared" si="23"/>
        <v>3515.3599999999997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190045.09</v>
      </c>
      <c r="T28" s="28">
        <f t="shared" si="23"/>
        <v>38053.06</v>
      </c>
      <c r="U28" s="28">
        <f t="shared" si="23"/>
        <v>18924.050000000003</v>
      </c>
      <c r="V28" s="28">
        <f t="shared" si="23"/>
        <v>25588.569999999996</v>
      </c>
      <c r="W28" s="28">
        <f t="shared" si="23"/>
        <v>61544.23300000001</v>
      </c>
      <c r="X28" s="28">
        <f t="shared" si="23"/>
        <v>42620.399999999994</v>
      </c>
      <c r="Y28" s="28">
        <f t="shared" si="23"/>
        <v>15139.259999999998</v>
      </c>
      <c r="Z28" s="28">
        <f t="shared" si="23"/>
        <v>0</v>
      </c>
      <c r="AA28" s="28">
        <f t="shared" si="23"/>
        <v>0</v>
      </c>
      <c r="AB28" s="28">
        <f t="shared" si="23"/>
        <v>163816.513</v>
      </c>
      <c r="AC28" s="28">
        <f t="shared" si="23"/>
        <v>237161.91788737001</v>
      </c>
      <c r="AD28" s="28">
        <f t="shared" si="23"/>
        <v>0</v>
      </c>
      <c r="AE28" s="28">
        <f t="shared" si="23"/>
        <v>0</v>
      </c>
      <c r="AF28" s="28">
        <f t="shared" si="23"/>
        <v>28729.64526</v>
      </c>
      <c r="AG28" s="28">
        <f t="shared" si="23"/>
        <v>17879.5224</v>
      </c>
      <c r="AH28" s="28">
        <f t="shared" si="23"/>
        <v>6016.81529536</v>
      </c>
      <c r="AI28" s="28">
        <f t="shared" si="23"/>
        <v>25070.61622725</v>
      </c>
      <c r="AJ28" s="28">
        <f>AJ12+AJ26</f>
        <v>4512.7109209049995</v>
      </c>
      <c r="AK28" s="28">
        <f t="shared" si="23"/>
        <v>25367.723405389996</v>
      </c>
      <c r="AL28" s="28">
        <f t="shared" si="23"/>
        <v>4566.190212970199</v>
      </c>
      <c r="AM28" s="28">
        <f t="shared" si="23"/>
        <v>55551.85517847196</v>
      </c>
      <c r="AN28" s="28">
        <f t="shared" si="23"/>
        <v>9999.333932124951</v>
      </c>
      <c r="AO28" s="28">
        <f t="shared" si="23"/>
        <v>0</v>
      </c>
      <c r="AP28" s="28">
        <f t="shared" si="23"/>
        <v>0</v>
      </c>
      <c r="AQ28" s="159">
        <f t="shared" si="23"/>
        <v>11582.380000000001</v>
      </c>
      <c r="AR28" s="159">
        <f t="shared" si="23"/>
        <v>2084.8284000000003</v>
      </c>
      <c r="AS28" s="160">
        <f t="shared" si="23"/>
        <v>35215.56</v>
      </c>
      <c r="AT28" s="160">
        <f t="shared" si="23"/>
        <v>96</v>
      </c>
      <c r="AU28" s="160">
        <f t="shared" si="23"/>
        <v>6356.0808</v>
      </c>
      <c r="AV28" s="28">
        <f t="shared" si="23"/>
        <v>4400</v>
      </c>
      <c r="AW28" s="28">
        <f t="shared" si="23"/>
        <v>16.5</v>
      </c>
      <c r="AX28" s="28">
        <f t="shared" si="23"/>
        <v>10354.405600000002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212295.29677247212</v>
      </c>
      <c r="BC28" s="28">
        <f t="shared" si="23"/>
        <v>13098.498124005202</v>
      </c>
      <c r="BD28" s="28">
        <f t="shared" si="23"/>
        <v>196664.14963647735</v>
      </c>
      <c r="BE28" s="28">
        <f t="shared" si="23"/>
        <v>40497.76825089268</v>
      </c>
      <c r="BF28" s="28">
        <f t="shared" si="23"/>
        <v>-26228.577000000005</v>
      </c>
    </row>
    <row r="29" spans="1:58" ht="15" customHeight="1">
      <c r="A29" s="8" t="s">
        <v>91</v>
      </c>
      <c r="B29" s="68"/>
      <c r="C29" s="128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31"/>
      <c r="Q29" s="132"/>
      <c r="R29" s="132"/>
      <c r="S29" s="132"/>
      <c r="T29" s="132"/>
      <c r="U29" s="133"/>
      <c r="V29" s="133"/>
      <c r="W29" s="133"/>
      <c r="X29" s="133"/>
      <c r="Y29" s="133"/>
      <c r="Z29" s="133"/>
      <c r="AA29" s="134"/>
      <c r="AB29" s="134"/>
      <c r="AC29" s="135"/>
      <c r="AD29" s="136"/>
      <c r="AE29" s="136"/>
      <c r="AF29" s="56"/>
      <c r="AG29" s="56"/>
      <c r="AH29" s="56"/>
      <c r="AI29" s="56"/>
      <c r="AJ29" s="56"/>
      <c r="AK29" s="56"/>
      <c r="AL29" s="56"/>
      <c r="AM29" s="56"/>
      <c r="AN29" s="69"/>
      <c r="AO29" s="69"/>
      <c r="AP29" s="69"/>
      <c r="AQ29" s="137"/>
      <c r="AR29" s="138"/>
      <c r="AS29" s="139"/>
      <c r="AT29" s="139"/>
      <c r="AU29" s="140"/>
      <c r="AV29" s="56"/>
      <c r="AW29" s="56"/>
      <c r="AX29" s="57"/>
      <c r="AY29" s="1"/>
      <c r="AZ29" s="1"/>
      <c r="BA29" s="1"/>
      <c r="BB29" s="1"/>
      <c r="BC29" s="1"/>
      <c r="BD29" s="1"/>
      <c r="BE29" s="1"/>
      <c r="BF29" s="114"/>
    </row>
    <row r="30" spans="1:58" ht="12.75">
      <c r="A30" s="14" t="s">
        <v>43</v>
      </c>
      <c r="B30" s="75">
        <v>2042.68</v>
      </c>
      <c r="C30" s="98">
        <f aca="true" t="shared" si="24" ref="C30:C41">B30*8.65</f>
        <v>17669.182</v>
      </c>
      <c r="D30" s="99">
        <f aca="true" t="shared" si="25" ref="D30:D38">C30-E30-F30-G30-H30-I30-J30-K30-L30-M30-N30</f>
        <v>1651.2020000000014</v>
      </c>
      <c r="E30" s="76">
        <v>1535.71</v>
      </c>
      <c r="F30" s="76">
        <v>313.1</v>
      </c>
      <c r="G30" s="76">
        <v>2080.08</v>
      </c>
      <c r="H30" s="76">
        <v>424.41</v>
      </c>
      <c r="I30" s="76">
        <v>4997.93</v>
      </c>
      <c r="J30" s="76">
        <v>1019.28</v>
      </c>
      <c r="K30" s="76">
        <v>3462.21</v>
      </c>
      <c r="L30" s="76">
        <v>706.18</v>
      </c>
      <c r="M30" s="76">
        <v>1228.63</v>
      </c>
      <c r="N30" s="80">
        <v>250.45</v>
      </c>
      <c r="O30" s="80">
        <v>0</v>
      </c>
      <c r="P30" s="80">
        <v>0</v>
      </c>
      <c r="Q30" s="80"/>
      <c r="R30" s="80"/>
      <c r="S30" s="76">
        <f aca="true" t="shared" si="26" ref="S30:S41">E30+G30+I30+K30+M30+O30+Q30</f>
        <v>13304.560000000001</v>
      </c>
      <c r="T30" s="100">
        <f aca="true" t="shared" si="27" ref="T30:T41">P30+N30+L30+J30+H30+F30+R30</f>
        <v>2713.4199999999996</v>
      </c>
      <c r="U30" s="76">
        <v>941.63</v>
      </c>
      <c r="V30" s="76">
        <v>1275.14</v>
      </c>
      <c r="W30" s="76">
        <v>3064.22</v>
      </c>
      <c r="X30" s="76">
        <v>2122.6</v>
      </c>
      <c r="Y30" s="76">
        <v>753.33</v>
      </c>
      <c r="Z30" s="76">
        <v>0</v>
      </c>
      <c r="AA30" s="80">
        <v>0</v>
      </c>
      <c r="AB30" s="80">
        <f>SUM(U30:AA30)</f>
        <v>8156.92</v>
      </c>
      <c r="AC30" s="101">
        <f aca="true" t="shared" si="28" ref="AC30:AC41">D30+T30+AB30</f>
        <v>12521.542000000001</v>
      </c>
      <c r="AD30" s="102">
        <f aca="true" t="shared" si="29" ref="AD30:AD41">P30+Z30</f>
        <v>0</v>
      </c>
      <c r="AE30" s="102">
        <f aca="true" t="shared" si="30" ref="AE30:AE41">R30+AA30</f>
        <v>0</v>
      </c>
      <c r="AF30" s="102">
        <f>'[4]Т01-10'!$I$31+'[4]Т01-10'!$I$107+'[4]Т01-10'!$I$111+'[4]Т01-10'!$I$122</f>
        <v>3228.95318</v>
      </c>
      <c r="AG30" s="25">
        <f aca="true" t="shared" si="31" ref="AG30:AG41">0.6*B30</f>
        <v>1225.608</v>
      </c>
      <c r="AH30" s="25">
        <f aca="true" t="shared" si="32" ref="AH30:AH41">B30*0.2</f>
        <v>408.53600000000006</v>
      </c>
      <c r="AI30" s="25">
        <f aca="true" t="shared" si="33" ref="AI30:AI41">1*B30</f>
        <v>2042.68</v>
      </c>
      <c r="AJ30" s="25">
        <v>0</v>
      </c>
      <c r="AK30" s="25">
        <f aca="true" t="shared" si="34" ref="AK30:AK41">0.98*B30</f>
        <v>2001.8264</v>
      </c>
      <c r="AL30" s="25">
        <v>0</v>
      </c>
      <c r="AM30" s="25">
        <f aca="true" t="shared" si="35" ref="AM30:AM41">2.25*B30</f>
        <v>4596.03</v>
      </c>
      <c r="AN30" s="25">
        <v>0</v>
      </c>
      <c r="AO30" s="25"/>
      <c r="AP30" s="25">
        <v>0</v>
      </c>
      <c r="AQ30" s="95"/>
      <c r="AR30" s="95"/>
      <c r="AS30" s="78">
        <v>0</v>
      </c>
      <c r="AT30" s="78"/>
      <c r="AU30" s="78">
        <f aca="true" t="shared" si="36" ref="AU30:AU35">AT30*0.18</f>
        <v>0</v>
      </c>
      <c r="AV30" s="103">
        <v>508</v>
      </c>
      <c r="AW30" s="104">
        <v>1.375</v>
      </c>
      <c r="AX30" s="25">
        <f aca="true" t="shared" si="37" ref="AX30:AX41">AV30*AW30*1.4</f>
        <v>977.9</v>
      </c>
      <c r="AY30" s="105"/>
      <c r="AZ30" s="106"/>
      <c r="BA30" s="106">
        <f aca="true" t="shared" si="38" ref="BA30:BA41">AZ30*0.18</f>
        <v>0</v>
      </c>
      <c r="BB30" s="106">
        <f aca="true" t="shared" si="39" ref="BB30:BB41">SUM(AG30:BA30)-AV30-AW30</f>
        <v>11252.5804</v>
      </c>
      <c r="BC30" s="107">
        <f>'[4]Т03-10'!$M$31+'[4]Т03-10'!$M$108+'[4]Т03-10'!$M$112+'[4]Т03-10'!$M$123</f>
        <v>1511.993</v>
      </c>
      <c r="BD30" s="142"/>
      <c r="BE30" s="121">
        <f>(AC30-BB30)+(AF30-BC30)</f>
        <v>2985.9217800000006</v>
      </c>
      <c r="BF30" s="121">
        <f>AB30-S30</f>
        <v>-5147.640000000001</v>
      </c>
    </row>
    <row r="31" spans="1:58" ht="12.75">
      <c r="A31" s="14" t="s">
        <v>44</v>
      </c>
      <c r="B31" s="93">
        <v>2042.18</v>
      </c>
      <c r="C31" s="98">
        <f t="shared" si="24"/>
        <v>17664.857</v>
      </c>
      <c r="D31" s="99">
        <f t="shared" si="25"/>
        <v>1646.8570000000002</v>
      </c>
      <c r="E31" s="180">
        <v>1535.71</v>
      </c>
      <c r="F31" s="181">
        <v>313.1</v>
      </c>
      <c r="G31" s="181">
        <v>2080.09</v>
      </c>
      <c r="H31" s="181">
        <v>424.41</v>
      </c>
      <c r="I31" s="181">
        <v>4997.94</v>
      </c>
      <c r="J31" s="181">
        <v>1019.28</v>
      </c>
      <c r="K31" s="181">
        <v>3462.21</v>
      </c>
      <c r="L31" s="181">
        <v>706.18</v>
      </c>
      <c r="M31" s="181">
        <v>1228.63</v>
      </c>
      <c r="N31" s="182">
        <v>250.45</v>
      </c>
      <c r="O31" s="182">
        <v>0</v>
      </c>
      <c r="P31" s="182">
        <v>0</v>
      </c>
      <c r="Q31" s="182">
        <v>0</v>
      </c>
      <c r="R31" s="182">
        <v>0</v>
      </c>
      <c r="S31" s="76">
        <f t="shared" si="26"/>
        <v>13304.580000000002</v>
      </c>
      <c r="T31" s="100">
        <f t="shared" si="27"/>
        <v>2713.4199999999996</v>
      </c>
      <c r="U31" s="76">
        <v>1609.52</v>
      </c>
      <c r="V31" s="76">
        <v>2179.79</v>
      </c>
      <c r="W31" s="76">
        <v>5237.83</v>
      </c>
      <c r="X31" s="76">
        <v>3628.26</v>
      </c>
      <c r="Y31" s="76">
        <v>1287.3</v>
      </c>
      <c r="Z31" s="76">
        <v>0</v>
      </c>
      <c r="AA31" s="80">
        <v>0</v>
      </c>
      <c r="AB31" s="80">
        <f>SUM(U31:AA31)</f>
        <v>13942.699999999999</v>
      </c>
      <c r="AC31" s="101">
        <f t="shared" si="28"/>
        <v>18302.977</v>
      </c>
      <c r="AD31" s="102">
        <f t="shared" si="29"/>
        <v>0</v>
      </c>
      <c r="AE31" s="102">
        <f t="shared" si="30"/>
        <v>0</v>
      </c>
      <c r="AF31" s="102">
        <f>'[4]Т01-10'!$I$31+'[4]Т01-10'!$I$107+'[4]Т01-10'!$I$111+'[4]Т01-10'!$I$122</f>
        <v>3228.95318</v>
      </c>
      <c r="AG31" s="25">
        <f t="shared" si="31"/>
        <v>1225.308</v>
      </c>
      <c r="AH31" s="25">
        <f t="shared" si="32"/>
        <v>408.43600000000004</v>
      </c>
      <c r="AI31" s="25">
        <f t="shared" si="33"/>
        <v>2042.18</v>
      </c>
      <c r="AJ31" s="25">
        <v>0</v>
      </c>
      <c r="AK31" s="25">
        <f t="shared" si="34"/>
        <v>2001.3364000000001</v>
      </c>
      <c r="AL31" s="25">
        <v>0</v>
      </c>
      <c r="AM31" s="25">
        <f t="shared" si="35"/>
        <v>4594.905</v>
      </c>
      <c r="AN31" s="25">
        <v>0</v>
      </c>
      <c r="AO31" s="25">
        <f>426.1*5.4</f>
        <v>2300.94</v>
      </c>
      <c r="AP31" s="25"/>
      <c r="AQ31" s="95"/>
      <c r="AR31" s="95"/>
      <c r="AS31" s="78">
        <v>350</v>
      </c>
      <c r="AT31" s="78"/>
      <c r="AU31" s="78">
        <f t="shared" si="36"/>
        <v>0</v>
      </c>
      <c r="AV31" s="103">
        <v>407</v>
      </c>
      <c r="AW31" s="104">
        <v>1.375</v>
      </c>
      <c r="AX31" s="25">
        <f t="shared" si="37"/>
        <v>783.4749999999999</v>
      </c>
      <c r="AY31" s="105"/>
      <c r="AZ31" s="106"/>
      <c r="BA31" s="106">
        <f t="shared" si="38"/>
        <v>0</v>
      </c>
      <c r="BB31" s="106">
        <f t="shared" si="39"/>
        <v>13706.5804</v>
      </c>
      <c r="BC31" s="107">
        <f>'[4]Т03-10'!$M$31+'[4]Т03-10'!$M$108+'[4]Т03-10'!$M$112+'[4]Т03-10'!$M$123</f>
        <v>1511.993</v>
      </c>
      <c r="BD31" s="142"/>
      <c r="BE31" s="121">
        <f aca="true" t="shared" si="40" ref="BE31:BE41">(AC31-BB31)+(AF31-BC31)</f>
        <v>6313.356779999998</v>
      </c>
      <c r="BF31" s="121">
        <f aca="true" t="shared" si="41" ref="BF31:BF41">AB31-S31</f>
        <v>638.1199999999972</v>
      </c>
    </row>
    <row r="32" spans="1:58" ht="13.5" thickBot="1">
      <c r="A32" s="144" t="s">
        <v>45</v>
      </c>
      <c r="B32" s="75">
        <v>2042.68</v>
      </c>
      <c r="C32" s="98">
        <f t="shared" si="24"/>
        <v>17669.182</v>
      </c>
      <c r="D32" s="99">
        <f t="shared" si="25"/>
        <v>1651.182000000001</v>
      </c>
      <c r="E32" s="76">
        <v>1535.71</v>
      </c>
      <c r="F32" s="76">
        <v>313.1</v>
      </c>
      <c r="G32" s="76">
        <v>2080.09</v>
      </c>
      <c r="H32" s="76">
        <v>424.41</v>
      </c>
      <c r="I32" s="76">
        <v>4997.94</v>
      </c>
      <c r="J32" s="76">
        <v>1019.28</v>
      </c>
      <c r="K32" s="76">
        <v>3462.21</v>
      </c>
      <c r="L32" s="76">
        <v>706.18</v>
      </c>
      <c r="M32" s="76">
        <v>1228.63</v>
      </c>
      <c r="N32" s="80">
        <v>250.45</v>
      </c>
      <c r="O32" s="80">
        <v>0</v>
      </c>
      <c r="P32" s="80">
        <v>0</v>
      </c>
      <c r="Q32" s="80">
        <v>0</v>
      </c>
      <c r="R32" s="80">
        <v>0</v>
      </c>
      <c r="S32" s="76">
        <f t="shared" si="26"/>
        <v>13304.580000000002</v>
      </c>
      <c r="T32" s="100">
        <f t="shared" si="27"/>
        <v>2713.4199999999996</v>
      </c>
      <c r="U32" s="76">
        <v>1224.86</v>
      </c>
      <c r="V32" s="76">
        <v>1659.03</v>
      </c>
      <c r="W32" s="76">
        <v>4007.3</v>
      </c>
      <c r="X32" s="76">
        <v>2761.37</v>
      </c>
      <c r="Y32" s="76">
        <v>980.33</v>
      </c>
      <c r="Z32" s="76">
        <v>0</v>
      </c>
      <c r="AA32" s="80">
        <v>0</v>
      </c>
      <c r="AB32" s="80">
        <f>SUM(U32:AA32)</f>
        <v>10632.890000000001</v>
      </c>
      <c r="AC32" s="101">
        <f t="shared" si="28"/>
        <v>14997.492000000002</v>
      </c>
      <c r="AD32" s="102">
        <f t="shared" si="29"/>
        <v>0</v>
      </c>
      <c r="AE32" s="102">
        <f t="shared" si="30"/>
        <v>0</v>
      </c>
      <c r="AF32" s="102">
        <f>'[4]Т01-10'!$I$31+'[4]Т01-10'!$I$107+'[4]Т01-10'!$I$111+'[4]Т01-10'!$I$122</f>
        <v>3228.95318</v>
      </c>
      <c r="AG32" s="25">
        <f t="shared" si="31"/>
        <v>1225.608</v>
      </c>
      <c r="AH32" s="25">
        <f t="shared" si="32"/>
        <v>408.53600000000006</v>
      </c>
      <c r="AI32" s="25">
        <f t="shared" si="33"/>
        <v>2042.68</v>
      </c>
      <c r="AJ32" s="25">
        <v>0</v>
      </c>
      <c r="AK32" s="25">
        <f t="shared" si="34"/>
        <v>2001.8264</v>
      </c>
      <c r="AL32" s="25">
        <v>0</v>
      </c>
      <c r="AM32" s="25">
        <f t="shared" si="35"/>
        <v>4596.03</v>
      </c>
      <c r="AN32" s="25">
        <v>0</v>
      </c>
      <c r="AO32" s="25"/>
      <c r="AP32" s="25"/>
      <c r="AQ32" s="95"/>
      <c r="AR32" s="95"/>
      <c r="AS32" s="78"/>
      <c r="AT32" s="78"/>
      <c r="AU32" s="78">
        <f t="shared" si="36"/>
        <v>0</v>
      </c>
      <c r="AV32" s="103">
        <v>383</v>
      </c>
      <c r="AW32" s="104">
        <v>1.375</v>
      </c>
      <c r="AX32" s="25">
        <f t="shared" si="37"/>
        <v>737.275</v>
      </c>
      <c r="AY32" s="105"/>
      <c r="AZ32" s="106"/>
      <c r="BA32" s="106">
        <f t="shared" si="38"/>
        <v>0</v>
      </c>
      <c r="BB32" s="106">
        <f t="shared" si="39"/>
        <v>11011.9554</v>
      </c>
      <c r="BC32" s="107">
        <f>'[4]Т03-10'!$M$31+'[4]Т03-10'!$M$108+'[4]Т03-10'!$M$112+'[4]Т03-10'!$M$123</f>
        <v>1511.993</v>
      </c>
      <c r="BD32" s="147"/>
      <c r="BE32" s="121">
        <f t="shared" si="40"/>
        <v>5702.496780000001</v>
      </c>
      <c r="BF32" s="121">
        <f t="shared" si="41"/>
        <v>-2671.6900000000005</v>
      </c>
    </row>
    <row r="33" spans="1:58" ht="12.75">
      <c r="A33" s="148" t="s">
        <v>46</v>
      </c>
      <c r="B33" s="75">
        <v>2042.68</v>
      </c>
      <c r="C33" s="98">
        <f t="shared" si="24"/>
        <v>17669.182</v>
      </c>
      <c r="D33" s="99">
        <f t="shared" si="25"/>
        <v>1635.632000000001</v>
      </c>
      <c r="E33" s="76">
        <v>1545.78</v>
      </c>
      <c r="F33" s="76">
        <v>304.86</v>
      </c>
      <c r="G33" s="76">
        <v>2093.64</v>
      </c>
      <c r="H33" s="76">
        <v>413.24</v>
      </c>
      <c r="I33" s="76">
        <v>5030.62</v>
      </c>
      <c r="J33" s="76">
        <v>992.46</v>
      </c>
      <c r="K33" s="76">
        <v>3484.8</v>
      </c>
      <c r="L33" s="76">
        <v>687.61</v>
      </c>
      <c r="M33" s="76">
        <v>1236.68</v>
      </c>
      <c r="N33" s="80">
        <v>243.86</v>
      </c>
      <c r="O33" s="80">
        <v>0</v>
      </c>
      <c r="P33" s="80">
        <v>0</v>
      </c>
      <c r="Q33" s="80"/>
      <c r="R33" s="80"/>
      <c r="S33" s="76">
        <f t="shared" si="26"/>
        <v>13391.52</v>
      </c>
      <c r="T33" s="100">
        <f t="shared" si="27"/>
        <v>2642.03</v>
      </c>
      <c r="U33" s="76">
        <v>1131.7</v>
      </c>
      <c r="V33" s="76">
        <v>1527.91</v>
      </c>
      <c r="W33" s="76">
        <v>3672.52</v>
      </c>
      <c r="X33" s="76">
        <v>2546.67</v>
      </c>
      <c r="Y33" s="76">
        <v>905.42</v>
      </c>
      <c r="Z33" s="76">
        <v>0</v>
      </c>
      <c r="AA33" s="80">
        <v>0</v>
      </c>
      <c r="AB33" s="80">
        <f>SUM(U33:AA33)</f>
        <v>9784.22</v>
      </c>
      <c r="AC33" s="101">
        <f t="shared" si="28"/>
        <v>14061.882000000001</v>
      </c>
      <c r="AD33" s="102">
        <f t="shared" si="29"/>
        <v>0</v>
      </c>
      <c r="AE33" s="102">
        <f t="shared" si="30"/>
        <v>0</v>
      </c>
      <c r="AF33" s="102">
        <f>'[5]Т04-10'!$I$31+'[5]Т04-10'!$I$108+'[5]Т04-10'!$I$112+'[5]Т04-10'!$I$123</f>
        <v>3228.95318</v>
      </c>
      <c r="AG33" s="25">
        <f t="shared" si="31"/>
        <v>1225.608</v>
      </c>
      <c r="AH33" s="25">
        <f t="shared" si="32"/>
        <v>408.53600000000006</v>
      </c>
      <c r="AI33" s="25">
        <f t="shared" si="33"/>
        <v>2042.68</v>
      </c>
      <c r="AJ33" s="25">
        <v>0</v>
      </c>
      <c r="AK33" s="25">
        <f t="shared" si="34"/>
        <v>2001.8264</v>
      </c>
      <c r="AL33" s="25">
        <v>0</v>
      </c>
      <c r="AM33" s="25">
        <f t="shared" si="35"/>
        <v>4596.03</v>
      </c>
      <c r="AN33" s="25">
        <v>0</v>
      </c>
      <c r="AO33" s="25"/>
      <c r="AP33" s="25"/>
      <c r="AQ33" s="95"/>
      <c r="AR33" s="95"/>
      <c r="AS33" s="78">
        <v>1383</v>
      </c>
      <c r="AT33" s="78"/>
      <c r="AU33" s="78">
        <f t="shared" si="36"/>
        <v>0</v>
      </c>
      <c r="AV33" s="103">
        <v>307</v>
      </c>
      <c r="AW33" s="104">
        <v>1.375</v>
      </c>
      <c r="AX33" s="25">
        <f t="shared" si="37"/>
        <v>590.9749999999999</v>
      </c>
      <c r="AY33" s="105"/>
      <c r="AZ33" s="106"/>
      <c r="BA33" s="106">
        <f t="shared" si="38"/>
        <v>0</v>
      </c>
      <c r="BB33" s="106">
        <f t="shared" si="39"/>
        <v>12248.655400000001</v>
      </c>
      <c r="BC33" s="107">
        <f>'[5]Т04-10'!$M$31+'[5]Т04-10'!$M$108+'[5]Т04-10'!$M$112+'[5]Т04-10'!$M$123</f>
        <v>1511.993</v>
      </c>
      <c r="BD33" s="74"/>
      <c r="BE33" s="121">
        <f t="shared" si="40"/>
        <v>3530.18678</v>
      </c>
      <c r="BF33" s="121">
        <f t="shared" si="41"/>
        <v>-3607.300000000001</v>
      </c>
    </row>
    <row r="34" spans="1:58" ht="12.75">
      <c r="A34" s="14" t="s">
        <v>47</v>
      </c>
      <c r="B34" s="75">
        <v>2045.78</v>
      </c>
      <c r="C34" s="98">
        <f t="shared" si="24"/>
        <v>17695.997</v>
      </c>
      <c r="D34" s="99">
        <f t="shared" si="25"/>
        <v>1626.7369999999992</v>
      </c>
      <c r="E34" s="76">
        <v>1554.71</v>
      </c>
      <c r="F34" s="76">
        <v>300.09</v>
      </c>
      <c r="G34" s="76">
        <v>2105.64</v>
      </c>
      <c r="H34" s="76">
        <v>406.78</v>
      </c>
      <c r="I34" s="76">
        <v>5059.53</v>
      </c>
      <c r="J34" s="76">
        <v>976.94</v>
      </c>
      <c r="K34" s="76">
        <v>3504.85</v>
      </c>
      <c r="L34" s="76">
        <v>676.85</v>
      </c>
      <c r="M34" s="76">
        <v>1243.82</v>
      </c>
      <c r="N34" s="80">
        <v>240.05</v>
      </c>
      <c r="O34" s="80">
        <v>0</v>
      </c>
      <c r="P34" s="80">
        <v>0</v>
      </c>
      <c r="Q34" s="80"/>
      <c r="R34" s="80"/>
      <c r="S34" s="76">
        <f t="shared" si="26"/>
        <v>13468.55</v>
      </c>
      <c r="T34" s="100">
        <f t="shared" si="27"/>
        <v>2600.71</v>
      </c>
      <c r="U34" s="161">
        <v>1346.9</v>
      </c>
      <c r="V34" s="161">
        <v>1824.24</v>
      </c>
      <c r="W34" s="161">
        <v>4376.31</v>
      </c>
      <c r="X34" s="161">
        <v>3036.52</v>
      </c>
      <c r="Y34" s="161">
        <v>1077.63</v>
      </c>
      <c r="Z34" s="161">
        <v>0</v>
      </c>
      <c r="AA34" s="162">
        <v>0</v>
      </c>
      <c r="AB34" s="80">
        <f aca="true" t="shared" si="42" ref="AB34:AB41">SUM(U34:AA34)</f>
        <v>11661.600000000002</v>
      </c>
      <c r="AC34" s="101">
        <f t="shared" si="28"/>
        <v>15889.047000000002</v>
      </c>
      <c r="AD34" s="102">
        <f t="shared" si="29"/>
        <v>0</v>
      </c>
      <c r="AE34" s="102">
        <f t="shared" si="30"/>
        <v>0</v>
      </c>
      <c r="AF34" s="102">
        <f>'[5]Т04-10'!$I$31+'[5]Т04-10'!$I$108+'[5]Т04-10'!$I$112+'[5]Т04-10'!$I$123</f>
        <v>3228.95318</v>
      </c>
      <c r="AG34" s="25">
        <f t="shared" si="31"/>
        <v>1227.4679999999998</v>
      </c>
      <c r="AH34" s="25">
        <f t="shared" si="32"/>
        <v>409.156</v>
      </c>
      <c r="AI34" s="25">
        <f t="shared" si="33"/>
        <v>2045.78</v>
      </c>
      <c r="AJ34" s="25">
        <v>0</v>
      </c>
      <c r="AK34" s="25">
        <f t="shared" si="34"/>
        <v>2004.8644</v>
      </c>
      <c r="AL34" s="25">
        <v>0</v>
      </c>
      <c r="AM34" s="25">
        <f t="shared" si="35"/>
        <v>4603.005</v>
      </c>
      <c r="AN34" s="25">
        <v>0</v>
      </c>
      <c r="AO34" s="25"/>
      <c r="AP34" s="25"/>
      <c r="AQ34" s="95"/>
      <c r="AR34" s="95"/>
      <c r="AS34" s="78">
        <v>256</v>
      </c>
      <c r="AT34" s="78">
        <v>766.27</v>
      </c>
      <c r="AU34" s="78">
        <f t="shared" si="36"/>
        <v>137.9286</v>
      </c>
      <c r="AV34" s="103">
        <v>263</v>
      </c>
      <c r="AW34" s="104">
        <v>1.375</v>
      </c>
      <c r="AX34" s="25">
        <f t="shared" si="37"/>
        <v>506.275</v>
      </c>
      <c r="AY34" s="105"/>
      <c r="AZ34" s="106"/>
      <c r="BA34" s="106">
        <f t="shared" si="38"/>
        <v>0</v>
      </c>
      <c r="BB34" s="106">
        <f t="shared" si="39"/>
        <v>11956.746999999998</v>
      </c>
      <c r="BC34" s="107">
        <f>'[5]Т04-10'!$M$31+'[5]Т04-10'!$M$108+'[5]Т04-10'!$M$112+'[5]Т04-10'!$M$123</f>
        <v>1511.993</v>
      </c>
      <c r="BD34" s="18"/>
      <c r="BE34" s="121">
        <f t="shared" si="40"/>
        <v>5649.260180000005</v>
      </c>
      <c r="BF34" s="121">
        <f t="shared" si="41"/>
        <v>-1806.949999999997</v>
      </c>
    </row>
    <row r="35" spans="1:58" ht="13.5" thickBot="1">
      <c r="A35" s="144" t="s">
        <v>48</v>
      </c>
      <c r="B35" s="75">
        <v>2045.78</v>
      </c>
      <c r="C35" s="98">
        <f t="shared" si="24"/>
        <v>17695.997</v>
      </c>
      <c r="D35" s="99">
        <f t="shared" si="25"/>
        <v>1626.7369999999992</v>
      </c>
      <c r="E35" s="76">
        <v>1554.71</v>
      </c>
      <c r="F35" s="76">
        <v>300.09</v>
      </c>
      <c r="G35" s="76">
        <v>2105.64</v>
      </c>
      <c r="H35" s="76">
        <v>406.78</v>
      </c>
      <c r="I35" s="76">
        <v>5059.53</v>
      </c>
      <c r="J35" s="76">
        <v>976.94</v>
      </c>
      <c r="K35" s="76">
        <v>3504.85</v>
      </c>
      <c r="L35" s="76">
        <v>676.85</v>
      </c>
      <c r="M35" s="76">
        <v>1243.82</v>
      </c>
      <c r="N35" s="80">
        <v>240.05</v>
      </c>
      <c r="O35" s="80">
        <v>0</v>
      </c>
      <c r="P35" s="80">
        <v>0</v>
      </c>
      <c r="Q35" s="80">
        <v>0</v>
      </c>
      <c r="R35" s="80">
        <v>0</v>
      </c>
      <c r="S35" s="76">
        <f t="shared" si="26"/>
        <v>13468.55</v>
      </c>
      <c r="T35" s="100">
        <f t="shared" si="27"/>
        <v>2600.71</v>
      </c>
      <c r="U35" s="76">
        <v>1283.52</v>
      </c>
      <c r="V35" s="76">
        <v>1738.75</v>
      </c>
      <c r="W35" s="76">
        <v>4177.38</v>
      </c>
      <c r="X35" s="76">
        <v>2893.83</v>
      </c>
      <c r="Y35" s="76">
        <v>1026.93</v>
      </c>
      <c r="Z35" s="76">
        <v>0</v>
      </c>
      <c r="AA35" s="80">
        <v>0</v>
      </c>
      <c r="AB35" s="80">
        <f t="shared" si="42"/>
        <v>11120.41</v>
      </c>
      <c r="AC35" s="101">
        <f t="shared" si="28"/>
        <v>15347.857</v>
      </c>
      <c r="AD35" s="102">
        <f t="shared" si="29"/>
        <v>0</v>
      </c>
      <c r="AE35" s="102">
        <f t="shared" si="30"/>
        <v>0</v>
      </c>
      <c r="AF35" s="102">
        <f>'[5]Т04-10'!$I$31+'[5]Т04-10'!$I$108+'[5]Т04-10'!$I$112+'[5]Т04-10'!$I$123</f>
        <v>3228.95318</v>
      </c>
      <c r="AG35" s="25">
        <f t="shared" si="31"/>
        <v>1227.4679999999998</v>
      </c>
      <c r="AH35" s="25">
        <f t="shared" si="32"/>
        <v>409.156</v>
      </c>
      <c r="AI35" s="25">
        <f t="shared" si="33"/>
        <v>2045.78</v>
      </c>
      <c r="AJ35" s="25">
        <v>0</v>
      </c>
      <c r="AK35" s="25">
        <f t="shared" si="34"/>
        <v>2004.8644</v>
      </c>
      <c r="AL35" s="25">
        <v>0</v>
      </c>
      <c r="AM35" s="25">
        <f t="shared" si="35"/>
        <v>4603.005</v>
      </c>
      <c r="AN35" s="25">
        <v>0</v>
      </c>
      <c r="AO35" s="25"/>
      <c r="AP35" s="25"/>
      <c r="AQ35" s="95"/>
      <c r="AR35" s="95"/>
      <c r="AS35" s="78">
        <v>314</v>
      </c>
      <c r="AT35" s="78"/>
      <c r="AU35" s="78">
        <f t="shared" si="36"/>
        <v>0</v>
      </c>
      <c r="AV35" s="103">
        <v>233</v>
      </c>
      <c r="AW35" s="104">
        <v>1.375</v>
      </c>
      <c r="AX35" s="25">
        <f t="shared" si="37"/>
        <v>448.525</v>
      </c>
      <c r="AY35" s="105"/>
      <c r="AZ35" s="106"/>
      <c r="BA35" s="106">
        <f t="shared" si="38"/>
        <v>0</v>
      </c>
      <c r="BB35" s="106">
        <f t="shared" si="39"/>
        <v>11052.798399999998</v>
      </c>
      <c r="BC35" s="107">
        <f>'[5]Т06-10'!$M$31+'[5]Т06-10'!$M$105+'[5]Т06-10'!$M$109+'[5]Т06-10'!$M$120</f>
        <v>1511.993</v>
      </c>
      <c r="BD35" s="150"/>
      <c r="BE35" s="121">
        <f t="shared" si="40"/>
        <v>6012.018780000002</v>
      </c>
      <c r="BF35" s="121">
        <f t="shared" si="41"/>
        <v>-2348.1399999999994</v>
      </c>
    </row>
    <row r="36" spans="1:58" ht="12.75">
      <c r="A36" s="148" t="s">
        <v>49</v>
      </c>
      <c r="B36" s="75">
        <v>2045.78</v>
      </c>
      <c r="C36" s="98">
        <f t="shared" si="24"/>
        <v>17695.997</v>
      </c>
      <c r="D36" s="99">
        <f t="shared" si="25"/>
        <v>1626.737</v>
      </c>
      <c r="E36" s="79">
        <v>1854.8</v>
      </c>
      <c r="F36" s="76">
        <v>0</v>
      </c>
      <c r="G36" s="76">
        <v>2512.42</v>
      </c>
      <c r="H36" s="76">
        <v>0</v>
      </c>
      <c r="I36" s="76">
        <v>6036.47</v>
      </c>
      <c r="J36" s="76">
        <v>0</v>
      </c>
      <c r="K36" s="76">
        <v>4181.7</v>
      </c>
      <c r="L36" s="76">
        <v>0</v>
      </c>
      <c r="M36" s="76">
        <v>1483.87</v>
      </c>
      <c r="N36" s="80">
        <v>0</v>
      </c>
      <c r="O36" s="80">
        <v>0</v>
      </c>
      <c r="P36" s="80">
        <v>0</v>
      </c>
      <c r="Q36" s="80"/>
      <c r="R36" s="80"/>
      <c r="S36" s="76">
        <f t="shared" si="26"/>
        <v>16069.259999999998</v>
      </c>
      <c r="T36" s="100">
        <f t="shared" si="27"/>
        <v>0</v>
      </c>
      <c r="U36" s="79">
        <v>1361.17</v>
      </c>
      <c r="V36" s="76">
        <v>1843.48</v>
      </c>
      <c r="W36" s="76">
        <v>4427.86</v>
      </c>
      <c r="X36" s="76">
        <v>3068.6</v>
      </c>
      <c r="Y36" s="76">
        <v>1088.96</v>
      </c>
      <c r="Z36" s="76">
        <v>0</v>
      </c>
      <c r="AA36" s="80">
        <v>0</v>
      </c>
      <c r="AB36" s="80">
        <f t="shared" si="42"/>
        <v>11790.07</v>
      </c>
      <c r="AC36" s="101">
        <f t="shared" si="28"/>
        <v>13416.807</v>
      </c>
      <c r="AD36" s="102">
        <f t="shared" si="29"/>
        <v>0</v>
      </c>
      <c r="AE36" s="102">
        <f t="shared" si="30"/>
        <v>0</v>
      </c>
      <c r="AF36" s="102">
        <f>'[6]Т07-10'!$I$30+'[6]Т07-10'!$I$104+'[6]Т07-10'!$I$108+'[6]Т07-10'!$I$119</f>
        <v>3228.95318</v>
      </c>
      <c r="AG36" s="25">
        <f t="shared" si="31"/>
        <v>1227.4679999999998</v>
      </c>
      <c r="AH36" s="25">
        <f t="shared" si="32"/>
        <v>409.156</v>
      </c>
      <c r="AI36" s="25">
        <f t="shared" si="33"/>
        <v>2045.78</v>
      </c>
      <c r="AJ36" s="25">
        <v>0</v>
      </c>
      <c r="AK36" s="25">
        <f t="shared" si="34"/>
        <v>2004.8644</v>
      </c>
      <c r="AL36" s="25">
        <v>0</v>
      </c>
      <c r="AM36" s="25">
        <f t="shared" si="35"/>
        <v>4603.005</v>
      </c>
      <c r="AN36" s="25">
        <v>0</v>
      </c>
      <c r="AO36" s="25"/>
      <c r="AP36" s="25"/>
      <c r="AQ36" s="95"/>
      <c r="AR36" s="95"/>
      <c r="AS36" s="78"/>
      <c r="AT36" s="78">
        <f>318387.81</f>
        <v>318387.81</v>
      </c>
      <c r="AU36" s="78">
        <f>0*0.18</f>
        <v>0</v>
      </c>
      <c r="AV36" s="103">
        <v>248</v>
      </c>
      <c r="AW36" s="104">
        <v>1.375</v>
      </c>
      <c r="AX36" s="25">
        <f t="shared" si="37"/>
        <v>477.4</v>
      </c>
      <c r="AY36" s="105"/>
      <c r="AZ36" s="106"/>
      <c r="BA36" s="106">
        <f t="shared" si="38"/>
        <v>0</v>
      </c>
      <c r="BB36" s="106">
        <f t="shared" si="39"/>
        <v>329155.4834</v>
      </c>
      <c r="BC36" s="107">
        <f>'[5]Т06-10'!$M$31+'[5]Т06-10'!$M$105+'[5]Т06-10'!$M$109+'[5]Т06-10'!$M$120</f>
        <v>1511.993</v>
      </c>
      <c r="BD36" s="18"/>
      <c r="BE36" s="121">
        <f t="shared" si="40"/>
        <v>-314021.71622</v>
      </c>
      <c r="BF36" s="121">
        <f t="shared" si="41"/>
        <v>-4279.189999999999</v>
      </c>
    </row>
    <row r="37" spans="1:58" ht="12.75">
      <c r="A37" s="14" t="s">
        <v>50</v>
      </c>
      <c r="B37" s="75">
        <v>2045.78</v>
      </c>
      <c r="C37" s="98">
        <f t="shared" si="24"/>
        <v>17695.997</v>
      </c>
      <c r="D37" s="99">
        <f t="shared" si="25"/>
        <v>1626.7170000000006</v>
      </c>
      <c r="E37" s="79">
        <v>1854.8</v>
      </c>
      <c r="F37" s="76">
        <v>0</v>
      </c>
      <c r="G37" s="76">
        <v>2512.41</v>
      </c>
      <c r="H37" s="76">
        <v>0</v>
      </c>
      <c r="I37" s="76">
        <v>6036.5</v>
      </c>
      <c r="J37" s="76">
        <v>0</v>
      </c>
      <c r="K37" s="76">
        <v>4181.7</v>
      </c>
      <c r="L37" s="76">
        <v>0</v>
      </c>
      <c r="M37" s="76">
        <v>1483.87</v>
      </c>
      <c r="N37" s="80">
        <v>0</v>
      </c>
      <c r="O37" s="80">
        <v>0</v>
      </c>
      <c r="P37" s="80">
        <v>0</v>
      </c>
      <c r="Q37" s="80"/>
      <c r="R37" s="80"/>
      <c r="S37" s="76">
        <f t="shared" si="26"/>
        <v>16069.279999999999</v>
      </c>
      <c r="T37" s="100">
        <f t="shared" si="27"/>
        <v>0</v>
      </c>
      <c r="U37" s="161">
        <v>1813.14</v>
      </c>
      <c r="V37" s="161">
        <v>2455.87</v>
      </c>
      <c r="W37" s="161">
        <v>5899.31</v>
      </c>
      <c r="X37" s="161">
        <v>4087.7</v>
      </c>
      <c r="Y37" s="161">
        <v>1450.57</v>
      </c>
      <c r="Z37" s="161">
        <v>0</v>
      </c>
      <c r="AA37" s="162">
        <v>0</v>
      </c>
      <c r="AB37" s="80">
        <f t="shared" si="42"/>
        <v>15706.59</v>
      </c>
      <c r="AC37" s="101">
        <f t="shared" si="28"/>
        <v>17333.307</v>
      </c>
      <c r="AD37" s="102">
        <f t="shared" si="29"/>
        <v>0</v>
      </c>
      <c r="AE37" s="102">
        <f t="shared" si="30"/>
        <v>0</v>
      </c>
      <c r="AF37" s="102">
        <f>'[6]Т07-10'!$I$30+'[6]Т07-10'!$I$104+'[6]Т07-10'!$I$108+'[6]Т07-10'!$I$119</f>
        <v>3228.95318</v>
      </c>
      <c r="AG37" s="25">
        <f t="shared" si="31"/>
        <v>1227.4679999999998</v>
      </c>
      <c r="AH37" s="25">
        <f t="shared" si="32"/>
        <v>409.156</v>
      </c>
      <c r="AI37" s="25">
        <f t="shared" si="33"/>
        <v>2045.78</v>
      </c>
      <c r="AJ37" s="25">
        <v>0</v>
      </c>
      <c r="AK37" s="25">
        <f t="shared" si="34"/>
        <v>2004.8644</v>
      </c>
      <c r="AL37" s="25">
        <v>0</v>
      </c>
      <c r="AM37" s="25">
        <f t="shared" si="35"/>
        <v>4603.005</v>
      </c>
      <c r="AN37" s="25">
        <v>0</v>
      </c>
      <c r="AO37" s="25"/>
      <c r="AP37" s="25"/>
      <c r="AQ37" s="95"/>
      <c r="AR37" s="95"/>
      <c r="AS37" s="78">
        <v>3972</v>
      </c>
      <c r="AT37" s="78">
        <f>47.8+84</f>
        <v>131.8</v>
      </c>
      <c r="AU37" s="78">
        <f>AT37*0.18</f>
        <v>23.724</v>
      </c>
      <c r="AV37" s="103">
        <v>293</v>
      </c>
      <c r="AW37" s="104">
        <v>1.375</v>
      </c>
      <c r="AX37" s="25">
        <f t="shared" si="37"/>
        <v>564.025</v>
      </c>
      <c r="AY37" s="105"/>
      <c r="AZ37" s="106"/>
      <c r="BA37" s="106">
        <f t="shared" si="38"/>
        <v>0</v>
      </c>
      <c r="BB37" s="106">
        <f t="shared" si="39"/>
        <v>14981.822399999997</v>
      </c>
      <c r="BC37" s="107">
        <f>'[5]Т06-10'!$M$31+'[5]Т06-10'!$M$105+'[5]Т06-10'!$M$109+'[5]Т06-10'!$M$120</f>
        <v>1511.993</v>
      </c>
      <c r="BD37" s="18"/>
      <c r="BE37" s="121">
        <f t="shared" si="40"/>
        <v>4068.4447800000034</v>
      </c>
      <c r="BF37" s="121">
        <f t="shared" si="41"/>
        <v>-362.6899999999987</v>
      </c>
    </row>
    <row r="38" spans="1:58" ht="13.5" thickBot="1">
      <c r="A38" s="144" t="s">
        <v>51</v>
      </c>
      <c r="B38" s="75">
        <v>2045.78</v>
      </c>
      <c r="C38" s="98">
        <f t="shared" si="24"/>
        <v>17695.997</v>
      </c>
      <c r="D38" s="99">
        <f t="shared" si="25"/>
        <v>1626.737</v>
      </c>
      <c r="E38" s="76">
        <v>1854.8</v>
      </c>
      <c r="F38" s="76">
        <v>0</v>
      </c>
      <c r="G38" s="76">
        <v>2512.42</v>
      </c>
      <c r="H38" s="76">
        <v>0</v>
      </c>
      <c r="I38" s="76">
        <v>6036.47</v>
      </c>
      <c r="J38" s="76">
        <v>0</v>
      </c>
      <c r="K38" s="76">
        <v>4181.7</v>
      </c>
      <c r="L38" s="76">
        <v>0</v>
      </c>
      <c r="M38" s="76">
        <v>1483.87</v>
      </c>
      <c r="N38" s="80">
        <v>0</v>
      </c>
      <c r="O38" s="80">
        <v>0</v>
      </c>
      <c r="P38" s="80">
        <v>0</v>
      </c>
      <c r="Q38" s="80"/>
      <c r="R38" s="80"/>
      <c r="S38" s="76">
        <f t="shared" si="26"/>
        <v>16069.259999999998</v>
      </c>
      <c r="T38" s="100">
        <f t="shared" si="27"/>
        <v>0</v>
      </c>
      <c r="U38" s="76">
        <v>1693.89</v>
      </c>
      <c r="V38" s="76">
        <v>2293.62</v>
      </c>
      <c r="W38" s="76">
        <v>5510.92</v>
      </c>
      <c r="X38" s="76">
        <v>3818.03</v>
      </c>
      <c r="Y38" s="76">
        <v>1375.12</v>
      </c>
      <c r="Z38" s="76">
        <v>0</v>
      </c>
      <c r="AA38" s="80">
        <v>0</v>
      </c>
      <c r="AB38" s="80">
        <f t="shared" si="42"/>
        <v>14691.580000000002</v>
      </c>
      <c r="AC38" s="101">
        <f t="shared" si="28"/>
        <v>16318.317000000003</v>
      </c>
      <c r="AD38" s="102">
        <f t="shared" si="29"/>
        <v>0</v>
      </c>
      <c r="AE38" s="102">
        <f t="shared" si="30"/>
        <v>0</v>
      </c>
      <c r="AF38" s="102">
        <f>'[6]Т07-10'!$I$30+'[6]Т07-10'!$I$104+'[6]Т07-10'!$I$108+'[6]Т07-10'!$I$119</f>
        <v>3228.95318</v>
      </c>
      <c r="AG38" s="25">
        <f t="shared" si="31"/>
        <v>1227.4679999999998</v>
      </c>
      <c r="AH38" s="25">
        <f t="shared" si="32"/>
        <v>409.156</v>
      </c>
      <c r="AI38" s="25">
        <f t="shared" si="33"/>
        <v>2045.78</v>
      </c>
      <c r="AJ38" s="25">
        <v>0</v>
      </c>
      <c r="AK38" s="25">
        <f t="shared" si="34"/>
        <v>2004.8644</v>
      </c>
      <c r="AL38" s="25">
        <v>0</v>
      </c>
      <c r="AM38" s="25">
        <f t="shared" si="35"/>
        <v>4603.005</v>
      </c>
      <c r="AN38" s="25">
        <v>0</v>
      </c>
      <c r="AO38" s="25"/>
      <c r="AP38" s="25"/>
      <c r="AQ38" s="95"/>
      <c r="AR38" s="95"/>
      <c r="AS38" s="78">
        <v>577</v>
      </c>
      <c r="AT38" s="78">
        <f>11999</f>
        <v>11999</v>
      </c>
      <c r="AU38" s="163">
        <f>0*0.18</f>
        <v>0</v>
      </c>
      <c r="AV38" s="103">
        <v>349</v>
      </c>
      <c r="AW38" s="104">
        <v>1.375</v>
      </c>
      <c r="AX38" s="25">
        <f t="shared" si="37"/>
        <v>671.8249999999999</v>
      </c>
      <c r="AY38" s="105"/>
      <c r="AZ38" s="106"/>
      <c r="BA38" s="106">
        <f t="shared" si="38"/>
        <v>0</v>
      </c>
      <c r="BB38" s="106">
        <f t="shared" si="39"/>
        <v>23538.0984</v>
      </c>
      <c r="BC38" s="107">
        <f>'[5]Т06-10'!$M$31+'[5]Т06-10'!$M$105+'[5]Т06-10'!$M$109+'[5]Т06-10'!$M$120</f>
        <v>1511.993</v>
      </c>
      <c r="BD38" s="150"/>
      <c r="BE38" s="121">
        <f t="shared" si="40"/>
        <v>-5502.821219999996</v>
      </c>
      <c r="BF38" s="121">
        <f t="shared" si="41"/>
        <v>-1377.6799999999967</v>
      </c>
    </row>
    <row r="39" spans="1:58" ht="12.75">
      <c r="A39" s="151" t="s">
        <v>39</v>
      </c>
      <c r="B39" s="75">
        <v>2045.78</v>
      </c>
      <c r="C39" s="98">
        <f t="shared" si="24"/>
        <v>17695.997</v>
      </c>
      <c r="D39" s="183">
        <f>C39-E39-F39-G39-H39-I39-J39-K39-L39-M39-N39+100000</f>
        <v>101644.777</v>
      </c>
      <c r="E39" s="77">
        <v>1852.68</v>
      </c>
      <c r="F39" s="77">
        <v>0</v>
      </c>
      <c r="G39" s="77">
        <v>2509.66</v>
      </c>
      <c r="H39" s="77">
        <v>0</v>
      </c>
      <c r="I39" s="77">
        <v>6029.68</v>
      </c>
      <c r="J39" s="77">
        <v>0</v>
      </c>
      <c r="K39" s="77">
        <v>4177.03</v>
      </c>
      <c r="L39" s="77">
        <v>0</v>
      </c>
      <c r="M39" s="77">
        <v>1482.17</v>
      </c>
      <c r="N39" s="94">
        <v>0</v>
      </c>
      <c r="O39" s="94">
        <v>0</v>
      </c>
      <c r="P39" s="94">
        <v>0</v>
      </c>
      <c r="Q39" s="94"/>
      <c r="R39" s="94"/>
      <c r="S39" s="76">
        <f t="shared" si="26"/>
        <v>16051.22</v>
      </c>
      <c r="T39" s="100">
        <f t="shared" si="27"/>
        <v>0</v>
      </c>
      <c r="U39" s="76">
        <v>1739.65</v>
      </c>
      <c r="V39" s="76">
        <v>2356.84</v>
      </c>
      <c r="W39" s="76">
        <v>5662.4</v>
      </c>
      <c r="X39" s="76">
        <v>3922.57</v>
      </c>
      <c r="Y39" s="76">
        <v>1371.93</v>
      </c>
      <c r="Z39" s="76">
        <v>0</v>
      </c>
      <c r="AA39" s="80">
        <v>0</v>
      </c>
      <c r="AB39" s="80">
        <f t="shared" si="42"/>
        <v>15053.39</v>
      </c>
      <c r="AC39" s="101">
        <f t="shared" si="28"/>
        <v>116698.167</v>
      </c>
      <c r="AD39" s="102">
        <f t="shared" si="29"/>
        <v>0</v>
      </c>
      <c r="AE39" s="102">
        <f t="shared" si="30"/>
        <v>0</v>
      </c>
      <c r="AF39" s="102">
        <f>'[6]Т10-10'!$I$30+'[6]Т10-10'!$I$105+'[6]Т10-10'!$I$109+'[6]Т10-10'!$I$120+100</f>
        <v>3328.95318</v>
      </c>
      <c r="AG39" s="25">
        <f t="shared" si="31"/>
        <v>1227.4679999999998</v>
      </c>
      <c r="AH39" s="25">
        <f t="shared" si="32"/>
        <v>409.156</v>
      </c>
      <c r="AI39" s="25">
        <f t="shared" si="33"/>
        <v>2045.78</v>
      </c>
      <c r="AJ39" s="25">
        <v>0</v>
      </c>
      <c r="AK39" s="25">
        <f t="shared" si="34"/>
        <v>2004.8644</v>
      </c>
      <c r="AL39" s="25">
        <v>0</v>
      </c>
      <c r="AM39" s="25">
        <f t="shared" si="35"/>
        <v>4603.005</v>
      </c>
      <c r="AN39" s="25">
        <v>0</v>
      </c>
      <c r="AO39" s="25"/>
      <c r="AP39" s="25"/>
      <c r="AQ39" s="95"/>
      <c r="AR39" s="95"/>
      <c r="AS39" s="78">
        <v>1196</v>
      </c>
      <c r="AT39" s="78">
        <v>120</v>
      </c>
      <c r="AU39" s="78">
        <f>AT39*0.18</f>
        <v>21.599999999999998</v>
      </c>
      <c r="AV39" s="103">
        <v>425</v>
      </c>
      <c r="AW39" s="104">
        <v>1.375</v>
      </c>
      <c r="AX39" s="25">
        <f t="shared" si="37"/>
        <v>818.125</v>
      </c>
      <c r="AY39" s="105"/>
      <c r="AZ39" s="106"/>
      <c r="BA39" s="106">
        <f t="shared" si="38"/>
        <v>0</v>
      </c>
      <c r="BB39" s="106">
        <f t="shared" si="39"/>
        <v>12445.998399999999</v>
      </c>
      <c r="BC39" s="107">
        <f>'[6]Т10-10'!$M$30+'[6]Т10-10'!$M$105+'[6]Т10-10'!$M$109+'[6]Т10-10'!$M$120+25</f>
        <v>1536.993</v>
      </c>
      <c r="BD39" s="153"/>
      <c r="BE39" s="121">
        <f t="shared" si="40"/>
        <v>106044.12878</v>
      </c>
      <c r="BF39" s="121">
        <f t="shared" si="41"/>
        <v>-997.8299999999999</v>
      </c>
    </row>
    <row r="40" spans="1:58" ht="12.75">
      <c r="A40" s="14" t="s">
        <v>40</v>
      </c>
      <c r="B40" s="75">
        <v>2045.78</v>
      </c>
      <c r="C40" s="98">
        <f t="shared" si="24"/>
        <v>17695.997</v>
      </c>
      <c r="D40" s="99">
        <f>C40-E40-F40-G40-H40-I40-J40-K40-L40-M40-N40</f>
        <v>1673.3169999999998</v>
      </c>
      <c r="E40" s="76">
        <v>1849.32</v>
      </c>
      <c r="F40" s="76">
        <v>0</v>
      </c>
      <c r="G40" s="76">
        <v>2505.3</v>
      </c>
      <c r="H40" s="76">
        <v>0</v>
      </c>
      <c r="I40" s="76">
        <v>6018.93</v>
      </c>
      <c r="J40" s="76">
        <v>0</v>
      </c>
      <c r="K40" s="76">
        <v>4169.64</v>
      </c>
      <c r="L40" s="76">
        <v>0</v>
      </c>
      <c r="M40" s="76">
        <v>1479.49</v>
      </c>
      <c r="N40" s="80">
        <v>0</v>
      </c>
      <c r="O40" s="80">
        <v>0</v>
      </c>
      <c r="P40" s="80">
        <v>0</v>
      </c>
      <c r="Q40" s="80"/>
      <c r="R40" s="80"/>
      <c r="S40" s="76">
        <f t="shared" si="26"/>
        <v>16022.679999999998</v>
      </c>
      <c r="T40" s="100">
        <f t="shared" si="27"/>
        <v>0</v>
      </c>
      <c r="U40" s="79">
        <v>1362.24</v>
      </c>
      <c r="V40" s="76">
        <v>1845.36</v>
      </c>
      <c r="W40" s="76">
        <v>8233.11</v>
      </c>
      <c r="X40" s="76">
        <v>3071.47</v>
      </c>
      <c r="Y40" s="76">
        <v>1089.82</v>
      </c>
      <c r="Z40" s="76">
        <v>0</v>
      </c>
      <c r="AA40" s="80">
        <v>0</v>
      </c>
      <c r="AB40" s="80">
        <f t="shared" si="42"/>
        <v>15602</v>
      </c>
      <c r="AC40" s="101">
        <f t="shared" si="28"/>
        <v>17275.317</v>
      </c>
      <c r="AD40" s="102">
        <f t="shared" si="29"/>
        <v>0</v>
      </c>
      <c r="AE40" s="102">
        <f t="shared" si="30"/>
        <v>0</v>
      </c>
      <c r="AF40" s="102">
        <f>'[6]Т11'!$I$30+'[6]Т11'!$I$104+'[6]Т11'!$I$108+'[6]Т11'!$I$119+100</f>
        <v>3328.95318</v>
      </c>
      <c r="AG40" s="25">
        <f t="shared" si="31"/>
        <v>1227.4679999999998</v>
      </c>
      <c r="AH40" s="25">
        <f t="shared" si="32"/>
        <v>409.156</v>
      </c>
      <c r="AI40" s="25">
        <f t="shared" si="33"/>
        <v>2045.78</v>
      </c>
      <c r="AJ40" s="25">
        <v>0</v>
      </c>
      <c r="AK40" s="25">
        <f t="shared" si="34"/>
        <v>2004.8644</v>
      </c>
      <c r="AL40" s="25">
        <v>0</v>
      </c>
      <c r="AM40" s="25">
        <f t="shared" si="35"/>
        <v>4603.005</v>
      </c>
      <c r="AN40" s="25">
        <v>0</v>
      </c>
      <c r="AO40" s="25"/>
      <c r="AP40" s="25"/>
      <c r="AQ40" s="95"/>
      <c r="AR40" s="95"/>
      <c r="AS40" s="78">
        <v>770</v>
      </c>
      <c r="AT40" s="78"/>
      <c r="AU40" s="78">
        <f>AT40*0.18</f>
        <v>0</v>
      </c>
      <c r="AV40" s="103">
        <v>470</v>
      </c>
      <c r="AW40" s="104">
        <v>1.375</v>
      </c>
      <c r="AX40" s="25">
        <f t="shared" si="37"/>
        <v>904.7499999999999</v>
      </c>
      <c r="AY40" s="105"/>
      <c r="AZ40" s="106"/>
      <c r="BA40" s="106">
        <f t="shared" si="38"/>
        <v>0</v>
      </c>
      <c r="BB40" s="106">
        <f t="shared" si="39"/>
        <v>11965.023399999998</v>
      </c>
      <c r="BC40" s="107">
        <f>'[6]Т11'!$M$30+'[6]Т11'!$M$104+'[6]Т11'!$M$108+'[6]Т11'!$M$119+25</f>
        <v>1536.993</v>
      </c>
      <c r="BD40" s="57"/>
      <c r="BE40" s="121">
        <f t="shared" si="40"/>
        <v>7102.253780000001</v>
      </c>
      <c r="BF40" s="121">
        <f t="shared" si="41"/>
        <v>-420.6799999999985</v>
      </c>
    </row>
    <row r="41" spans="1:58" s="123" customFormat="1" ht="12.75">
      <c r="A41" s="116" t="s">
        <v>41</v>
      </c>
      <c r="B41" s="75">
        <v>2045.78</v>
      </c>
      <c r="C41" s="98">
        <f t="shared" si="24"/>
        <v>17695.997</v>
      </c>
      <c r="D41" s="99">
        <f>C41-E41-F41-G41-H41-I41-J41-K41-L41-M41-N41</f>
        <v>1666.4269999999972</v>
      </c>
      <c r="E41" s="76">
        <v>1850.13</v>
      </c>
      <c r="F41" s="76">
        <v>0</v>
      </c>
      <c r="G41" s="76">
        <v>2506.36</v>
      </c>
      <c r="H41" s="76">
        <v>0</v>
      </c>
      <c r="I41" s="76">
        <v>6021.52</v>
      </c>
      <c r="J41" s="76">
        <v>0</v>
      </c>
      <c r="K41" s="76">
        <v>4171.42</v>
      </c>
      <c r="L41" s="76">
        <v>0</v>
      </c>
      <c r="M41" s="76">
        <v>1480.14</v>
      </c>
      <c r="N41" s="80">
        <v>0</v>
      </c>
      <c r="O41" s="80">
        <v>0</v>
      </c>
      <c r="P41" s="80">
        <v>0</v>
      </c>
      <c r="Q41" s="80"/>
      <c r="R41" s="80"/>
      <c r="S41" s="76">
        <f t="shared" si="26"/>
        <v>16029.57</v>
      </c>
      <c r="T41" s="100">
        <f t="shared" si="27"/>
        <v>0</v>
      </c>
      <c r="U41" s="76">
        <v>1759.56</v>
      </c>
      <c r="V41" s="76">
        <v>2382.7</v>
      </c>
      <c r="W41" s="76">
        <v>5724.26</v>
      </c>
      <c r="X41" s="76">
        <v>6266.18</v>
      </c>
      <c r="Y41" s="76">
        <v>1407.43</v>
      </c>
      <c r="Z41" s="76">
        <v>0</v>
      </c>
      <c r="AA41" s="80">
        <v>0</v>
      </c>
      <c r="AB41" s="80">
        <f t="shared" si="42"/>
        <v>17540.13</v>
      </c>
      <c r="AC41" s="101">
        <f t="shared" si="28"/>
        <v>19206.556999999997</v>
      </c>
      <c r="AD41" s="102">
        <f t="shared" si="29"/>
        <v>0</v>
      </c>
      <c r="AE41" s="102">
        <f t="shared" si="30"/>
        <v>0</v>
      </c>
      <c r="AF41" s="102">
        <f>'[6]Т11'!$I$30+'[6]Т11'!$I$104+'[6]Т11'!$I$108+'[6]Т11'!$I$119+100</f>
        <v>3328.95318</v>
      </c>
      <c r="AG41" s="25">
        <f t="shared" si="31"/>
        <v>1227.4679999999998</v>
      </c>
      <c r="AH41" s="25">
        <f t="shared" si="32"/>
        <v>409.156</v>
      </c>
      <c r="AI41" s="25">
        <f t="shared" si="33"/>
        <v>2045.78</v>
      </c>
      <c r="AJ41" s="25">
        <v>0</v>
      </c>
      <c r="AK41" s="25">
        <f t="shared" si="34"/>
        <v>2004.8644</v>
      </c>
      <c r="AL41" s="25">
        <v>0</v>
      </c>
      <c r="AM41" s="25">
        <f t="shared" si="35"/>
        <v>4603.005</v>
      </c>
      <c r="AN41" s="25">
        <v>0</v>
      </c>
      <c r="AO41" s="25"/>
      <c r="AP41" s="25"/>
      <c r="AQ41" s="95"/>
      <c r="AR41" s="95"/>
      <c r="AS41" s="78">
        <v>3946</v>
      </c>
      <c r="AT41" s="78"/>
      <c r="AU41" s="78">
        <f>AT41*0.18</f>
        <v>0</v>
      </c>
      <c r="AV41" s="103">
        <v>514</v>
      </c>
      <c r="AW41" s="104">
        <v>1.375</v>
      </c>
      <c r="AX41" s="25">
        <f t="shared" si="37"/>
        <v>989.4499999999999</v>
      </c>
      <c r="AY41" s="105"/>
      <c r="AZ41" s="106"/>
      <c r="BA41" s="106">
        <f t="shared" si="38"/>
        <v>0</v>
      </c>
      <c r="BB41" s="106">
        <f t="shared" si="39"/>
        <v>15225.723399999999</v>
      </c>
      <c r="BC41" s="107">
        <f>'[6]Т11'!$M$30+'[6]Т11'!$M$104+'[6]Т11'!$M$108+'[6]Т11'!$M$119+25</f>
        <v>1536.993</v>
      </c>
      <c r="BD41" s="74"/>
      <c r="BE41" s="121">
        <f t="shared" si="40"/>
        <v>5772.793779999998</v>
      </c>
      <c r="BF41" s="121">
        <f t="shared" si="41"/>
        <v>1510.5600000000013</v>
      </c>
    </row>
    <row r="42" spans="1:58" s="24" customFormat="1" ht="12.75">
      <c r="A42" s="19" t="s">
        <v>3</v>
      </c>
      <c r="B42" s="20"/>
      <c r="C42" s="20">
        <f>SUM(C30:C41)</f>
        <v>212240.37900000002</v>
      </c>
      <c r="D42" s="20">
        <f aca="true" t="shared" si="43" ref="D42:BF42">SUM(D30:D41)</f>
        <v>119703.059</v>
      </c>
      <c r="E42" s="20">
        <f t="shared" si="43"/>
        <v>20378.859999999997</v>
      </c>
      <c r="F42" s="20">
        <f t="shared" si="43"/>
        <v>1844.34</v>
      </c>
      <c r="G42" s="20">
        <f t="shared" si="43"/>
        <v>27603.75</v>
      </c>
      <c r="H42" s="20">
        <f t="shared" si="43"/>
        <v>2500.0299999999997</v>
      </c>
      <c r="I42" s="20">
        <f t="shared" si="43"/>
        <v>66323.06</v>
      </c>
      <c r="J42" s="20">
        <f t="shared" si="43"/>
        <v>6004.18</v>
      </c>
      <c r="K42" s="20">
        <f t="shared" si="43"/>
        <v>45944.31999999999</v>
      </c>
      <c r="L42" s="20">
        <f t="shared" si="43"/>
        <v>4159.85</v>
      </c>
      <c r="M42" s="20">
        <f t="shared" si="43"/>
        <v>16303.619999999999</v>
      </c>
      <c r="N42" s="20">
        <f t="shared" si="43"/>
        <v>1475.31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176553.61</v>
      </c>
      <c r="T42" s="20">
        <f t="shared" si="43"/>
        <v>15983.71</v>
      </c>
      <c r="U42" s="20">
        <f t="shared" si="43"/>
        <v>17267.78</v>
      </c>
      <c r="V42" s="20">
        <f t="shared" si="43"/>
        <v>23382.73</v>
      </c>
      <c r="W42" s="20">
        <f t="shared" si="43"/>
        <v>59993.420000000006</v>
      </c>
      <c r="X42" s="20">
        <f t="shared" si="43"/>
        <v>41223.799999999996</v>
      </c>
      <c r="Y42" s="20">
        <f t="shared" si="43"/>
        <v>13814.77</v>
      </c>
      <c r="Z42" s="20">
        <f t="shared" si="43"/>
        <v>0</v>
      </c>
      <c r="AA42" s="20">
        <f t="shared" si="43"/>
        <v>0</v>
      </c>
      <c r="AB42" s="20">
        <f t="shared" si="43"/>
        <v>155682.5</v>
      </c>
      <c r="AC42" s="20">
        <f t="shared" si="43"/>
        <v>291369.269</v>
      </c>
      <c r="AD42" s="20">
        <f t="shared" si="43"/>
        <v>0</v>
      </c>
      <c r="AE42" s="20">
        <f t="shared" si="43"/>
        <v>0</v>
      </c>
      <c r="AF42" s="20">
        <f t="shared" si="43"/>
        <v>39047.43816</v>
      </c>
      <c r="AG42" s="20">
        <f t="shared" si="43"/>
        <v>14721.876000000004</v>
      </c>
      <c r="AH42" s="20">
        <f t="shared" si="43"/>
        <v>4907.292</v>
      </c>
      <c r="AI42" s="20">
        <f t="shared" si="43"/>
        <v>24536.46</v>
      </c>
      <c r="AJ42" s="20">
        <f t="shared" si="43"/>
        <v>0</v>
      </c>
      <c r="AK42" s="20">
        <f t="shared" si="43"/>
        <v>24045.730799999998</v>
      </c>
      <c r="AL42" s="20">
        <f t="shared" si="43"/>
        <v>0</v>
      </c>
      <c r="AM42" s="20">
        <f t="shared" si="43"/>
        <v>55207.03499999999</v>
      </c>
      <c r="AN42" s="20">
        <f t="shared" si="43"/>
        <v>0</v>
      </c>
      <c r="AO42" s="20">
        <f t="shared" si="43"/>
        <v>2300.94</v>
      </c>
      <c r="AP42" s="20">
        <f t="shared" si="43"/>
        <v>0</v>
      </c>
      <c r="AQ42" s="154">
        <f t="shared" si="43"/>
        <v>0</v>
      </c>
      <c r="AR42" s="154">
        <f t="shared" si="43"/>
        <v>0</v>
      </c>
      <c r="AS42" s="21">
        <f t="shared" si="43"/>
        <v>12764</v>
      </c>
      <c r="AT42" s="21">
        <f t="shared" si="43"/>
        <v>331404.88</v>
      </c>
      <c r="AU42" s="21">
        <f t="shared" si="43"/>
        <v>183.25259999999997</v>
      </c>
      <c r="AV42" s="20">
        <f t="shared" si="43"/>
        <v>4400</v>
      </c>
      <c r="AW42" s="20">
        <f t="shared" si="43"/>
        <v>16.5</v>
      </c>
      <c r="AX42" s="20">
        <f t="shared" si="43"/>
        <v>8470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478541.46640000003</v>
      </c>
      <c r="BC42" s="20">
        <f t="shared" si="43"/>
        <v>18218.916</v>
      </c>
      <c r="BD42" s="20">
        <f t="shared" si="43"/>
        <v>0</v>
      </c>
      <c r="BE42" s="20">
        <f t="shared" si="43"/>
        <v>-166343.67523999995</v>
      </c>
      <c r="BF42" s="155">
        <f t="shared" si="43"/>
        <v>-20871.109999999997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56"/>
      <c r="AE43" s="156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3"/>
      <c r="AQ43" s="157"/>
      <c r="AR43" s="157"/>
      <c r="AS43" s="73"/>
      <c r="AT43" s="73"/>
      <c r="AU43" s="73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58"/>
    </row>
    <row r="44" spans="1:58" s="24" customFormat="1" ht="13.5" thickBot="1">
      <c r="A44" s="27" t="s">
        <v>52</v>
      </c>
      <c r="B44" s="28"/>
      <c r="C44" s="28">
        <f>C28+C42</f>
        <v>477063.935</v>
      </c>
      <c r="D44" s="28">
        <f aca="true" t="shared" si="44" ref="D44:BF44">D28+D42</f>
        <v>154995.40388737002</v>
      </c>
      <c r="E44" s="28">
        <f t="shared" si="44"/>
        <v>42330.81</v>
      </c>
      <c r="F44" s="28">
        <f t="shared" si="44"/>
        <v>6238.63</v>
      </c>
      <c r="G44" s="28">
        <f t="shared" si="44"/>
        <v>57292.41</v>
      </c>
      <c r="H44" s="28">
        <f t="shared" si="44"/>
        <v>8446.27</v>
      </c>
      <c r="I44" s="28">
        <f t="shared" si="44"/>
        <v>137720.21</v>
      </c>
      <c r="J44" s="28">
        <f t="shared" si="44"/>
        <v>20299.74</v>
      </c>
      <c r="K44" s="28">
        <f t="shared" si="44"/>
        <v>95389.87</v>
      </c>
      <c r="L44" s="28">
        <f t="shared" si="44"/>
        <v>14061.460000000001</v>
      </c>
      <c r="M44" s="28">
        <f t="shared" si="44"/>
        <v>33865.399999999994</v>
      </c>
      <c r="N44" s="28">
        <f t="shared" si="44"/>
        <v>4990.67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366598.69999999995</v>
      </c>
      <c r="T44" s="28">
        <f t="shared" si="44"/>
        <v>54036.77</v>
      </c>
      <c r="U44" s="28">
        <f t="shared" si="44"/>
        <v>36191.83</v>
      </c>
      <c r="V44" s="28">
        <f t="shared" si="44"/>
        <v>48971.299999999996</v>
      </c>
      <c r="W44" s="28">
        <f t="shared" si="44"/>
        <v>121537.65300000002</v>
      </c>
      <c r="X44" s="28">
        <f t="shared" si="44"/>
        <v>83844.19999999998</v>
      </c>
      <c r="Y44" s="28">
        <f t="shared" si="44"/>
        <v>28954.03</v>
      </c>
      <c r="Z44" s="28">
        <f t="shared" si="44"/>
        <v>0</v>
      </c>
      <c r="AA44" s="28">
        <f t="shared" si="44"/>
        <v>0</v>
      </c>
      <c r="AB44" s="28">
        <f t="shared" si="44"/>
        <v>319499.01300000004</v>
      </c>
      <c r="AC44" s="28">
        <f t="shared" si="44"/>
        <v>528531.18688737</v>
      </c>
      <c r="AD44" s="28">
        <f t="shared" si="44"/>
        <v>0</v>
      </c>
      <c r="AE44" s="28">
        <f t="shared" si="44"/>
        <v>0</v>
      </c>
      <c r="AF44" s="28">
        <f t="shared" si="44"/>
        <v>67777.08342</v>
      </c>
      <c r="AG44" s="28">
        <f t="shared" si="44"/>
        <v>32601.398400000005</v>
      </c>
      <c r="AH44" s="28">
        <f t="shared" si="44"/>
        <v>10924.107295360001</v>
      </c>
      <c r="AI44" s="28">
        <f t="shared" si="44"/>
        <v>49607.07622725</v>
      </c>
      <c r="AJ44" s="28">
        <f t="shared" si="44"/>
        <v>4512.7109209049995</v>
      </c>
      <c r="AK44" s="28">
        <f t="shared" si="44"/>
        <v>49413.45420538999</v>
      </c>
      <c r="AL44" s="28">
        <f t="shared" si="44"/>
        <v>4566.190212970199</v>
      </c>
      <c r="AM44" s="28">
        <f t="shared" si="44"/>
        <v>110758.89017847195</v>
      </c>
      <c r="AN44" s="28">
        <f t="shared" si="44"/>
        <v>9999.333932124951</v>
      </c>
      <c r="AO44" s="28">
        <f t="shared" si="44"/>
        <v>2300.94</v>
      </c>
      <c r="AP44" s="28">
        <f t="shared" si="44"/>
        <v>0</v>
      </c>
      <c r="AQ44" s="159">
        <f t="shared" si="44"/>
        <v>11582.380000000001</v>
      </c>
      <c r="AR44" s="159">
        <f t="shared" si="44"/>
        <v>2084.8284000000003</v>
      </c>
      <c r="AS44" s="160">
        <f t="shared" si="44"/>
        <v>47979.56</v>
      </c>
      <c r="AT44" s="160">
        <f t="shared" si="44"/>
        <v>331500.88</v>
      </c>
      <c r="AU44" s="160">
        <f t="shared" si="44"/>
        <v>6539.3333999999995</v>
      </c>
      <c r="AV44" s="28">
        <f t="shared" si="44"/>
        <v>8800</v>
      </c>
      <c r="AW44" s="28">
        <f t="shared" si="44"/>
        <v>33</v>
      </c>
      <c r="AX44" s="28">
        <f t="shared" si="44"/>
        <v>18824.405600000002</v>
      </c>
      <c r="AY44" s="28">
        <f t="shared" si="44"/>
        <v>0</v>
      </c>
      <c r="AZ44" s="28">
        <f t="shared" si="44"/>
        <v>0</v>
      </c>
      <c r="BA44" s="28">
        <f t="shared" si="44"/>
        <v>0</v>
      </c>
      <c r="BB44" s="28">
        <f t="shared" si="44"/>
        <v>690836.7631724721</v>
      </c>
      <c r="BC44" s="28">
        <f t="shared" si="44"/>
        <v>31317.414124005205</v>
      </c>
      <c r="BD44" s="28">
        <f t="shared" si="44"/>
        <v>196664.14963647735</v>
      </c>
      <c r="BE44" s="28">
        <f t="shared" si="44"/>
        <v>-125845.90698910727</v>
      </c>
      <c r="BF44" s="28">
        <f t="shared" si="44"/>
        <v>-47099.687000000005</v>
      </c>
    </row>
  </sheetData>
  <sheetProtection/>
  <mergeCells count="67">
    <mergeCell ref="Z5:Z6"/>
    <mergeCell ref="L5:L6"/>
    <mergeCell ref="AB5:AB6"/>
    <mergeCell ref="AF3:AF6"/>
    <mergeCell ref="A1:N1"/>
    <mergeCell ref="A3:A6"/>
    <mergeCell ref="B3:B6"/>
    <mergeCell ref="C3:C6"/>
    <mergeCell ref="D3:D6"/>
    <mergeCell ref="X5:X6"/>
    <mergeCell ref="Y5:Y6"/>
    <mergeCell ref="V5:V6"/>
    <mergeCell ref="W5:W6"/>
    <mergeCell ref="AA5:AA6"/>
    <mergeCell ref="E5:E6"/>
    <mergeCell ref="F5:F6"/>
    <mergeCell ref="G5:G6"/>
    <mergeCell ref="H5:H6"/>
    <mergeCell ref="I5:I6"/>
    <mergeCell ref="J5:J6"/>
    <mergeCell ref="K5:K6"/>
    <mergeCell ref="AP5:AP6"/>
    <mergeCell ref="AQ5:AQ6"/>
    <mergeCell ref="AR5:AR6"/>
    <mergeCell ref="AS5:AS6"/>
    <mergeCell ref="AT5:AT6"/>
    <mergeCell ref="P5:P6"/>
    <mergeCell ref="Q5:Q6"/>
    <mergeCell ref="R5:R6"/>
    <mergeCell ref="S5:S6"/>
    <mergeCell ref="AD3:AD6"/>
    <mergeCell ref="AG5:AG6"/>
    <mergeCell ref="AE3:AE6"/>
    <mergeCell ref="AN5:AN6"/>
    <mergeCell ref="AO5:AO6"/>
    <mergeCell ref="AH5:AH6"/>
    <mergeCell ref="AI5:AI6"/>
    <mergeCell ref="AJ5:AJ6"/>
    <mergeCell ref="AK5:AK6"/>
    <mergeCell ref="AL5:AL6"/>
    <mergeCell ref="AM5:AM6"/>
    <mergeCell ref="AC3:AC6"/>
    <mergeCell ref="M5:M6"/>
    <mergeCell ref="N5:N6"/>
    <mergeCell ref="O5:O6"/>
    <mergeCell ref="E3:F4"/>
    <mergeCell ref="G3:H4"/>
    <mergeCell ref="I3:J4"/>
    <mergeCell ref="K3:L4"/>
    <mergeCell ref="T5:T6"/>
    <mergeCell ref="U5:U6"/>
    <mergeCell ref="BE3:BE6"/>
    <mergeCell ref="BF3:BF6"/>
    <mergeCell ref="BC4:BC6"/>
    <mergeCell ref="BD4:BD6"/>
    <mergeCell ref="M3:N4"/>
    <mergeCell ref="O3:P4"/>
    <mergeCell ref="Q3:R4"/>
    <mergeCell ref="AG3:BB4"/>
    <mergeCell ref="S3:T4"/>
    <mergeCell ref="U3:AB4"/>
    <mergeCell ref="BB5:BB6"/>
    <mergeCell ref="AV5:AX5"/>
    <mergeCell ref="AY5:AY6"/>
    <mergeCell ref="AZ5:AZ6"/>
    <mergeCell ref="BA5:BA6"/>
    <mergeCell ref="BC3:B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9.875" style="2" customWidth="1"/>
    <col min="5" max="5" width="10.125" style="2" bestFit="1" customWidth="1"/>
    <col min="6" max="6" width="9.875" style="2" customWidth="1"/>
    <col min="7" max="7" width="10.125" style="2" customWidth="1"/>
    <col min="8" max="8" width="10.875" style="2" customWidth="1"/>
    <col min="9" max="9" width="10.125" style="2" customWidth="1"/>
    <col min="10" max="10" width="9.25390625" style="2" customWidth="1"/>
    <col min="11" max="11" width="10.25390625" style="2" customWidth="1"/>
    <col min="12" max="13" width="10.125" style="2" customWidth="1"/>
    <col min="14" max="14" width="11.625" style="2" customWidth="1"/>
    <col min="15" max="15" width="10.375" style="2" customWidth="1"/>
    <col min="16" max="16" width="9.375" style="2" customWidth="1"/>
    <col min="17" max="17" width="10.25390625" style="2" customWidth="1"/>
    <col min="18" max="18" width="14.00390625" style="2" customWidth="1"/>
    <col min="19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5" spans="1:17" ht="12.75">
      <c r="A5" s="261" t="s">
        <v>78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7" ht="12.75">
      <c r="A6" s="97" t="s">
        <v>95</v>
      </c>
      <c r="B6" s="97"/>
      <c r="C6" s="97"/>
      <c r="D6" s="97"/>
      <c r="E6" s="97"/>
      <c r="F6" s="97"/>
      <c r="G6" s="97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2.75">
      <c r="A7" s="30"/>
      <c r="B7" s="30"/>
      <c r="C7" s="30"/>
      <c r="D7" s="30"/>
      <c r="E7" s="30"/>
      <c r="F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5" ht="13.5" thickBot="1">
      <c r="A8" s="31" t="s">
        <v>55</v>
      </c>
      <c r="D8" s="4"/>
      <c r="E8" s="31">
        <v>8.65</v>
      </c>
    </row>
    <row r="9" spans="1:16" ht="12.75" customHeight="1">
      <c r="A9" s="262" t="s">
        <v>56</v>
      </c>
      <c r="B9" s="265" t="s">
        <v>0</v>
      </c>
      <c r="C9" s="268" t="s">
        <v>57</v>
      </c>
      <c r="D9" s="271" t="s">
        <v>2</v>
      </c>
      <c r="E9" s="294" t="s">
        <v>58</v>
      </c>
      <c r="F9" s="199"/>
      <c r="G9" s="274" t="s">
        <v>74</v>
      </c>
      <c r="H9" s="274"/>
      <c r="I9" s="276" t="s">
        <v>8</v>
      </c>
      <c r="J9" s="277"/>
      <c r="K9" s="277"/>
      <c r="L9" s="277"/>
      <c r="M9" s="277"/>
      <c r="N9" s="278"/>
      <c r="O9" s="287" t="s">
        <v>59</v>
      </c>
      <c r="P9" s="282" t="s">
        <v>10</v>
      </c>
    </row>
    <row r="10" spans="1:16" ht="12.75">
      <c r="A10" s="263"/>
      <c r="B10" s="266"/>
      <c r="C10" s="269"/>
      <c r="D10" s="272"/>
      <c r="E10" s="295"/>
      <c r="F10" s="296"/>
      <c r="G10" s="275"/>
      <c r="H10" s="275"/>
      <c r="I10" s="279"/>
      <c r="J10" s="280"/>
      <c r="K10" s="280"/>
      <c r="L10" s="280"/>
      <c r="M10" s="280"/>
      <c r="N10" s="281"/>
      <c r="O10" s="288"/>
      <c r="P10" s="283"/>
    </row>
    <row r="11" spans="1:16" ht="26.25" customHeight="1">
      <c r="A11" s="263"/>
      <c r="B11" s="266"/>
      <c r="C11" s="269"/>
      <c r="D11" s="272"/>
      <c r="E11" s="258" t="s">
        <v>60</v>
      </c>
      <c r="F11" s="201"/>
      <c r="G11" s="164" t="s">
        <v>61</v>
      </c>
      <c r="H11" s="290" t="s">
        <v>5</v>
      </c>
      <c r="I11" s="259" t="s">
        <v>62</v>
      </c>
      <c r="J11" s="285" t="s">
        <v>30</v>
      </c>
      <c r="K11" s="285" t="s">
        <v>63</v>
      </c>
      <c r="L11" s="285" t="s">
        <v>35</v>
      </c>
      <c r="M11" s="285" t="s">
        <v>64</v>
      </c>
      <c r="N11" s="292" t="s">
        <v>37</v>
      </c>
      <c r="O11" s="288"/>
      <c r="P11" s="283"/>
    </row>
    <row r="12" spans="1:16" ht="66.75" customHeight="1" thickBot="1">
      <c r="A12" s="264"/>
      <c r="B12" s="267"/>
      <c r="C12" s="270"/>
      <c r="D12" s="273"/>
      <c r="E12" s="33" t="s">
        <v>65</v>
      </c>
      <c r="F12" s="34" t="s">
        <v>19</v>
      </c>
      <c r="G12" s="35" t="s">
        <v>75</v>
      </c>
      <c r="H12" s="291"/>
      <c r="I12" s="260"/>
      <c r="J12" s="286"/>
      <c r="K12" s="286"/>
      <c r="L12" s="286"/>
      <c r="M12" s="286"/>
      <c r="N12" s="293"/>
      <c r="O12" s="289"/>
      <c r="P12" s="284"/>
    </row>
    <row r="13" spans="1:16" ht="13.5" thickBot="1">
      <c r="A13" s="36">
        <v>1</v>
      </c>
      <c r="B13" s="37">
        <v>2</v>
      </c>
      <c r="C13" s="165">
        <v>3</v>
      </c>
      <c r="D13" s="36">
        <v>4</v>
      </c>
      <c r="E13" s="37">
        <v>5</v>
      </c>
      <c r="F13" s="166">
        <v>6</v>
      </c>
      <c r="G13" s="167">
        <v>7</v>
      </c>
      <c r="H13" s="168">
        <v>8</v>
      </c>
      <c r="I13" s="36">
        <v>9</v>
      </c>
      <c r="J13" s="37">
        <v>10</v>
      </c>
      <c r="K13" s="37">
        <v>11</v>
      </c>
      <c r="L13" s="37">
        <v>12</v>
      </c>
      <c r="M13" s="37">
        <v>13</v>
      </c>
      <c r="N13" s="169">
        <v>14</v>
      </c>
      <c r="O13" s="170">
        <v>15</v>
      </c>
      <c r="P13" s="171">
        <v>16</v>
      </c>
    </row>
    <row r="14" spans="1:16" ht="12.75">
      <c r="A14" s="8" t="s">
        <v>38</v>
      </c>
      <c r="B14" s="9"/>
      <c r="C14" s="32"/>
      <c r="D14" s="8"/>
      <c r="E14" s="9"/>
      <c r="F14" s="11"/>
      <c r="G14" s="38"/>
      <c r="H14" s="83"/>
      <c r="I14" s="8"/>
      <c r="J14" s="9"/>
      <c r="K14" s="9"/>
      <c r="L14" s="9"/>
      <c r="M14" s="9"/>
      <c r="N14" s="88"/>
      <c r="O14" s="172"/>
      <c r="P14" s="39"/>
    </row>
    <row r="15" spans="1:18" ht="12.75">
      <c r="A15" s="14" t="s">
        <v>39</v>
      </c>
      <c r="B15" s="15">
        <f>Лист1!B9</f>
        <v>2041.58</v>
      </c>
      <c r="C15" s="40">
        <f>Лист1!C9</f>
        <v>17659.667</v>
      </c>
      <c r="D15" s="41">
        <f>Лист1!D9</f>
        <v>4253.860586960001</v>
      </c>
      <c r="E15" s="16">
        <f>Лист1!S9</f>
        <v>12192.59</v>
      </c>
      <c r="F15" s="18">
        <f>Лист1!T9</f>
        <v>2358.0499999999997</v>
      </c>
      <c r="G15" s="42">
        <f>Лист1!AB9</f>
        <v>0</v>
      </c>
      <c r="H15" s="84">
        <f>Лист1!AC9</f>
        <v>6611.910586960001</v>
      </c>
      <c r="I15" s="43">
        <f>Лист1!AG9</f>
        <v>1224.9479999999999</v>
      </c>
      <c r="J15" s="16">
        <f>Лист1!AI9+Лист1!AJ9</f>
        <v>2052.04105592</v>
      </c>
      <c r="K15" s="16">
        <f>Лист1!AH9+Лист1!AK9+Лист1!AL9+Лист1!AM9+Лист1!AN9+Лист1!AO9+Лист1!AP9+Лист1!AQ9+Лист1!AR9</f>
        <v>7205.538365097998</v>
      </c>
      <c r="L15" s="17">
        <f>Лист1!AS9+Лист1!AT9+Лист1!AU9</f>
        <v>0</v>
      </c>
      <c r="M15" s="17">
        <f>Лист1!AX9</f>
        <v>0</v>
      </c>
      <c r="N15" s="91">
        <f>Лист1!BB9</f>
        <v>10482.527421018</v>
      </c>
      <c r="O15" s="173">
        <f>Лист1!BE9</f>
        <v>-3870.616834057999</v>
      </c>
      <c r="P15" s="44">
        <f>Лист1!BF9</f>
        <v>-12192.59</v>
      </c>
      <c r="Q15" s="1"/>
      <c r="R15" s="1"/>
    </row>
    <row r="16" spans="1:18" ht="12.75">
      <c r="A16" s="14" t="s">
        <v>40</v>
      </c>
      <c r="B16" s="15">
        <f>Лист1!B10</f>
        <v>2041.58</v>
      </c>
      <c r="C16" s="40">
        <f>Лист1!C10</f>
        <v>17659.667</v>
      </c>
      <c r="D16" s="41">
        <f>Лист1!D10</f>
        <v>4253.860586960001</v>
      </c>
      <c r="E16" s="16">
        <f>Лист1!S10</f>
        <v>11848.320000000002</v>
      </c>
      <c r="F16" s="18">
        <f>Лист1!T10</f>
        <v>2298.43</v>
      </c>
      <c r="G16" s="42">
        <f>Лист1!AB10</f>
        <v>7777.07</v>
      </c>
      <c r="H16" s="84">
        <f>Лист1!AC10</f>
        <v>14329.36058696</v>
      </c>
      <c r="I16" s="43">
        <f>Лист1!AG10</f>
        <v>1224.9479999999999</v>
      </c>
      <c r="J16" s="16">
        <f>Лист1!AI10+Лист1!AJ10</f>
        <v>2052.04105592</v>
      </c>
      <c r="K16" s="16">
        <f>Лист1!AH10+Лист1!AK10+Лист1!AL10+Лист1!AM10+Лист1!AN10+Лист1!AO10+Лист1!AP10+Лист1!AQ10+Лист1!AR10</f>
        <v>7183.791454937998</v>
      </c>
      <c r="L16" s="17">
        <f>Лист1!AS10+Лист1!AT10+Лист1!AU10</f>
        <v>8685.98</v>
      </c>
      <c r="M16" s="17">
        <f>Лист1!AX10</f>
        <v>0</v>
      </c>
      <c r="N16" s="91">
        <f>Лист1!BB10</f>
        <v>19146.760510858</v>
      </c>
      <c r="O16" s="173">
        <f>Лист1!BE10</f>
        <v>-4817.3999238979995</v>
      </c>
      <c r="P16" s="44">
        <f>Лист1!BF10</f>
        <v>-4071.250000000002</v>
      </c>
      <c r="Q16" s="1"/>
      <c r="R16" s="1"/>
    </row>
    <row r="17" spans="1:18" ht="13.5" thickBot="1">
      <c r="A17" s="45" t="s">
        <v>41</v>
      </c>
      <c r="B17" s="15">
        <f>Лист1!B11</f>
        <v>2041.58</v>
      </c>
      <c r="C17" s="40">
        <f>Лист1!C11</f>
        <v>17659.667</v>
      </c>
      <c r="D17" s="41">
        <f>Лист1!D11</f>
        <v>4244.50096345</v>
      </c>
      <c r="E17" s="16">
        <f>Лист1!S11</f>
        <v>11834.44</v>
      </c>
      <c r="F17" s="18">
        <f>Лист1!T11</f>
        <v>2328.2400000000002</v>
      </c>
      <c r="G17" s="42">
        <f>Лист1!AB11</f>
        <v>8869.69</v>
      </c>
      <c r="H17" s="84">
        <f>Лист1!AC11</f>
        <v>15442.43096345</v>
      </c>
      <c r="I17" s="43">
        <f>Лист1!AG11</f>
        <v>1224.9479999999999</v>
      </c>
      <c r="J17" s="16">
        <f>Лист1!AI11+Лист1!AJ11</f>
        <v>2046.0665762079998</v>
      </c>
      <c r="K17" s="16">
        <f>Лист1!AH11+Лист1!AK11+Лист1!AL11+Лист1!AM11+Лист1!AN11+Лист1!AO11+Лист1!AP11+Лист1!AQ11+Лист1!AR11</f>
        <v>7172.3701010334</v>
      </c>
      <c r="L17" s="17">
        <f>Лист1!AS11+Лист1!AT11+Лист1!AU11</f>
        <v>0</v>
      </c>
      <c r="M17" s="17">
        <f>Лист1!AX11</f>
        <v>0</v>
      </c>
      <c r="N17" s="91">
        <f>Лист1!BB11</f>
        <v>10443.3846772414</v>
      </c>
      <c r="O17" s="173">
        <f>Лист1!BE11</f>
        <v>4999.046286208601</v>
      </c>
      <c r="P17" s="44">
        <f>Лист1!BF11</f>
        <v>-2964.75</v>
      </c>
      <c r="Q17" s="1"/>
      <c r="R17" s="1"/>
    </row>
    <row r="18" spans="1:18" s="24" customFormat="1" ht="13.5" thickBot="1">
      <c r="A18" s="46" t="s">
        <v>3</v>
      </c>
      <c r="B18" s="47"/>
      <c r="C18" s="48">
        <f>SUM(C15:C17)</f>
        <v>52979.001000000004</v>
      </c>
      <c r="D18" s="48">
        <f aca="true" t="shared" si="0" ref="D18:P18">SUM(D15:D17)</f>
        <v>12752.222137370001</v>
      </c>
      <c r="E18" s="48">
        <f t="shared" si="0"/>
        <v>35875.350000000006</v>
      </c>
      <c r="F18" s="48">
        <f t="shared" si="0"/>
        <v>6984.719999999999</v>
      </c>
      <c r="G18" s="48">
        <f t="shared" si="0"/>
        <v>16646.760000000002</v>
      </c>
      <c r="H18" s="48">
        <f t="shared" si="0"/>
        <v>36383.702137370004</v>
      </c>
      <c r="I18" s="48">
        <f t="shared" si="0"/>
        <v>3674.8439999999996</v>
      </c>
      <c r="J18" s="48">
        <f t="shared" si="0"/>
        <v>6150.148688048</v>
      </c>
      <c r="K18" s="48">
        <f t="shared" si="0"/>
        <v>21561.699921069398</v>
      </c>
      <c r="L18" s="48">
        <f t="shared" si="0"/>
        <v>8685.98</v>
      </c>
      <c r="M18" s="48">
        <f t="shared" si="0"/>
        <v>0</v>
      </c>
      <c r="N18" s="48">
        <f t="shared" si="0"/>
        <v>40072.6726091174</v>
      </c>
      <c r="O18" s="48">
        <f t="shared" si="0"/>
        <v>-3688.970471747398</v>
      </c>
      <c r="P18" s="48">
        <f t="shared" si="0"/>
        <v>-19228.590000000004</v>
      </c>
      <c r="Q18" s="53"/>
      <c r="R18" s="53"/>
    </row>
    <row r="19" spans="1:18" ht="12.75">
      <c r="A19" s="8" t="s">
        <v>42</v>
      </c>
      <c r="B19" s="68"/>
      <c r="C19" s="54"/>
      <c r="D19" s="55"/>
      <c r="E19" s="56"/>
      <c r="F19" s="57"/>
      <c r="G19" s="58"/>
      <c r="H19" s="85"/>
      <c r="I19" s="59"/>
      <c r="J19" s="56"/>
      <c r="K19" s="56"/>
      <c r="L19" s="69"/>
      <c r="M19" s="69"/>
      <c r="N19" s="92"/>
      <c r="O19" s="174"/>
      <c r="P19" s="70"/>
      <c r="Q19" s="1"/>
      <c r="R19" s="1"/>
    </row>
    <row r="20" spans="1:18" ht="12.75">
      <c r="A20" s="14" t="s">
        <v>43</v>
      </c>
      <c r="B20" s="15">
        <f>Лист1!B14</f>
        <v>2040.58</v>
      </c>
      <c r="C20" s="40">
        <f>Лист1!C14</f>
        <v>17651.017</v>
      </c>
      <c r="D20" s="41">
        <f>Лист1!D14</f>
        <v>2206.377125</v>
      </c>
      <c r="E20" s="16">
        <f>Лист1!S14</f>
        <v>12159.5</v>
      </c>
      <c r="F20" s="18">
        <f>Лист1!T14</f>
        <v>2328.2400000000002</v>
      </c>
      <c r="G20" s="42">
        <f>Лист1!AB14</f>
        <v>10408.810000000001</v>
      </c>
      <c r="H20" s="84">
        <f>Лист1!AC14</f>
        <v>14943.427125000002</v>
      </c>
      <c r="I20" s="43">
        <f>Лист1!AG14</f>
        <v>1101.9132</v>
      </c>
      <c r="J20" s="16">
        <f>Лист1!AI14+Лист1!AJ14</f>
        <v>1774.46680858</v>
      </c>
      <c r="K20" s="16">
        <f>Лист1!AH14+Лист1!AK14+Лист1!AL14+Лист1!AM14+Лист1!AN14+Лист1!AO14+Лист1!AP14+Лист1!AQ14+Лист1!AR14</f>
        <v>6094.1096897564</v>
      </c>
      <c r="L20" s="17">
        <f>Лист1!AS14+Лист1!AT14+Лист1!AU14</f>
        <v>317.42</v>
      </c>
      <c r="M20" s="17">
        <f>Лист1!AX14</f>
        <v>923.1376</v>
      </c>
      <c r="N20" s="91">
        <f>Лист1!BB14</f>
        <v>9287.9096983364</v>
      </c>
      <c r="O20" s="173">
        <f>Лист1!BE14</f>
        <v>6871.822211743602</v>
      </c>
      <c r="P20" s="44">
        <f>Лист1!BF14</f>
        <v>-1750.6899999999987</v>
      </c>
      <c r="Q20" s="1"/>
      <c r="R20" s="1"/>
    </row>
    <row r="21" spans="1:18" ht="12.75">
      <c r="A21" s="14" t="s">
        <v>44</v>
      </c>
      <c r="B21" s="15">
        <f>Лист1!B15</f>
        <v>2040.58</v>
      </c>
      <c r="C21" s="40">
        <f>Лист1!C15</f>
        <v>17651.017</v>
      </c>
      <c r="D21" s="41">
        <f>Лист1!D15</f>
        <v>2206.377125</v>
      </c>
      <c r="E21" s="16">
        <f>Лист1!S15</f>
        <v>12037.01</v>
      </c>
      <c r="F21" s="18">
        <f>Лист1!T15</f>
        <v>2328.2400000000002</v>
      </c>
      <c r="G21" s="42">
        <f>Лист1!AB15</f>
        <v>10991</v>
      </c>
      <c r="H21" s="84">
        <f>Лист1!AC15</f>
        <v>15525.617125</v>
      </c>
      <c r="I21" s="43">
        <f>Лист1!AG15</f>
        <v>1101.9132</v>
      </c>
      <c r="J21" s="16">
        <f>Лист1!AI15+Лист1!AJ15</f>
        <v>1774.49040858</v>
      </c>
      <c r="K21" s="16">
        <f>Лист1!AH15+Лист1!AK15+Лист1!AL15+Лист1!AM15+Лист1!AN15+Лист1!AO15+Лист1!AP15+Лист1!AQ15+Лист1!AR15</f>
        <v>6102.907242310399</v>
      </c>
      <c r="L21" s="17">
        <f>Лист1!AS15+Лист1!AT15+Лист1!AU15</f>
        <v>0</v>
      </c>
      <c r="M21" s="17">
        <f>Лист1!AX15</f>
        <v>739.6004</v>
      </c>
      <c r="N21" s="91">
        <f>Лист1!BB15</f>
        <v>8979.310850890399</v>
      </c>
      <c r="O21" s="173">
        <f>Лист1!BE15</f>
        <v>7761.258814589602</v>
      </c>
      <c r="P21" s="44">
        <f>Лист1!BF15</f>
        <v>-1046.0100000000002</v>
      </c>
      <c r="Q21" s="1"/>
      <c r="R21" s="1"/>
    </row>
    <row r="22" spans="1:18" ht="12.75">
      <c r="A22" s="14" t="s">
        <v>45</v>
      </c>
      <c r="B22" s="15">
        <f>Лист1!B16</f>
        <v>2040.6</v>
      </c>
      <c r="C22" s="40">
        <f>Лист1!C16</f>
        <v>17651.19</v>
      </c>
      <c r="D22" s="41">
        <f>Лист1!D16</f>
        <v>2206.39875</v>
      </c>
      <c r="E22" s="16">
        <f>Лист1!S16</f>
        <v>11982.560000000001</v>
      </c>
      <c r="F22" s="18">
        <f>Лист1!T16</f>
        <v>2328.2400000000002</v>
      </c>
      <c r="G22" s="42">
        <f>Лист1!AB16</f>
        <v>11189.01</v>
      </c>
      <c r="H22" s="84">
        <f>Лист1!AC16</f>
        <v>15723.64875</v>
      </c>
      <c r="I22" s="43">
        <f>Лист1!AG16</f>
        <v>1101.924</v>
      </c>
      <c r="J22" s="16">
        <f>Лист1!AI16+Лист1!AJ16</f>
        <v>1775.5311615</v>
      </c>
      <c r="K22" s="16">
        <f>Лист1!AH16+Лист1!AK16+Лист1!AL16+Лист1!AM16+Лист1!AN16+Лист1!AO16+Лист1!AP16+Лист1!AQ16+Лист1!AR16</f>
        <v>5899.960211388</v>
      </c>
      <c r="L22" s="17">
        <f>Лист1!AS16+Лист1!AT16+Лист1!AU16</f>
        <v>5402.04</v>
      </c>
      <c r="M22" s="17">
        <f>Лист1!AX16</f>
        <v>695.9876</v>
      </c>
      <c r="N22" s="91">
        <f>Лист1!BB16</f>
        <v>14179.455372888002</v>
      </c>
      <c r="O22" s="173">
        <f>Лист1!BE16</f>
        <v>2778.042115451998</v>
      </c>
      <c r="P22" s="44">
        <f>Лист1!BF16</f>
        <v>-793.5500000000011</v>
      </c>
      <c r="Q22" s="1"/>
      <c r="R22" s="1"/>
    </row>
    <row r="23" spans="1:18" ht="12.75">
      <c r="A23" s="14" t="s">
        <v>46</v>
      </c>
      <c r="B23" s="15">
        <f>Лист1!B17</f>
        <v>2040.6</v>
      </c>
      <c r="C23" s="40">
        <f>Лист1!C17</f>
        <v>17651.19</v>
      </c>
      <c r="D23" s="41">
        <f>Лист1!D17</f>
        <v>2206.39875</v>
      </c>
      <c r="E23" s="16">
        <f>Лист1!S17</f>
        <v>12137.35</v>
      </c>
      <c r="F23" s="18">
        <f>Лист1!T17</f>
        <v>2411.37</v>
      </c>
      <c r="G23" s="42">
        <f>Лист1!AB17</f>
        <v>9784.22</v>
      </c>
      <c r="H23" s="84">
        <f>Лист1!AC17</f>
        <v>14401.988749999999</v>
      </c>
      <c r="I23" s="43">
        <f>Лист1!AG17</f>
        <v>1101.924</v>
      </c>
      <c r="J23" s="16">
        <f>Лист1!AI17+Лист1!AJ17</f>
        <v>1828.54125612</v>
      </c>
      <c r="K23" s="16">
        <f>Лист1!AH17+Лист1!AK17+Лист1!AL17+Лист1!AM17+Лист1!AN17+Лист1!AO17+Лист1!AP17+Лист1!AQ17+Лист1!AR17</f>
        <v>5983.556206415999</v>
      </c>
      <c r="L23" s="17">
        <f>Лист1!AS17+Лист1!AT17+Лист1!AU17</f>
        <v>2089.6384000000003</v>
      </c>
      <c r="M23" s="17">
        <f>Лист1!AX17</f>
        <v>2916.606</v>
      </c>
      <c r="N23" s="91">
        <f>Лист1!BB17</f>
        <v>13920.265862536</v>
      </c>
      <c r="O23" s="173">
        <f>Лист1!BE17</f>
        <v>1690.4073765039986</v>
      </c>
      <c r="P23" s="44">
        <f>Лист1!BF17</f>
        <v>-2353.130000000001</v>
      </c>
      <c r="Q23" s="1"/>
      <c r="R23" s="1"/>
    </row>
    <row r="24" spans="1:18" ht="12.75">
      <c r="A24" s="14" t="s">
        <v>47</v>
      </c>
      <c r="B24" s="15">
        <f>Лист1!B18</f>
        <v>2040.58</v>
      </c>
      <c r="C24" s="40">
        <f>Лист1!C18</f>
        <v>17651.017</v>
      </c>
      <c r="D24" s="41">
        <f>Лист1!D18</f>
        <v>1675.7270000000026</v>
      </c>
      <c r="E24" s="16">
        <f>Лист1!S18</f>
        <v>13267.81</v>
      </c>
      <c r="F24" s="18">
        <f>Лист1!T18</f>
        <v>2707.4799999999996</v>
      </c>
      <c r="G24" s="42">
        <f>Лист1!AB18</f>
        <v>10752.363000000001</v>
      </c>
      <c r="H24" s="84">
        <f>Лист1!AC18</f>
        <v>15135.570000000003</v>
      </c>
      <c r="I24" s="43">
        <f>Лист1!AG18</f>
        <v>1224.348</v>
      </c>
      <c r="J24" s="16">
        <f>Лист1!AI18+Лист1!AJ18</f>
        <v>2046.70174</v>
      </c>
      <c r="K24" s="16">
        <f>Лист1!AH18+Лист1!AK18+Лист1!AL18+Лист1!AM18+Лист1!AN18+Лист1!AO18+Лист1!AP18+Лист1!AQ18+Лист1!AR18</f>
        <v>7009.800416</v>
      </c>
      <c r="L24" s="17">
        <f>Лист1!AS18+Лист1!AT18+Лист1!AU18</f>
        <v>10941.502799999998</v>
      </c>
      <c r="M24" s="17">
        <f>Лист1!AX18</f>
        <v>477.9236</v>
      </c>
      <c r="N24" s="91">
        <f>Лист1!BB18</f>
        <v>21700.276555999997</v>
      </c>
      <c r="O24" s="173">
        <f>Лист1!BE18</f>
        <v>-5461.532826835994</v>
      </c>
      <c r="P24" s="44">
        <f>Лист1!BF18</f>
        <v>-2515.4469999999983</v>
      </c>
      <c r="Q24" s="1"/>
      <c r="R24" s="1"/>
    </row>
    <row r="25" spans="1:18" ht="12.75">
      <c r="A25" s="14" t="s">
        <v>48</v>
      </c>
      <c r="B25" s="15">
        <f>Лист1!B19</f>
        <v>2040.58</v>
      </c>
      <c r="C25" s="40">
        <f>Лист1!C19</f>
        <v>17651.017</v>
      </c>
      <c r="D25" s="41">
        <f>Лист1!D19</f>
        <v>1695.4070000000002</v>
      </c>
      <c r="E25" s="16">
        <f>Лист1!S19</f>
        <v>13248.130000000001</v>
      </c>
      <c r="F25" s="18">
        <f>Лист1!T19</f>
        <v>2707.4799999999996</v>
      </c>
      <c r="G25" s="42">
        <f>Лист1!AB19</f>
        <v>12091.25</v>
      </c>
      <c r="H25" s="84">
        <f>Лист1!AC19</f>
        <v>16494.137</v>
      </c>
      <c r="I25" s="43">
        <f>Лист1!AG19</f>
        <v>1224.348</v>
      </c>
      <c r="J25" s="16">
        <f>Лист1!AI19+Лист1!AJ19</f>
        <v>2046.70174</v>
      </c>
      <c r="K25" s="16">
        <f>Лист1!AH19+Лист1!AK19+Лист1!AL19+Лист1!AM19+Лист1!AN19+Лист1!AO19+Лист1!AP19+Лист1!AQ19+Лист1!AR19</f>
        <v>7009.9840681999995</v>
      </c>
      <c r="L25" s="17">
        <f>Лист1!AS19+Лист1!AT19+Лист1!AU19</f>
        <v>6544.504199999999</v>
      </c>
      <c r="M25" s="17">
        <f>Лист1!AX19</f>
        <v>423.40760000000006</v>
      </c>
      <c r="N25" s="91">
        <f>Лист1!BB19</f>
        <v>17248.9456082</v>
      </c>
      <c r="O25" s="173">
        <f>Лист1!BE19</f>
        <v>402.35195255999906</v>
      </c>
      <c r="P25" s="44">
        <f>Лист1!BF19</f>
        <v>-1156.880000000001</v>
      </c>
      <c r="Q25" s="1"/>
      <c r="R25" s="1"/>
    </row>
    <row r="26" spans="1:18" ht="12.75">
      <c r="A26" s="14" t="s">
        <v>49</v>
      </c>
      <c r="B26" s="15">
        <f>Лист1!B20</f>
        <v>2040.58</v>
      </c>
      <c r="C26" s="40">
        <f>Лист1!C20</f>
        <v>17651.017</v>
      </c>
      <c r="D26" s="41">
        <f>Лист1!D20</f>
        <v>1649.2270000000005</v>
      </c>
      <c r="E26" s="16">
        <f>Лист1!S20</f>
        <v>13294.310000000001</v>
      </c>
      <c r="F26" s="18">
        <f>Лист1!T20</f>
        <v>2707.4799999999996</v>
      </c>
      <c r="G26" s="42">
        <f>Лист1!AB20</f>
        <v>14370.19</v>
      </c>
      <c r="H26" s="84">
        <f>Лист1!AC20</f>
        <v>18726.897</v>
      </c>
      <c r="I26" s="43">
        <f>Лист1!AG20</f>
        <v>1224.348</v>
      </c>
      <c r="J26" s="16">
        <f>Лист1!AI20+Лист1!AJ20</f>
        <v>2017.433905118</v>
      </c>
      <c r="K26" s="16">
        <f>Лист1!AH20+Лист1!AK20+Лист1!AL20+Лист1!AM20+Лист1!AN20+Лист1!AO20+Лист1!AP20+Лист1!AQ20+Лист1!AR20</f>
        <v>6940.2395333076</v>
      </c>
      <c r="L26" s="17">
        <f>Лист1!AS20+Лист1!AT20+Лист1!AU20</f>
        <v>0</v>
      </c>
      <c r="M26" s="17">
        <f>Лист1!AX20</f>
        <v>450.6656</v>
      </c>
      <c r="N26" s="91">
        <f>Лист1!BB20</f>
        <v>10632.6870384256</v>
      </c>
      <c r="O26" s="173">
        <f>Лист1!BE20</f>
        <v>9210.2031968144</v>
      </c>
      <c r="P26" s="44">
        <f>Лист1!BF20</f>
        <v>1075.8799999999992</v>
      </c>
      <c r="Q26" s="1"/>
      <c r="R26" s="1"/>
    </row>
    <row r="27" spans="1:18" ht="12.75">
      <c r="A27" s="14" t="s">
        <v>50</v>
      </c>
      <c r="B27" s="15">
        <f>Лист1!B21</f>
        <v>2040.58</v>
      </c>
      <c r="C27" s="40">
        <f>Лист1!C21</f>
        <v>17651.017</v>
      </c>
      <c r="D27" s="41">
        <f>Лист1!D21</f>
        <v>1648.9670000000003</v>
      </c>
      <c r="E27" s="16">
        <f>Лист1!S21</f>
        <v>13294.3</v>
      </c>
      <c r="F27" s="18">
        <f>Лист1!T21</f>
        <v>2707.75</v>
      </c>
      <c r="G27" s="42">
        <f>Лист1!AB21</f>
        <v>15125.04</v>
      </c>
      <c r="H27" s="84">
        <f>Лист1!AC21</f>
        <v>19481.757</v>
      </c>
      <c r="I27" s="43">
        <f>Лист1!AG21</f>
        <v>1224.348</v>
      </c>
      <c r="J27" s="16">
        <f>Лист1!AI21+Лист1!AJ21</f>
        <v>2016.5333563523998</v>
      </c>
      <c r="K27" s="16">
        <f>Лист1!AH21+Лист1!AK21+Лист1!AL21+Лист1!AM21+Лист1!AN21+Лист1!AO21+Лист1!AP21+Лист1!AQ21+Лист1!AR21</f>
        <v>20606.44147844</v>
      </c>
      <c r="L27" s="17">
        <f>Лист1!AS21+Лист1!AT21+Лист1!AU21</f>
        <v>3551.5404000000003</v>
      </c>
      <c r="M27" s="17">
        <f>Лист1!AX21</f>
        <v>532.4396</v>
      </c>
      <c r="N27" s="91">
        <f>Лист1!BB21</f>
        <v>27931.3028347924</v>
      </c>
      <c r="O27" s="173">
        <f>Лист1!BE21</f>
        <v>-7333.0982908204</v>
      </c>
      <c r="P27" s="44">
        <f>Лист1!BF21</f>
        <v>1830.7400000000016</v>
      </c>
      <c r="Q27" s="1"/>
      <c r="R27" s="1"/>
    </row>
    <row r="28" spans="1:18" ht="12.75">
      <c r="A28" s="14" t="s">
        <v>51</v>
      </c>
      <c r="B28" s="15">
        <f>Лист1!B22</f>
        <v>2040.58</v>
      </c>
      <c r="C28" s="40">
        <f>Лист1!C22</f>
        <v>17651.017</v>
      </c>
      <c r="D28" s="41">
        <f>Лист1!D22</f>
        <v>1648.9670000000003</v>
      </c>
      <c r="E28" s="16">
        <f>Лист1!S22</f>
        <v>13294.3</v>
      </c>
      <c r="F28" s="18">
        <f>Лист1!T22</f>
        <v>2707.75</v>
      </c>
      <c r="G28" s="42">
        <f>Лист1!AB22</f>
        <v>12546.91</v>
      </c>
      <c r="H28" s="84">
        <f>Лист1!AC22</f>
        <v>16903.627</v>
      </c>
      <c r="I28" s="43">
        <f>Лист1!AG22</f>
        <v>1224.348</v>
      </c>
      <c r="J28" s="16">
        <f>Лист1!AI22+Лист1!AJ22</f>
        <v>2016.1854170565998</v>
      </c>
      <c r="K28" s="16">
        <f>Лист1!AH22+Лист1!AK22+Лист1!AL22+Лист1!AM22+Лист1!AN22+Лист1!AO22+Лист1!AP22+Лист1!AQ22+Лист1!AR22</f>
        <v>6938.32125342932</v>
      </c>
      <c r="L28" s="17">
        <f>Лист1!AS22+Лист1!AT22+Лист1!AU22</f>
        <v>0</v>
      </c>
      <c r="M28" s="17">
        <f>Лист1!AX22</f>
        <v>634.2028</v>
      </c>
      <c r="N28" s="91">
        <f>Лист1!BB22</f>
        <v>10813.057470485921</v>
      </c>
      <c r="O28" s="173">
        <f>Лист1!BE22</f>
        <v>7207.168229432879</v>
      </c>
      <c r="P28" s="44">
        <f>Лист1!BF22</f>
        <v>-747.3899999999994</v>
      </c>
      <c r="Q28" s="1"/>
      <c r="R28" s="1"/>
    </row>
    <row r="29" spans="1:18" ht="12.75">
      <c r="A29" s="14" t="s">
        <v>39</v>
      </c>
      <c r="B29" s="15">
        <f>Лист1!B23</f>
        <v>2040.58</v>
      </c>
      <c r="C29" s="40">
        <f>Лист1!C23</f>
        <v>17651.017</v>
      </c>
      <c r="D29" s="41">
        <f>Лист1!D23</f>
        <v>1649.3870000000027</v>
      </c>
      <c r="E29" s="16">
        <f>Лист1!S23</f>
        <v>13294.160000000002</v>
      </c>
      <c r="F29" s="18">
        <f>Лист1!T23</f>
        <v>2707.47</v>
      </c>
      <c r="G29" s="42">
        <f>Лист1!AB23</f>
        <v>12495.079999999998</v>
      </c>
      <c r="H29" s="84">
        <f>Лист1!AC23</f>
        <v>16851.937</v>
      </c>
      <c r="I29" s="43">
        <f>Лист1!AG23</f>
        <v>1224.348</v>
      </c>
      <c r="J29" s="16">
        <f>Лист1!AI23+Лист1!AJ23</f>
        <v>2039.4780867999998</v>
      </c>
      <c r="K29" s="16">
        <f>Лист1!AH23+Лист1!AK23+Лист1!AL23+Лист1!AM23+Лист1!AN23+Лист1!AO23+Лист1!AP23+Лист1!AQ23+Лист1!AR23</f>
        <v>6997.965052</v>
      </c>
      <c r="L29" s="17">
        <f>Лист1!AS23+Лист1!AT23+Лист1!AU23</f>
        <v>435.71500000000003</v>
      </c>
      <c r="M29" s="17">
        <f>Лист1!AX23</f>
        <v>772.3100000000001</v>
      </c>
      <c r="N29" s="91">
        <f>Лист1!BB23</f>
        <v>11469.816138799999</v>
      </c>
      <c r="O29" s="173">
        <f>Лист1!BE23</f>
        <v>7099.768155200002</v>
      </c>
      <c r="P29" s="44">
        <f>Лист1!BF23</f>
        <v>-799.0800000000036</v>
      </c>
      <c r="Q29" s="1"/>
      <c r="R29" s="1"/>
    </row>
    <row r="30" spans="1:18" ht="12.75">
      <c r="A30" s="14" t="s">
        <v>40</v>
      </c>
      <c r="B30" s="15">
        <f>Лист1!B24</f>
        <v>2042.18</v>
      </c>
      <c r="C30" s="40">
        <f>Лист1!C24</f>
        <v>17664.857</v>
      </c>
      <c r="D30" s="41">
        <f>Лист1!D24</f>
        <v>1651.1869999999997</v>
      </c>
      <c r="E30" s="16">
        <f>Лист1!S24</f>
        <v>13300.25</v>
      </c>
      <c r="F30" s="18">
        <f>Лист1!T24</f>
        <v>2713.4199999999996</v>
      </c>
      <c r="G30" s="42">
        <f>Лист1!AB24</f>
        <v>12421.539999999999</v>
      </c>
      <c r="H30" s="84">
        <f>Лист1!AC24</f>
        <v>16786.146999999997</v>
      </c>
      <c r="I30" s="43">
        <f>Лист1!AG24</f>
        <v>1225.308</v>
      </c>
      <c r="J30" s="16">
        <f>Лист1!AI24+Лист1!AJ24</f>
        <v>2048.30654</v>
      </c>
      <c r="K30" s="16">
        <f>Лист1!AH24+Лист1!AK24+Лист1!AL24+Лист1!AM24+Лист1!AN24+Лист1!AO24+Лист1!AP24+Лист1!AQ24+Лист1!AR24</f>
        <v>7011.2123759999995</v>
      </c>
      <c r="L30" s="17">
        <f>Лист1!AS24+Лист1!AT24+Лист1!AU24</f>
        <v>311.52</v>
      </c>
      <c r="M30" s="17">
        <f>Лист1!AX24</f>
        <v>854.0840000000001</v>
      </c>
      <c r="N30" s="91">
        <f>Лист1!BB24</f>
        <v>11450.430916000001</v>
      </c>
      <c r="O30" s="173">
        <f>Лист1!BE24</f>
        <v>7050.883843999995</v>
      </c>
      <c r="P30" s="44">
        <f>Лист1!BF24</f>
        <v>-878.710000000001</v>
      </c>
      <c r="Q30" s="1"/>
      <c r="R30" s="1"/>
    </row>
    <row r="31" spans="1:18" ht="13.5" thickBot="1">
      <c r="A31" s="45" t="s">
        <v>41</v>
      </c>
      <c r="B31" s="15">
        <f>Лист1!B25</f>
        <v>2042.68</v>
      </c>
      <c r="C31" s="40">
        <f>Лист1!C25</f>
        <v>17669.182</v>
      </c>
      <c r="D31" s="41">
        <f>Лист1!D25</f>
        <v>2095.702000000002</v>
      </c>
      <c r="E31" s="16">
        <f>Лист1!S25</f>
        <v>12860.06</v>
      </c>
      <c r="F31" s="18">
        <f>Лист1!T25</f>
        <v>2713.4199999999996</v>
      </c>
      <c r="G31" s="42">
        <f>Лист1!AB25</f>
        <v>14994.34</v>
      </c>
      <c r="H31" s="84">
        <f>Лист1!AC25</f>
        <v>19803.462</v>
      </c>
      <c r="I31" s="43">
        <f>Лист1!AG25</f>
        <v>1225.608</v>
      </c>
      <c r="J31" s="16">
        <f>Лист1!AI25+Лист1!AJ25</f>
        <v>2048.80804</v>
      </c>
      <c r="K31" s="16">
        <f>Лист1!AH25+Лист1!AK25+Лист1!AL25+Лист1!AM25+Лист1!AN25+Лист1!AO25+Лист1!AP25+Лист1!AQ25+Лист1!AR25</f>
        <v>7012.928975999999</v>
      </c>
      <c r="L31" s="17">
        <f>Лист1!AS25+Лист1!AT25+Лист1!AU25</f>
        <v>3387.7799999999997</v>
      </c>
      <c r="M31" s="17">
        <f>Лист1!AX25</f>
        <v>934.0408</v>
      </c>
      <c r="N31" s="91">
        <f>Лист1!BB25</f>
        <v>14609.165816</v>
      </c>
      <c r="O31" s="173">
        <f>Лист1!BE25</f>
        <v>6909.463943999998</v>
      </c>
      <c r="P31" s="44">
        <f>Лист1!BF25</f>
        <v>2134.2800000000007</v>
      </c>
      <c r="Q31" s="1"/>
      <c r="R31" s="1"/>
    </row>
    <row r="32" spans="1:18" s="24" customFormat="1" ht="13.5" thickBot="1">
      <c r="A32" s="46" t="s">
        <v>3</v>
      </c>
      <c r="B32" s="47"/>
      <c r="C32" s="48">
        <f aca="true" t="shared" si="1" ref="C32:P32">SUM(C20:C31)</f>
        <v>211844.55499999996</v>
      </c>
      <c r="D32" s="49">
        <f t="shared" si="1"/>
        <v>22540.122750000006</v>
      </c>
      <c r="E32" s="48">
        <f t="shared" si="1"/>
        <v>154169.74</v>
      </c>
      <c r="F32" s="50">
        <f t="shared" si="1"/>
        <v>31068.339999999997</v>
      </c>
      <c r="G32" s="51">
        <f t="shared" si="1"/>
        <v>147169.753</v>
      </c>
      <c r="H32" s="86">
        <f t="shared" si="1"/>
        <v>200778.21575</v>
      </c>
      <c r="I32" s="49">
        <f t="shared" si="1"/>
        <v>14204.6784</v>
      </c>
      <c r="J32" s="48">
        <f t="shared" si="1"/>
        <v>23433.178460107003</v>
      </c>
      <c r="K32" s="48">
        <f t="shared" si="1"/>
        <v>93607.4265032477</v>
      </c>
      <c r="L32" s="48">
        <f t="shared" si="1"/>
        <v>32981.6608</v>
      </c>
      <c r="M32" s="48">
        <f t="shared" si="1"/>
        <v>10354.405600000002</v>
      </c>
      <c r="N32" s="89">
        <f t="shared" si="1"/>
        <v>172222.62416335472</v>
      </c>
      <c r="O32" s="49">
        <f t="shared" si="1"/>
        <v>44186.738722640075</v>
      </c>
      <c r="P32" s="52">
        <f t="shared" si="1"/>
        <v>-6999.987000000003</v>
      </c>
      <c r="Q32" s="53"/>
      <c r="R32" s="53"/>
    </row>
    <row r="33" spans="1:18" ht="13.5" thickBot="1">
      <c r="A33" s="175" t="s">
        <v>66</v>
      </c>
      <c r="B33" s="176"/>
      <c r="C33" s="176"/>
      <c r="D33" s="176"/>
      <c r="E33" s="176"/>
      <c r="F33" s="176"/>
      <c r="G33" s="176"/>
      <c r="H33" s="177"/>
      <c r="I33" s="176"/>
      <c r="J33" s="176"/>
      <c r="K33" s="176"/>
      <c r="L33" s="176"/>
      <c r="M33" s="176"/>
      <c r="N33" s="177"/>
      <c r="O33" s="176"/>
      <c r="P33" s="60"/>
      <c r="Q33" s="1"/>
      <c r="R33" s="1"/>
    </row>
    <row r="34" spans="1:18" s="24" customFormat="1" ht="13.5" thickBot="1">
      <c r="A34" s="61" t="s">
        <v>52</v>
      </c>
      <c r="B34" s="62"/>
      <c r="C34" s="63">
        <f>C18+C32</f>
        <v>264823.556</v>
      </c>
      <c r="D34" s="64">
        <f aca="true" t="shared" si="2" ref="D34:P34">D18+D32</f>
        <v>35292.34488737001</v>
      </c>
      <c r="E34" s="62">
        <f t="shared" si="2"/>
        <v>190045.09</v>
      </c>
      <c r="F34" s="63">
        <f t="shared" si="2"/>
        <v>38053.06</v>
      </c>
      <c r="G34" s="64">
        <f t="shared" si="2"/>
        <v>163816.513</v>
      </c>
      <c r="H34" s="87">
        <f t="shared" si="2"/>
        <v>237161.91788737001</v>
      </c>
      <c r="I34" s="64">
        <f t="shared" si="2"/>
        <v>17879.5224</v>
      </c>
      <c r="J34" s="62">
        <f t="shared" si="2"/>
        <v>29583.327148155004</v>
      </c>
      <c r="K34" s="62">
        <f t="shared" si="2"/>
        <v>115169.1264243171</v>
      </c>
      <c r="L34" s="62">
        <f t="shared" si="2"/>
        <v>41667.640799999994</v>
      </c>
      <c r="M34" s="62">
        <f t="shared" si="2"/>
        <v>10354.405600000002</v>
      </c>
      <c r="N34" s="90">
        <f t="shared" si="2"/>
        <v>212295.29677247212</v>
      </c>
      <c r="O34" s="178">
        <f t="shared" si="2"/>
        <v>40497.76825089268</v>
      </c>
      <c r="P34" s="65">
        <f t="shared" si="2"/>
        <v>-26228.577000000005</v>
      </c>
      <c r="Q34" s="66"/>
      <c r="R34" s="53"/>
    </row>
    <row r="35" spans="1:18" ht="12.75">
      <c r="A35" s="8" t="s">
        <v>94</v>
      </c>
      <c r="B35" s="68"/>
      <c r="C35" s="54"/>
      <c r="D35" s="55"/>
      <c r="E35" s="56"/>
      <c r="F35" s="57"/>
      <c r="G35" s="58"/>
      <c r="H35" s="85"/>
      <c r="I35" s="59"/>
      <c r="J35" s="56"/>
      <c r="K35" s="56"/>
      <c r="L35" s="69"/>
      <c r="M35" s="69"/>
      <c r="N35" s="92"/>
      <c r="O35" s="174"/>
      <c r="P35" s="70"/>
      <c r="Q35" s="1"/>
      <c r="R35" s="1"/>
    </row>
    <row r="36" spans="1:18" ht="12.75">
      <c r="A36" s="14" t="s">
        <v>43</v>
      </c>
      <c r="B36" s="15">
        <f>Лист1!B30</f>
        <v>2042.68</v>
      </c>
      <c r="C36" s="40">
        <f>Лист1!C30</f>
        <v>17669.182</v>
      </c>
      <c r="D36" s="41">
        <f>Лист1!D30</f>
        <v>1651.2020000000014</v>
      </c>
      <c r="E36" s="16">
        <f>Лист1!S30</f>
        <v>13304.560000000001</v>
      </c>
      <c r="F36" s="18">
        <f>Лист1!T30</f>
        <v>2713.4199999999996</v>
      </c>
      <c r="G36" s="42">
        <f>Лист1!AB30</f>
        <v>8156.92</v>
      </c>
      <c r="H36" s="84">
        <f>Лист1!AC30</f>
        <v>12521.542000000001</v>
      </c>
      <c r="I36" s="43">
        <f>Лист1!AG30</f>
        <v>1225.608</v>
      </c>
      <c r="J36" s="16">
        <f>Лист1!AI30+Лист1!AJ30</f>
        <v>2042.68</v>
      </c>
      <c r="K36" s="16">
        <f>Лист1!AH30+Лист1!AK30+Лист1!AL30+Лист1!AM30+Лист1!AN30+Лист1!AO30+Лист1!AP30+Лист1!AQ30+Лист1!AR30</f>
        <v>7006.3924</v>
      </c>
      <c r="L36" s="17">
        <f>Лист1!AS30+Лист1!AT30+Лист1!AU30</f>
        <v>0</v>
      </c>
      <c r="M36" s="17">
        <f>Лист1!AX30</f>
        <v>977.9</v>
      </c>
      <c r="N36" s="91">
        <f>Лист1!BB30</f>
        <v>11252.5804</v>
      </c>
      <c r="O36" s="173">
        <f>Лист1!BE30</f>
        <v>2985.9217800000006</v>
      </c>
      <c r="P36" s="44">
        <f>Лист1!BF30</f>
        <v>-5147.640000000001</v>
      </c>
      <c r="Q36" s="1"/>
      <c r="R36" s="1"/>
    </row>
    <row r="37" spans="1:18" ht="12.75">
      <c r="A37" s="14" t="s">
        <v>44</v>
      </c>
      <c r="B37" s="15">
        <f>Лист1!B31</f>
        <v>2042.18</v>
      </c>
      <c r="C37" s="40">
        <f>Лист1!C31</f>
        <v>17664.857</v>
      </c>
      <c r="D37" s="41">
        <f>Лист1!D31</f>
        <v>1646.8570000000002</v>
      </c>
      <c r="E37" s="16">
        <f>Лист1!S31</f>
        <v>13304.580000000002</v>
      </c>
      <c r="F37" s="18">
        <f>Лист1!T31</f>
        <v>2713.4199999999996</v>
      </c>
      <c r="G37" s="42">
        <f>Лист1!AB31</f>
        <v>13942.699999999999</v>
      </c>
      <c r="H37" s="84">
        <f>Лист1!AC31</f>
        <v>18302.977</v>
      </c>
      <c r="I37" s="43">
        <f>Лист1!AG31</f>
        <v>1225.308</v>
      </c>
      <c r="J37" s="16">
        <f>Лист1!AI31+Лист1!AJ31</f>
        <v>2042.18</v>
      </c>
      <c r="K37" s="16">
        <f>Лист1!AH31+Лист1!AK31+Лист1!AL31+Лист1!AM31+Лист1!AN31+Лист1!AO31+Лист1!AP31+Лист1!AQ31+Лист1!AR31</f>
        <v>9305.617400000001</v>
      </c>
      <c r="L37" s="17">
        <f>Лист1!AS31+Лист1!AT31+Лист1!AU31</f>
        <v>350</v>
      </c>
      <c r="M37" s="17">
        <f>Лист1!AX31</f>
        <v>783.4749999999999</v>
      </c>
      <c r="N37" s="91">
        <f>Лист1!BB31</f>
        <v>13706.5804</v>
      </c>
      <c r="O37" s="173">
        <f>Лист1!BE31</f>
        <v>6313.356779999998</v>
      </c>
      <c r="P37" s="44">
        <f>Лист1!BF31</f>
        <v>638.1199999999972</v>
      </c>
      <c r="Q37" s="1"/>
      <c r="R37" s="1"/>
    </row>
    <row r="38" spans="1:18" ht="12.75">
      <c r="A38" s="14" t="s">
        <v>45</v>
      </c>
      <c r="B38" s="15">
        <f>Лист1!B32</f>
        <v>2042.68</v>
      </c>
      <c r="C38" s="40">
        <f>Лист1!C32</f>
        <v>17669.182</v>
      </c>
      <c r="D38" s="41">
        <f>Лист1!D32</f>
        <v>1651.182000000001</v>
      </c>
      <c r="E38" s="16">
        <f>Лист1!S32</f>
        <v>13304.580000000002</v>
      </c>
      <c r="F38" s="18">
        <f>Лист1!T32</f>
        <v>2713.4199999999996</v>
      </c>
      <c r="G38" s="42">
        <f>Лист1!AB32</f>
        <v>10632.890000000001</v>
      </c>
      <c r="H38" s="84">
        <f>Лист1!AC32</f>
        <v>14997.492000000002</v>
      </c>
      <c r="I38" s="43">
        <f>Лист1!AG32</f>
        <v>1225.608</v>
      </c>
      <c r="J38" s="16">
        <f>Лист1!AI32+Лист1!AJ32</f>
        <v>2042.68</v>
      </c>
      <c r="K38" s="16">
        <f>Лист1!AH32+Лист1!AK32+Лист1!AL32+Лист1!AM32+Лист1!AN32+Лист1!AO32+Лист1!AP32+Лист1!AQ32+Лист1!AR32</f>
        <v>7006.3924</v>
      </c>
      <c r="L38" s="17">
        <f>Лист1!AS32+Лист1!AT32+Лист1!AU32</f>
        <v>0</v>
      </c>
      <c r="M38" s="17">
        <f>Лист1!AX32</f>
        <v>737.275</v>
      </c>
      <c r="N38" s="91">
        <f>Лист1!BB32</f>
        <v>11011.9554</v>
      </c>
      <c r="O38" s="173">
        <f>Лист1!BE32</f>
        <v>5702.496780000001</v>
      </c>
      <c r="P38" s="44">
        <f>Лист1!BF32</f>
        <v>-2671.6900000000005</v>
      </c>
      <c r="Q38" s="1"/>
      <c r="R38" s="1"/>
    </row>
    <row r="39" spans="1:18" ht="12.75">
      <c r="A39" s="14" t="s">
        <v>46</v>
      </c>
      <c r="B39" s="15">
        <f>Лист1!B33</f>
        <v>2042.68</v>
      </c>
      <c r="C39" s="40">
        <f>Лист1!C33</f>
        <v>17669.182</v>
      </c>
      <c r="D39" s="41">
        <f>Лист1!D33</f>
        <v>1635.632000000001</v>
      </c>
      <c r="E39" s="16">
        <f>Лист1!S33</f>
        <v>13391.52</v>
      </c>
      <c r="F39" s="18">
        <f>Лист1!T33</f>
        <v>2642.03</v>
      </c>
      <c r="G39" s="42">
        <f>Лист1!AB33</f>
        <v>9784.22</v>
      </c>
      <c r="H39" s="84">
        <f>Лист1!AC33</f>
        <v>14061.882000000001</v>
      </c>
      <c r="I39" s="43">
        <f>Лист1!AG33</f>
        <v>1225.608</v>
      </c>
      <c r="J39" s="16">
        <f>Лист1!AI33+Лист1!AJ33</f>
        <v>2042.68</v>
      </c>
      <c r="K39" s="16">
        <f>Лист1!AH33+Лист1!AK33+Лист1!AL33+Лист1!AM33+Лист1!AN33+Лист1!AO33+Лист1!AP33+Лист1!AQ33+Лист1!AR33</f>
        <v>7006.3924</v>
      </c>
      <c r="L39" s="17">
        <f>Лист1!AS33+Лист1!AT33+Лист1!AU33</f>
        <v>1383</v>
      </c>
      <c r="M39" s="17">
        <f>Лист1!AX33</f>
        <v>590.9749999999999</v>
      </c>
      <c r="N39" s="91">
        <f>Лист1!BB33</f>
        <v>12248.655400000001</v>
      </c>
      <c r="O39" s="173">
        <f>Лист1!BE33</f>
        <v>3530.18678</v>
      </c>
      <c r="P39" s="44">
        <f>Лист1!BF33</f>
        <v>-3607.300000000001</v>
      </c>
      <c r="Q39" s="1"/>
      <c r="R39" s="1"/>
    </row>
    <row r="40" spans="1:18" ht="12.75">
      <c r="A40" s="14" t="s">
        <v>47</v>
      </c>
      <c r="B40" s="15">
        <f>Лист1!B34</f>
        <v>2045.78</v>
      </c>
      <c r="C40" s="40">
        <f>Лист1!C34</f>
        <v>17695.997</v>
      </c>
      <c r="D40" s="41">
        <f>Лист1!D34</f>
        <v>1626.7369999999992</v>
      </c>
      <c r="E40" s="16">
        <f>Лист1!S34</f>
        <v>13468.55</v>
      </c>
      <c r="F40" s="18">
        <f>Лист1!T34</f>
        <v>2600.71</v>
      </c>
      <c r="G40" s="42">
        <f>Лист1!AB34</f>
        <v>11661.600000000002</v>
      </c>
      <c r="H40" s="84">
        <f>Лист1!AC34</f>
        <v>15889.047000000002</v>
      </c>
      <c r="I40" s="43">
        <f>Лист1!AG34</f>
        <v>1227.4679999999998</v>
      </c>
      <c r="J40" s="16">
        <f>Лист1!AI34+Лист1!AJ34</f>
        <v>2045.78</v>
      </c>
      <c r="K40" s="16">
        <f>Лист1!AH34+Лист1!AK34+Лист1!AL34+Лист1!AM34+Лист1!AN34+Лист1!AO34+Лист1!AP34+Лист1!AQ34+Лист1!AR34</f>
        <v>7017.0254</v>
      </c>
      <c r="L40" s="17">
        <f>Лист1!AS34+Лист1!AT34+Лист1!AU34</f>
        <v>1160.1986</v>
      </c>
      <c r="M40" s="17">
        <f>Лист1!AX34</f>
        <v>506.275</v>
      </c>
      <c r="N40" s="91">
        <f>Лист1!BB34</f>
        <v>11956.746999999998</v>
      </c>
      <c r="O40" s="173">
        <f>Лист1!BE34</f>
        <v>5649.260180000005</v>
      </c>
      <c r="P40" s="44">
        <f>Лист1!BF34</f>
        <v>-1806.949999999997</v>
      </c>
      <c r="Q40" s="1"/>
      <c r="R40" s="1"/>
    </row>
    <row r="41" spans="1:18" ht="12.75">
      <c r="A41" s="14" t="s">
        <v>48</v>
      </c>
      <c r="B41" s="15">
        <f>Лист1!B35</f>
        <v>2045.78</v>
      </c>
      <c r="C41" s="40">
        <f>Лист1!C35</f>
        <v>17695.997</v>
      </c>
      <c r="D41" s="41">
        <f>Лист1!D35</f>
        <v>1626.7369999999992</v>
      </c>
      <c r="E41" s="16">
        <f>Лист1!S35</f>
        <v>13468.55</v>
      </c>
      <c r="F41" s="18">
        <f>Лист1!T35</f>
        <v>2600.71</v>
      </c>
      <c r="G41" s="42">
        <f>Лист1!AB35</f>
        <v>11120.41</v>
      </c>
      <c r="H41" s="84">
        <f>Лист1!AC35</f>
        <v>15347.857</v>
      </c>
      <c r="I41" s="43">
        <f>Лист1!AG35</f>
        <v>1227.4679999999998</v>
      </c>
      <c r="J41" s="16">
        <f>Лист1!AI35+Лист1!AJ35</f>
        <v>2045.78</v>
      </c>
      <c r="K41" s="16">
        <f>Лист1!AH35+Лист1!AK35+Лист1!AL35+Лист1!AM35+Лист1!AN35+Лист1!AO35+Лист1!AP35+Лист1!AQ35+Лист1!AR35</f>
        <v>7017.0254</v>
      </c>
      <c r="L41" s="17">
        <f>Лист1!AS35+Лист1!AT35+Лист1!AU35</f>
        <v>314</v>
      </c>
      <c r="M41" s="17">
        <f>Лист1!AX35</f>
        <v>448.525</v>
      </c>
      <c r="N41" s="91">
        <f>Лист1!BB35</f>
        <v>11052.798399999998</v>
      </c>
      <c r="O41" s="173">
        <f>Лист1!BE35</f>
        <v>6012.018780000002</v>
      </c>
      <c r="P41" s="44">
        <f>Лист1!BF35</f>
        <v>-2348.1399999999994</v>
      </c>
      <c r="Q41" s="1"/>
      <c r="R41" s="1"/>
    </row>
    <row r="42" spans="1:18" ht="12.75">
      <c r="A42" s="14" t="s">
        <v>49</v>
      </c>
      <c r="B42" s="15">
        <f>Лист1!B36</f>
        <v>2045.78</v>
      </c>
      <c r="C42" s="40">
        <f>Лист1!C36</f>
        <v>17695.997</v>
      </c>
      <c r="D42" s="41">
        <f>Лист1!D36</f>
        <v>1626.737</v>
      </c>
      <c r="E42" s="16">
        <f>Лист1!S36</f>
        <v>16069.259999999998</v>
      </c>
      <c r="F42" s="18">
        <f>Лист1!T36</f>
        <v>0</v>
      </c>
      <c r="G42" s="42">
        <f>Лист1!AB36</f>
        <v>11790.07</v>
      </c>
      <c r="H42" s="84">
        <f>Лист1!AC36</f>
        <v>13416.807</v>
      </c>
      <c r="I42" s="43">
        <f>Лист1!AG36</f>
        <v>1227.4679999999998</v>
      </c>
      <c r="J42" s="16">
        <f>Лист1!AI36+Лист1!AJ36</f>
        <v>2045.78</v>
      </c>
      <c r="K42" s="16">
        <f>Лист1!AH36+Лист1!AK36+Лист1!AL36+Лист1!AM36+Лист1!AN36+Лист1!AO36+Лист1!AP36+Лист1!AQ36+Лист1!AR36</f>
        <v>7017.0254</v>
      </c>
      <c r="L42" s="17">
        <f>Лист1!AS36+Лист1!AT36+Лист1!AU36</f>
        <v>318387.81</v>
      </c>
      <c r="M42" s="17">
        <f>Лист1!AX36</f>
        <v>477.4</v>
      </c>
      <c r="N42" s="91">
        <f>Лист1!BB36</f>
        <v>329155.4834</v>
      </c>
      <c r="O42" s="173">
        <f>Лист1!BE36</f>
        <v>-314021.71622</v>
      </c>
      <c r="P42" s="44">
        <f>Лист1!BF36</f>
        <v>-4279.189999999999</v>
      </c>
      <c r="Q42" s="1"/>
      <c r="R42" s="1"/>
    </row>
    <row r="43" spans="1:18" ht="12.75">
      <c r="A43" s="14" t="s">
        <v>50</v>
      </c>
      <c r="B43" s="15">
        <f>Лист1!B37</f>
        <v>2045.78</v>
      </c>
      <c r="C43" s="40">
        <f>Лист1!C37</f>
        <v>17695.997</v>
      </c>
      <c r="D43" s="41">
        <f>Лист1!D37</f>
        <v>1626.7170000000006</v>
      </c>
      <c r="E43" s="16">
        <f>Лист1!S37</f>
        <v>16069.279999999999</v>
      </c>
      <c r="F43" s="18">
        <f>Лист1!T37</f>
        <v>0</v>
      </c>
      <c r="G43" s="42">
        <f>Лист1!AB37</f>
        <v>15706.59</v>
      </c>
      <c r="H43" s="84">
        <f>Лист1!AC37</f>
        <v>17333.307</v>
      </c>
      <c r="I43" s="43">
        <f>Лист1!AG37</f>
        <v>1227.4679999999998</v>
      </c>
      <c r="J43" s="16">
        <f>Лист1!AI37+Лист1!AJ37</f>
        <v>2045.78</v>
      </c>
      <c r="K43" s="16">
        <f>Лист1!AH37+Лист1!AK37+Лист1!AL37+Лист1!AM37+Лист1!AN37+Лист1!AO37+Лист1!AP37+Лист1!AQ37+Лист1!AR37</f>
        <v>7017.0254</v>
      </c>
      <c r="L43" s="17">
        <f>Лист1!AS37+Лист1!AT37+Лист1!AU37</f>
        <v>4127.524</v>
      </c>
      <c r="M43" s="17">
        <f>Лист1!AX37</f>
        <v>564.025</v>
      </c>
      <c r="N43" s="91">
        <f>Лист1!BB37</f>
        <v>14981.822399999997</v>
      </c>
      <c r="O43" s="173">
        <f>Лист1!BE37</f>
        <v>4068.4447800000034</v>
      </c>
      <c r="P43" s="44">
        <f>Лист1!BF37</f>
        <v>-362.6899999999987</v>
      </c>
      <c r="Q43" s="1"/>
      <c r="R43" s="1"/>
    </row>
    <row r="44" spans="1:18" ht="12.75">
      <c r="A44" s="14" t="s">
        <v>51</v>
      </c>
      <c r="B44" s="15">
        <f>Лист1!B38</f>
        <v>2045.78</v>
      </c>
      <c r="C44" s="40">
        <f>Лист1!C38</f>
        <v>17695.997</v>
      </c>
      <c r="D44" s="41">
        <f>Лист1!D38</f>
        <v>1626.737</v>
      </c>
      <c r="E44" s="16">
        <f>Лист1!S38</f>
        <v>16069.259999999998</v>
      </c>
      <c r="F44" s="18">
        <f>Лист1!T38</f>
        <v>0</v>
      </c>
      <c r="G44" s="42">
        <f>Лист1!AB38</f>
        <v>14691.580000000002</v>
      </c>
      <c r="H44" s="84">
        <f>Лист1!AC38</f>
        <v>16318.317000000003</v>
      </c>
      <c r="I44" s="43">
        <f>Лист1!AG38</f>
        <v>1227.4679999999998</v>
      </c>
      <c r="J44" s="16">
        <f>Лист1!AI38+Лист1!AJ38</f>
        <v>2045.78</v>
      </c>
      <c r="K44" s="16">
        <f>Лист1!AH38+Лист1!AK38+Лист1!AL38+Лист1!AM38+Лист1!AN38+Лист1!AO38+Лист1!AP38+Лист1!AQ38+Лист1!AR38</f>
        <v>7017.0254</v>
      </c>
      <c r="L44" s="17">
        <f>Лист1!AS38+Лист1!AT38+Лист1!AU38</f>
        <v>12576</v>
      </c>
      <c r="M44" s="17">
        <f>Лист1!AX38</f>
        <v>671.8249999999999</v>
      </c>
      <c r="N44" s="91">
        <f>Лист1!BB38</f>
        <v>23538.0984</v>
      </c>
      <c r="O44" s="173">
        <f>Лист1!BE38</f>
        <v>-5502.821219999996</v>
      </c>
      <c r="P44" s="44">
        <f>Лист1!BF38</f>
        <v>-1377.6799999999967</v>
      </c>
      <c r="Q44" s="1"/>
      <c r="R44" s="1"/>
    </row>
    <row r="45" spans="1:18" ht="12.75">
      <c r="A45" s="14" t="s">
        <v>39</v>
      </c>
      <c r="B45" s="15">
        <f>Лист1!B39</f>
        <v>2045.78</v>
      </c>
      <c r="C45" s="40">
        <f>Лист1!C39</f>
        <v>17695.997</v>
      </c>
      <c r="D45" s="41">
        <f>Лист1!D39</f>
        <v>101644.777</v>
      </c>
      <c r="E45" s="16">
        <f>Лист1!S39</f>
        <v>16051.22</v>
      </c>
      <c r="F45" s="18">
        <f>Лист1!T39</f>
        <v>0</v>
      </c>
      <c r="G45" s="42">
        <f>Лист1!AB39</f>
        <v>15053.39</v>
      </c>
      <c r="H45" s="84">
        <f>Лист1!AC39</f>
        <v>116698.167</v>
      </c>
      <c r="I45" s="43">
        <f>Лист1!AG39</f>
        <v>1227.4679999999998</v>
      </c>
      <c r="J45" s="16">
        <f>Лист1!AI39+Лист1!AJ39</f>
        <v>2045.78</v>
      </c>
      <c r="K45" s="16">
        <f>Лист1!AH39+Лист1!AK39+Лист1!AL39+Лист1!AM39+Лист1!AN39+Лист1!AO39+Лист1!AP39+Лист1!AQ39+Лист1!AR39</f>
        <v>7017.0254</v>
      </c>
      <c r="L45" s="17">
        <f>Лист1!AS39+Лист1!AT39+Лист1!AU39</f>
        <v>1337.6</v>
      </c>
      <c r="M45" s="17">
        <f>Лист1!AX39</f>
        <v>818.125</v>
      </c>
      <c r="N45" s="91">
        <f>Лист1!BB39</f>
        <v>12445.998399999999</v>
      </c>
      <c r="O45" s="173">
        <f>Лист1!BE39</f>
        <v>106044.12878</v>
      </c>
      <c r="P45" s="44">
        <f>Лист1!BF39</f>
        <v>-997.8299999999999</v>
      </c>
      <c r="Q45" s="1"/>
      <c r="R45" s="1"/>
    </row>
    <row r="46" spans="1:18" ht="12.75">
      <c r="A46" s="14" t="s">
        <v>40</v>
      </c>
      <c r="B46" s="15">
        <f>Лист1!B40</f>
        <v>2045.78</v>
      </c>
      <c r="C46" s="40">
        <f>Лист1!C40</f>
        <v>17695.997</v>
      </c>
      <c r="D46" s="41">
        <f>Лист1!D40</f>
        <v>1673.3169999999998</v>
      </c>
      <c r="E46" s="16">
        <f>Лист1!S40</f>
        <v>16022.679999999998</v>
      </c>
      <c r="F46" s="18">
        <f>Лист1!T40</f>
        <v>0</v>
      </c>
      <c r="G46" s="42">
        <f>Лист1!AB40</f>
        <v>15602</v>
      </c>
      <c r="H46" s="84">
        <f>Лист1!AC40</f>
        <v>17275.317</v>
      </c>
      <c r="I46" s="43">
        <f>Лист1!AG40</f>
        <v>1227.4679999999998</v>
      </c>
      <c r="J46" s="16">
        <f>Лист1!AI40+Лист1!AJ40</f>
        <v>2045.78</v>
      </c>
      <c r="K46" s="16">
        <f>Лист1!AH40+Лист1!AK40+Лист1!AL40+Лист1!AM40+Лист1!AN40+Лист1!AO40+Лист1!AP40+Лист1!AQ40+Лист1!AR40</f>
        <v>7017.0254</v>
      </c>
      <c r="L46" s="17">
        <f>Лист1!AS40+Лист1!AT40+Лист1!AU40</f>
        <v>770</v>
      </c>
      <c r="M46" s="17">
        <f>Лист1!AX40</f>
        <v>904.7499999999999</v>
      </c>
      <c r="N46" s="91">
        <f>Лист1!BB40</f>
        <v>11965.023399999998</v>
      </c>
      <c r="O46" s="173">
        <f>Лист1!BE40</f>
        <v>7102.253780000001</v>
      </c>
      <c r="P46" s="44">
        <f>Лист1!BF40</f>
        <v>-420.6799999999985</v>
      </c>
      <c r="Q46" s="1"/>
      <c r="R46" s="1"/>
    </row>
    <row r="47" spans="1:18" ht="13.5" thickBot="1">
      <c r="A47" s="45" t="s">
        <v>41</v>
      </c>
      <c r="B47" s="15">
        <f>Лист1!B41</f>
        <v>2045.78</v>
      </c>
      <c r="C47" s="40">
        <f>Лист1!C41</f>
        <v>17695.997</v>
      </c>
      <c r="D47" s="41">
        <f>Лист1!D41</f>
        <v>1666.4269999999972</v>
      </c>
      <c r="E47" s="16">
        <f>Лист1!S41</f>
        <v>16029.57</v>
      </c>
      <c r="F47" s="18">
        <f>Лист1!T41</f>
        <v>0</v>
      </c>
      <c r="G47" s="42">
        <f>Лист1!AB41</f>
        <v>17540.13</v>
      </c>
      <c r="H47" s="84">
        <f>Лист1!AC41</f>
        <v>19206.556999999997</v>
      </c>
      <c r="I47" s="43">
        <f>Лист1!AG41</f>
        <v>1227.4679999999998</v>
      </c>
      <c r="J47" s="16">
        <f>Лист1!AI41+Лист1!AJ41</f>
        <v>2045.78</v>
      </c>
      <c r="K47" s="16">
        <f>Лист1!AH41+Лист1!AK41+Лист1!AL41+Лист1!AM41+Лист1!AN41+Лист1!AO41+Лист1!AP41+Лист1!AQ41+Лист1!AR41</f>
        <v>7017.0254</v>
      </c>
      <c r="L47" s="17">
        <f>Лист1!AS41+Лист1!AT41+Лист1!AU41</f>
        <v>3946</v>
      </c>
      <c r="M47" s="17">
        <f>Лист1!AX41</f>
        <v>989.4499999999999</v>
      </c>
      <c r="N47" s="91">
        <f>Лист1!BB41</f>
        <v>15225.723399999999</v>
      </c>
      <c r="O47" s="173">
        <f>Лист1!BE41</f>
        <v>5772.793779999998</v>
      </c>
      <c r="P47" s="44">
        <f>Лист1!BF41</f>
        <v>1510.5600000000013</v>
      </c>
      <c r="Q47" s="1"/>
      <c r="R47" s="1"/>
    </row>
    <row r="48" spans="1:18" s="24" customFormat="1" ht="13.5" thickBot="1">
      <c r="A48" s="46" t="s">
        <v>3</v>
      </c>
      <c r="B48" s="47"/>
      <c r="C48" s="48">
        <f aca="true" t="shared" si="3" ref="C48:P48">SUM(C36:C47)</f>
        <v>212240.37900000002</v>
      </c>
      <c r="D48" s="49">
        <f t="shared" si="3"/>
        <v>119703.059</v>
      </c>
      <c r="E48" s="48">
        <f t="shared" si="3"/>
        <v>176553.61</v>
      </c>
      <c r="F48" s="50">
        <f t="shared" si="3"/>
        <v>15983.71</v>
      </c>
      <c r="G48" s="51">
        <f t="shared" si="3"/>
        <v>155682.5</v>
      </c>
      <c r="H48" s="86">
        <f t="shared" si="3"/>
        <v>291369.269</v>
      </c>
      <c r="I48" s="49">
        <f t="shared" si="3"/>
        <v>14721.876000000004</v>
      </c>
      <c r="J48" s="48">
        <f t="shared" si="3"/>
        <v>24536.46</v>
      </c>
      <c r="K48" s="48">
        <f t="shared" si="3"/>
        <v>86460.9978</v>
      </c>
      <c r="L48" s="48">
        <f t="shared" si="3"/>
        <v>344352.13259999995</v>
      </c>
      <c r="M48" s="48">
        <f t="shared" si="3"/>
        <v>8470</v>
      </c>
      <c r="N48" s="89">
        <f t="shared" si="3"/>
        <v>478541.46640000003</v>
      </c>
      <c r="O48" s="49">
        <f t="shared" si="3"/>
        <v>-166343.67523999995</v>
      </c>
      <c r="P48" s="52">
        <f t="shared" si="3"/>
        <v>-20871.109999999997</v>
      </c>
      <c r="Q48" s="53"/>
      <c r="R48" s="53"/>
    </row>
    <row r="49" spans="1:18" ht="13.5" thickBot="1">
      <c r="A49" s="175" t="s">
        <v>66</v>
      </c>
      <c r="B49" s="176"/>
      <c r="C49" s="176"/>
      <c r="D49" s="176"/>
      <c r="E49" s="176"/>
      <c r="F49" s="176"/>
      <c r="G49" s="176"/>
      <c r="H49" s="177"/>
      <c r="I49" s="176"/>
      <c r="J49" s="176"/>
      <c r="K49" s="176"/>
      <c r="L49" s="176"/>
      <c r="M49" s="176"/>
      <c r="N49" s="177"/>
      <c r="O49" s="176"/>
      <c r="P49" s="60"/>
      <c r="Q49" s="1"/>
      <c r="R49" s="1"/>
    </row>
    <row r="50" spans="1:18" s="24" customFormat="1" ht="13.5" thickBot="1">
      <c r="A50" s="61" t="s">
        <v>52</v>
      </c>
      <c r="B50" s="62"/>
      <c r="C50" s="63">
        <f>C34+C48</f>
        <v>477063.935</v>
      </c>
      <c r="D50" s="64">
        <f aca="true" t="shared" si="4" ref="D50:P50">D34+D48</f>
        <v>154995.40388737002</v>
      </c>
      <c r="E50" s="62">
        <f t="shared" si="4"/>
        <v>366598.69999999995</v>
      </c>
      <c r="F50" s="63">
        <f t="shared" si="4"/>
        <v>54036.77</v>
      </c>
      <c r="G50" s="64">
        <f t="shared" si="4"/>
        <v>319499.01300000004</v>
      </c>
      <c r="H50" s="87">
        <f t="shared" si="4"/>
        <v>528531.18688737</v>
      </c>
      <c r="I50" s="64">
        <f t="shared" si="4"/>
        <v>32601.398400000005</v>
      </c>
      <c r="J50" s="62">
        <f t="shared" si="4"/>
        <v>54119.787148155</v>
      </c>
      <c r="K50" s="62">
        <f t="shared" si="4"/>
        <v>201630.1242243171</v>
      </c>
      <c r="L50" s="62">
        <f t="shared" si="4"/>
        <v>386019.77339999995</v>
      </c>
      <c r="M50" s="62">
        <f t="shared" si="4"/>
        <v>18824.405600000002</v>
      </c>
      <c r="N50" s="90">
        <f t="shared" si="4"/>
        <v>690836.7631724721</v>
      </c>
      <c r="O50" s="178">
        <f t="shared" si="4"/>
        <v>-125845.90698910727</v>
      </c>
      <c r="P50" s="65">
        <f t="shared" si="4"/>
        <v>-47099.687000000005</v>
      </c>
      <c r="Q50" s="66"/>
      <c r="R50" s="53"/>
    </row>
    <row r="52" spans="1:18" ht="12.75">
      <c r="A52" s="24" t="s">
        <v>67</v>
      </c>
      <c r="D52" s="2" t="s">
        <v>92</v>
      </c>
      <c r="Q52" s="1"/>
      <c r="R52" s="1"/>
    </row>
    <row r="53" spans="1:18" ht="12.75">
      <c r="A53" s="26" t="s">
        <v>68</v>
      </c>
      <c r="B53" s="26" t="s">
        <v>69</v>
      </c>
      <c r="C53" s="255" t="s">
        <v>70</v>
      </c>
      <c r="D53" s="255"/>
      <c r="Q53" s="1"/>
      <c r="R53" s="1"/>
    </row>
    <row r="54" spans="1:18" ht="12.75">
      <c r="A54" s="72">
        <v>127064.74</v>
      </c>
      <c r="B54" s="179">
        <v>106666.36</v>
      </c>
      <c r="C54" s="256">
        <f>A54-B54</f>
        <v>20398.380000000005</v>
      </c>
      <c r="D54" s="257"/>
      <c r="Q54" s="1"/>
      <c r="R54" s="1"/>
    </row>
    <row r="55" spans="1:18" ht="12.75">
      <c r="A55" s="67"/>
      <c r="Q55" s="1"/>
      <c r="R55" s="1"/>
    </row>
    <row r="56" spans="1:18" ht="12.75">
      <c r="A56" s="67"/>
      <c r="Q56" s="1"/>
      <c r="R56" s="1"/>
    </row>
    <row r="57" spans="1:18" ht="12.75">
      <c r="A57" s="2" t="s">
        <v>71</v>
      </c>
      <c r="G57" s="2" t="s">
        <v>72</v>
      </c>
      <c r="Q57" s="1"/>
      <c r="R57" s="1"/>
    </row>
    <row r="58" ht="12.75">
      <c r="A58" s="1"/>
    </row>
    <row r="59" ht="12.75">
      <c r="A59" s="1"/>
    </row>
    <row r="60" ht="12.75">
      <c r="A60" s="1" t="s">
        <v>93</v>
      </c>
    </row>
    <row r="61" ht="12.75">
      <c r="A61" s="2" t="s">
        <v>73</v>
      </c>
    </row>
  </sheetData>
  <sheetProtection/>
  <mergeCells count="20">
    <mergeCell ref="E9:F10"/>
    <mergeCell ref="L11:L12"/>
    <mergeCell ref="M11:M12"/>
    <mergeCell ref="I9:N10"/>
    <mergeCell ref="P9:P12"/>
    <mergeCell ref="J11:J12"/>
    <mergeCell ref="K11:K12"/>
    <mergeCell ref="O9:O12"/>
    <mergeCell ref="H11:H12"/>
    <mergeCell ref="N11:N12"/>
    <mergeCell ref="C53:D53"/>
    <mergeCell ref="C54:D54"/>
    <mergeCell ref="E11:F11"/>
    <mergeCell ref="I11:I12"/>
    <mergeCell ref="A5:Q5"/>
    <mergeCell ref="A9:A12"/>
    <mergeCell ref="B9:B12"/>
    <mergeCell ref="C9:C12"/>
    <mergeCell ref="D9:D12"/>
    <mergeCell ref="G9:H10"/>
  </mergeCells>
  <printOptions/>
  <pageMargins left="0.23" right="0.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2010-07-16T05:15:26Z</cp:lastPrinted>
  <dcterms:created xsi:type="dcterms:W3CDTF">2010-04-03T04:08:20Z</dcterms:created>
  <dcterms:modified xsi:type="dcterms:W3CDTF">2011-04-13T07:50:10Z</dcterms:modified>
  <cp:category/>
  <cp:version/>
  <cp:contentType/>
  <cp:contentStatus/>
</cp:coreProperties>
</file>