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<sst xmlns="http://schemas.openxmlformats.org/spreadsheetml/2006/main" count="304" uniqueCount="128">
  <si>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</si>
  <si>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</si>
  <si>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</si>
  <si>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</si>
  <si>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</si>
  <si>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</si>
  <si>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</si>
  <si>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</si>
  <si>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</si>
  <si>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</si>
  <si>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</si>
  <si>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</si>
  <si>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</si>
  <si>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</si>
  <si>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</si>
  <si>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</si>
  <si>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</si>
  <si>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</si>
  <si>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</si>
  <si>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</si>
  <si>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</si>
  <si>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</si>
  <si>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</si>
  <si>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</si>
  <si>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</si>
  <si>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</si>
  <si>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</si>
  <si>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</si>
  <si>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</si>
  <si>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</si>
  <si>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</si>
  <si>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</si>
  <si>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</si>
  <si>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</si>
  <si>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</si>
  <si>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</si>
  <si>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</si>
  <si>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</si>
  <si>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</si>
  <si>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</si>
  <si>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</si>
  <si>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</si>
  <si>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</si>
  <si>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</si>
  <si>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</si>
  <si>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</si>
  <si>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</si>
  <si>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</si>
  <si>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</si>
  <si>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</si>
  <si>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</si>
  <si>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</si>
  <si>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</si>
  <si>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</si>
  <si>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</si>
  <si>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</si>
  <si>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</si>
  <si>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</si>
  <si>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</si>
  <si>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</si>
  <si>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</si>
  <si>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</si>
  <si>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</si>
  <si>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</si>
  <si>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</si>
  <si>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</si>
  <si>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</si>
  <si>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</si>
  <si>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</si>
  <si>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</si>
  <si>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</si>
  <si>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</si>
  <si>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</si>
  <si>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</si>
  <si>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</si>
  <si>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</si>
  <si>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Выписка по лицевому счету по адресу г. Таштагол, ул. Ленина, д. 80</t>
  </si>
  <si>
    <t>Лицевой счет по адресу г. Таштагол, ул. Ленина, д. 80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</si>
  <si>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</si>
  <si>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</si>
  <si>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</si>
  <si>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</si>
  <si>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</si>
  <si>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</si>
  <si>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</si>
  <si>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</si>
  <si>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</si>
  <si>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</si>
  <si>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</si>
  <si>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</si>
  <si>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</si>
  <si>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</si>
  <si>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</si>
  <si>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</si>
  <si>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</si>
  <si>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</si>
  <si>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</si>
  <si>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</si>
  <si>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</si>
  <si>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</si>
  <si>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</si>
  <si>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</si>
  <si>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</si>
  <si>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</si>
  <si>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</si>
  <si>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</si>
  <si>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</si>
  <si>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</si>
  <si>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</si>
  <si>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</si>
  <si>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</si>
  <si>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</si>
  <si>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</si>
  <si>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</si>
  <si>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</si>
  <si>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</si>
  <si>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</si>
  <si>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</si>
  <si>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</si>
  <si>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</si>
  <si>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</si>
  <si>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</si>
  <si>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</si>
  <si>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</si>
  <si>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</si>
  <si>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</si>
  <si>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</si>
  <si>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Ленина, д. 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</si>
</sst>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0" fillId="0" borderId="3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4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4" fontId="0" fillId="0" borderId="39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40" xfId="0" applyFont="1" applyFill="1" applyBorder="1" applyAlignment="1">
      <alignment horizontal="center" textRotation="90"/>
    </xf>
    <xf numFmtId="4" fontId="0" fillId="0" borderId="19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8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38" borderId="34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4" xfId="0" applyNumberFormat="1" applyFont="1" applyFill="1" applyBorder="1" applyAlignment="1">
      <alignment/>
    </xf>
    <xf numFmtId="4" fontId="1" fillId="35" borderId="22" xfId="0" applyNumberFormat="1" applyFont="1" applyFill="1" applyBorder="1" applyAlignment="1">
      <alignment wrapText="1"/>
    </xf>
    <xf numFmtId="4" fontId="1" fillId="33" borderId="22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38" borderId="10" xfId="0" applyNumberFormat="1" applyFont="1" applyFill="1" applyBorder="1" applyAlignment="1">
      <alignment horizontal="right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8" borderId="17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10" fillId="0" borderId="34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3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textRotation="90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textRotation="90"/>
    </xf>
    <xf numFmtId="0" fontId="1" fillId="36" borderId="41" xfId="0" applyFont="1" applyFill="1" applyBorder="1" applyAlignment="1">
      <alignment horizontal="center" textRotation="90"/>
    </xf>
    <xf numFmtId="0" fontId="1" fillId="38" borderId="47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textRotation="90" wrapText="1"/>
    </xf>
    <xf numFmtId="2" fontId="1" fillId="33" borderId="59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3" fontId="0" fillId="0" borderId="34" xfId="61" applyFont="1" applyFill="1" applyBorder="1" applyAlignment="1">
      <alignment horizontal="center"/>
    </xf>
    <xf numFmtId="43" fontId="0" fillId="0" borderId="29" xfId="6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8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textRotation="90"/>
    </xf>
    <xf numFmtId="0" fontId="1" fillId="36" borderId="42" xfId="0" applyFont="1" applyFill="1" applyBorder="1" applyAlignment="1">
      <alignment horizontal="center" textRotation="90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0" fontId="1" fillId="38" borderId="49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62" xfId="0" applyNumberFormat="1" applyFont="1" applyFill="1" applyBorder="1" applyAlignment="1">
      <alignment horizontal="right"/>
    </xf>
    <xf numFmtId="4" fontId="1" fillId="0" borderId="7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39" borderId="3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4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6" borderId="30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36" borderId="30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36" xfId="0" applyNumberFormat="1" applyFont="1" applyFill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36" borderId="30" xfId="0" applyFont="1" applyFill="1" applyBorder="1" applyAlignment="1">
      <alignment/>
    </xf>
    <xf numFmtId="0" fontId="28" fillId="0" borderId="29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34" borderId="38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2" fillId="34" borderId="38" xfId="0" applyNumberFormat="1" applyFont="1" applyFill="1" applyBorder="1" applyAlignment="1">
      <alignment horizontal="right" wrapText="1"/>
    </xf>
    <xf numFmtId="4" fontId="0" fillId="39" borderId="72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3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75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75" xfId="0" applyFont="1" applyFill="1" applyBorder="1" applyAlignment="1">
      <alignment horizontal="center" vertical="center" wrapText="1"/>
    </xf>
    <xf numFmtId="4" fontId="1" fillId="0" borderId="76" xfId="0" applyNumberFormat="1" applyFont="1" applyFill="1" applyBorder="1" applyAlignment="1">
      <alignment horizontal="center" vertical="center" textRotation="90" wrapText="1"/>
    </xf>
    <xf numFmtId="4" fontId="1" fillId="0" borderId="77" xfId="0" applyNumberFormat="1" applyFont="1" applyFill="1" applyBorder="1" applyAlignment="1">
      <alignment horizontal="center" vertical="center" textRotation="90" wrapText="1"/>
    </xf>
    <xf numFmtId="4" fontId="1" fillId="0" borderId="75" xfId="0" applyNumberFormat="1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wrapText="1"/>
    </xf>
    <xf numFmtId="0" fontId="1" fillId="0" borderId="7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7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8" xfId="0" applyNumberFormat="1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textRotation="90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59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4" fontId="0" fillId="0" borderId="78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10" fillId="37" borderId="3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2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4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7">
          <cell r="I157">
            <v>100</v>
          </cell>
          <cell r="R157">
            <v>25</v>
          </cell>
        </row>
      </sheetData>
      <sheetData sheetId="1">
        <row r="158">
          <cell r="S158">
            <v>25</v>
          </cell>
        </row>
        <row r="159">
          <cell r="J159">
            <v>100</v>
          </cell>
        </row>
      </sheetData>
      <sheetData sheetId="2">
        <row r="159">
          <cell r="G159">
            <v>100</v>
          </cell>
          <cell r="S159">
            <v>25</v>
          </cell>
        </row>
      </sheetData>
      <sheetData sheetId="3">
        <row r="161">
          <cell r="S161">
            <v>25</v>
          </cell>
        </row>
      </sheetData>
      <sheetData sheetId="4">
        <row r="159">
          <cell r="J159">
            <v>100</v>
          </cell>
          <cell r="S159">
            <v>25</v>
          </cell>
        </row>
        <row r="199">
          <cell r="J199">
            <v>114</v>
          </cell>
          <cell r="S199">
            <v>28.5</v>
          </cell>
        </row>
      </sheetData>
      <sheetData sheetId="5">
        <row r="159">
          <cell r="J159">
            <v>100</v>
          </cell>
          <cell r="S159">
            <v>25</v>
          </cell>
        </row>
        <row r="199">
          <cell r="J199">
            <v>114</v>
          </cell>
          <cell r="S199">
            <v>28.5</v>
          </cell>
        </row>
      </sheetData>
      <sheetData sheetId="6">
        <row r="163">
          <cell r="J163">
            <v>100</v>
          </cell>
          <cell r="S163">
            <v>25</v>
          </cell>
        </row>
        <row r="203">
          <cell r="J203">
            <v>114</v>
          </cell>
          <cell r="S203">
            <v>28.5</v>
          </cell>
        </row>
      </sheetData>
      <sheetData sheetId="7">
        <row r="167">
          <cell r="J167">
            <v>100</v>
          </cell>
          <cell r="S167">
            <v>25</v>
          </cell>
        </row>
        <row r="207">
          <cell r="J207">
            <v>114</v>
          </cell>
          <cell r="S207">
            <v>28.5</v>
          </cell>
        </row>
      </sheetData>
      <sheetData sheetId="8">
        <row r="167">
          <cell r="J167">
            <v>100</v>
          </cell>
        </row>
        <row r="207">
          <cell r="J207">
            <v>114</v>
          </cell>
        </row>
      </sheetData>
      <sheetData sheetId="9">
        <row r="167">
          <cell r="S167">
            <v>25</v>
          </cell>
        </row>
        <row r="207">
          <cell r="S207">
            <v>28.5</v>
          </cell>
        </row>
      </sheetData>
      <sheetData sheetId="10">
        <row r="167">
          <cell r="J167">
            <v>100</v>
          </cell>
          <cell r="S167">
            <v>25</v>
          </cell>
        </row>
        <row r="207">
          <cell r="J207">
            <v>114</v>
          </cell>
          <cell r="S207">
            <v>28.5</v>
          </cell>
        </row>
      </sheetData>
      <sheetData sheetId="11">
        <row r="191">
          <cell r="J191">
            <v>100</v>
          </cell>
          <cell r="S191">
            <v>25</v>
          </cell>
        </row>
        <row r="231">
          <cell r="J231">
            <v>114</v>
          </cell>
          <cell r="S231">
            <v>28.5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61">
          <cell r="J161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67">
          <cell r="J167">
            <v>100</v>
          </cell>
        </row>
        <row r="207">
          <cell r="J207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">
      <selection activeCell="A8" sqref="A8:IV43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125" style="2" customWidth="1"/>
    <col min="55" max="55" width="9.125" style="2" customWidth="1"/>
    <col min="56" max="56" width="11.00390625" style="2" customWidth="1"/>
    <col min="57" max="57" width="10.25390625" style="2" customWidth="1"/>
    <col min="58" max="58" width="10.625" style="2" customWidth="1"/>
    <col min="59" max="16384" width="9.125" style="2" customWidth="1"/>
  </cols>
  <sheetData>
    <row r="1" spans="1:18" ht="12.75">
      <c r="A1" s="206" t="s">
        <v>77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07" t="s">
        <v>78</v>
      </c>
      <c r="B3" s="209" t="s">
        <v>0</v>
      </c>
      <c r="C3" s="211" t="s">
        <v>1</v>
      </c>
      <c r="D3" s="213" t="s">
        <v>2</v>
      </c>
      <c r="E3" s="207" t="s">
        <v>11</v>
      </c>
      <c r="F3" s="217"/>
      <c r="G3" s="207" t="s">
        <v>12</v>
      </c>
      <c r="H3" s="220"/>
      <c r="I3" s="207" t="s">
        <v>13</v>
      </c>
      <c r="J3" s="220"/>
      <c r="K3" s="207" t="s">
        <v>14</v>
      </c>
      <c r="L3" s="220"/>
      <c r="M3" s="223" t="s">
        <v>15</v>
      </c>
      <c r="N3" s="220"/>
      <c r="O3" s="207" t="s">
        <v>16</v>
      </c>
      <c r="P3" s="220"/>
      <c r="Q3" s="207" t="s">
        <v>17</v>
      </c>
      <c r="R3" s="220"/>
      <c r="S3" s="207" t="s">
        <v>3</v>
      </c>
      <c r="T3" s="223"/>
      <c r="U3" s="230" t="s">
        <v>4</v>
      </c>
      <c r="V3" s="231"/>
      <c r="W3" s="231"/>
      <c r="X3" s="231"/>
      <c r="Y3" s="231"/>
      <c r="Z3" s="231"/>
      <c r="AA3" s="231"/>
      <c r="AB3" s="231"/>
      <c r="AC3" s="234" t="s">
        <v>79</v>
      </c>
      <c r="AD3" s="199" t="s">
        <v>6</v>
      </c>
      <c r="AE3" s="199" t="s">
        <v>7</v>
      </c>
      <c r="AF3" s="226" t="s">
        <v>80</v>
      </c>
      <c r="AG3" s="251" t="s">
        <v>8</v>
      </c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3"/>
      <c r="BC3" s="246" t="s">
        <v>81</v>
      </c>
      <c r="BD3" s="248"/>
      <c r="BE3" s="239" t="s">
        <v>9</v>
      </c>
      <c r="BF3" s="239" t="s">
        <v>10</v>
      </c>
    </row>
    <row r="4" spans="1:58" ht="36" customHeight="1" thickBot="1">
      <c r="A4" s="208"/>
      <c r="B4" s="210"/>
      <c r="C4" s="212"/>
      <c r="D4" s="214"/>
      <c r="E4" s="218"/>
      <c r="F4" s="219"/>
      <c r="G4" s="221"/>
      <c r="H4" s="222"/>
      <c r="I4" s="221"/>
      <c r="J4" s="222"/>
      <c r="K4" s="221"/>
      <c r="L4" s="222"/>
      <c r="M4" s="224"/>
      <c r="N4" s="225"/>
      <c r="O4" s="221"/>
      <c r="P4" s="222"/>
      <c r="Q4" s="221"/>
      <c r="R4" s="222"/>
      <c r="S4" s="221"/>
      <c r="T4" s="229"/>
      <c r="U4" s="232"/>
      <c r="V4" s="233"/>
      <c r="W4" s="233"/>
      <c r="X4" s="233"/>
      <c r="Y4" s="233"/>
      <c r="Z4" s="233"/>
      <c r="AA4" s="233"/>
      <c r="AB4" s="233"/>
      <c r="AC4" s="235"/>
      <c r="AD4" s="200"/>
      <c r="AE4" s="200"/>
      <c r="AF4" s="227"/>
      <c r="AG4" s="198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5"/>
      <c r="BC4" s="242" t="s">
        <v>82</v>
      </c>
      <c r="BD4" s="245" t="s">
        <v>83</v>
      </c>
      <c r="BE4" s="240"/>
      <c r="BF4" s="240"/>
    </row>
    <row r="5" spans="1:58" ht="29.25" customHeight="1" thickBot="1">
      <c r="A5" s="208"/>
      <c r="B5" s="210"/>
      <c r="C5" s="212"/>
      <c r="D5" s="214"/>
      <c r="E5" s="215" t="s">
        <v>18</v>
      </c>
      <c r="F5" s="202" t="s">
        <v>19</v>
      </c>
      <c r="G5" s="202" t="s">
        <v>18</v>
      </c>
      <c r="H5" s="202" t="s">
        <v>19</v>
      </c>
      <c r="I5" s="202" t="s">
        <v>18</v>
      </c>
      <c r="J5" s="202" t="s">
        <v>19</v>
      </c>
      <c r="K5" s="202" t="s">
        <v>18</v>
      </c>
      <c r="L5" s="202" t="s">
        <v>19</v>
      </c>
      <c r="M5" s="202" t="s">
        <v>18</v>
      </c>
      <c r="N5" s="202" t="s">
        <v>19</v>
      </c>
      <c r="O5" s="202" t="s">
        <v>18</v>
      </c>
      <c r="P5" s="202" t="s">
        <v>19</v>
      </c>
      <c r="Q5" s="202" t="s">
        <v>18</v>
      </c>
      <c r="R5" s="202" t="s">
        <v>19</v>
      </c>
      <c r="S5" s="202" t="s">
        <v>18</v>
      </c>
      <c r="T5" s="237" t="s">
        <v>19</v>
      </c>
      <c r="U5" s="204" t="s">
        <v>20</v>
      </c>
      <c r="V5" s="204" t="s">
        <v>21</v>
      </c>
      <c r="W5" s="204" t="s">
        <v>22</v>
      </c>
      <c r="X5" s="204" t="s">
        <v>23</v>
      </c>
      <c r="Y5" s="204" t="s">
        <v>24</v>
      </c>
      <c r="Z5" s="204" t="s">
        <v>25</v>
      </c>
      <c r="AA5" s="204" t="s">
        <v>26</v>
      </c>
      <c r="AB5" s="197" t="s">
        <v>27</v>
      </c>
      <c r="AC5" s="235"/>
      <c r="AD5" s="200"/>
      <c r="AE5" s="200"/>
      <c r="AF5" s="227"/>
      <c r="AG5" s="256" t="s">
        <v>28</v>
      </c>
      <c r="AH5" s="258" t="s">
        <v>29</v>
      </c>
      <c r="AI5" s="258" t="s">
        <v>30</v>
      </c>
      <c r="AJ5" s="191" t="s">
        <v>31</v>
      </c>
      <c r="AK5" s="258" t="s">
        <v>32</v>
      </c>
      <c r="AL5" s="191" t="s">
        <v>31</v>
      </c>
      <c r="AM5" s="191" t="s">
        <v>33</v>
      </c>
      <c r="AN5" s="191" t="s">
        <v>31</v>
      </c>
      <c r="AO5" s="191" t="s">
        <v>34</v>
      </c>
      <c r="AP5" s="191" t="s">
        <v>31</v>
      </c>
      <c r="AQ5" s="193" t="s">
        <v>84</v>
      </c>
      <c r="AR5" s="195" t="s">
        <v>31</v>
      </c>
      <c r="AS5" s="260" t="s">
        <v>85</v>
      </c>
      <c r="AT5" s="260" t="s">
        <v>86</v>
      </c>
      <c r="AU5" s="122" t="s">
        <v>31</v>
      </c>
      <c r="AV5" s="246" t="s">
        <v>87</v>
      </c>
      <c r="AW5" s="247"/>
      <c r="AX5" s="248"/>
      <c r="AY5" s="249" t="s">
        <v>17</v>
      </c>
      <c r="AZ5" s="245" t="s">
        <v>36</v>
      </c>
      <c r="BA5" s="245" t="s">
        <v>31</v>
      </c>
      <c r="BB5" s="245" t="s">
        <v>37</v>
      </c>
      <c r="BC5" s="243"/>
      <c r="BD5" s="191"/>
      <c r="BE5" s="240"/>
      <c r="BF5" s="240"/>
    </row>
    <row r="6" spans="1:58" ht="54" customHeight="1" thickBot="1">
      <c r="A6" s="208"/>
      <c r="B6" s="210"/>
      <c r="C6" s="212"/>
      <c r="D6" s="214"/>
      <c r="E6" s="216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38"/>
      <c r="U6" s="205"/>
      <c r="V6" s="205"/>
      <c r="W6" s="205"/>
      <c r="X6" s="205"/>
      <c r="Y6" s="205"/>
      <c r="Z6" s="205"/>
      <c r="AA6" s="205"/>
      <c r="AB6" s="198"/>
      <c r="AC6" s="236"/>
      <c r="AD6" s="201"/>
      <c r="AE6" s="201"/>
      <c r="AF6" s="228"/>
      <c r="AG6" s="257"/>
      <c r="AH6" s="259"/>
      <c r="AI6" s="259"/>
      <c r="AJ6" s="192"/>
      <c r="AK6" s="259"/>
      <c r="AL6" s="192"/>
      <c r="AM6" s="192"/>
      <c r="AN6" s="192"/>
      <c r="AO6" s="192"/>
      <c r="AP6" s="192"/>
      <c r="AQ6" s="194"/>
      <c r="AR6" s="196"/>
      <c r="AS6" s="261"/>
      <c r="AT6" s="261"/>
      <c r="AU6" s="124"/>
      <c r="AV6" s="123" t="s">
        <v>88</v>
      </c>
      <c r="AW6" s="123" t="s">
        <v>89</v>
      </c>
      <c r="AX6" s="123" t="s">
        <v>90</v>
      </c>
      <c r="AY6" s="250"/>
      <c r="AZ6" s="192"/>
      <c r="BA6" s="192"/>
      <c r="BB6" s="192"/>
      <c r="BC6" s="244"/>
      <c r="BD6" s="192"/>
      <c r="BE6" s="241"/>
      <c r="BF6" s="241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25">
        <v>43</v>
      </c>
      <c r="AR7" s="126">
        <v>44</v>
      </c>
      <c r="AS7" s="127">
        <v>45</v>
      </c>
      <c r="AT7" s="10">
        <v>46</v>
      </c>
      <c r="AU7" s="127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28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9"/>
      <c r="AR8" s="12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28"/>
    </row>
    <row r="9" spans="1:58" s="145" customFormat="1" ht="12.75" hidden="1">
      <c r="A9" s="130" t="s">
        <v>39</v>
      </c>
      <c r="B9" s="73">
        <v>1194.8</v>
      </c>
      <c r="C9" s="131">
        <f>B9*8.65</f>
        <v>10335.02</v>
      </c>
      <c r="D9" s="132">
        <f>C9*0.24088</f>
        <v>2489.4996176000004</v>
      </c>
      <c r="E9" s="74">
        <v>812.79</v>
      </c>
      <c r="F9" s="74">
        <v>172.58</v>
      </c>
      <c r="G9" s="74">
        <v>1097.27</v>
      </c>
      <c r="H9" s="74">
        <v>232.97</v>
      </c>
      <c r="I9" s="74">
        <v>2641.57</v>
      </c>
      <c r="J9" s="74">
        <v>560.89</v>
      </c>
      <c r="K9" s="74">
        <v>1828.78</v>
      </c>
      <c r="L9" s="74">
        <v>388.31</v>
      </c>
      <c r="M9" s="74">
        <v>650.21</v>
      </c>
      <c r="N9" s="74">
        <v>138.06</v>
      </c>
      <c r="O9" s="74">
        <v>0</v>
      </c>
      <c r="P9" s="74">
        <v>0</v>
      </c>
      <c r="Q9" s="74">
        <v>0</v>
      </c>
      <c r="R9" s="74">
        <v>0</v>
      </c>
      <c r="S9" s="74">
        <f>E9+G9+I9+K9+M9+O9+Q9</f>
        <v>7030.62</v>
      </c>
      <c r="T9" s="133">
        <f>P9+N9+L9+J9+H9+F9+R9</f>
        <v>1492.81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92">
        <v>0</v>
      </c>
      <c r="AA9" s="92">
        <v>0</v>
      </c>
      <c r="AB9" s="92">
        <f>SUM(U9:AA9)</f>
        <v>0</v>
      </c>
      <c r="AC9" s="134">
        <f>D9+T9+AB9</f>
        <v>3982.3096176000004</v>
      </c>
      <c r="AD9" s="135">
        <f>P9+Z9</f>
        <v>0</v>
      </c>
      <c r="AE9" s="136">
        <f>R9+AA9</f>
        <v>0</v>
      </c>
      <c r="AF9" s="136"/>
      <c r="AG9" s="25">
        <f>0.6*B9</f>
        <v>716.88</v>
      </c>
      <c r="AH9" s="25">
        <f>B9*0.2*1.05826</f>
        <v>252.8818096</v>
      </c>
      <c r="AI9" s="25">
        <f>0.8518*B9</f>
        <v>1017.73064</v>
      </c>
      <c r="AJ9" s="25">
        <f>AI9*0.18</f>
        <v>183.1915152</v>
      </c>
      <c r="AK9" s="25">
        <f>1.04*B9*0.9531</f>
        <v>1184.3144352</v>
      </c>
      <c r="AL9" s="25">
        <f>AK9*0.18</f>
        <v>213.17659833599998</v>
      </c>
      <c r="AM9" s="25">
        <f>(1.91)*B9*0.9531</f>
        <v>2175.0390107999997</v>
      </c>
      <c r="AN9" s="25">
        <f>AM9*0.18</f>
        <v>391.5070219439999</v>
      </c>
      <c r="AO9" s="25"/>
      <c r="AP9" s="25">
        <f>AO9*0.18</f>
        <v>0</v>
      </c>
      <c r="AQ9" s="137"/>
      <c r="AR9" s="137"/>
      <c r="AS9" s="76">
        <v>4200</v>
      </c>
      <c r="AT9" s="76"/>
      <c r="AU9" s="76">
        <f>(AS9+AT9)*0.18</f>
        <v>756</v>
      </c>
      <c r="AV9" s="138"/>
      <c r="AW9" s="139"/>
      <c r="AX9" s="25">
        <f>AV9*AW9*1.12*1.18</f>
        <v>0</v>
      </c>
      <c r="AY9" s="140"/>
      <c r="AZ9" s="141"/>
      <c r="BA9" s="141">
        <f>AZ9*0.18</f>
        <v>0</v>
      </c>
      <c r="BB9" s="141">
        <f>SUM(AG9:BA9)-AV9-AW9</f>
        <v>11090.72103108</v>
      </c>
      <c r="BC9" s="142"/>
      <c r="BD9" s="18">
        <f>BB9-(AF9-BC9)</f>
        <v>11090.72103108</v>
      </c>
      <c r="BE9" s="143">
        <f>AC9-BB9</f>
        <v>-7108.41141348</v>
      </c>
      <c r="BF9" s="144">
        <f>AB9-S9</f>
        <v>-7030.62</v>
      </c>
    </row>
    <row r="10" spans="1:58" ht="12.75" hidden="1">
      <c r="A10" s="14" t="s">
        <v>40</v>
      </c>
      <c r="B10" s="73">
        <v>1194.8</v>
      </c>
      <c r="C10" s="131">
        <f>B10*8.65</f>
        <v>10335.02</v>
      </c>
      <c r="D10" s="132">
        <f>C10*0.24088</f>
        <v>2489.4996176000004</v>
      </c>
      <c r="E10" s="74">
        <v>798.99</v>
      </c>
      <c r="F10" s="74">
        <v>168.06</v>
      </c>
      <c r="G10" s="74">
        <v>1078.61</v>
      </c>
      <c r="H10" s="74">
        <v>226.89</v>
      </c>
      <c r="I10" s="74">
        <v>2596.75</v>
      </c>
      <c r="J10" s="74">
        <v>546.17</v>
      </c>
      <c r="K10" s="74">
        <v>1797.74</v>
      </c>
      <c r="L10" s="74">
        <v>378.13</v>
      </c>
      <c r="M10" s="74">
        <v>639.15</v>
      </c>
      <c r="N10" s="74">
        <v>134.46</v>
      </c>
      <c r="O10" s="74">
        <v>0</v>
      </c>
      <c r="P10" s="74">
        <v>0</v>
      </c>
      <c r="Q10" s="74">
        <v>0</v>
      </c>
      <c r="R10" s="74">
        <v>0</v>
      </c>
      <c r="S10" s="74">
        <f>E10+G10+I10+K10+M10+O10+Q10</f>
        <v>6911.24</v>
      </c>
      <c r="T10" s="133">
        <f>P10+N10+L10+J10+H10+F10+R10</f>
        <v>1453.71</v>
      </c>
      <c r="U10" s="74">
        <v>441.76</v>
      </c>
      <c r="V10" s="74">
        <v>596.39</v>
      </c>
      <c r="W10" s="74">
        <v>1435.77</v>
      </c>
      <c r="X10" s="74">
        <v>994</v>
      </c>
      <c r="Y10" s="74">
        <v>353.39</v>
      </c>
      <c r="Z10" s="74">
        <v>0</v>
      </c>
      <c r="AA10" s="92">
        <v>0</v>
      </c>
      <c r="AB10" s="146">
        <f>SUM(U10:AA10)</f>
        <v>3821.31</v>
      </c>
      <c r="AC10" s="147">
        <f>D10+T10+AB10</f>
        <v>7764.519617600001</v>
      </c>
      <c r="AD10" s="136">
        <f>P10+Z10</f>
        <v>0</v>
      </c>
      <c r="AE10" s="136">
        <f>R10+AA10</f>
        <v>0</v>
      </c>
      <c r="AF10" s="136"/>
      <c r="AG10" s="25">
        <f>0.6*B10</f>
        <v>716.88</v>
      </c>
      <c r="AH10" s="25">
        <f>B10*0.201</f>
        <v>240.1548</v>
      </c>
      <c r="AI10" s="25">
        <f>0.8518*B10</f>
        <v>1017.73064</v>
      </c>
      <c r="AJ10" s="25">
        <f>AI10*0.18</f>
        <v>183.1915152</v>
      </c>
      <c r="AK10" s="25">
        <f>1.04*B10*0.9531</f>
        <v>1184.3144352</v>
      </c>
      <c r="AL10" s="25">
        <f>AK10*0.18</f>
        <v>213.17659833599998</v>
      </c>
      <c r="AM10" s="25">
        <f>(1.91)*B10*0.9531</f>
        <v>2175.0390107999997</v>
      </c>
      <c r="AN10" s="25">
        <f>AM10*0.18</f>
        <v>391.5070219439999</v>
      </c>
      <c r="AO10" s="25"/>
      <c r="AP10" s="25">
        <f>AO10*0.18</f>
        <v>0</v>
      </c>
      <c r="AQ10" s="137"/>
      <c r="AR10" s="137"/>
      <c r="AS10" s="76">
        <v>2771</v>
      </c>
      <c r="AT10" s="76"/>
      <c r="AU10" s="76">
        <f>(AS10+AT10)*0.18</f>
        <v>498.78</v>
      </c>
      <c r="AV10" s="138"/>
      <c r="AW10" s="139"/>
      <c r="AX10" s="25">
        <f>AV10*AW10*1.12*1.18</f>
        <v>0</v>
      </c>
      <c r="AY10" s="140"/>
      <c r="AZ10" s="141"/>
      <c r="BA10" s="141">
        <f>AZ10*0.18</f>
        <v>0</v>
      </c>
      <c r="BB10" s="141">
        <f>SUM(AG10:BA10)-AV10-AW10</f>
        <v>9391.774021480001</v>
      </c>
      <c r="BC10" s="142"/>
      <c r="BD10" s="18">
        <f>BB10-(AF10-BC10)</f>
        <v>9391.774021480001</v>
      </c>
      <c r="BE10" s="143">
        <f>AC10-BB10</f>
        <v>-1627.2544038800006</v>
      </c>
      <c r="BF10" s="143">
        <f>AB10-S10</f>
        <v>-3089.93</v>
      </c>
    </row>
    <row r="11" spans="1:58" ht="13.5" hidden="1" thickBot="1">
      <c r="A11" s="45" t="s">
        <v>41</v>
      </c>
      <c r="B11" s="73">
        <v>1194.8</v>
      </c>
      <c r="C11" s="131">
        <f>B11*8.65</f>
        <v>10335.02</v>
      </c>
      <c r="D11" s="132">
        <f>C11*0.24035</f>
        <v>2484.022057</v>
      </c>
      <c r="E11" s="74">
        <v>881.68</v>
      </c>
      <c r="F11" s="74">
        <v>170.32</v>
      </c>
      <c r="G11" s="74">
        <v>1190.25</v>
      </c>
      <c r="H11" s="74">
        <v>229.93</v>
      </c>
      <c r="I11" s="74">
        <v>2865.47</v>
      </c>
      <c r="J11" s="74">
        <v>553.53</v>
      </c>
      <c r="K11" s="74">
        <v>1983.77</v>
      </c>
      <c r="L11" s="74">
        <v>383.22</v>
      </c>
      <c r="M11" s="74">
        <v>705.32</v>
      </c>
      <c r="N11" s="92">
        <v>136.26</v>
      </c>
      <c r="O11" s="92">
        <v>0</v>
      </c>
      <c r="P11" s="92">
        <v>0</v>
      </c>
      <c r="Q11" s="92">
        <v>0</v>
      </c>
      <c r="R11" s="92">
        <v>0</v>
      </c>
      <c r="S11" s="74">
        <f>E11+G11+I11+K11+M11+O11+Q11</f>
        <v>7626.49</v>
      </c>
      <c r="T11" s="133">
        <f>P11+N11+L11+J11+H11+F11+R11</f>
        <v>1473.26</v>
      </c>
      <c r="U11" s="74">
        <v>950.26</v>
      </c>
      <c r="V11" s="74">
        <v>1282.85</v>
      </c>
      <c r="W11" s="74">
        <v>3088.35</v>
      </c>
      <c r="X11" s="74">
        <v>2138.06</v>
      </c>
      <c r="Y11" s="74">
        <v>760.16</v>
      </c>
      <c r="Z11" s="74">
        <v>0</v>
      </c>
      <c r="AA11" s="92">
        <v>0</v>
      </c>
      <c r="AB11" s="146">
        <f>SUM(U11:AA11)</f>
        <v>8219.679999999998</v>
      </c>
      <c r="AC11" s="147">
        <f>D11+T11+AB11</f>
        <v>12176.962056999999</v>
      </c>
      <c r="AD11" s="136">
        <f>P11+Z11</f>
        <v>0</v>
      </c>
      <c r="AE11" s="136">
        <f>R11+AA11</f>
        <v>0</v>
      </c>
      <c r="AF11" s="136"/>
      <c r="AG11" s="25">
        <f>0.6*B11</f>
        <v>716.88</v>
      </c>
      <c r="AH11" s="25">
        <f>B11*0.2*1.02524</f>
        <v>244.9913504</v>
      </c>
      <c r="AI11" s="25">
        <f>0.84932*B11</f>
        <v>1014.767536</v>
      </c>
      <c r="AJ11" s="25">
        <f>AI11*0.18</f>
        <v>182.65815647999997</v>
      </c>
      <c r="AK11" s="25">
        <f>1.04*B11*0.95033</f>
        <v>1180.87245536</v>
      </c>
      <c r="AL11" s="25">
        <f>AK11*0.18</f>
        <v>212.5570419648</v>
      </c>
      <c r="AM11" s="25">
        <f>(1.91)*B11*0.95033</f>
        <v>2168.71768244</v>
      </c>
      <c r="AN11" s="25">
        <f>AM11*0.18</f>
        <v>390.36918283919994</v>
      </c>
      <c r="AO11" s="25"/>
      <c r="AP11" s="25">
        <f>AO11*0.18</f>
        <v>0</v>
      </c>
      <c r="AQ11" s="137"/>
      <c r="AR11" s="137"/>
      <c r="AS11" s="76">
        <v>1223</v>
      </c>
      <c r="AT11" s="76"/>
      <c r="AU11" s="76">
        <f>(AS11+AT11)*0.18</f>
        <v>220.14</v>
      </c>
      <c r="AV11" s="138"/>
      <c r="AW11" s="139"/>
      <c r="AX11" s="25">
        <f>AV11*AW11*1.12*1.18</f>
        <v>0</v>
      </c>
      <c r="AY11" s="140"/>
      <c r="AZ11" s="141"/>
      <c r="BA11" s="141">
        <f>AZ11*0.18</f>
        <v>0</v>
      </c>
      <c r="BB11" s="141">
        <f>SUM(AG11:BA11)-AV11-AW11</f>
        <v>7554.9534054840005</v>
      </c>
      <c r="BC11" s="142"/>
      <c r="BD11" s="18">
        <f>BB11-(AF11-BC11)</f>
        <v>7554.9534054840005</v>
      </c>
      <c r="BE11" s="143">
        <f>AC11-BB11</f>
        <v>4622.008651515998</v>
      </c>
      <c r="BF11" s="143">
        <f>AB11-S11</f>
        <v>593.1899999999987</v>
      </c>
    </row>
    <row r="12" spans="1:58" s="24" customFormat="1" ht="15" customHeight="1" hidden="1" thickBot="1">
      <c r="A12" s="46" t="s">
        <v>3</v>
      </c>
      <c r="B12" s="68"/>
      <c r="C12" s="68">
        <f>SUM(C9:C11)</f>
        <v>31005.06</v>
      </c>
      <c r="D12" s="68">
        <f aca="true" t="shared" si="0" ref="D12:BD12">SUM(D9:D11)</f>
        <v>7463.021292200001</v>
      </c>
      <c r="E12" s="68">
        <f t="shared" si="0"/>
        <v>2493.46</v>
      </c>
      <c r="F12" s="68">
        <f t="shared" si="0"/>
        <v>510.96</v>
      </c>
      <c r="G12" s="68">
        <f t="shared" si="0"/>
        <v>3366.13</v>
      </c>
      <c r="H12" s="68">
        <f t="shared" si="0"/>
        <v>689.79</v>
      </c>
      <c r="I12" s="68">
        <f t="shared" si="0"/>
        <v>8103.789999999999</v>
      </c>
      <c r="J12" s="68">
        <f t="shared" si="0"/>
        <v>1660.59</v>
      </c>
      <c r="K12" s="68">
        <f t="shared" si="0"/>
        <v>5610.29</v>
      </c>
      <c r="L12" s="68">
        <f t="shared" si="0"/>
        <v>1149.66</v>
      </c>
      <c r="M12" s="68">
        <f t="shared" si="0"/>
        <v>1994.6800000000003</v>
      </c>
      <c r="N12" s="68">
        <f t="shared" si="0"/>
        <v>408.78</v>
      </c>
      <c r="O12" s="68">
        <f t="shared" si="0"/>
        <v>0</v>
      </c>
      <c r="P12" s="68">
        <f t="shared" si="0"/>
        <v>0</v>
      </c>
      <c r="Q12" s="68">
        <f t="shared" si="0"/>
        <v>0</v>
      </c>
      <c r="R12" s="68">
        <f t="shared" si="0"/>
        <v>0</v>
      </c>
      <c r="S12" s="68">
        <f t="shared" si="0"/>
        <v>21568.35</v>
      </c>
      <c r="T12" s="68">
        <f t="shared" si="0"/>
        <v>4419.78</v>
      </c>
      <c r="U12" s="68">
        <f t="shared" si="0"/>
        <v>1392.02</v>
      </c>
      <c r="V12" s="68">
        <f t="shared" si="0"/>
        <v>1879.2399999999998</v>
      </c>
      <c r="W12" s="68">
        <f t="shared" si="0"/>
        <v>4524.12</v>
      </c>
      <c r="X12" s="68">
        <f t="shared" si="0"/>
        <v>3132.06</v>
      </c>
      <c r="Y12" s="68">
        <f t="shared" si="0"/>
        <v>1113.55</v>
      </c>
      <c r="Z12" s="68">
        <f t="shared" si="0"/>
        <v>0</v>
      </c>
      <c r="AA12" s="68">
        <f t="shared" si="0"/>
        <v>0</v>
      </c>
      <c r="AB12" s="68">
        <f t="shared" si="0"/>
        <v>12040.989999999998</v>
      </c>
      <c r="AC12" s="68">
        <f t="shared" si="0"/>
        <v>23923.7912922</v>
      </c>
      <c r="AD12" s="68">
        <f t="shared" si="0"/>
        <v>0</v>
      </c>
      <c r="AE12" s="68">
        <f t="shared" si="0"/>
        <v>0</v>
      </c>
      <c r="AF12" s="68">
        <f t="shared" si="0"/>
        <v>0</v>
      </c>
      <c r="AG12" s="68">
        <f t="shared" si="0"/>
        <v>2150.64</v>
      </c>
      <c r="AH12" s="68">
        <f t="shared" si="0"/>
        <v>738.02796</v>
      </c>
      <c r="AI12" s="68">
        <f t="shared" si="0"/>
        <v>3050.228816</v>
      </c>
      <c r="AJ12" s="68">
        <f t="shared" si="0"/>
        <v>549.0411868799999</v>
      </c>
      <c r="AK12" s="68">
        <f t="shared" si="0"/>
        <v>3549.50132576</v>
      </c>
      <c r="AL12" s="68">
        <f t="shared" si="0"/>
        <v>638.9102386367999</v>
      </c>
      <c r="AM12" s="68">
        <f t="shared" si="0"/>
        <v>6518.79570404</v>
      </c>
      <c r="AN12" s="68">
        <f t="shared" si="0"/>
        <v>1173.3832267271998</v>
      </c>
      <c r="AO12" s="68">
        <f t="shared" si="0"/>
        <v>0</v>
      </c>
      <c r="AP12" s="68">
        <f t="shared" si="0"/>
        <v>0</v>
      </c>
      <c r="AQ12" s="148">
        <f t="shared" si="0"/>
        <v>0</v>
      </c>
      <c r="AR12" s="148">
        <f t="shared" si="0"/>
        <v>0</v>
      </c>
      <c r="AS12" s="149">
        <f t="shared" si="0"/>
        <v>8194</v>
      </c>
      <c r="AT12" s="149">
        <f t="shared" si="0"/>
        <v>0</v>
      </c>
      <c r="AU12" s="149">
        <f t="shared" si="0"/>
        <v>1474.92</v>
      </c>
      <c r="AV12" s="68">
        <f t="shared" si="0"/>
        <v>0</v>
      </c>
      <c r="AW12" s="68">
        <f t="shared" si="0"/>
        <v>0</v>
      </c>
      <c r="AX12" s="68">
        <f t="shared" si="0"/>
        <v>0</v>
      </c>
      <c r="AY12" s="68">
        <f t="shared" si="0"/>
        <v>0</v>
      </c>
      <c r="AZ12" s="68">
        <f t="shared" si="0"/>
        <v>0</v>
      </c>
      <c r="BA12" s="68">
        <f t="shared" si="0"/>
        <v>0</v>
      </c>
      <c r="BB12" s="68">
        <f t="shared" si="0"/>
        <v>28037.448458044</v>
      </c>
      <c r="BC12" s="68">
        <f t="shared" si="0"/>
        <v>0</v>
      </c>
      <c r="BD12" s="68">
        <f t="shared" si="0"/>
        <v>28037.448458044</v>
      </c>
      <c r="BE12" s="68">
        <f>SUM(BE9:BE11)</f>
        <v>-4113.6571658440025</v>
      </c>
      <c r="BF12" s="150">
        <f>SUM(BF9:BF11)</f>
        <v>-9527.36</v>
      </c>
    </row>
    <row r="13" spans="1:58" ht="15" customHeight="1" hidden="1">
      <c r="A13" s="8" t="s">
        <v>42</v>
      </c>
      <c r="B13" s="65"/>
      <c r="C13" s="151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4"/>
      <c r="Q13" s="155"/>
      <c r="R13" s="155"/>
      <c r="S13" s="155"/>
      <c r="T13" s="155"/>
      <c r="U13" s="156"/>
      <c r="V13" s="156"/>
      <c r="W13" s="156"/>
      <c r="X13" s="156"/>
      <c r="Y13" s="156"/>
      <c r="Z13" s="156"/>
      <c r="AA13" s="157"/>
      <c r="AB13" s="157"/>
      <c r="AC13" s="98"/>
      <c r="AD13" s="99"/>
      <c r="AE13" s="99"/>
      <c r="AF13" s="54"/>
      <c r="AG13" s="54"/>
      <c r="AH13" s="54"/>
      <c r="AI13" s="54"/>
      <c r="AJ13" s="54"/>
      <c r="AK13" s="54"/>
      <c r="AL13" s="54"/>
      <c r="AM13" s="54"/>
      <c r="AN13" s="66"/>
      <c r="AO13" s="66"/>
      <c r="AP13" s="66"/>
      <c r="AQ13" s="158"/>
      <c r="AR13" s="159"/>
      <c r="AS13" s="95"/>
      <c r="AT13" s="95"/>
      <c r="AU13" s="160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28"/>
    </row>
    <row r="14" spans="1:58" ht="12.75" hidden="1">
      <c r="A14" s="14" t="s">
        <v>43</v>
      </c>
      <c r="B14" s="161">
        <v>1250.1</v>
      </c>
      <c r="C14" s="131">
        <f aca="true" t="shared" si="1" ref="C14:C25">B14*8.65</f>
        <v>10813.365</v>
      </c>
      <c r="D14" s="132">
        <f>C14*0.125</f>
        <v>1351.670625</v>
      </c>
      <c r="E14" s="74">
        <v>844.21</v>
      </c>
      <c r="F14" s="74">
        <v>170.32</v>
      </c>
      <c r="G14" s="74">
        <v>1139.67</v>
      </c>
      <c r="H14" s="74">
        <v>229.93</v>
      </c>
      <c r="I14" s="74">
        <v>2743.7</v>
      </c>
      <c r="J14" s="74">
        <v>553.53</v>
      </c>
      <c r="K14" s="74">
        <v>1899.48</v>
      </c>
      <c r="L14" s="74">
        <v>383.22</v>
      </c>
      <c r="M14" s="74">
        <v>675.34</v>
      </c>
      <c r="N14" s="92">
        <v>136.26</v>
      </c>
      <c r="O14" s="92">
        <v>0</v>
      </c>
      <c r="P14" s="92">
        <v>0</v>
      </c>
      <c r="Q14" s="92">
        <v>0</v>
      </c>
      <c r="R14" s="92">
        <v>0</v>
      </c>
      <c r="S14" s="74">
        <f aca="true" t="shared" si="2" ref="S14:S25">E14+G14+I14+K14+M14+O14+Q14</f>
        <v>7302.4</v>
      </c>
      <c r="T14" s="133">
        <f aca="true" t="shared" si="3" ref="T14:T25">P14+N14+L14+J14+H14+F14+R14</f>
        <v>1473.26</v>
      </c>
      <c r="U14" s="74">
        <v>521.59</v>
      </c>
      <c r="V14" s="74">
        <v>704.16</v>
      </c>
      <c r="W14" s="74">
        <v>1695.21</v>
      </c>
      <c r="X14" s="74">
        <v>1173.6</v>
      </c>
      <c r="Y14" s="74">
        <v>417.28</v>
      </c>
      <c r="Z14" s="74">
        <v>0</v>
      </c>
      <c r="AA14" s="92">
        <v>0</v>
      </c>
      <c r="AB14" s="162">
        <f aca="true" t="shared" si="4" ref="AB14:AB22">SUM(U14:AA14)</f>
        <v>4511.84</v>
      </c>
      <c r="AC14" s="147">
        <f aca="true" t="shared" si="5" ref="AC14:AC22">D14+T14+AB14</f>
        <v>7336.770625</v>
      </c>
      <c r="AD14" s="136">
        <f aca="true" t="shared" si="6" ref="AD14:AD25">P14+Z14</f>
        <v>0</v>
      </c>
      <c r="AE14" s="136">
        <f aca="true" t="shared" si="7" ref="AE14:AE25">R14+AA14</f>
        <v>0</v>
      </c>
      <c r="AF14" s="136"/>
      <c r="AG14" s="25">
        <f>0.6*B14*0.9</f>
        <v>675.054</v>
      </c>
      <c r="AH14" s="25">
        <f>B14*0.2*0.891</f>
        <v>222.76782</v>
      </c>
      <c r="AI14" s="25">
        <f>0.85*B14*0.867-0.02</f>
        <v>921.2411949999998</v>
      </c>
      <c r="AJ14" s="25">
        <f aca="true" t="shared" si="8" ref="AJ14:AJ25">AI14*0.18</f>
        <v>165.82341509999998</v>
      </c>
      <c r="AK14" s="25">
        <f>0.83*B14*0.8685</f>
        <v>901.1408355</v>
      </c>
      <c r="AL14" s="25">
        <f aca="true" t="shared" si="9" ref="AL14:AL25">AK14*0.18</f>
        <v>162.20535038999998</v>
      </c>
      <c r="AM14" s="25">
        <f>1.91*B14*0.8686</f>
        <v>2073.9484026</v>
      </c>
      <c r="AN14" s="25">
        <f aca="true" t="shared" si="10" ref="AN14:AN25">AM14*0.18</f>
        <v>373.31071246799996</v>
      </c>
      <c r="AO14" s="25"/>
      <c r="AP14" s="25">
        <f aca="true" t="shared" si="11" ref="AP14:AR25">AO14*0.18</f>
        <v>0</v>
      </c>
      <c r="AQ14" s="137"/>
      <c r="AR14" s="137">
        <f>AQ14*0.18</f>
        <v>0</v>
      </c>
      <c r="AS14" s="76"/>
      <c r="AT14" s="76"/>
      <c r="AU14" s="76">
        <f aca="true" t="shared" si="12" ref="AU14:AU25">(AS14+AT14)*0.18</f>
        <v>0</v>
      </c>
      <c r="AV14" s="138">
        <v>508</v>
      </c>
      <c r="AW14" s="139">
        <v>0.75</v>
      </c>
      <c r="AX14" s="25"/>
      <c r="AY14" s="140"/>
      <c r="AZ14" s="141"/>
      <c r="BA14" s="141">
        <f>AZ14*0.18</f>
        <v>0</v>
      </c>
      <c r="BB14" s="141">
        <f>SUM(AG14:AU14)</f>
        <v>5495.4917310579995</v>
      </c>
      <c r="BC14" s="142"/>
      <c r="BD14" s="163">
        <f>BB14-(AF14-BC14)</f>
        <v>5495.4917310579995</v>
      </c>
      <c r="BE14" s="143">
        <f aca="true" t="shared" si="13" ref="BE14:BE19">(AC14-BB14)+(AF14-BC14)</f>
        <v>1841.2788939420006</v>
      </c>
      <c r="BF14" s="143">
        <f aca="true" t="shared" si="14" ref="BF14:BF19">AB14-S14</f>
        <v>-2790.5599999999995</v>
      </c>
    </row>
    <row r="15" spans="1:58" ht="12.75" hidden="1">
      <c r="A15" s="14" t="s">
        <v>44</v>
      </c>
      <c r="B15" s="161">
        <v>1250.1</v>
      </c>
      <c r="C15" s="131">
        <f t="shared" si="1"/>
        <v>10813.365</v>
      </c>
      <c r="D15" s="132">
        <f>C15*0.125</f>
        <v>1351.670625</v>
      </c>
      <c r="E15" s="74">
        <v>843.74</v>
      </c>
      <c r="F15" s="74">
        <v>170.32</v>
      </c>
      <c r="G15" s="74">
        <v>1139.03</v>
      </c>
      <c r="H15" s="74">
        <v>229.93</v>
      </c>
      <c r="I15" s="74">
        <v>2742.18</v>
      </c>
      <c r="J15" s="74">
        <v>553.53</v>
      </c>
      <c r="K15" s="74">
        <v>1898.43</v>
      </c>
      <c r="L15" s="74">
        <v>383.22</v>
      </c>
      <c r="M15" s="74">
        <v>674.95</v>
      </c>
      <c r="N15" s="92">
        <v>136.26</v>
      </c>
      <c r="O15" s="92">
        <v>0</v>
      </c>
      <c r="P15" s="92">
        <v>0</v>
      </c>
      <c r="Q15" s="92">
        <v>0</v>
      </c>
      <c r="R15" s="92">
        <v>0</v>
      </c>
      <c r="S15" s="74">
        <f t="shared" si="2"/>
        <v>7298.33</v>
      </c>
      <c r="T15" s="133">
        <f t="shared" si="3"/>
        <v>1473.26</v>
      </c>
      <c r="U15" s="74">
        <v>521.04</v>
      </c>
      <c r="V15" s="74">
        <v>703.39</v>
      </c>
      <c r="W15" s="74">
        <v>1693.43</v>
      </c>
      <c r="X15" s="74">
        <v>1172.36</v>
      </c>
      <c r="Y15" s="74">
        <v>416.77</v>
      </c>
      <c r="Z15" s="74">
        <v>0</v>
      </c>
      <c r="AA15" s="92">
        <v>0</v>
      </c>
      <c r="AB15" s="146">
        <f t="shared" si="4"/>
        <v>4506.99</v>
      </c>
      <c r="AC15" s="147">
        <f t="shared" si="5"/>
        <v>7331.920625</v>
      </c>
      <c r="AD15" s="136">
        <f t="shared" si="6"/>
        <v>0</v>
      </c>
      <c r="AE15" s="136">
        <f t="shared" si="7"/>
        <v>0</v>
      </c>
      <c r="AF15" s="136"/>
      <c r="AG15" s="25">
        <f>0.6*B15*0.9</f>
        <v>675.054</v>
      </c>
      <c r="AH15" s="25">
        <f>B15*0.2*0.9153</f>
        <v>228.84330599999998</v>
      </c>
      <c r="AI15" s="25">
        <f>0.85*B15*0.867</f>
        <v>921.2611949999998</v>
      </c>
      <c r="AJ15" s="25">
        <f t="shared" si="8"/>
        <v>165.82701509999995</v>
      </c>
      <c r="AK15" s="25">
        <f>0.83*B15*0.8684</f>
        <v>901.0370771999998</v>
      </c>
      <c r="AL15" s="25">
        <f t="shared" si="9"/>
        <v>162.18667389599995</v>
      </c>
      <c r="AM15" s="25">
        <f>(1.91)*B15*0.8684</f>
        <v>2073.4708643999998</v>
      </c>
      <c r="AN15" s="25">
        <f t="shared" si="10"/>
        <v>373.22475559199995</v>
      </c>
      <c r="AO15" s="25"/>
      <c r="AP15" s="25">
        <f t="shared" si="11"/>
        <v>0</v>
      </c>
      <c r="AQ15" s="137"/>
      <c r="AR15" s="137">
        <f>AQ15*0.18</f>
        <v>0</v>
      </c>
      <c r="AS15" s="76"/>
      <c r="AT15" s="76">
        <f>756*2</f>
        <v>1512</v>
      </c>
      <c r="AU15" s="76">
        <f t="shared" si="12"/>
        <v>272.15999999999997</v>
      </c>
      <c r="AV15" s="138">
        <v>407</v>
      </c>
      <c r="AW15" s="139">
        <v>0.75</v>
      </c>
      <c r="AX15" s="25"/>
      <c r="AY15" s="140"/>
      <c r="AZ15" s="141"/>
      <c r="BA15" s="141">
        <f>AZ15*0.18</f>
        <v>0</v>
      </c>
      <c r="BB15" s="141">
        <f>SUM(AG15:AU15)+AY15</f>
        <v>7285.064887187999</v>
      </c>
      <c r="BC15" s="164"/>
      <c r="BD15" s="163">
        <f>BB15-(AF15-BC15)</f>
        <v>7285.064887187999</v>
      </c>
      <c r="BE15" s="143">
        <f t="shared" si="13"/>
        <v>46.85573781200037</v>
      </c>
      <c r="BF15" s="143">
        <f t="shared" si="14"/>
        <v>-2791.34</v>
      </c>
    </row>
    <row r="16" spans="1:58" ht="13.5" hidden="1" thickBot="1">
      <c r="A16" s="165" t="s">
        <v>45</v>
      </c>
      <c r="B16" s="166">
        <v>1250.1</v>
      </c>
      <c r="C16" s="131">
        <f t="shared" si="1"/>
        <v>10813.365</v>
      </c>
      <c r="D16" s="132">
        <f>C16*0.125</f>
        <v>1351.670625</v>
      </c>
      <c r="E16" s="74">
        <v>843.11</v>
      </c>
      <c r="F16" s="74">
        <v>170.32</v>
      </c>
      <c r="G16" s="74">
        <v>1138.19</v>
      </c>
      <c r="H16" s="74">
        <v>229.93</v>
      </c>
      <c r="I16" s="74">
        <v>2740.14</v>
      </c>
      <c r="J16" s="74">
        <v>553.53</v>
      </c>
      <c r="K16" s="74">
        <v>1897.01</v>
      </c>
      <c r="L16" s="74">
        <v>383.22</v>
      </c>
      <c r="M16" s="74">
        <v>674.46</v>
      </c>
      <c r="N16" s="92">
        <v>136.26</v>
      </c>
      <c r="O16" s="92">
        <v>0</v>
      </c>
      <c r="P16" s="92">
        <v>0</v>
      </c>
      <c r="Q16" s="92">
        <v>0</v>
      </c>
      <c r="R16" s="92">
        <v>0</v>
      </c>
      <c r="S16" s="74">
        <f t="shared" si="2"/>
        <v>7292.910000000001</v>
      </c>
      <c r="T16" s="133">
        <f t="shared" si="3"/>
        <v>1473.26</v>
      </c>
      <c r="U16" s="75">
        <v>955.79</v>
      </c>
      <c r="V16" s="75">
        <v>1290.27</v>
      </c>
      <c r="W16" s="75">
        <v>3106.32</v>
      </c>
      <c r="X16" s="75">
        <v>2150.53</v>
      </c>
      <c r="Y16" s="75">
        <v>764.65</v>
      </c>
      <c r="Z16" s="75">
        <v>0</v>
      </c>
      <c r="AA16" s="167">
        <v>0</v>
      </c>
      <c r="AB16" s="162">
        <f t="shared" si="4"/>
        <v>8267.56</v>
      </c>
      <c r="AC16" s="147">
        <f t="shared" si="5"/>
        <v>11092.490624999999</v>
      </c>
      <c r="AD16" s="136">
        <f t="shared" si="6"/>
        <v>0</v>
      </c>
      <c r="AE16" s="136">
        <f t="shared" si="7"/>
        <v>0</v>
      </c>
      <c r="AF16" s="136"/>
      <c r="AG16" s="25">
        <f>0.6*B16*0.9</f>
        <v>675.054</v>
      </c>
      <c r="AH16" s="168">
        <f>B16*0.2*0.9082</f>
        <v>227.068164</v>
      </c>
      <c r="AI16" s="25">
        <f>0.85*B16*0.8675</f>
        <v>921.7924874999999</v>
      </c>
      <c r="AJ16" s="25">
        <f t="shared" si="8"/>
        <v>165.92264774999998</v>
      </c>
      <c r="AK16" s="168">
        <f>0.83*B16*0.838</f>
        <v>869.4945539999999</v>
      </c>
      <c r="AL16" s="25">
        <f t="shared" si="9"/>
        <v>156.50901971999997</v>
      </c>
      <c r="AM16" s="25">
        <f>1.91*B16*0.8381</f>
        <v>2001.1238270999997</v>
      </c>
      <c r="AN16" s="25">
        <f t="shared" si="10"/>
        <v>360.20228887799993</v>
      </c>
      <c r="AO16" s="25"/>
      <c r="AP16" s="25">
        <f t="shared" si="11"/>
        <v>0</v>
      </c>
      <c r="AQ16" s="137">
        <v>1916.46</v>
      </c>
      <c r="AR16" s="137">
        <f>AQ16*0.18</f>
        <v>344.9628</v>
      </c>
      <c r="AS16" s="76">
        <v>415</v>
      </c>
      <c r="AT16" s="76"/>
      <c r="AU16" s="76">
        <f t="shared" si="12"/>
        <v>74.7</v>
      </c>
      <c r="AV16" s="138">
        <v>383</v>
      </c>
      <c r="AW16" s="139">
        <v>0.75</v>
      </c>
      <c r="AX16" s="25"/>
      <c r="AY16" s="140"/>
      <c r="AZ16" s="141"/>
      <c r="BA16" s="141">
        <f>AZ16*0.18</f>
        <v>0</v>
      </c>
      <c r="BB16" s="141">
        <f>SUM(AG16:AU16)</f>
        <v>8128.289788947999</v>
      </c>
      <c r="BC16" s="164"/>
      <c r="BD16" s="169">
        <f>BB16-(AF16-BC16)</f>
        <v>8128.289788947999</v>
      </c>
      <c r="BE16" s="170">
        <f t="shared" si="13"/>
        <v>2964.2008360519994</v>
      </c>
      <c r="BF16" s="170">
        <f t="shared" si="14"/>
        <v>974.6499999999987</v>
      </c>
    </row>
    <row r="17" spans="1:58" ht="13.5" hidden="1" thickBot="1">
      <c r="A17" s="171" t="s">
        <v>46</v>
      </c>
      <c r="B17" s="172">
        <v>1250.1</v>
      </c>
      <c r="C17" s="131">
        <f t="shared" si="1"/>
        <v>10813.365</v>
      </c>
      <c r="D17" s="132">
        <f>C17*0.125</f>
        <v>1351.670625</v>
      </c>
      <c r="E17" s="75">
        <v>821.04</v>
      </c>
      <c r="F17" s="75">
        <v>162.36</v>
      </c>
      <c r="G17" s="75">
        <v>1108.4</v>
      </c>
      <c r="H17" s="75">
        <v>219.18</v>
      </c>
      <c r="I17" s="75">
        <v>2668.39</v>
      </c>
      <c r="J17" s="75">
        <v>527.66</v>
      </c>
      <c r="K17" s="75">
        <v>1847.35</v>
      </c>
      <c r="L17" s="75">
        <v>365.31</v>
      </c>
      <c r="M17" s="75">
        <v>656.82</v>
      </c>
      <c r="N17" s="167">
        <v>129.89</v>
      </c>
      <c r="O17" s="167">
        <v>0</v>
      </c>
      <c r="P17" s="167">
        <v>0</v>
      </c>
      <c r="Q17" s="167">
        <v>0</v>
      </c>
      <c r="R17" s="167">
        <v>0</v>
      </c>
      <c r="S17" s="74">
        <f t="shared" si="2"/>
        <v>7102</v>
      </c>
      <c r="T17" s="133">
        <f t="shared" si="3"/>
        <v>1404.4</v>
      </c>
      <c r="U17" s="74">
        <v>694.75</v>
      </c>
      <c r="V17" s="74">
        <v>937.92</v>
      </c>
      <c r="W17" s="74">
        <v>2257.92</v>
      </c>
      <c r="X17" s="74">
        <v>1563.18</v>
      </c>
      <c r="Y17" s="74">
        <v>555.77</v>
      </c>
      <c r="Z17" s="74">
        <v>0</v>
      </c>
      <c r="AA17" s="74">
        <v>0</v>
      </c>
      <c r="AB17" s="162">
        <f t="shared" si="4"/>
        <v>6009.540000000001</v>
      </c>
      <c r="AC17" s="147">
        <f t="shared" si="5"/>
        <v>8765.610625000001</v>
      </c>
      <c r="AD17" s="136">
        <f t="shared" si="6"/>
        <v>0</v>
      </c>
      <c r="AE17" s="136">
        <f t="shared" si="7"/>
        <v>0</v>
      </c>
      <c r="AF17" s="136"/>
      <c r="AG17" s="25">
        <f>0.6*B17*0.9</f>
        <v>675.054</v>
      </c>
      <c r="AH17" s="168">
        <f>B17*0.2*0.9234</f>
        <v>230.86846799999998</v>
      </c>
      <c r="AI17" s="25">
        <f>0.85*B17*0.8934</f>
        <v>949.3134389999998</v>
      </c>
      <c r="AJ17" s="25">
        <f t="shared" si="8"/>
        <v>170.87641901999996</v>
      </c>
      <c r="AK17" s="25">
        <f>0.83*B17*0.8498</f>
        <v>881.7380333999998</v>
      </c>
      <c r="AL17" s="25">
        <f t="shared" si="9"/>
        <v>158.71284601199997</v>
      </c>
      <c r="AM17" s="25">
        <f>(1.91)*B17*0.8498</f>
        <v>2029.0598117999998</v>
      </c>
      <c r="AN17" s="25">
        <f t="shared" si="10"/>
        <v>365.23076612399996</v>
      </c>
      <c r="AO17" s="25"/>
      <c r="AP17" s="25">
        <f t="shared" si="11"/>
        <v>0</v>
      </c>
      <c r="AQ17" s="137">
        <v>1916.46</v>
      </c>
      <c r="AR17" s="137">
        <f t="shared" si="11"/>
        <v>344.9628</v>
      </c>
      <c r="AS17" s="76">
        <v>310</v>
      </c>
      <c r="AT17" s="76"/>
      <c r="AU17" s="76">
        <f t="shared" si="12"/>
        <v>55.8</v>
      </c>
      <c r="AV17" s="138">
        <v>307</v>
      </c>
      <c r="AW17" s="139">
        <v>0.75</v>
      </c>
      <c r="AX17" s="25">
        <v>1590.88</v>
      </c>
      <c r="AY17" s="140"/>
      <c r="AZ17" s="141"/>
      <c r="BA17" s="141">
        <f>AZ17*0.18</f>
        <v>0</v>
      </c>
      <c r="BB17" s="141">
        <f aca="true" t="shared" si="15" ref="BB17:BB22">SUM(AG17:BA17)-AV17-AW17</f>
        <v>9678.956583356001</v>
      </c>
      <c r="BC17" s="164"/>
      <c r="BD17" s="173">
        <f>(AC17-BA17)+(AF17-BB17)</f>
        <v>-913.3459583559998</v>
      </c>
      <c r="BE17" s="170">
        <f t="shared" si="13"/>
        <v>-913.3459583559998</v>
      </c>
      <c r="BF17" s="170">
        <f t="shared" si="14"/>
        <v>-1092.4599999999991</v>
      </c>
    </row>
    <row r="18" spans="1:58" ht="13.5" hidden="1" thickBot="1">
      <c r="A18" s="14" t="s">
        <v>47</v>
      </c>
      <c r="B18" s="166">
        <v>1250.1</v>
      </c>
      <c r="C18" s="131">
        <f t="shared" si="1"/>
        <v>10813.365</v>
      </c>
      <c r="D18" s="174">
        <f aca="true" t="shared" si="16" ref="D18:D25">C18-E18-F18-G18-H18-I18-J18-K18-L18-M18-N18</f>
        <v>1034.5049999999983</v>
      </c>
      <c r="E18" s="75">
        <v>947.1</v>
      </c>
      <c r="F18" s="75">
        <v>181.5</v>
      </c>
      <c r="G18" s="75">
        <v>1283.04</v>
      </c>
      <c r="H18" s="75">
        <v>246.08</v>
      </c>
      <c r="I18" s="75">
        <v>3082.46</v>
      </c>
      <c r="J18" s="75">
        <v>590.96</v>
      </c>
      <c r="K18" s="75">
        <v>2135.42</v>
      </c>
      <c r="L18" s="75">
        <v>409.41</v>
      </c>
      <c r="M18" s="75">
        <v>757.68</v>
      </c>
      <c r="N18" s="75">
        <v>145.21</v>
      </c>
      <c r="O18" s="167">
        <v>0</v>
      </c>
      <c r="P18" s="167">
        <v>0</v>
      </c>
      <c r="Q18" s="167">
        <v>0</v>
      </c>
      <c r="R18" s="167">
        <v>0</v>
      </c>
      <c r="S18" s="74">
        <f t="shared" si="2"/>
        <v>8205.7</v>
      </c>
      <c r="T18" s="133">
        <f t="shared" si="3"/>
        <v>1573.1599999999999</v>
      </c>
      <c r="U18" s="75">
        <v>985.91</v>
      </c>
      <c r="V18" s="75">
        <v>1330.88</v>
      </c>
      <c r="W18" s="75">
        <v>3204.22</v>
      </c>
      <c r="X18" s="75">
        <v>2218.3</v>
      </c>
      <c r="Y18" s="75">
        <v>788.7</v>
      </c>
      <c r="Z18" s="75">
        <v>0</v>
      </c>
      <c r="AA18" s="167">
        <v>0</v>
      </c>
      <c r="AB18" s="162">
        <f t="shared" si="4"/>
        <v>8528.01</v>
      </c>
      <c r="AC18" s="147">
        <f t="shared" si="5"/>
        <v>11135.675</v>
      </c>
      <c r="AD18" s="136">
        <f t="shared" si="6"/>
        <v>0</v>
      </c>
      <c r="AE18" s="136">
        <f t="shared" si="7"/>
        <v>0</v>
      </c>
      <c r="AF18" s="136"/>
      <c r="AG18" s="25">
        <f aca="true" t="shared" si="17" ref="AG18:AG25">0.6*B18</f>
        <v>750.06</v>
      </c>
      <c r="AH18" s="25">
        <f>B18*0.2*1.01</f>
        <v>252.5202</v>
      </c>
      <c r="AI18" s="25">
        <f>0.85*B18</f>
        <v>1062.5849999999998</v>
      </c>
      <c r="AJ18" s="25">
        <f t="shared" si="8"/>
        <v>191.26529999999997</v>
      </c>
      <c r="AK18" s="25">
        <f>0.83*B18</f>
        <v>1037.5829999999999</v>
      </c>
      <c r="AL18" s="25">
        <f t="shared" si="9"/>
        <v>186.76493999999997</v>
      </c>
      <c r="AM18" s="25">
        <f>(1.91)*B18</f>
        <v>2387.691</v>
      </c>
      <c r="AN18" s="25">
        <f t="shared" si="10"/>
        <v>429.78437999999994</v>
      </c>
      <c r="AO18" s="25"/>
      <c r="AP18" s="25">
        <f t="shared" si="11"/>
        <v>0</v>
      </c>
      <c r="AQ18" s="137"/>
      <c r="AR18" s="137">
        <f t="shared" si="11"/>
        <v>0</v>
      </c>
      <c r="AS18" s="76"/>
      <c r="AT18" s="76">
        <v>200</v>
      </c>
      <c r="AU18" s="76">
        <f t="shared" si="12"/>
        <v>36</v>
      </c>
      <c r="AV18" s="138">
        <v>263</v>
      </c>
      <c r="AW18" s="139">
        <v>0.75</v>
      </c>
      <c r="AX18" s="25">
        <f aca="true" t="shared" si="18" ref="AX14:AX25">AV18*AW18*1.12*1.18</f>
        <v>260.6856</v>
      </c>
      <c r="AY18" s="140"/>
      <c r="AZ18" s="141"/>
      <c r="BA18" s="141">
        <f aca="true" t="shared" si="19" ref="BA18:BA25">AZ18*0.18</f>
        <v>0</v>
      </c>
      <c r="BB18" s="141">
        <f t="shared" si="15"/>
        <v>6794.939419999999</v>
      </c>
      <c r="BC18" s="164"/>
      <c r="BD18" s="18">
        <f aca="true" t="shared" si="20" ref="BD18:BD25">BB18-(AF18-BC18)</f>
        <v>6794.939419999999</v>
      </c>
      <c r="BE18" s="170">
        <f t="shared" si="13"/>
        <v>4340.7355800000005</v>
      </c>
      <c r="BF18" s="170">
        <f t="shared" si="14"/>
        <v>322.3099999999995</v>
      </c>
    </row>
    <row r="19" spans="1:58" ht="13.5" hidden="1" thickBot="1">
      <c r="A19" s="165" t="s">
        <v>48</v>
      </c>
      <c r="B19" s="166">
        <v>1250.1</v>
      </c>
      <c r="C19" s="131">
        <f t="shared" si="1"/>
        <v>10813.365</v>
      </c>
      <c r="D19" s="174">
        <f t="shared" si="16"/>
        <v>1034.485</v>
      </c>
      <c r="E19" s="75">
        <v>933.24</v>
      </c>
      <c r="F19" s="75">
        <v>195.36</v>
      </c>
      <c r="G19" s="75">
        <v>1264.25</v>
      </c>
      <c r="H19" s="75">
        <v>264.87</v>
      </c>
      <c r="I19" s="75">
        <v>3037.35</v>
      </c>
      <c r="J19" s="75">
        <v>636.08</v>
      </c>
      <c r="K19" s="75">
        <v>2104.17</v>
      </c>
      <c r="L19" s="75">
        <v>440.67</v>
      </c>
      <c r="M19" s="75">
        <v>746.59</v>
      </c>
      <c r="N19" s="167">
        <v>156.3</v>
      </c>
      <c r="O19" s="167">
        <v>0</v>
      </c>
      <c r="P19" s="167">
        <v>0</v>
      </c>
      <c r="Q19" s="167">
        <v>0</v>
      </c>
      <c r="R19" s="167">
        <v>0</v>
      </c>
      <c r="S19" s="74">
        <f t="shared" si="2"/>
        <v>8085.6</v>
      </c>
      <c r="T19" s="133">
        <f t="shared" si="3"/>
        <v>1693.2800000000002</v>
      </c>
      <c r="U19" s="75">
        <v>775.07</v>
      </c>
      <c r="V19" s="75">
        <v>1048.81</v>
      </c>
      <c r="W19" s="75">
        <v>2521.39</v>
      </c>
      <c r="X19" s="75">
        <v>1746.25</v>
      </c>
      <c r="Y19" s="75">
        <v>620.04</v>
      </c>
      <c r="Z19" s="75">
        <v>0</v>
      </c>
      <c r="AA19" s="167">
        <v>0</v>
      </c>
      <c r="AB19" s="162">
        <f t="shared" si="4"/>
        <v>6711.56</v>
      </c>
      <c r="AC19" s="147">
        <f t="shared" si="5"/>
        <v>9439.325</v>
      </c>
      <c r="AD19" s="136">
        <f t="shared" si="6"/>
        <v>0</v>
      </c>
      <c r="AE19" s="136">
        <f t="shared" si="7"/>
        <v>0</v>
      </c>
      <c r="AF19" s="136"/>
      <c r="AG19" s="25">
        <f t="shared" si="17"/>
        <v>750.06</v>
      </c>
      <c r="AH19" s="25">
        <f>B19*0.2*1.01045</f>
        <v>252.632709</v>
      </c>
      <c r="AI19" s="25">
        <f>0.85*B19</f>
        <v>1062.5849999999998</v>
      </c>
      <c r="AJ19" s="25">
        <f t="shared" si="8"/>
        <v>191.26529999999997</v>
      </c>
      <c r="AK19" s="25">
        <f>0.83*B19</f>
        <v>1037.5829999999999</v>
      </c>
      <c r="AL19" s="25">
        <f t="shared" si="9"/>
        <v>186.76493999999997</v>
      </c>
      <c r="AM19" s="25">
        <f>(1.91)*B19</f>
        <v>2387.691</v>
      </c>
      <c r="AN19" s="25">
        <f t="shared" si="10"/>
        <v>429.78437999999994</v>
      </c>
      <c r="AO19" s="25"/>
      <c r="AP19" s="25">
        <f t="shared" si="11"/>
        <v>0</v>
      </c>
      <c r="AQ19" s="137">
        <f>419.06+6594</f>
        <v>7013.06</v>
      </c>
      <c r="AR19" s="137">
        <f t="shared" si="11"/>
        <v>1262.3508</v>
      </c>
      <c r="AS19" s="76">
        <v>2144.06</v>
      </c>
      <c r="AT19" s="76"/>
      <c r="AU19" s="76">
        <f t="shared" si="12"/>
        <v>385.9308</v>
      </c>
      <c r="AV19" s="138">
        <v>233</v>
      </c>
      <c r="AW19" s="139">
        <v>0.75</v>
      </c>
      <c r="AX19" s="25">
        <f t="shared" si="18"/>
        <v>230.94960000000003</v>
      </c>
      <c r="AY19" s="140"/>
      <c r="AZ19" s="141"/>
      <c r="BA19" s="141">
        <f t="shared" si="19"/>
        <v>0</v>
      </c>
      <c r="BB19" s="141">
        <f t="shared" si="15"/>
        <v>17334.717528999998</v>
      </c>
      <c r="BC19" s="164"/>
      <c r="BD19" s="96">
        <f t="shared" si="20"/>
        <v>17334.717528999998</v>
      </c>
      <c r="BE19" s="170">
        <f t="shared" si="13"/>
        <v>-7895.392528999997</v>
      </c>
      <c r="BF19" s="170">
        <f t="shared" si="14"/>
        <v>-1374.04</v>
      </c>
    </row>
    <row r="20" spans="1:58" ht="12.75" hidden="1">
      <c r="A20" s="171" t="s">
        <v>49</v>
      </c>
      <c r="B20" s="161">
        <v>1250.1</v>
      </c>
      <c r="C20" s="131">
        <f t="shared" si="1"/>
        <v>10813.365</v>
      </c>
      <c r="D20" s="174">
        <f t="shared" si="16"/>
        <v>1270.4749999999988</v>
      </c>
      <c r="E20" s="75">
        <v>900.95</v>
      </c>
      <c r="F20" s="75">
        <v>200.4</v>
      </c>
      <c r="G20" s="75">
        <v>1220.55</v>
      </c>
      <c r="H20" s="75">
        <v>271.7</v>
      </c>
      <c r="I20" s="75">
        <v>2932.28</v>
      </c>
      <c r="J20" s="75">
        <v>652.49</v>
      </c>
      <c r="K20" s="75">
        <v>2031.39</v>
      </c>
      <c r="L20" s="75">
        <v>452.04</v>
      </c>
      <c r="M20" s="75">
        <v>720.76</v>
      </c>
      <c r="N20" s="167">
        <v>160.33</v>
      </c>
      <c r="O20" s="167">
        <v>0</v>
      </c>
      <c r="P20" s="167">
        <v>0</v>
      </c>
      <c r="Q20" s="167">
        <v>0</v>
      </c>
      <c r="R20" s="167">
        <v>0</v>
      </c>
      <c r="S20" s="74">
        <f t="shared" si="2"/>
        <v>7805.930000000001</v>
      </c>
      <c r="T20" s="133">
        <f t="shared" si="3"/>
        <v>1736.9600000000003</v>
      </c>
      <c r="U20" s="75">
        <v>668.87</v>
      </c>
      <c r="V20" s="75">
        <v>906.34</v>
      </c>
      <c r="W20" s="75">
        <v>2177.16</v>
      </c>
      <c r="X20" s="75">
        <v>1508.26</v>
      </c>
      <c r="Y20" s="75">
        <v>535.11</v>
      </c>
      <c r="Z20" s="75">
        <v>0</v>
      </c>
      <c r="AA20" s="167">
        <v>0</v>
      </c>
      <c r="AB20" s="162">
        <f t="shared" si="4"/>
        <v>5795.74</v>
      </c>
      <c r="AC20" s="147">
        <f t="shared" si="5"/>
        <v>8803.175</v>
      </c>
      <c r="AD20" s="136">
        <f t="shared" si="6"/>
        <v>0</v>
      </c>
      <c r="AE20" s="136">
        <f t="shared" si="7"/>
        <v>0</v>
      </c>
      <c r="AF20" s="136"/>
      <c r="AG20" s="25">
        <f t="shared" si="17"/>
        <v>750.06</v>
      </c>
      <c r="AH20" s="25">
        <f>B20*0.2*0.99426</f>
        <v>248.5848852</v>
      </c>
      <c r="AI20" s="25">
        <f>0.85*B20*0.9857</f>
        <v>1047.3900344999997</v>
      </c>
      <c r="AJ20" s="25">
        <f t="shared" si="8"/>
        <v>188.53020620999993</v>
      </c>
      <c r="AK20" s="25">
        <f>0.83*B20*0.9905</f>
        <v>1027.7259614999998</v>
      </c>
      <c r="AL20" s="25">
        <f t="shared" si="9"/>
        <v>184.99067306999996</v>
      </c>
      <c r="AM20" s="25">
        <f>(1.91)*B20*0.9904</f>
        <v>2364.7691664</v>
      </c>
      <c r="AN20" s="25">
        <f t="shared" si="10"/>
        <v>425.65844995199996</v>
      </c>
      <c r="AO20" s="25"/>
      <c r="AP20" s="25">
        <f t="shared" si="11"/>
        <v>0</v>
      </c>
      <c r="AQ20" s="137"/>
      <c r="AR20" s="137">
        <f t="shared" si="11"/>
        <v>0</v>
      </c>
      <c r="AS20" s="76">
        <v>545</v>
      </c>
      <c r="AT20" s="76"/>
      <c r="AU20" s="76">
        <f t="shared" si="12"/>
        <v>98.1</v>
      </c>
      <c r="AV20" s="138">
        <v>248</v>
      </c>
      <c r="AW20" s="139">
        <v>0.75</v>
      </c>
      <c r="AX20" s="25">
        <f t="shared" si="18"/>
        <v>245.8176</v>
      </c>
      <c r="AY20" s="140"/>
      <c r="AZ20" s="141"/>
      <c r="BA20" s="141">
        <f t="shared" si="19"/>
        <v>0</v>
      </c>
      <c r="BB20" s="141">
        <f t="shared" si="15"/>
        <v>7126.626976832</v>
      </c>
      <c r="BC20" s="164"/>
      <c r="BD20" s="18">
        <f t="shared" si="20"/>
        <v>7126.626976832</v>
      </c>
      <c r="BE20" s="143">
        <f aca="true" t="shared" si="21" ref="BE20:BE25">(AC20-BB20)+(AF20-BC20)</f>
        <v>1676.5480231679994</v>
      </c>
      <c r="BF20" s="144">
        <f aca="true" t="shared" si="22" ref="BF20:BF25">AB20-S20</f>
        <v>-2010.1900000000014</v>
      </c>
    </row>
    <row r="21" spans="1:58" ht="12.75" hidden="1">
      <c r="A21" s="14" t="s">
        <v>50</v>
      </c>
      <c r="B21" s="161">
        <v>1250.1</v>
      </c>
      <c r="C21" s="131">
        <f t="shared" si="1"/>
        <v>10813.365</v>
      </c>
      <c r="D21" s="174">
        <f t="shared" si="16"/>
        <v>1034.5050000000006</v>
      </c>
      <c r="E21" s="75">
        <v>928.2</v>
      </c>
      <c r="F21" s="75">
        <v>200.4</v>
      </c>
      <c r="G21" s="75">
        <v>1257.42</v>
      </c>
      <c r="H21" s="75">
        <v>271.7</v>
      </c>
      <c r="I21" s="75">
        <v>3020.93</v>
      </c>
      <c r="J21" s="75">
        <v>652.49</v>
      </c>
      <c r="K21" s="75">
        <v>2092.79</v>
      </c>
      <c r="L21" s="75">
        <v>452.04</v>
      </c>
      <c r="M21" s="75">
        <v>742.56</v>
      </c>
      <c r="N21" s="167">
        <v>160.33</v>
      </c>
      <c r="O21" s="167">
        <v>0</v>
      </c>
      <c r="P21" s="167">
        <v>0</v>
      </c>
      <c r="Q21" s="75">
        <v>0</v>
      </c>
      <c r="R21" s="75">
        <v>0</v>
      </c>
      <c r="S21" s="74">
        <f t="shared" si="2"/>
        <v>8041.9</v>
      </c>
      <c r="T21" s="133">
        <f t="shared" si="3"/>
        <v>1736.9600000000003</v>
      </c>
      <c r="U21" s="75">
        <v>850.93</v>
      </c>
      <c r="V21" s="75">
        <v>1152.16</v>
      </c>
      <c r="W21" s="75">
        <v>2768.95</v>
      </c>
      <c r="X21" s="75">
        <v>1918.01</v>
      </c>
      <c r="Y21" s="75">
        <v>680.74</v>
      </c>
      <c r="Z21" s="75">
        <v>0</v>
      </c>
      <c r="AA21" s="167">
        <v>0</v>
      </c>
      <c r="AB21" s="162">
        <f t="shared" si="4"/>
        <v>7370.79</v>
      </c>
      <c r="AC21" s="147">
        <f t="shared" si="5"/>
        <v>10142.255000000001</v>
      </c>
      <c r="AD21" s="136">
        <f t="shared" si="6"/>
        <v>0</v>
      </c>
      <c r="AE21" s="136">
        <f t="shared" si="7"/>
        <v>0</v>
      </c>
      <c r="AF21" s="136"/>
      <c r="AG21" s="25">
        <f t="shared" si="17"/>
        <v>750.06</v>
      </c>
      <c r="AH21" s="25">
        <f>B21*0.2*0.99875</f>
        <v>249.707475</v>
      </c>
      <c r="AI21" s="25">
        <f>0.85*B21*0.98526</f>
        <v>1046.9224970999999</v>
      </c>
      <c r="AJ21" s="25">
        <f t="shared" si="8"/>
        <v>188.44604947799996</v>
      </c>
      <c r="AK21" s="25">
        <f>0.83*B21*0.99</f>
        <v>1027.20717</v>
      </c>
      <c r="AL21" s="25">
        <f t="shared" si="9"/>
        <v>184.89729059999996</v>
      </c>
      <c r="AM21" s="25">
        <f>(1.91)*B21*0.99</f>
        <v>2363.81409</v>
      </c>
      <c r="AN21" s="25">
        <f t="shared" si="10"/>
        <v>425.48653619999993</v>
      </c>
      <c r="AO21" s="25"/>
      <c r="AP21" s="25">
        <f t="shared" si="11"/>
        <v>0</v>
      </c>
      <c r="AQ21" s="137"/>
      <c r="AR21" s="137">
        <f t="shared" si="11"/>
        <v>0</v>
      </c>
      <c r="AS21" s="76"/>
      <c r="AT21" s="76"/>
      <c r="AU21" s="76">
        <f t="shared" si="12"/>
        <v>0</v>
      </c>
      <c r="AV21" s="138">
        <v>293</v>
      </c>
      <c r="AW21" s="139">
        <v>0.75</v>
      </c>
      <c r="AX21" s="25">
        <f t="shared" si="18"/>
        <v>290.4216</v>
      </c>
      <c r="AY21" s="140"/>
      <c r="AZ21" s="141"/>
      <c r="BA21" s="141">
        <f t="shared" si="19"/>
        <v>0</v>
      </c>
      <c r="BB21" s="141">
        <f t="shared" si="15"/>
        <v>6526.962708377999</v>
      </c>
      <c r="BC21" s="164"/>
      <c r="BD21" s="18">
        <f t="shared" si="20"/>
        <v>6526.962708377999</v>
      </c>
      <c r="BE21" s="143">
        <f t="shared" si="21"/>
        <v>3615.2922916220023</v>
      </c>
      <c r="BF21" s="144">
        <f t="shared" si="22"/>
        <v>-671.1099999999997</v>
      </c>
    </row>
    <row r="22" spans="1:58" ht="13.5" hidden="1" thickBot="1">
      <c r="A22" s="165" t="s">
        <v>51</v>
      </c>
      <c r="B22" s="73">
        <v>1248.6</v>
      </c>
      <c r="C22" s="131">
        <f t="shared" si="1"/>
        <v>10800.39</v>
      </c>
      <c r="D22" s="174">
        <f t="shared" si="16"/>
        <v>1155.6600000000003</v>
      </c>
      <c r="E22" s="74">
        <v>912.72</v>
      </c>
      <c r="F22" s="74">
        <v>200.4</v>
      </c>
      <c r="G22" s="74">
        <v>1236.44</v>
      </c>
      <c r="H22" s="74">
        <v>271.7</v>
      </c>
      <c r="I22" s="74">
        <v>2970.55</v>
      </c>
      <c r="J22" s="74">
        <v>652.49</v>
      </c>
      <c r="K22" s="74">
        <v>2057.88</v>
      </c>
      <c r="L22" s="74">
        <v>452.04</v>
      </c>
      <c r="M22" s="74">
        <v>730.18</v>
      </c>
      <c r="N22" s="92">
        <v>160.33</v>
      </c>
      <c r="O22" s="92">
        <v>0</v>
      </c>
      <c r="P22" s="92">
        <v>0</v>
      </c>
      <c r="Q22" s="92">
        <v>0</v>
      </c>
      <c r="R22" s="92">
        <v>0</v>
      </c>
      <c r="S22" s="74">
        <f t="shared" si="2"/>
        <v>7907.77</v>
      </c>
      <c r="T22" s="133">
        <f t="shared" si="3"/>
        <v>1736.9600000000003</v>
      </c>
      <c r="U22" s="74">
        <v>763.34</v>
      </c>
      <c r="V22" s="74">
        <v>1034.67</v>
      </c>
      <c r="W22" s="74">
        <v>2484.94</v>
      </c>
      <c r="X22" s="74">
        <v>1721.59</v>
      </c>
      <c r="Y22" s="74">
        <v>610.68</v>
      </c>
      <c r="Z22" s="74">
        <v>0</v>
      </c>
      <c r="AA22" s="92">
        <v>0</v>
      </c>
      <c r="AB22" s="162">
        <f t="shared" si="4"/>
        <v>6615.220000000001</v>
      </c>
      <c r="AC22" s="147">
        <f t="shared" si="5"/>
        <v>9507.840000000002</v>
      </c>
      <c r="AD22" s="136">
        <f t="shared" si="6"/>
        <v>0</v>
      </c>
      <c r="AE22" s="136">
        <f t="shared" si="7"/>
        <v>0</v>
      </c>
      <c r="AF22" s="136"/>
      <c r="AG22" s="25">
        <f t="shared" si="17"/>
        <v>749.16</v>
      </c>
      <c r="AH22" s="25">
        <f>B22*0.2*0.9997</f>
        <v>249.645084</v>
      </c>
      <c r="AI22" s="25">
        <f>0.85*B22*0.98509</f>
        <v>1045.4858679</v>
      </c>
      <c r="AJ22" s="25">
        <f t="shared" si="8"/>
        <v>188.18745622199998</v>
      </c>
      <c r="AK22" s="25">
        <f>0.83*B22*0.98981</f>
        <v>1025.7777157799999</v>
      </c>
      <c r="AL22" s="25">
        <f t="shared" si="9"/>
        <v>184.63998884039998</v>
      </c>
      <c r="AM22" s="25">
        <f>(1.91)*B22*0.9898</f>
        <v>2360.5007748</v>
      </c>
      <c r="AN22" s="25">
        <f t="shared" si="10"/>
        <v>424.89013946399996</v>
      </c>
      <c r="AO22" s="25"/>
      <c r="AP22" s="25">
        <f t="shared" si="11"/>
        <v>0</v>
      </c>
      <c r="AQ22" s="137"/>
      <c r="AR22" s="137">
        <f t="shared" si="11"/>
        <v>0</v>
      </c>
      <c r="AS22" s="76"/>
      <c r="AT22" s="76"/>
      <c r="AU22" s="76">
        <f t="shared" si="12"/>
        <v>0</v>
      </c>
      <c r="AV22" s="138">
        <v>349</v>
      </c>
      <c r="AW22" s="139">
        <v>0.75</v>
      </c>
      <c r="AX22" s="25">
        <f t="shared" si="18"/>
        <v>345.9288</v>
      </c>
      <c r="AY22" s="140"/>
      <c r="AZ22" s="141"/>
      <c r="BA22" s="141">
        <f t="shared" si="19"/>
        <v>0</v>
      </c>
      <c r="BB22" s="141">
        <f t="shared" si="15"/>
        <v>6574.215827006399</v>
      </c>
      <c r="BC22" s="164"/>
      <c r="BD22" s="96">
        <f t="shared" si="20"/>
        <v>6574.215827006399</v>
      </c>
      <c r="BE22" s="170">
        <f t="shared" si="21"/>
        <v>2933.6241729936028</v>
      </c>
      <c r="BF22" s="175">
        <f t="shared" si="22"/>
        <v>-1292.5499999999993</v>
      </c>
    </row>
    <row r="23" spans="1:58" ht="12.75" hidden="1">
      <c r="A23" s="176" t="s">
        <v>39</v>
      </c>
      <c r="B23" s="73">
        <v>1248.6</v>
      </c>
      <c r="C23" s="177">
        <f t="shared" si="1"/>
        <v>10800.39</v>
      </c>
      <c r="D23" s="174">
        <f t="shared" si="16"/>
        <v>1070.7699999999993</v>
      </c>
      <c r="E23" s="77">
        <f>926.78-4.26</f>
        <v>922.52</v>
      </c>
      <c r="F23" s="74">
        <v>200.4</v>
      </c>
      <c r="G23" s="74">
        <f>1255.5-5.76</f>
        <v>1249.74</v>
      </c>
      <c r="H23" s="74">
        <v>271.7</v>
      </c>
      <c r="I23" s="74">
        <f>3016.3-13.89</f>
        <v>3002.4100000000003</v>
      </c>
      <c r="J23" s="74">
        <v>652.49</v>
      </c>
      <c r="K23" s="74">
        <f>2089.59-9.61</f>
        <v>2079.98</v>
      </c>
      <c r="L23" s="74">
        <v>452.04</v>
      </c>
      <c r="M23" s="74">
        <f>741.43-3.42</f>
        <v>738.01</v>
      </c>
      <c r="N23" s="92">
        <v>160.33</v>
      </c>
      <c r="O23" s="92">
        <v>0</v>
      </c>
      <c r="P23" s="92">
        <v>0</v>
      </c>
      <c r="Q23" s="74">
        <v>0</v>
      </c>
      <c r="R23" s="74">
        <v>0</v>
      </c>
      <c r="S23" s="74">
        <f t="shared" si="2"/>
        <v>7992.66</v>
      </c>
      <c r="T23" s="133">
        <f t="shared" si="3"/>
        <v>1736.9600000000003</v>
      </c>
      <c r="U23" s="78">
        <f>1101.25+199.15</f>
        <v>1300.4</v>
      </c>
      <c r="V23" s="74">
        <f>1492.08+269.92</f>
        <v>1762</v>
      </c>
      <c r="W23" s="74">
        <f>3584.31+648.27</f>
        <v>4232.58</v>
      </c>
      <c r="X23" s="74">
        <f>2483.31+449.14</f>
        <v>2932.45</v>
      </c>
      <c r="Y23" s="74">
        <f>881+159.33</f>
        <v>1040.33</v>
      </c>
      <c r="Z23" s="74">
        <v>0</v>
      </c>
      <c r="AA23" s="92">
        <v>0</v>
      </c>
      <c r="AB23" s="92">
        <f>SUM(U23:AA23)</f>
        <v>11267.76</v>
      </c>
      <c r="AC23" s="147">
        <f>AB23+T23+D23</f>
        <v>14075.49</v>
      </c>
      <c r="AD23" s="136">
        <f t="shared" si="6"/>
        <v>0</v>
      </c>
      <c r="AE23" s="136">
        <f t="shared" si="7"/>
        <v>0</v>
      </c>
      <c r="AF23" s="136"/>
      <c r="AG23" s="25">
        <f t="shared" si="17"/>
        <v>749.16</v>
      </c>
      <c r="AH23" s="25">
        <f>B23*0.2</f>
        <v>249.72</v>
      </c>
      <c r="AI23" s="25">
        <f>0.847*B23</f>
        <v>1057.5641999999998</v>
      </c>
      <c r="AJ23" s="25">
        <f t="shared" si="8"/>
        <v>190.36155599999995</v>
      </c>
      <c r="AK23" s="25">
        <f>0.83*B23</f>
        <v>1036.338</v>
      </c>
      <c r="AL23" s="25">
        <f t="shared" si="9"/>
        <v>186.54083999999997</v>
      </c>
      <c r="AM23" s="25">
        <f>(2.25/1.18)*B23</f>
        <v>2380.8050847457625</v>
      </c>
      <c r="AN23" s="25">
        <f t="shared" si="10"/>
        <v>428.54491525423725</v>
      </c>
      <c r="AO23" s="25"/>
      <c r="AP23" s="25">
        <f t="shared" si="11"/>
        <v>0</v>
      </c>
      <c r="AQ23" s="137"/>
      <c r="AR23" s="137">
        <f t="shared" si="11"/>
        <v>0</v>
      </c>
      <c r="AS23" s="76">
        <v>0</v>
      </c>
      <c r="AT23" s="76"/>
      <c r="AU23" s="76">
        <f t="shared" si="12"/>
        <v>0</v>
      </c>
      <c r="AV23" s="138">
        <v>425</v>
      </c>
      <c r="AW23" s="139">
        <v>0.75</v>
      </c>
      <c r="AX23" s="25">
        <f t="shared" si="18"/>
        <v>421.26000000000005</v>
      </c>
      <c r="AY23" s="140"/>
      <c r="AZ23" s="178"/>
      <c r="BA23" s="141">
        <f t="shared" si="19"/>
        <v>0</v>
      </c>
      <c r="BB23" s="141">
        <f>SUM(AG23:AU23)+AX23+AY23+AZ23+BA23</f>
        <v>6700.294596</v>
      </c>
      <c r="BC23" s="164"/>
      <c r="BD23" s="105">
        <f t="shared" si="20"/>
        <v>6700.294596</v>
      </c>
      <c r="BE23" s="143">
        <f>(AC23-BB23)+(AF23-BC23)</f>
        <v>7375.195404</v>
      </c>
      <c r="BF23" s="143">
        <f t="shared" si="22"/>
        <v>3275.1000000000004</v>
      </c>
    </row>
    <row r="24" spans="1:58" ht="12.75" hidden="1">
      <c r="A24" s="14" t="s">
        <v>40</v>
      </c>
      <c r="B24" s="161">
        <v>1248.6</v>
      </c>
      <c r="C24" s="177">
        <f t="shared" si="1"/>
        <v>10800.39</v>
      </c>
      <c r="D24" s="174">
        <f t="shared" si="16"/>
        <v>1033.8399999999992</v>
      </c>
      <c r="E24" s="74">
        <v>926.78</v>
      </c>
      <c r="F24" s="74">
        <v>200.4</v>
      </c>
      <c r="G24" s="74">
        <v>1255.5</v>
      </c>
      <c r="H24" s="74">
        <v>271.7</v>
      </c>
      <c r="I24" s="74">
        <v>3016.3</v>
      </c>
      <c r="J24" s="74">
        <v>652.49</v>
      </c>
      <c r="K24" s="74">
        <v>2089.59</v>
      </c>
      <c r="L24" s="74">
        <v>452.04</v>
      </c>
      <c r="M24" s="74">
        <v>741.42</v>
      </c>
      <c r="N24" s="92">
        <v>160.33</v>
      </c>
      <c r="O24" s="92">
        <v>0</v>
      </c>
      <c r="P24" s="92">
        <v>0</v>
      </c>
      <c r="Q24" s="92">
        <v>0</v>
      </c>
      <c r="R24" s="92">
        <v>0</v>
      </c>
      <c r="S24" s="74">
        <f t="shared" si="2"/>
        <v>8029.59</v>
      </c>
      <c r="T24" s="133">
        <f t="shared" si="3"/>
        <v>1736.9600000000003</v>
      </c>
      <c r="U24" s="74">
        <v>1106.15</v>
      </c>
      <c r="V24" s="74">
        <v>1497.71</v>
      </c>
      <c r="W24" s="74">
        <v>3599.3</v>
      </c>
      <c r="X24" s="74">
        <v>2493.11</v>
      </c>
      <c r="Y24" s="74">
        <v>884.89</v>
      </c>
      <c r="Z24" s="74">
        <v>0</v>
      </c>
      <c r="AA24" s="92">
        <v>0</v>
      </c>
      <c r="AB24" s="92">
        <f>SUM(U24:AA24)</f>
        <v>9581.16</v>
      </c>
      <c r="AC24" s="147">
        <f>D24+T24+AB24</f>
        <v>12351.96</v>
      </c>
      <c r="AD24" s="136">
        <f t="shared" si="6"/>
        <v>0</v>
      </c>
      <c r="AE24" s="136">
        <f t="shared" si="7"/>
        <v>0</v>
      </c>
      <c r="AF24" s="136"/>
      <c r="AG24" s="25">
        <f t="shared" si="17"/>
        <v>749.16</v>
      </c>
      <c r="AH24" s="25">
        <f>B24*0.2</f>
        <v>249.72</v>
      </c>
      <c r="AI24" s="25">
        <f>0.85*B24</f>
        <v>1061.31</v>
      </c>
      <c r="AJ24" s="25">
        <f t="shared" si="8"/>
        <v>191.0358</v>
      </c>
      <c r="AK24" s="25">
        <f>0.83*B24</f>
        <v>1036.338</v>
      </c>
      <c r="AL24" s="25">
        <f t="shared" si="9"/>
        <v>186.54083999999997</v>
      </c>
      <c r="AM24" s="25">
        <f>(1.91)*B24</f>
        <v>2384.8259999999996</v>
      </c>
      <c r="AN24" s="25">
        <f t="shared" si="10"/>
        <v>429.2686799999999</v>
      </c>
      <c r="AO24" s="25"/>
      <c r="AP24" s="25">
        <f t="shared" si="11"/>
        <v>0</v>
      </c>
      <c r="AQ24" s="137"/>
      <c r="AR24" s="137">
        <f t="shared" si="11"/>
        <v>0</v>
      </c>
      <c r="AS24" s="76">
        <v>0</v>
      </c>
      <c r="AT24" s="76"/>
      <c r="AU24" s="76">
        <f t="shared" si="12"/>
        <v>0</v>
      </c>
      <c r="AV24" s="138">
        <v>470</v>
      </c>
      <c r="AW24" s="139">
        <v>0.75</v>
      </c>
      <c r="AX24" s="25">
        <f t="shared" si="18"/>
        <v>465.864</v>
      </c>
      <c r="AY24" s="140"/>
      <c r="AZ24" s="141"/>
      <c r="BA24" s="141">
        <f t="shared" si="19"/>
        <v>0</v>
      </c>
      <c r="BB24" s="141">
        <f>SUM(AG24:AU24)+AX24+AY24+AZ24+BA24</f>
        <v>6754.063319999999</v>
      </c>
      <c r="BC24" s="142"/>
      <c r="BD24" s="55">
        <f t="shared" si="20"/>
        <v>6754.063319999999</v>
      </c>
      <c r="BE24" s="143">
        <f t="shared" si="21"/>
        <v>5597.89668</v>
      </c>
      <c r="BF24" s="143">
        <f t="shared" si="22"/>
        <v>1551.5699999999997</v>
      </c>
    </row>
    <row r="25" spans="1:58" s="145" customFormat="1" ht="12.75" hidden="1">
      <c r="A25" s="130" t="s">
        <v>41</v>
      </c>
      <c r="B25" s="73">
        <v>1248.6</v>
      </c>
      <c r="C25" s="177">
        <f t="shared" si="1"/>
        <v>10800.39</v>
      </c>
      <c r="D25" s="174">
        <f t="shared" si="16"/>
        <v>1033.8399999999992</v>
      </c>
      <c r="E25" s="74">
        <v>926.78</v>
      </c>
      <c r="F25" s="74">
        <v>200.4</v>
      </c>
      <c r="G25" s="74">
        <v>1255.5</v>
      </c>
      <c r="H25" s="74">
        <v>271.7</v>
      </c>
      <c r="I25" s="74">
        <v>3016.3</v>
      </c>
      <c r="J25" s="74">
        <v>652.49</v>
      </c>
      <c r="K25" s="74">
        <v>2089.59</v>
      </c>
      <c r="L25" s="74">
        <v>452.04</v>
      </c>
      <c r="M25" s="74">
        <v>741.42</v>
      </c>
      <c r="N25" s="92">
        <v>160.33</v>
      </c>
      <c r="O25" s="92">
        <v>0</v>
      </c>
      <c r="P25" s="92">
        <v>0</v>
      </c>
      <c r="Q25" s="92"/>
      <c r="R25" s="92"/>
      <c r="S25" s="74">
        <f t="shared" si="2"/>
        <v>8029.59</v>
      </c>
      <c r="T25" s="133">
        <f t="shared" si="3"/>
        <v>1736.9600000000003</v>
      </c>
      <c r="U25" s="74">
        <v>1029.89</v>
      </c>
      <c r="V25" s="74">
        <v>1395.34</v>
      </c>
      <c r="W25" s="74">
        <v>3352.05</v>
      </c>
      <c r="X25" s="74">
        <v>2322.33</v>
      </c>
      <c r="Y25" s="74">
        <v>823.92</v>
      </c>
      <c r="Z25" s="74">
        <v>0</v>
      </c>
      <c r="AA25" s="92">
        <v>0</v>
      </c>
      <c r="AB25" s="92">
        <f>SUM(U25:AA25)</f>
        <v>8923.53</v>
      </c>
      <c r="AC25" s="147">
        <f>D25+T25+AB25</f>
        <v>11694.33</v>
      </c>
      <c r="AD25" s="136">
        <f t="shared" si="6"/>
        <v>0</v>
      </c>
      <c r="AE25" s="136">
        <f t="shared" si="7"/>
        <v>0</v>
      </c>
      <c r="AF25" s="136"/>
      <c r="AG25" s="25">
        <f t="shared" si="17"/>
        <v>749.16</v>
      </c>
      <c r="AH25" s="25">
        <f>B25*0.2</f>
        <v>249.72</v>
      </c>
      <c r="AI25" s="25">
        <f>0.85*B25</f>
        <v>1061.31</v>
      </c>
      <c r="AJ25" s="25">
        <f t="shared" si="8"/>
        <v>191.0358</v>
      </c>
      <c r="AK25" s="25">
        <f>0.83*B25</f>
        <v>1036.338</v>
      </c>
      <c r="AL25" s="25">
        <f t="shared" si="9"/>
        <v>186.54083999999997</v>
      </c>
      <c r="AM25" s="25">
        <f>(1.91)*B25</f>
        <v>2384.8259999999996</v>
      </c>
      <c r="AN25" s="25">
        <f t="shared" si="10"/>
        <v>429.2686799999999</v>
      </c>
      <c r="AO25" s="25"/>
      <c r="AP25" s="25">
        <f t="shared" si="11"/>
        <v>0</v>
      </c>
      <c r="AQ25" s="137"/>
      <c r="AR25" s="137">
        <f t="shared" si="11"/>
        <v>0</v>
      </c>
      <c r="AS25" s="76">
        <v>117</v>
      </c>
      <c r="AT25" s="76">
        <f>1680</f>
        <v>1680</v>
      </c>
      <c r="AU25" s="76">
        <f t="shared" si="12"/>
        <v>323.46</v>
      </c>
      <c r="AV25" s="138">
        <v>514</v>
      </c>
      <c r="AW25" s="139">
        <v>0.75</v>
      </c>
      <c r="AX25" s="25">
        <f t="shared" si="18"/>
        <v>509.4768</v>
      </c>
      <c r="AY25" s="140"/>
      <c r="AZ25" s="141"/>
      <c r="BA25" s="141">
        <f t="shared" si="19"/>
        <v>0</v>
      </c>
      <c r="BB25" s="141">
        <f>SUM(AG25:BA25)-AV25-AW25</f>
        <v>8918.13612</v>
      </c>
      <c r="BC25" s="142"/>
      <c r="BD25" s="72">
        <f t="shared" si="20"/>
        <v>8918.13612</v>
      </c>
      <c r="BE25" s="143">
        <f t="shared" si="21"/>
        <v>2776.1938800000007</v>
      </c>
      <c r="BF25" s="143">
        <f t="shared" si="22"/>
        <v>893.9400000000005</v>
      </c>
    </row>
    <row r="26" spans="1:58" s="24" customFormat="1" ht="12.75" hidden="1">
      <c r="A26" s="19" t="s">
        <v>3</v>
      </c>
      <c r="B26" s="20"/>
      <c r="C26" s="20">
        <f>SUM(C14:C25)</f>
        <v>129708.48</v>
      </c>
      <c r="D26" s="20">
        <f aca="true" t="shared" si="23" ref="D26:BF26">SUM(D14:D25)</f>
        <v>14074.762499999997</v>
      </c>
      <c r="E26" s="20">
        <f t="shared" si="23"/>
        <v>10750.390000000001</v>
      </c>
      <c r="F26" s="20">
        <f t="shared" si="23"/>
        <v>2252.5800000000004</v>
      </c>
      <c r="G26" s="20">
        <f t="shared" si="23"/>
        <v>14547.73</v>
      </c>
      <c r="H26" s="20">
        <f t="shared" si="23"/>
        <v>3050.1199999999994</v>
      </c>
      <c r="I26" s="20">
        <f t="shared" si="23"/>
        <v>34972.99</v>
      </c>
      <c r="J26" s="20">
        <f t="shared" si="23"/>
        <v>7330.229999999999</v>
      </c>
      <c r="K26" s="20">
        <f t="shared" si="23"/>
        <v>24223.08</v>
      </c>
      <c r="L26" s="20">
        <f t="shared" si="23"/>
        <v>5077.29</v>
      </c>
      <c r="M26" s="20">
        <f t="shared" si="23"/>
        <v>8600.19</v>
      </c>
      <c r="N26" s="20">
        <f t="shared" si="23"/>
        <v>1802.1599999999999</v>
      </c>
      <c r="O26" s="20">
        <f t="shared" si="23"/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93094.37999999999</v>
      </c>
      <c r="T26" s="20">
        <f t="shared" si="23"/>
        <v>19512.380000000005</v>
      </c>
      <c r="U26" s="20">
        <f t="shared" si="23"/>
        <v>10173.73</v>
      </c>
      <c r="V26" s="20">
        <f t="shared" si="23"/>
        <v>13763.650000000001</v>
      </c>
      <c r="W26" s="20">
        <f t="shared" si="23"/>
        <v>33093.47</v>
      </c>
      <c r="X26" s="20">
        <f t="shared" si="23"/>
        <v>22919.97</v>
      </c>
      <c r="Y26" s="20">
        <f t="shared" si="23"/>
        <v>8138.88</v>
      </c>
      <c r="Z26" s="20">
        <f t="shared" si="23"/>
        <v>0</v>
      </c>
      <c r="AA26" s="20">
        <f t="shared" si="23"/>
        <v>0</v>
      </c>
      <c r="AB26" s="20">
        <f t="shared" si="23"/>
        <v>88089.7</v>
      </c>
      <c r="AC26" s="20">
        <f t="shared" si="23"/>
        <v>121676.84250000001</v>
      </c>
      <c r="AD26" s="20">
        <f t="shared" si="23"/>
        <v>0</v>
      </c>
      <c r="AE26" s="20">
        <f t="shared" si="23"/>
        <v>0</v>
      </c>
      <c r="AF26" s="20">
        <f t="shared" si="23"/>
        <v>0</v>
      </c>
      <c r="AG26" s="20">
        <f t="shared" si="23"/>
        <v>8697.095999999998</v>
      </c>
      <c r="AH26" s="20">
        <f t="shared" si="23"/>
        <v>2911.7981111999993</v>
      </c>
      <c r="AI26" s="20">
        <f t="shared" si="23"/>
        <v>12158.760916</v>
      </c>
      <c r="AJ26" s="20">
        <f t="shared" si="23"/>
        <v>2188.57696488</v>
      </c>
      <c r="AK26" s="20">
        <f t="shared" si="23"/>
        <v>11818.301347379997</v>
      </c>
      <c r="AL26" s="20">
        <f t="shared" si="23"/>
        <v>2127.2942425283995</v>
      </c>
      <c r="AM26" s="20">
        <f t="shared" si="23"/>
        <v>27192.526021845762</v>
      </c>
      <c r="AN26" s="20">
        <f t="shared" si="23"/>
        <v>4894.654683932237</v>
      </c>
      <c r="AO26" s="20">
        <f t="shared" si="23"/>
        <v>0</v>
      </c>
      <c r="AP26" s="20">
        <f t="shared" si="23"/>
        <v>0</v>
      </c>
      <c r="AQ26" s="179">
        <f t="shared" si="23"/>
        <v>10845.98</v>
      </c>
      <c r="AR26" s="179">
        <f t="shared" si="23"/>
        <v>1952.2764</v>
      </c>
      <c r="AS26" s="21">
        <f t="shared" si="23"/>
        <v>3531.06</v>
      </c>
      <c r="AT26" s="21">
        <f t="shared" si="23"/>
        <v>3392</v>
      </c>
      <c r="AU26" s="21">
        <f t="shared" si="23"/>
        <v>1246.1508</v>
      </c>
      <c r="AV26" s="20">
        <f t="shared" si="23"/>
        <v>4400</v>
      </c>
      <c r="AW26" s="20">
        <f t="shared" si="23"/>
        <v>9</v>
      </c>
      <c r="AX26" s="20">
        <f t="shared" si="23"/>
        <v>4361.284000000001</v>
      </c>
      <c r="AY26" s="20">
        <f t="shared" si="23"/>
        <v>0</v>
      </c>
      <c r="AZ26" s="20">
        <f t="shared" si="23"/>
        <v>0</v>
      </c>
      <c r="BA26" s="20">
        <f t="shared" si="23"/>
        <v>0</v>
      </c>
      <c r="BB26" s="20">
        <f t="shared" si="23"/>
        <v>97317.7594877664</v>
      </c>
      <c r="BC26" s="20">
        <f t="shared" si="23"/>
        <v>0</v>
      </c>
      <c r="BD26" s="20">
        <f t="shared" si="23"/>
        <v>86725.45694605439</v>
      </c>
      <c r="BE26" s="20">
        <f t="shared" si="23"/>
        <v>24359.083012233612</v>
      </c>
      <c r="BF26" s="180">
        <f t="shared" si="23"/>
        <v>-5004.68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97"/>
      <c r="AE27" s="9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0"/>
      <c r="AQ27" s="181"/>
      <c r="AR27" s="181"/>
      <c r="AS27" s="70"/>
      <c r="AT27" s="70"/>
      <c r="AU27" s="70"/>
      <c r="AV27" s="23"/>
      <c r="AW27" s="23"/>
      <c r="AX27" s="79"/>
      <c r="AY27" s="53"/>
      <c r="AZ27" s="53"/>
      <c r="BA27" s="53"/>
      <c r="BB27" s="53"/>
      <c r="BC27" s="53"/>
      <c r="BD27" s="53"/>
      <c r="BE27" s="53"/>
      <c r="BF27" s="182"/>
    </row>
    <row r="28" spans="1:58" s="24" customFormat="1" ht="13.5" hidden="1" thickBot="1">
      <c r="A28" s="27" t="s">
        <v>52</v>
      </c>
      <c r="B28" s="28"/>
      <c r="C28" s="28">
        <f>C12+C26</f>
        <v>160713.54</v>
      </c>
      <c r="D28" s="28">
        <f aca="true" t="shared" si="24" ref="D28:BF28">D12+D26</f>
        <v>21537.783792199996</v>
      </c>
      <c r="E28" s="28">
        <f t="shared" si="24"/>
        <v>13243.850000000002</v>
      </c>
      <c r="F28" s="28">
        <f t="shared" si="24"/>
        <v>2763.5400000000004</v>
      </c>
      <c r="G28" s="28">
        <f t="shared" si="24"/>
        <v>17913.86</v>
      </c>
      <c r="H28" s="28">
        <f t="shared" si="24"/>
        <v>3739.9099999999994</v>
      </c>
      <c r="I28" s="28">
        <f t="shared" si="24"/>
        <v>43076.78</v>
      </c>
      <c r="J28" s="28">
        <f t="shared" si="24"/>
        <v>8990.819999999998</v>
      </c>
      <c r="K28" s="28">
        <f t="shared" si="24"/>
        <v>29833.370000000003</v>
      </c>
      <c r="L28" s="28">
        <f t="shared" si="24"/>
        <v>6226.95</v>
      </c>
      <c r="M28" s="28">
        <f t="shared" si="24"/>
        <v>10594.87</v>
      </c>
      <c r="N28" s="28">
        <f t="shared" si="24"/>
        <v>2210.9399999999996</v>
      </c>
      <c r="O28" s="28">
        <f t="shared" si="24"/>
        <v>0</v>
      </c>
      <c r="P28" s="28">
        <f t="shared" si="24"/>
        <v>0</v>
      </c>
      <c r="Q28" s="28">
        <f t="shared" si="24"/>
        <v>0</v>
      </c>
      <c r="R28" s="28">
        <f t="shared" si="24"/>
        <v>0</v>
      </c>
      <c r="S28" s="28">
        <f t="shared" si="24"/>
        <v>114662.72999999998</v>
      </c>
      <c r="T28" s="28">
        <f t="shared" si="24"/>
        <v>23932.160000000003</v>
      </c>
      <c r="U28" s="28">
        <f t="shared" si="24"/>
        <v>11565.75</v>
      </c>
      <c r="V28" s="28">
        <f t="shared" si="24"/>
        <v>15642.890000000001</v>
      </c>
      <c r="W28" s="28">
        <f t="shared" si="24"/>
        <v>37617.590000000004</v>
      </c>
      <c r="X28" s="28">
        <f t="shared" si="24"/>
        <v>26052.030000000002</v>
      </c>
      <c r="Y28" s="28">
        <f t="shared" si="24"/>
        <v>9252.43</v>
      </c>
      <c r="Z28" s="28">
        <f t="shared" si="24"/>
        <v>0</v>
      </c>
      <c r="AA28" s="28">
        <f t="shared" si="24"/>
        <v>0</v>
      </c>
      <c r="AB28" s="28">
        <f t="shared" si="24"/>
        <v>100130.69</v>
      </c>
      <c r="AC28" s="28">
        <f t="shared" si="24"/>
        <v>145600.6337922</v>
      </c>
      <c r="AD28" s="28">
        <f t="shared" si="24"/>
        <v>0</v>
      </c>
      <c r="AE28" s="28">
        <f t="shared" si="24"/>
        <v>0</v>
      </c>
      <c r="AF28" s="28">
        <f t="shared" si="24"/>
        <v>0</v>
      </c>
      <c r="AG28" s="28">
        <f t="shared" si="24"/>
        <v>10847.735999999997</v>
      </c>
      <c r="AH28" s="28">
        <f t="shared" si="24"/>
        <v>3649.826071199999</v>
      </c>
      <c r="AI28" s="28">
        <f t="shared" si="24"/>
        <v>15208.989731999998</v>
      </c>
      <c r="AJ28" s="28">
        <f>AJ12+AJ26</f>
        <v>2737.61815176</v>
      </c>
      <c r="AK28" s="28">
        <f t="shared" si="24"/>
        <v>15367.802673139997</v>
      </c>
      <c r="AL28" s="28">
        <f t="shared" si="24"/>
        <v>2766.2044811651995</v>
      </c>
      <c r="AM28" s="28">
        <f t="shared" si="24"/>
        <v>33711.32172588576</v>
      </c>
      <c r="AN28" s="28">
        <f t="shared" si="24"/>
        <v>6068.037910659437</v>
      </c>
      <c r="AO28" s="28">
        <f t="shared" si="24"/>
        <v>0</v>
      </c>
      <c r="AP28" s="28">
        <f t="shared" si="24"/>
        <v>0</v>
      </c>
      <c r="AQ28" s="183">
        <f t="shared" si="24"/>
        <v>10845.98</v>
      </c>
      <c r="AR28" s="183">
        <f t="shared" si="24"/>
        <v>1952.2764</v>
      </c>
      <c r="AS28" s="184">
        <f t="shared" si="24"/>
        <v>11725.06</v>
      </c>
      <c r="AT28" s="184">
        <f t="shared" si="24"/>
        <v>3392</v>
      </c>
      <c r="AU28" s="184">
        <f t="shared" si="24"/>
        <v>2721.0708</v>
      </c>
      <c r="AV28" s="28">
        <f t="shared" si="24"/>
        <v>4400</v>
      </c>
      <c r="AW28" s="28">
        <f t="shared" si="24"/>
        <v>9</v>
      </c>
      <c r="AX28" s="28">
        <f t="shared" si="24"/>
        <v>4361.284000000001</v>
      </c>
      <c r="AY28" s="28">
        <f t="shared" si="24"/>
        <v>0</v>
      </c>
      <c r="AZ28" s="28">
        <f t="shared" si="24"/>
        <v>0</v>
      </c>
      <c r="BA28" s="28">
        <f t="shared" si="24"/>
        <v>0</v>
      </c>
      <c r="BB28" s="28">
        <f t="shared" si="24"/>
        <v>125355.2079458104</v>
      </c>
      <c r="BC28" s="28">
        <f t="shared" si="24"/>
        <v>0</v>
      </c>
      <c r="BD28" s="28">
        <f t="shared" si="24"/>
        <v>114762.90540409839</v>
      </c>
      <c r="BE28" s="28">
        <f t="shared" si="24"/>
        <v>20245.42584638961</v>
      </c>
      <c r="BF28" s="28">
        <f t="shared" si="24"/>
        <v>-14532.04</v>
      </c>
    </row>
    <row r="29" spans="1:58" ht="15" customHeight="1" hidden="1">
      <c r="A29" s="8" t="s">
        <v>91</v>
      </c>
      <c r="B29" s="65"/>
      <c r="C29" s="151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  <c r="P29" s="154"/>
      <c r="Q29" s="155"/>
      <c r="R29" s="155"/>
      <c r="S29" s="155"/>
      <c r="T29" s="155"/>
      <c r="U29" s="156"/>
      <c r="V29" s="156"/>
      <c r="W29" s="156"/>
      <c r="X29" s="156"/>
      <c r="Y29" s="156"/>
      <c r="Z29" s="156"/>
      <c r="AA29" s="157"/>
      <c r="AB29" s="157"/>
      <c r="AC29" s="98"/>
      <c r="AD29" s="99"/>
      <c r="AE29" s="99"/>
      <c r="AF29" s="54"/>
      <c r="AG29" s="54"/>
      <c r="AH29" s="54"/>
      <c r="AI29" s="54"/>
      <c r="AJ29" s="54"/>
      <c r="AK29" s="54"/>
      <c r="AL29" s="54"/>
      <c r="AM29" s="54"/>
      <c r="AN29" s="66"/>
      <c r="AO29" s="66"/>
      <c r="AP29" s="66"/>
      <c r="AQ29" s="158"/>
      <c r="AR29" s="159"/>
      <c r="AS29" s="95"/>
      <c r="AT29" s="95"/>
      <c r="AU29" s="160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28"/>
    </row>
    <row r="30" spans="1:58" ht="12.75" hidden="1">
      <c r="A30" s="14" t="s">
        <v>43</v>
      </c>
      <c r="B30" s="73">
        <v>1248.6</v>
      </c>
      <c r="C30" s="177">
        <f aca="true" t="shared" si="25" ref="C30:C41">B30*8.65</f>
        <v>10800.39</v>
      </c>
      <c r="D30" s="174">
        <f aca="true" t="shared" si="26" ref="D30:D41">C30-E30-F30-G30-H30-I30-J30-K30-L30-M30-N30</f>
        <v>1033.8399999999992</v>
      </c>
      <c r="E30" s="74">
        <v>926.78</v>
      </c>
      <c r="F30" s="74">
        <v>200.4</v>
      </c>
      <c r="G30" s="74">
        <v>1255.5</v>
      </c>
      <c r="H30" s="74">
        <v>271.7</v>
      </c>
      <c r="I30" s="74">
        <v>3016.3</v>
      </c>
      <c r="J30" s="74">
        <v>652.49</v>
      </c>
      <c r="K30" s="74">
        <v>2089.59</v>
      </c>
      <c r="L30" s="74">
        <v>452.04</v>
      </c>
      <c r="M30" s="74">
        <v>741.42</v>
      </c>
      <c r="N30" s="92">
        <v>160.33</v>
      </c>
      <c r="O30" s="92">
        <v>0</v>
      </c>
      <c r="P30" s="92">
        <v>0</v>
      </c>
      <c r="Q30" s="92"/>
      <c r="R30" s="92"/>
      <c r="S30" s="74">
        <f aca="true" t="shared" si="27" ref="S30:S41">E30+G30+I30+K30+M30+O30+Q30</f>
        <v>8029.59</v>
      </c>
      <c r="T30" s="133">
        <f aca="true" t="shared" si="28" ref="T30:T41">P30+N30+L30+J30+H30+F30+R30</f>
        <v>1736.9600000000003</v>
      </c>
      <c r="U30" s="74">
        <v>558.49</v>
      </c>
      <c r="V30" s="74">
        <v>756.63</v>
      </c>
      <c r="W30" s="74">
        <v>1817.72</v>
      </c>
      <c r="X30" s="74">
        <v>1259.28</v>
      </c>
      <c r="Y30" s="74">
        <v>446.78</v>
      </c>
      <c r="Z30" s="74">
        <v>0</v>
      </c>
      <c r="AA30" s="92">
        <v>0</v>
      </c>
      <c r="AB30" s="92">
        <f>SUM(U30:AA30)</f>
        <v>4838.9</v>
      </c>
      <c r="AC30" s="147">
        <f aca="true" t="shared" si="29" ref="AC30:AC41">D30+T30+AB30</f>
        <v>7609.699999999999</v>
      </c>
      <c r="AD30" s="136">
        <f aca="true" t="shared" si="30" ref="AD30:AD41">P30+Z30</f>
        <v>0</v>
      </c>
      <c r="AE30" s="136">
        <f aca="true" t="shared" si="31" ref="AE30:AE41">R30+AA30</f>
        <v>0</v>
      </c>
      <c r="AF30" s="136"/>
      <c r="AG30" s="25">
        <f aca="true" t="shared" si="32" ref="AG30:AG41">0.6*B30</f>
        <v>749.16</v>
      </c>
      <c r="AH30" s="25">
        <f aca="true" t="shared" si="33" ref="AH30:AH41">B30*0.2</f>
        <v>249.72</v>
      </c>
      <c r="AI30" s="25">
        <f aca="true" t="shared" si="34" ref="AI30:AI41">1*B30</f>
        <v>1248.6</v>
      </c>
      <c r="AJ30" s="25">
        <v>0</v>
      </c>
      <c r="AK30" s="25">
        <f aca="true" t="shared" si="35" ref="AK30:AK41">0.98*B30</f>
        <v>1223.628</v>
      </c>
      <c r="AL30" s="25">
        <v>0</v>
      </c>
      <c r="AM30" s="25">
        <f aca="true" t="shared" si="36" ref="AM30:AM41">2.25*B30</f>
        <v>2809.35</v>
      </c>
      <c r="AN30" s="25">
        <v>0</v>
      </c>
      <c r="AO30" s="25"/>
      <c r="AP30" s="25">
        <v>0</v>
      </c>
      <c r="AQ30" s="137"/>
      <c r="AR30" s="137"/>
      <c r="AS30" s="76">
        <v>0</v>
      </c>
      <c r="AT30" s="76"/>
      <c r="AU30" s="76">
        <f aca="true" t="shared" si="37" ref="AU30:AU41">AT30*0.18</f>
        <v>0</v>
      </c>
      <c r="AV30" s="138">
        <v>508</v>
      </c>
      <c r="AW30" s="139">
        <v>0.75</v>
      </c>
      <c r="AX30" s="25">
        <f aca="true" t="shared" si="38" ref="AX30:AX41">AV30*AW30*1.4</f>
        <v>533.4</v>
      </c>
      <c r="AY30" s="140"/>
      <c r="AZ30" s="141"/>
      <c r="BA30" s="141">
        <f aca="true" t="shared" si="39" ref="BA30:BA41">AZ30*0.18</f>
        <v>0</v>
      </c>
      <c r="BB30" s="141">
        <f aca="true" t="shared" si="40" ref="BB30:BB41">SUM(AG30:BA30)-AV30-AW30</f>
        <v>6813.858</v>
      </c>
      <c r="BC30" s="142"/>
      <c r="BD30" s="163"/>
      <c r="BE30" s="143">
        <f>(AC30-BB30)+(AF30-BC30)</f>
        <v>795.8419999999987</v>
      </c>
      <c r="BF30" s="143">
        <f>AB30-S30</f>
        <v>-3190.6900000000005</v>
      </c>
    </row>
    <row r="31" spans="1:58" ht="12.75" hidden="1">
      <c r="A31" s="14" t="s">
        <v>44</v>
      </c>
      <c r="B31" s="161">
        <v>1248.6</v>
      </c>
      <c r="C31" s="177">
        <f t="shared" si="25"/>
        <v>10800.39</v>
      </c>
      <c r="D31" s="174">
        <f t="shared" si="26"/>
        <v>1033.8499999999995</v>
      </c>
      <c r="E31" s="77">
        <v>926.77</v>
      </c>
      <c r="F31" s="74">
        <v>200.4</v>
      </c>
      <c r="G31" s="74">
        <v>1255.5</v>
      </c>
      <c r="H31" s="74">
        <v>271.7</v>
      </c>
      <c r="I31" s="74">
        <v>3016.3</v>
      </c>
      <c r="J31" s="74">
        <v>652.49</v>
      </c>
      <c r="K31" s="74">
        <v>2089.59</v>
      </c>
      <c r="L31" s="74">
        <v>452.04</v>
      </c>
      <c r="M31" s="74">
        <v>741.42</v>
      </c>
      <c r="N31" s="92">
        <v>160.33</v>
      </c>
      <c r="O31" s="92">
        <v>0</v>
      </c>
      <c r="P31" s="92">
        <v>0</v>
      </c>
      <c r="Q31" s="92">
        <v>0</v>
      </c>
      <c r="R31" s="92">
        <v>0</v>
      </c>
      <c r="S31" s="74">
        <f t="shared" si="27"/>
        <v>8029.58</v>
      </c>
      <c r="T31" s="133">
        <f t="shared" si="28"/>
        <v>1736.9600000000003</v>
      </c>
      <c r="U31" s="74">
        <v>832.1</v>
      </c>
      <c r="V31" s="74">
        <v>1127.34</v>
      </c>
      <c r="W31" s="74">
        <v>2708.24</v>
      </c>
      <c r="X31" s="74">
        <v>1876.15</v>
      </c>
      <c r="Y31" s="74">
        <v>665.69</v>
      </c>
      <c r="Z31" s="74">
        <v>0</v>
      </c>
      <c r="AA31" s="92">
        <v>0</v>
      </c>
      <c r="AB31" s="92">
        <f>SUM(U31:AA31)</f>
        <v>7209.52</v>
      </c>
      <c r="AC31" s="147">
        <f t="shared" si="29"/>
        <v>9980.33</v>
      </c>
      <c r="AD31" s="136">
        <f t="shared" si="30"/>
        <v>0</v>
      </c>
      <c r="AE31" s="136">
        <f t="shared" si="31"/>
        <v>0</v>
      </c>
      <c r="AF31" s="136"/>
      <c r="AG31" s="25">
        <f t="shared" si="32"/>
        <v>749.16</v>
      </c>
      <c r="AH31" s="25">
        <f t="shared" si="33"/>
        <v>249.72</v>
      </c>
      <c r="AI31" s="25">
        <f t="shared" si="34"/>
        <v>1248.6</v>
      </c>
      <c r="AJ31" s="25">
        <v>0</v>
      </c>
      <c r="AK31" s="25">
        <f t="shared" si="35"/>
        <v>1223.628</v>
      </c>
      <c r="AL31" s="25">
        <v>0</v>
      </c>
      <c r="AM31" s="25">
        <f t="shared" si="36"/>
        <v>2809.35</v>
      </c>
      <c r="AN31" s="25">
        <v>0</v>
      </c>
      <c r="AO31" s="25">
        <f>301.5*5.4</f>
        <v>1628.1000000000001</v>
      </c>
      <c r="AP31" s="25"/>
      <c r="AQ31" s="137"/>
      <c r="AR31" s="137"/>
      <c r="AS31" s="76"/>
      <c r="AT31" s="76"/>
      <c r="AU31" s="76">
        <f t="shared" si="37"/>
        <v>0</v>
      </c>
      <c r="AV31" s="138">
        <v>407</v>
      </c>
      <c r="AW31" s="139">
        <v>0.75</v>
      </c>
      <c r="AX31" s="25">
        <f t="shared" si="38"/>
        <v>427.34999999999997</v>
      </c>
      <c r="AY31" s="140"/>
      <c r="AZ31" s="141"/>
      <c r="BA31" s="141">
        <f t="shared" si="39"/>
        <v>0</v>
      </c>
      <c r="BB31" s="141">
        <f t="shared" si="40"/>
        <v>8335.908000000001</v>
      </c>
      <c r="BC31" s="142"/>
      <c r="BD31" s="163"/>
      <c r="BE31" s="143">
        <f aca="true" t="shared" si="41" ref="BE31:BE41">(AC31-BB31)+(AF31-BC31)</f>
        <v>1644.4219999999987</v>
      </c>
      <c r="BF31" s="143">
        <f aca="true" t="shared" si="42" ref="BF31:BF41">AB31-S31</f>
        <v>-820.0599999999995</v>
      </c>
    </row>
    <row r="32" spans="1:58" ht="13.5" hidden="1" thickBot="1">
      <c r="A32" s="165" t="s">
        <v>45</v>
      </c>
      <c r="B32" s="73">
        <v>1247.9</v>
      </c>
      <c r="C32" s="177">
        <f t="shared" si="25"/>
        <v>10794.335000000001</v>
      </c>
      <c r="D32" s="174">
        <f t="shared" si="26"/>
        <v>1033.2550000000028</v>
      </c>
      <c r="E32" s="74">
        <v>926.15</v>
      </c>
      <c r="F32" s="74">
        <v>200.4</v>
      </c>
      <c r="G32" s="74">
        <v>1254.64</v>
      </c>
      <c r="H32" s="74">
        <v>271.7</v>
      </c>
      <c r="I32" s="74">
        <v>3014.25</v>
      </c>
      <c r="J32" s="74">
        <v>652.49</v>
      </c>
      <c r="K32" s="74">
        <v>2088.17</v>
      </c>
      <c r="L32" s="74">
        <v>452.04</v>
      </c>
      <c r="M32" s="74">
        <v>740.91</v>
      </c>
      <c r="N32" s="92">
        <v>160.33</v>
      </c>
      <c r="O32" s="92">
        <v>0</v>
      </c>
      <c r="P32" s="92">
        <v>0</v>
      </c>
      <c r="Q32" s="92">
        <v>0</v>
      </c>
      <c r="R32" s="92">
        <v>0</v>
      </c>
      <c r="S32" s="74">
        <f t="shared" si="27"/>
        <v>8024.12</v>
      </c>
      <c r="T32" s="133">
        <f t="shared" si="28"/>
        <v>1736.9600000000003</v>
      </c>
      <c r="U32" s="74">
        <v>660.38</v>
      </c>
      <c r="V32" s="74">
        <v>894.57</v>
      </c>
      <c r="W32" s="74">
        <v>2149.35</v>
      </c>
      <c r="X32" s="74">
        <v>1488.96</v>
      </c>
      <c r="Y32" s="74">
        <v>528.3</v>
      </c>
      <c r="Z32" s="74">
        <v>0</v>
      </c>
      <c r="AA32" s="92">
        <v>0</v>
      </c>
      <c r="AB32" s="92">
        <f>SUM(U32:AA32)</f>
        <v>5721.56</v>
      </c>
      <c r="AC32" s="147">
        <f t="shared" si="29"/>
        <v>8491.775000000003</v>
      </c>
      <c r="AD32" s="136">
        <f t="shared" si="30"/>
        <v>0</v>
      </c>
      <c r="AE32" s="136">
        <f t="shared" si="31"/>
        <v>0</v>
      </c>
      <c r="AF32" s="136"/>
      <c r="AG32" s="25">
        <f t="shared" si="32"/>
        <v>748.74</v>
      </c>
      <c r="AH32" s="25">
        <f t="shared" si="33"/>
        <v>249.58000000000004</v>
      </c>
      <c r="AI32" s="25">
        <f t="shared" si="34"/>
        <v>1247.9</v>
      </c>
      <c r="AJ32" s="25">
        <v>0</v>
      </c>
      <c r="AK32" s="25">
        <f t="shared" si="35"/>
        <v>1222.942</v>
      </c>
      <c r="AL32" s="25">
        <v>0</v>
      </c>
      <c r="AM32" s="25">
        <f t="shared" si="36"/>
        <v>2807.775</v>
      </c>
      <c r="AN32" s="25">
        <v>0</v>
      </c>
      <c r="AO32" s="25"/>
      <c r="AP32" s="25"/>
      <c r="AQ32" s="137"/>
      <c r="AR32" s="137"/>
      <c r="AS32" s="76"/>
      <c r="AT32" s="76"/>
      <c r="AU32" s="76">
        <f t="shared" si="37"/>
        <v>0</v>
      </c>
      <c r="AV32" s="138">
        <v>383</v>
      </c>
      <c r="AW32" s="139">
        <v>0.75</v>
      </c>
      <c r="AX32" s="25">
        <f t="shared" si="38"/>
        <v>402.15</v>
      </c>
      <c r="AY32" s="140"/>
      <c r="AZ32" s="141"/>
      <c r="BA32" s="141">
        <f t="shared" si="39"/>
        <v>0</v>
      </c>
      <c r="BB32" s="141">
        <f t="shared" si="40"/>
        <v>6679.0869999999995</v>
      </c>
      <c r="BC32" s="142"/>
      <c r="BD32" s="169"/>
      <c r="BE32" s="143">
        <f t="shared" si="41"/>
        <v>1812.6880000000037</v>
      </c>
      <c r="BF32" s="143">
        <f t="shared" si="42"/>
        <v>-2302.5599999999995</v>
      </c>
    </row>
    <row r="33" spans="1:58" ht="12.75" hidden="1">
      <c r="A33" s="171" t="s">
        <v>46</v>
      </c>
      <c r="B33" s="73">
        <v>1247.9</v>
      </c>
      <c r="C33" s="177">
        <f t="shared" si="25"/>
        <v>10794.335000000001</v>
      </c>
      <c r="D33" s="174">
        <f t="shared" si="26"/>
        <v>1033.2550000000028</v>
      </c>
      <c r="E33" s="74">
        <v>926.15</v>
      </c>
      <c r="F33" s="74">
        <v>200.4</v>
      </c>
      <c r="G33" s="74">
        <v>1254.64</v>
      </c>
      <c r="H33" s="74">
        <v>271.7</v>
      </c>
      <c r="I33" s="74">
        <v>3014.25</v>
      </c>
      <c r="J33" s="74">
        <v>652.49</v>
      </c>
      <c r="K33" s="74">
        <v>2088.17</v>
      </c>
      <c r="L33" s="74">
        <v>452.04</v>
      </c>
      <c r="M33" s="74">
        <v>740.91</v>
      </c>
      <c r="N33" s="92">
        <v>160.33</v>
      </c>
      <c r="O33" s="92">
        <v>0</v>
      </c>
      <c r="P33" s="92">
        <v>0</v>
      </c>
      <c r="Q33" s="92"/>
      <c r="R33" s="92"/>
      <c r="S33" s="74">
        <f t="shared" si="27"/>
        <v>8024.12</v>
      </c>
      <c r="T33" s="133">
        <f t="shared" si="28"/>
        <v>1736.9600000000003</v>
      </c>
      <c r="U33" s="74">
        <v>694.75</v>
      </c>
      <c r="V33" s="74">
        <v>937.92</v>
      </c>
      <c r="W33" s="74">
        <v>2257.92</v>
      </c>
      <c r="X33" s="74">
        <v>1563.18</v>
      </c>
      <c r="Y33" s="74">
        <v>555.77</v>
      </c>
      <c r="Z33" s="74">
        <v>0</v>
      </c>
      <c r="AA33" s="92">
        <v>0</v>
      </c>
      <c r="AB33" s="92">
        <f>SUM(U33:AA33)</f>
        <v>6009.540000000001</v>
      </c>
      <c r="AC33" s="147">
        <f t="shared" si="29"/>
        <v>8779.755000000005</v>
      </c>
      <c r="AD33" s="136">
        <f t="shared" si="30"/>
        <v>0</v>
      </c>
      <c r="AE33" s="136">
        <f t="shared" si="31"/>
        <v>0</v>
      </c>
      <c r="AF33" s="136"/>
      <c r="AG33" s="25">
        <f t="shared" si="32"/>
        <v>748.74</v>
      </c>
      <c r="AH33" s="25">
        <f t="shared" si="33"/>
        <v>249.58000000000004</v>
      </c>
      <c r="AI33" s="25">
        <f t="shared" si="34"/>
        <v>1247.9</v>
      </c>
      <c r="AJ33" s="25">
        <v>0</v>
      </c>
      <c r="AK33" s="25">
        <f t="shared" si="35"/>
        <v>1222.942</v>
      </c>
      <c r="AL33" s="25">
        <v>0</v>
      </c>
      <c r="AM33" s="25">
        <f t="shared" si="36"/>
        <v>2807.775</v>
      </c>
      <c r="AN33" s="25">
        <v>0</v>
      </c>
      <c r="AO33" s="25"/>
      <c r="AP33" s="25"/>
      <c r="AQ33" s="137"/>
      <c r="AR33" s="137"/>
      <c r="AS33" s="76">
        <v>195</v>
      </c>
      <c r="AT33" s="76"/>
      <c r="AU33" s="76">
        <f t="shared" si="37"/>
        <v>0</v>
      </c>
      <c r="AV33" s="138">
        <v>307</v>
      </c>
      <c r="AW33" s="139">
        <v>0.75</v>
      </c>
      <c r="AX33" s="25">
        <f t="shared" si="38"/>
        <v>322.34999999999997</v>
      </c>
      <c r="AY33" s="140"/>
      <c r="AZ33" s="141"/>
      <c r="BA33" s="141">
        <f t="shared" si="39"/>
        <v>0</v>
      </c>
      <c r="BB33" s="141">
        <f t="shared" si="40"/>
        <v>6794.287</v>
      </c>
      <c r="BC33" s="142"/>
      <c r="BD33" s="72"/>
      <c r="BE33" s="143">
        <f t="shared" si="41"/>
        <v>1985.4680000000044</v>
      </c>
      <c r="BF33" s="143">
        <f t="shared" si="42"/>
        <v>-2014.579999999999</v>
      </c>
    </row>
    <row r="34" spans="1:58" ht="12.75" hidden="1">
      <c r="A34" s="14" t="s">
        <v>47</v>
      </c>
      <c r="B34" s="73">
        <v>1248.8</v>
      </c>
      <c r="C34" s="177">
        <f t="shared" si="25"/>
        <v>10802.12</v>
      </c>
      <c r="D34" s="174">
        <f t="shared" si="26"/>
        <v>1033.3000000000015</v>
      </c>
      <c r="E34" s="74">
        <v>927.04</v>
      </c>
      <c r="F34" s="74">
        <v>200.4</v>
      </c>
      <c r="G34" s="74">
        <v>1255.85</v>
      </c>
      <c r="H34" s="74">
        <v>271.7</v>
      </c>
      <c r="I34" s="74">
        <v>3017.15</v>
      </c>
      <c r="J34" s="74">
        <v>652.49</v>
      </c>
      <c r="K34" s="74">
        <v>2090.19</v>
      </c>
      <c r="L34" s="74">
        <v>452.04</v>
      </c>
      <c r="M34" s="74">
        <v>741.63</v>
      </c>
      <c r="N34" s="92">
        <v>160.33</v>
      </c>
      <c r="O34" s="92">
        <v>0</v>
      </c>
      <c r="P34" s="92">
        <v>0</v>
      </c>
      <c r="Q34" s="92"/>
      <c r="R34" s="92"/>
      <c r="S34" s="74">
        <f t="shared" si="27"/>
        <v>8031.86</v>
      </c>
      <c r="T34" s="133">
        <f t="shared" si="28"/>
        <v>1736.9600000000003</v>
      </c>
      <c r="U34" s="185">
        <v>804.68</v>
      </c>
      <c r="V34" s="185">
        <v>1089.75</v>
      </c>
      <c r="W34" s="185">
        <v>4618.59</v>
      </c>
      <c r="X34" s="185">
        <v>1813.86</v>
      </c>
      <c r="Y34" s="185">
        <v>643.74</v>
      </c>
      <c r="Z34" s="185">
        <v>0</v>
      </c>
      <c r="AA34" s="186">
        <v>0</v>
      </c>
      <c r="AB34" s="92">
        <f aca="true" t="shared" si="43" ref="AB34:AB41">SUM(U34:AA34)</f>
        <v>8970.62</v>
      </c>
      <c r="AC34" s="147">
        <f t="shared" si="29"/>
        <v>11740.880000000003</v>
      </c>
      <c r="AD34" s="136">
        <f t="shared" si="30"/>
        <v>0</v>
      </c>
      <c r="AE34" s="136">
        <f t="shared" si="31"/>
        <v>0</v>
      </c>
      <c r="AF34" s="136"/>
      <c r="AG34" s="25">
        <f t="shared" si="32"/>
        <v>749.28</v>
      </c>
      <c r="AH34" s="25">
        <f t="shared" si="33"/>
        <v>249.76</v>
      </c>
      <c r="AI34" s="25">
        <f t="shared" si="34"/>
        <v>1248.8</v>
      </c>
      <c r="AJ34" s="25">
        <v>0</v>
      </c>
      <c r="AK34" s="25">
        <f t="shared" si="35"/>
        <v>1223.8239999999998</v>
      </c>
      <c r="AL34" s="25">
        <v>0</v>
      </c>
      <c r="AM34" s="25">
        <f t="shared" si="36"/>
        <v>2809.7999999999997</v>
      </c>
      <c r="AN34" s="25">
        <v>0</v>
      </c>
      <c r="AO34" s="25"/>
      <c r="AP34" s="25"/>
      <c r="AQ34" s="137"/>
      <c r="AR34" s="137"/>
      <c r="AS34" s="76">
        <v>17993</v>
      </c>
      <c r="AT34" s="76">
        <f>1035+766.27</f>
        <v>1801.27</v>
      </c>
      <c r="AU34" s="76"/>
      <c r="AV34" s="138">
        <v>263</v>
      </c>
      <c r="AW34" s="139">
        <v>0.75</v>
      </c>
      <c r="AX34" s="25">
        <f t="shared" si="38"/>
        <v>276.15</v>
      </c>
      <c r="AY34" s="140"/>
      <c r="AZ34" s="141"/>
      <c r="BA34" s="141">
        <f t="shared" si="39"/>
        <v>0</v>
      </c>
      <c r="BB34" s="141">
        <f t="shared" si="40"/>
        <v>26351.884000000002</v>
      </c>
      <c r="BC34" s="142"/>
      <c r="BD34" s="18"/>
      <c r="BE34" s="143">
        <f t="shared" si="41"/>
        <v>-14611.003999999999</v>
      </c>
      <c r="BF34" s="143">
        <f t="shared" si="42"/>
        <v>938.7600000000011</v>
      </c>
    </row>
    <row r="35" spans="1:58" ht="13.5" hidden="1" thickBot="1">
      <c r="A35" s="165" t="s">
        <v>48</v>
      </c>
      <c r="B35" s="73">
        <v>1248.8</v>
      </c>
      <c r="C35" s="177">
        <f t="shared" si="25"/>
        <v>10802.12</v>
      </c>
      <c r="D35" s="174">
        <f t="shared" si="26"/>
        <v>1033.3000000000015</v>
      </c>
      <c r="E35" s="74">
        <v>927.04</v>
      </c>
      <c r="F35" s="74">
        <v>200.4</v>
      </c>
      <c r="G35" s="74">
        <v>1255.85</v>
      </c>
      <c r="H35" s="74">
        <v>271.7</v>
      </c>
      <c r="I35" s="74">
        <v>3017.15</v>
      </c>
      <c r="J35" s="74">
        <v>652.49</v>
      </c>
      <c r="K35" s="74">
        <v>2090.19</v>
      </c>
      <c r="L35" s="74">
        <v>452.04</v>
      </c>
      <c r="M35" s="74">
        <v>741.63</v>
      </c>
      <c r="N35" s="92">
        <v>160.33</v>
      </c>
      <c r="O35" s="92">
        <v>0</v>
      </c>
      <c r="P35" s="92">
        <v>0</v>
      </c>
      <c r="Q35" s="92">
        <v>0</v>
      </c>
      <c r="R35" s="92">
        <v>0</v>
      </c>
      <c r="S35" s="74">
        <f t="shared" si="27"/>
        <v>8031.86</v>
      </c>
      <c r="T35" s="133">
        <f t="shared" si="28"/>
        <v>1736.9600000000003</v>
      </c>
      <c r="U35" s="74">
        <v>694.11</v>
      </c>
      <c r="V35" s="74">
        <v>940.59</v>
      </c>
      <c r="W35" s="74">
        <v>2259.32</v>
      </c>
      <c r="X35" s="74">
        <v>1565.26</v>
      </c>
      <c r="Y35" s="74">
        <v>555.28</v>
      </c>
      <c r="Z35" s="74">
        <v>0</v>
      </c>
      <c r="AA35" s="92">
        <v>0</v>
      </c>
      <c r="AB35" s="92">
        <f t="shared" si="43"/>
        <v>6014.56</v>
      </c>
      <c r="AC35" s="147">
        <f t="shared" si="29"/>
        <v>8784.820000000003</v>
      </c>
      <c r="AD35" s="136">
        <f t="shared" si="30"/>
        <v>0</v>
      </c>
      <c r="AE35" s="136">
        <f t="shared" si="31"/>
        <v>0</v>
      </c>
      <c r="AF35" s="136"/>
      <c r="AG35" s="25">
        <f t="shared" si="32"/>
        <v>749.28</v>
      </c>
      <c r="AH35" s="25">
        <f t="shared" si="33"/>
        <v>249.76</v>
      </c>
      <c r="AI35" s="25">
        <f t="shared" si="34"/>
        <v>1248.8</v>
      </c>
      <c r="AJ35" s="25">
        <v>0</v>
      </c>
      <c r="AK35" s="25">
        <f t="shared" si="35"/>
        <v>1223.8239999999998</v>
      </c>
      <c r="AL35" s="25">
        <v>0</v>
      </c>
      <c r="AM35" s="25">
        <f t="shared" si="36"/>
        <v>2809.7999999999997</v>
      </c>
      <c r="AN35" s="25">
        <v>0</v>
      </c>
      <c r="AO35" s="25"/>
      <c r="AP35" s="25"/>
      <c r="AQ35" s="137"/>
      <c r="AR35" s="137"/>
      <c r="AS35" s="76">
        <v>19003</v>
      </c>
      <c r="AT35" s="76"/>
      <c r="AU35" s="76">
        <f t="shared" si="37"/>
        <v>0</v>
      </c>
      <c r="AV35" s="138">
        <v>233</v>
      </c>
      <c r="AW35" s="139">
        <v>0.75</v>
      </c>
      <c r="AX35" s="25">
        <f t="shared" si="38"/>
        <v>244.64999999999998</v>
      </c>
      <c r="AY35" s="140"/>
      <c r="AZ35" s="141"/>
      <c r="BA35" s="141">
        <f t="shared" si="39"/>
        <v>0</v>
      </c>
      <c r="BB35" s="141">
        <f t="shared" si="40"/>
        <v>25529.114</v>
      </c>
      <c r="BC35" s="142"/>
      <c r="BD35" s="96"/>
      <c r="BE35" s="143">
        <f t="shared" si="41"/>
        <v>-16744.293999999998</v>
      </c>
      <c r="BF35" s="143">
        <f t="shared" si="42"/>
        <v>-2017.2999999999993</v>
      </c>
    </row>
    <row r="36" spans="1:58" ht="12.75" hidden="1">
      <c r="A36" s="171" t="s">
        <v>49</v>
      </c>
      <c r="B36" s="73">
        <v>1248.8</v>
      </c>
      <c r="C36" s="177">
        <f t="shared" si="25"/>
        <v>10802.12</v>
      </c>
      <c r="D36" s="174">
        <f t="shared" si="26"/>
        <v>1033.2999999999997</v>
      </c>
      <c r="E36" s="77">
        <v>1127.44</v>
      </c>
      <c r="F36" s="74">
        <v>0</v>
      </c>
      <c r="G36" s="74">
        <v>1527.55</v>
      </c>
      <c r="H36" s="74">
        <v>0</v>
      </c>
      <c r="I36" s="74">
        <v>3669.64</v>
      </c>
      <c r="J36" s="74">
        <v>0</v>
      </c>
      <c r="K36" s="74">
        <v>2542.23</v>
      </c>
      <c r="L36" s="74">
        <v>0</v>
      </c>
      <c r="M36" s="74">
        <v>901.96</v>
      </c>
      <c r="N36" s="92">
        <v>0</v>
      </c>
      <c r="O36" s="92">
        <v>0</v>
      </c>
      <c r="P36" s="92">
        <v>0</v>
      </c>
      <c r="Q36" s="92"/>
      <c r="R36" s="92"/>
      <c r="S36" s="74">
        <f t="shared" si="27"/>
        <v>9768.82</v>
      </c>
      <c r="T36" s="133">
        <f t="shared" si="28"/>
        <v>0</v>
      </c>
      <c r="U36" s="77">
        <v>873.36</v>
      </c>
      <c r="V36" s="74">
        <v>1183.16</v>
      </c>
      <c r="W36" s="74">
        <v>2842.46</v>
      </c>
      <c r="X36" s="74">
        <v>1969.42</v>
      </c>
      <c r="Y36" s="74">
        <v>698.67</v>
      </c>
      <c r="Z36" s="74">
        <v>0</v>
      </c>
      <c r="AA36" s="92">
        <v>0</v>
      </c>
      <c r="AB36" s="92">
        <f t="shared" si="43"/>
        <v>7567.07</v>
      </c>
      <c r="AC36" s="147">
        <f t="shared" si="29"/>
        <v>8600.369999999999</v>
      </c>
      <c r="AD36" s="136">
        <f t="shared" si="30"/>
        <v>0</v>
      </c>
      <c r="AE36" s="136">
        <f t="shared" si="31"/>
        <v>0</v>
      </c>
      <c r="AF36" s="136"/>
      <c r="AG36" s="25">
        <f t="shared" si="32"/>
        <v>749.28</v>
      </c>
      <c r="AH36" s="25">
        <f t="shared" si="33"/>
        <v>249.76</v>
      </c>
      <c r="AI36" s="25">
        <f t="shared" si="34"/>
        <v>1248.8</v>
      </c>
      <c r="AJ36" s="25">
        <v>0</v>
      </c>
      <c r="AK36" s="25">
        <f t="shared" si="35"/>
        <v>1223.8239999999998</v>
      </c>
      <c r="AL36" s="25">
        <v>0</v>
      </c>
      <c r="AM36" s="25">
        <f t="shared" si="36"/>
        <v>2809.7999999999997</v>
      </c>
      <c r="AN36" s="25">
        <v>0</v>
      </c>
      <c r="AO36" s="25"/>
      <c r="AP36" s="25"/>
      <c r="AQ36" s="137"/>
      <c r="AR36" s="137"/>
      <c r="AS36" s="76"/>
      <c r="AT36" s="76"/>
      <c r="AU36" s="76">
        <f t="shared" si="37"/>
        <v>0</v>
      </c>
      <c r="AV36" s="138">
        <v>248</v>
      </c>
      <c r="AW36" s="139">
        <v>0.75</v>
      </c>
      <c r="AX36" s="25">
        <f t="shared" si="38"/>
        <v>260.4</v>
      </c>
      <c r="AY36" s="140"/>
      <c r="AZ36" s="141"/>
      <c r="BA36" s="141">
        <f t="shared" si="39"/>
        <v>0</v>
      </c>
      <c r="BB36" s="141">
        <f t="shared" si="40"/>
        <v>6541.864</v>
      </c>
      <c r="BC36" s="142"/>
      <c r="BD36" s="18"/>
      <c r="BE36" s="143">
        <f t="shared" si="41"/>
        <v>2058.5059999999994</v>
      </c>
      <c r="BF36" s="143">
        <f t="shared" si="42"/>
        <v>-2201.75</v>
      </c>
    </row>
    <row r="37" spans="1:58" ht="12.75" hidden="1">
      <c r="A37" s="14" t="s">
        <v>50</v>
      </c>
      <c r="B37" s="73">
        <v>1248.8</v>
      </c>
      <c r="C37" s="177">
        <f t="shared" si="25"/>
        <v>10802.12</v>
      </c>
      <c r="D37" s="174">
        <f t="shared" si="26"/>
        <v>1016.5600000000006</v>
      </c>
      <c r="E37" s="77">
        <v>1129.41</v>
      </c>
      <c r="F37" s="74">
        <v>0</v>
      </c>
      <c r="G37" s="74">
        <v>1530.1</v>
      </c>
      <c r="H37" s="74">
        <v>0</v>
      </c>
      <c r="I37" s="74">
        <v>3675.95</v>
      </c>
      <c r="J37" s="74">
        <v>0</v>
      </c>
      <c r="K37" s="74">
        <v>2546.57</v>
      </c>
      <c r="L37" s="74">
        <v>0</v>
      </c>
      <c r="M37" s="74">
        <v>903.53</v>
      </c>
      <c r="N37" s="92">
        <v>0</v>
      </c>
      <c r="O37" s="92">
        <v>0</v>
      </c>
      <c r="P37" s="92">
        <v>0</v>
      </c>
      <c r="Q37" s="92"/>
      <c r="R37" s="92"/>
      <c r="S37" s="74">
        <f t="shared" si="27"/>
        <v>9785.560000000001</v>
      </c>
      <c r="T37" s="133">
        <f t="shared" si="28"/>
        <v>0</v>
      </c>
      <c r="U37" s="185">
        <v>661.05</v>
      </c>
      <c r="V37" s="185">
        <v>895.71</v>
      </c>
      <c r="W37" s="185">
        <v>2191.62</v>
      </c>
      <c r="X37" s="185">
        <v>1520.54</v>
      </c>
      <c r="Y37" s="185">
        <v>528.84</v>
      </c>
      <c r="Z37" s="185">
        <v>0</v>
      </c>
      <c r="AA37" s="186">
        <v>0</v>
      </c>
      <c r="AB37" s="92">
        <f t="shared" si="43"/>
        <v>5797.76</v>
      </c>
      <c r="AC37" s="147">
        <f t="shared" si="29"/>
        <v>6814.320000000001</v>
      </c>
      <c r="AD37" s="136">
        <f t="shared" si="30"/>
        <v>0</v>
      </c>
      <c r="AE37" s="136">
        <f t="shared" si="31"/>
        <v>0</v>
      </c>
      <c r="AF37" s="136"/>
      <c r="AG37" s="25">
        <f t="shared" si="32"/>
        <v>749.28</v>
      </c>
      <c r="AH37" s="25">
        <f t="shared" si="33"/>
        <v>249.76</v>
      </c>
      <c r="AI37" s="25">
        <f t="shared" si="34"/>
        <v>1248.8</v>
      </c>
      <c r="AJ37" s="25">
        <v>0</v>
      </c>
      <c r="AK37" s="25">
        <f t="shared" si="35"/>
        <v>1223.8239999999998</v>
      </c>
      <c r="AL37" s="25">
        <v>0</v>
      </c>
      <c r="AM37" s="25">
        <f t="shared" si="36"/>
        <v>2809.7999999999997</v>
      </c>
      <c r="AN37" s="25">
        <v>0</v>
      </c>
      <c r="AO37" s="25"/>
      <c r="AP37" s="25"/>
      <c r="AQ37" s="137"/>
      <c r="AR37" s="137"/>
      <c r="AS37" s="76"/>
      <c r="AT37" s="76">
        <f>47.8+42</f>
        <v>89.8</v>
      </c>
      <c r="AU37" s="76"/>
      <c r="AV37" s="138">
        <v>293</v>
      </c>
      <c r="AW37" s="139">
        <v>0.75</v>
      </c>
      <c r="AX37" s="25">
        <f t="shared" si="38"/>
        <v>307.65</v>
      </c>
      <c r="AY37" s="140"/>
      <c r="AZ37" s="141"/>
      <c r="BA37" s="141">
        <f t="shared" si="39"/>
        <v>0</v>
      </c>
      <c r="BB37" s="141">
        <f t="shared" si="40"/>
        <v>6678.914</v>
      </c>
      <c r="BC37" s="142"/>
      <c r="BD37" s="18"/>
      <c r="BE37" s="143">
        <f t="shared" si="41"/>
        <v>135.40600000000086</v>
      </c>
      <c r="BF37" s="143">
        <f t="shared" si="42"/>
        <v>-3987.800000000001</v>
      </c>
    </row>
    <row r="38" spans="1:58" ht="13.5" hidden="1" thickBot="1">
      <c r="A38" s="165" t="s">
        <v>51</v>
      </c>
      <c r="B38" s="73">
        <v>1248.8</v>
      </c>
      <c r="C38" s="177">
        <f t="shared" si="25"/>
        <v>10802.12</v>
      </c>
      <c r="D38" s="174">
        <f t="shared" si="26"/>
        <v>1016.5700000000008</v>
      </c>
      <c r="E38" s="74">
        <v>1129.4</v>
      </c>
      <c r="F38" s="74">
        <v>0</v>
      </c>
      <c r="G38" s="74">
        <v>1530.1</v>
      </c>
      <c r="H38" s="74">
        <v>0</v>
      </c>
      <c r="I38" s="74">
        <v>3675.95</v>
      </c>
      <c r="J38" s="74">
        <v>0</v>
      </c>
      <c r="K38" s="74">
        <v>2546.57</v>
      </c>
      <c r="L38" s="74">
        <v>0</v>
      </c>
      <c r="M38" s="74">
        <v>903.53</v>
      </c>
      <c r="N38" s="92">
        <v>0</v>
      </c>
      <c r="O38" s="92">
        <v>0</v>
      </c>
      <c r="P38" s="92">
        <v>0</v>
      </c>
      <c r="Q38" s="92"/>
      <c r="R38" s="92"/>
      <c r="S38" s="74">
        <f t="shared" si="27"/>
        <v>9785.550000000001</v>
      </c>
      <c r="T38" s="133">
        <f t="shared" si="28"/>
        <v>0</v>
      </c>
      <c r="U38" s="74">
        <v>1323.11</v>
      </c>
      <c r="V38" s="74">
        <v>1793.32</v>
      </c>
      <c r="W38" s="74">
        <v>4267.2</v>
      </c>
      <c r="X38" s="74">
        <v>2954.13</v>
      </c>
      <c r="Y38" s="74">
        <v>1058.51</v>
      </c>
      <c r="Z38" s="74">
        <v>0</v>
      </c>
      <c r="AA38" s="92">
        <v>0</v>
      </c>
      <c r="AB38" s="92">
        <f t="shared" si="43"/>
        <v>11396.269999999999</v>
      </c>
      <c r="AC38" s="147">
        <f t="shared" si="29"/>
        <v>12412.84</v>
      </c>
      <c r="AD38" s="136">
        <f t="shared" si="30"/>
        <v>0</v>
      </c>
      <c r="AE38" s="136">
        <f t="shared" si="31"/>
        <v>0</v>
      </c>
      <c r="AF38" s="136"/>
      <c r="AG38" s="25">
        <f t="shared" si="32"/>
        <v>749.28</v>
      </c>
      <c r="AH38" s="25">
        <f t="shared" si="33"/>
        <v>249.76</v>
      </c>
      <c r="AI38" s="25">
        <f t="shared" si="34"/>
        <v>1248.8</v>
      </c>
      <c r="AJ38" s="25">
        <v>0</v>
      </c>
      <c r="AK38" s="25">
        <f t="shared" si="35"/>
        <v>1223.8239999999998</v>
      </c>
      <c r="AL38" s="25">
        <v>0</v>
      </c>
      <c r="AM38" s="25">
        <f t="shared" si="36"/>
        <v>2809.7999999999997</v>
      </c>
      <c r="AN38" s="25">
        <v>0</v>
      </c>
      <c r="AO38" s="25"/>
      <c r="AP38" s="25"/>
      <c r="AQ38" s="137"/>
      <c r="AR38" s="137"/>
      <c r="AS38" s="76">
        <v>288</v>
      </c>
      <c r="AT38" s="76"/>
      <c r="AU38" s="187">
        <f t="shared" si="37"/>
        <v>0</v>
      </c>
      <c r="AV38" s="138">
        <v>349</v>
      </c>
      <c r="AW38" s="139">
        <v>0.75</v>
      </c>
      <c r="AX38" s="25">
        <f t="shared" si="38"/>
        <v>366.45</v>
      </c>
      <c r="AY38" s="140"/>
      <c r="AZ38" s="141"/>
      <c r="BA38" s="141">
        <f t="shared" si="39"/>
        <v>0</v>
      </c>
      <c r="BB38" s="141">
        <f t="shared" si="40"/>
        <v>6935.914</v>
      </c>
      <c r="BC38" s="142"/>
      <c r="BD38" s="96"/>
      <c r="BE38" s="143">
        <f t="shared" si="41"/>
        <v>5476.926</v>
      </c>
      <c r="BF38" s="143">
        <f t="shared" si="42"/>
        <v>1610.7199999999975</v>
      </c>
    </row>
    <row r="39" spans="1:58" ht="12.75" hidden="1">
      <c r="A39" s="176" t="s">
        <v>39</v>
      </c>
      <c r="B39" s="73">
        <v>1248.8</v>
      </c>
      <c r="C39" s="177">
        <f t="shared" si="25"/>
        <v>10802.12</v>
      </c>
      <c r="D39" s="174">
        <f t="shared" si="26"/>
        <v>1015.6100000000009</v>
      </c>
      <c r="E39" s="75">
        <v>1129.52</v>
      </c>
      <c r="F39" s="75">
        <v>0</v>
      </c>
      <c r="G39" s="75">
        <v>1530.25</v>
      </c>
      <c r="H39" s="75">
        <v>0</v>
      </c>
      <c r="I39" s="75">
        <v>3676.31</v>
      </c>
      <c r="J39" s="75">
        <v>0</v>
      </c>
      <c r="K39" s="75">
        <v>2546.81</v>
      </c>
      <c r="L39" s="75">
        <v>0</v>
      </c>
      <c r="M39" s="75">
        <v>903.62</v>
      </c>
      <c r="N39" s="167">
        <v>0</v>
      </c>
      <c r="O39" s="167">
        <v>0</v>
      </c>
      <c r="P39" s="167">
        <v>0</v>
      </c>
      <c r="Q39" s="167"/>
      <c r="R39" s="167"/>
      <c r="S39" s="74">
        <f t="shared" si="27"/>
        <v>9786.51</v>
      </c>
      <c r="T39" s="133">
        <f t="shared" si="28"/>
        <v>0</v>
      </c>
      <c r="U39" s="74">
        <v>975.34</v>
      </c>
      <c r="V39" s="74">
        <v>1321.48</v>
      </c>
      <c r="W39" s="74">
        <v>3174.38</v>
      </c>
      <c r="X39" s="74">
        <v>2199.03</v>
      </c>
      <c r="Y39" s="74">
        <v>784.46</v>
      </c>
      <c r="Z39" s="74">
        <v>0</v>
      </c>
      <c r="AA39" s="92">
        <v>0</v>
      </c>
      <c r="AB39" s="92">
        <f t="shared" si="43"/>
        <v>8454.690000000002</v>
      </c>
      <c r="AC39" s="147">
        <f t="shared" si="29"/>
        <v>9470.300000000003</v>
      </c>
      <c r="AD39" s="136">
        <f t="shared" si="30"/>
        <v>0</v>
      </c>
      <c r="AE39" s="136">
        <f t="shared" si="31"/>
        <v>0</v>
      </c>
      <c r="AF39" s="136">
        <f>100</f>
        <v>100</v>
      </c>
      <c r="AG39" s="25">
        <f t="shared" si="32"/>
        <v>749.28</v>
      </c>
      <c r="AH39" s="25">
        <f t="shared" si="33"/>
        <v>249.76</v>
      </c>
      <c r="AI39" s="25">
        <f t="shared" si="34"/>
        <v>1248.8</v>
      </c>
      <c r="AJ39" s="25">
        <v>0</v>
      </c>
      <c r="AK39" s="25">
        <f t="shared" si="35"/>
        <v>1223.8239999999998</v>
      </c>
      <c r="AL39" s="25">
        <v>0</v>
      </c>
      <c r="AM39" s="25">
        <f t="shared" si="36"/>
        <v>2809.7999999999997</v>
      </c>
      <c r="AN39" s="25">
        <v>0</v>
      </c>
      <c r="AO39" s="25"/>
      <c r="AP39" s="25"/>
      <c r="AQ39" s="137"/>
      <c r="AR39" s="137"/>
      <c r="AS39" s="76">
        <v>1673</v>
      </c>
      <c r="AT39" s="76"/>
      <c r="AU39" s="76">
        <f t="shared" si="37"/>
        <v>0</v>
      </c>
      <c r="AV39" s="138">
        <v>425</v>
      </c>
      <c r="AW39" s="139">
        <v>0.75</v>
      </c>
      <c r="AX39" s="25">
        <f t="shared" si="38"/>
        <v>446.25</v>
      </c>
      <c r="AY39" s="140"/>
      <c r="AZ39" s="141"/>
      <c r="BA39" s="141">
        <f t="shared" si="39"/>
        <v>0</v>
      </c>
      <c r="BB39" s="141">
        <f t="shared" si="40"/>
        <v>8400.714</v>
      </c>
      <c r="BC39" s="142">
        <v>25</v>
      </c>
      <c r="BD39" s="105"/>
      <c r="BE39" s="143">
        <f t="shared" si="41"/>
        <v>1144.586000000003</v>
      </c>
      <c r="BF39" s="143">
        <f t="shared" si="42"/>
        <v>-1331.819999999998</v>
      </c>
    </row>
    <row r="40" spans="1:58" ht="12.75" hidden="1">
      <c r="A40" s="14" t="s">
        <v>40</v>
      </c>
      <c r="B40" s="73">
        <v>1248.8</v>
      </c>
      <c r="C40" s="177">
        <f t="shared" si="25"/>
        <v>10802.12</v>
      </c>
      <c r="D40" s="174">
        <f t="shared" si="26"/>
        <v>1015.6000000000007</v>
      </c>
      <c r="E40" s="74">
        <v>1129.53</v>
      </c>
      <c r="F40" s="74">
        <v>0</v>
      </c>
      <c r="G40" s="74">
        <v>1530.25</v>
      </c>
      <c r="H40" s="74">
        <v>0</v>
      </c>
      <c r="I40" s="74">
        <v>3676.31</v>
      </c>
      <c r="J40" s="74">
        <v>0</v>
      </c>
      <c r="K40" s="74">
        <v>2546.81</v>
      </c>
      <c r="L40" s="74">
        <v>0</v>
      </c>
      <c r="M40" s="74">
        <v>903.62</v>
      </c>
      <c r="N40" s="92">
        <v>0</v>
      </c>
      <c r="O40" s="92">
        <v>0</v>
      </c>
      <c r="P40" s="92">
        <v>0</v>
      </c>
      <c r="Q40" s="92"/>
      <c r="R40" s="92"/>
      <c r="S40" s="74">
        <f t="shared" si="27"/>
        <v>9786.52</v>
      </c>
      <c r="T40" s="133">
        <f t="shared" si="28"/>
        <v>0</v>
      </c>
      <c r="U40" s="77">
        <v>987.71</v>
      </c>
      <c r="V40" s="74">
        <v>1337.79</v>
      </c>
      <c r="W40" s="74">
        <v>3214.64</v>
      </c>
      <c r="X40" s="74">
        <v>2226.92</v>
      </c>
      <c r="Y40" s="74">
        <v>785.98</v>
      </c>
      <c r="Z40" s="74">
        <v>0</v>
      </c>
      <c r="AA40" s="92">
        <v>0</v>
      </c>
      <c r="AB40" s="92">
        <f t="shared" si="43"/>
        <v>8553.039999999999</v>
      </c>
      <c r="AC40" s="147">
        <f t="shared" si="29"/>
        <v>9568.64</v>
      </c>
      <c r="AD40" s="136">
        <f t="shared" si="30"/>
        <v>0</v>
      </c>
      <c r="AE40" s="136">
        <f t="shared" si="31"/>
        <v>0</v>
      </c>
      <c r="AF40" s="136">
        <f>100</f>
        <v>100</v>
      </c>
      <c r="AG40" s="25">
        <f t="shared" si="32"/>
        <v>749.28</v>
      </c>
      <c r="AH40" s="25">
        <f t="shared" si="33"/>
        <v>249.76</v>
      </c>
      <c r="AI40" s="25">
        <f t="shared" si="34"/>
        <v>1248.8</v>
      </c>
      <c r="AJ40" s="25">
        <v>0</v>
      </c>
      <c r="AK40" s="25">
        <f t="shared" si="35"/>
        <v>1223.8239999999998</v>
      </c>
      <c r="AL40" s="25">
        <v>0</v>
      </c>
      <c r="AM40" s="25">
        <f t="shared" si="36"/>
        <v>2809.7999999999997</v>
      </c>
      <c r="AN40" s="25">
        <v>0</v>
      </c>
      <c r="AO40" s="25"/>
      <c r="AP40" s="25"/>
      <c r="AQ40" s="137"/>
      <c r="AR40" s="137"/>
      <c r="AS40" s="76"/>
      <c r="AT40" s="76"/>
      <c r="AU40" s="76">
        <f t="shared" si="37"/>
        <v>0</v>
      </c>
      <c r="AV40" s="138">
        <v>470</v>
      </c>
      <c r="AW40" s="139">
        <v>0.75</v>
      </c>
      <c r="AX40" s="25">
        <f t="shared" si="38"/>
        <v>493.49999999999994</v>
      </c>
      <c r="AY40" s="140"/>
      <c r="AZ40" s="141"/>
      <c r="BA40" s="141">
        <f t="shared" si="39"/>
        <v>0</v>
      </c>
      <c r="BB40" s="141">
        <f t="shared" si="40"/>
        <v>6774.964</v>
      </c>
      <c r="BC40" s="142">
        <f>25</f>
        <v>25</v>
      </c>
      <c r="BD40" s="55"/>
      <c r="BE40" s="143">
        <f t="shared" si="41"/>
        <v>2868.6759999999995</v>
      </c>
      <c r="BF40" s="143">
        <f t="shared" si="42"/>
        <v>-1233.4800000000014</v>
      </c>
    </row>
    <row r="41" spans="1:58" s="145" customFormat="1" ht="12.75" hidden="1">
      <c r="A41" s="130" t="s">
        <v>41</v>
      </c>
      <c r="B41" s="73">
        <v>1248.8</v>
      </c>
      <c r="C41" s="177">
        <f t="shared" si="25"/>
        <v>10802.12</v>
      </c>
      <c r="D41" s="174">
        <f t="shared" si="26"/>
        <v>1015.6000000000007</v>
      </c>
      <c r="E41" s="74">
        <v>1129.53</v>
      </c>
      <c r="F41" s="74">
        <v>0</v>
      </c>
      <c r="G41" s="74">
        <v>1530.25</v>
      </c>
      <c r="H41" s="74">
        <v>0</v>
      </c>
      <c r="I41" s="74">
        <v>3676.31</v>
      </c>
      <c r="J41" s="74">
        <v>0</v>
      </c>
      <c r="K41" s="74">
        <v>2546.81</v>
      </c>
      <c r="L41" s="74">
        <v>0</v>
      </c>
      <c r="M41" s="74">
        <v>903.62</v>
      </c>
      <c r="N41" s="92">
        <v>0</v>
      </c>
      <c r="O41" s="92">
        <v>0</v>
      </c>
      <c r="P41" s="92">
        <v>0</v>
      </c>
      <c r="Q41" s="92"/>
      <c r="R41" s="92"/>
      <c r="S41" s="74">
        <f t="shared" si="27"/>
        <v>9786.52</v>
      </c>
      <c r="T41" s="133">
        <f t="shared" si="28"/>
        <v>0</v>
      </c>
      <c r="U41" s="74">
        <v>1155.25</v>
      </c>
      <c r="V41" s="74">
        <v>1565.23</v>
      </c>
      <c r="W41" s="74">
        <v>3760.14</v>
      </c>
      <c r="X41" s="74">
        <v>2604.96</v>
      </c>
      <c r="Y41" s="74">
        <v>924.18</v>
      </c>
      <c r="Z41" s="74">
        <v>0</v>
      </c>
      <c r="AA41" s="92">
        <v>0</v>
      </c>
      <c r="AB41" s="92">
        <f t="shared" si="43"/>
        <v>10009.76</v>
      </c>
      <c r="AC41" s="147">
        <f t="shared" si="29"/>
        <v>11025.36</v>
      </c>
      <c r="AD41" s="136">
        <f t="shared" si="30"/>
        <v>0</v>
      </c>
      <c r="AE41" s="136">
        <f t="shared" si="31"/>
        <v>0</v>
      </c>
      <c r="AF41" s="136">
        <f>100</f>
        <v>100</v>
      </c>
      <c r="AG41" s="25">
        <f t="shared" si="32"/>
        <v>749.28</v>
      </c>
      <c r="AH41" s="25">
        <f t="shared" si="33"/>
        <v>249.76</v>
      </c>
      <c r="AI41" s="25">
        <f t="shared" si="34"/>
        <v>1248.8</v>
      </c>
      <c r="AJ41" s="25">
        <v>0</v>
      </c>
      <c r="AK41" s="25">
        <f t="shared" si="35"/>
        <v>1223.8239999999998</v>
      </c>
      <c r="AL41" s="25">
        <v>0</v>
      </c>
      <c r="AM41" s="25">
        <f t="shared" si="36"/>
        <v>2809.7999999999997</v>
      </c>
      <c r="AN41" s="25">
        <v>0</v>
      </c>
      <c r="AO41" s="25"/>
      <c r="AP41" s="25"/>
      <c r="AQ41" s="137"/>
      <c r="AR41" s="137"/>
      <c r="AS41" s="76">
        <v>5919</v>
      </c>
      <c r="AT41" s="76">
        <f>6954.09+28140.8</f>
        <v>35094.89</v>
      </c>
      <c r="AU41" s="76">
        <f t="shared" si="37"/>
        <v>6317.080199999999</v>
      </c>
      <c r="AV41" s="138">
        <v>514</v>
      </c>
      <c r="AW41" s="139">
        <v>0.75</v>
      </c>
      <c r="AX41" s="25">
        <f t="shared" si="38"/>
        <v>539.6999999999999</v>
      </c>
      <c r="AY41" s="140"/>
      <c r="AZ41" s="141"/>
      <c r="BA41" s="141">
        <f t="shared" si="39"/>
        <v>0</v>
      </c>
      <c r="BB41" s="141">
        <f t="shared" si="40"/>
        <v>54152.13419999999</v>
      </c>
      <c r="BC41" s="142">
        <f>25</f>
        <v>25</v>
      </c>
      <c r="BD41" s="72"/>
      <c r="BE41" s="143">
        <f t="shared" si="41"/>
        <v>-43051.77419999999</v>
      </c>
      <c r="BF41" s="143">
        <f t="shared" si="42"/>
        <v>223.23999999999978</v>
      </c>
    </row>
    <row r="42" spans="1:58" s="24" customFormat="1" ht="12.75" hidden="1">
      <c r="A42" s="19" t="s">
        <v>3</v>
      </c>
      <c r="B42" s="20"/>
      <c r="C42" s="20">
        <f>SUM(C30:C41)</f>
        <v>129606.40999999997</v>
      </c>
      <c r="D42" s="20">
        <f aca="true" t="shared" si="44" ref="D42:BF42">SUM(D30:D41)</f>
        <v>12314.04000000001</v>
      </c>
      <c r="E42" s="20">
        <f t="shared" si="44"/>
        <v>12334.76</v>
      </c>
      <c r="F42" s="20">
        <f t="shared" si="44"/>
        <v>1202.4</v>
      </c>
      <c r="G42" s="20">
        <f t="shared" si="44"/>
        <v>16710.480000000003</v>
      </c>
      <c r="H42" s="20">
        <f t="shared" si="44"/>
        <v>1630.2</v>
      </c>
      <c r="I42" s="20">
        <f t="shared" si="44"/>
        <v>40145.869999999995</v>
      </c>
      <c r="J42" s="20">
        <f t="shared" si="44"/>
        <v>3914.9399999999996</v>
      </c>
      <c r="K42" s="20">
        <f t="shared" si="44"/>
        <v>27811.700000000004</v>
      </c>
      <c r="L42" s="20">
        <f t="shared" si="44"/>
        <v>2712.2400000000002</v>
      </c>
      <c r="M42" s="20">
        <f t="shared" si="44"/>
        <v>9867.800000000001</v>
      </c>
      <c r="N42" s="20">
        <f t="shared" si="44"/>
        <v>961.9800000000001</v>
      </c>
      <c r="O42" s="20">
        <f t="shared" si="44"/>
        <v>0</v>
      </c>
      <c r="P42" s="20">
        <f t="shared" si="44"/>
        <v>0</v>
      </c>
      <c r="Q42" s="20">
        <f t="shared" si="44"/>
        <v>0</v>
      </c>
      <c r="R42" s="20">
        <f t="shared" si="44"/>
        <v>0</v>
      </c>
      <c r="S42" s="20">
        <f t="shared" si="44"/>
        <v>106870.61</v>
      </c>
      <c r="T42" s="20">
        <f t="shared" si="44"/>
        <v>10421.760000000002</v>
      </c>
      <c r="U42" s="20">
        <f t="shared" si="44"/>
        <v>10220.33</v>
      </c>
      <c r="V42" s="20">
        <f t="shared" si="44"/>
        <v>13843.489999999998</v>
      </c>
      <c r="W42" s="20">
        <f t="shared" si="44"/>
        <v>35261.58</v>
      </c>
      <c r="X42" s="20">
        <f t="shared" si="44"/>
        <v>23041.690000000002</v>
      </c>
      <c r="Y42" s="20">
        <f t="shared" si="44"/>
        <v>8176.200000000001</v>
      </c>
      <c r="Z42" s="20">
        <f t="shared" si="44"/>
        <v>0</v>
      </c>
      <c r="AA42" s="20">
        <f t="shared" si="44"/>
        <v>0</v>
      </c>
      <c r="AB42" s="20">
        <f t="shared" si="44"/>
        <v>90543.28999999998</v>
      </c>
      <c r="AC42" s="20">
        <f t="shared" si="44"/>
        <v>113279.09000000001</v>
      </c>
      <c r="AD42" s="20">
        <f t="shared" si="44"/>
        <v>0</v>
      </c>
      <c r="AE42" s="20">
        <f t="shared" si="44"/>
        <v>0</v>
      </c>
      <c r="AF42" s="20">
        <f t="shared" si="44"/>
        <v>300</v>
      </c>
      <c r="AG42" s="20">
        <f t="shared" si="44"/>
        <v>8990.039999999999</v>
      </c>
      <c r="AH42" s="20">
        <f t="shared" si="44"/>
        <v>2996.6800000000003</v>
      </c>
      <c r="AI42" s="20">
        <f t="shared" si="44"/>
        <v>14983.399999999996</v>
      </c>
      <c r="AJ42" s="20">
        <f t="shared" si="44"/>
        <v>0</v>
      </c>
      <c r="AK42" s="20">
        <f t="shared" si="44"/>
        <v>14683.732000000002</v>
      </c>
      <c r="AL42" s="20">
        <f t="shared" si="44"/>
        <v>0</v>
      </c>
      <c r="AM42" s="20">
        <f t="shared" si="44"/>
        <v>33712.649999999994</v>
      </c>
      <c r="AN42" s="20">
        <f t="shared" si="44"/>
        <v>0</v>
      </c>
      <c r="AO42" s="20">
        <f t="shared" si="44"/>
        <v>1628.1000000000001</v>
      </c>
      <c r="AP42" s="20">
        <f t="shared" si="44"/>
        <v>0</v>
      </c>
      <c r="AQ42" s="179">
        <f t="shared" si="44"/>
        <v>0</v>
      </c>
      <c r="AR42" s="179">
        <f t="shared" si="44"/>
        <v>0</v>
      </c>
      <c r="AS42" s="21">
        <f t="shared" si="44"/>
        <v>45071</v>
      </c>
      <c r="AT42" s="21">
        <f t="shared" si="44"/>
        <v>36985.96</v>
      </c>
      <c r="AU42" s="21">
        <f t="shared" si="44"/>
        <v>6317.080199999999</v>
      </c>
      <c r="AV42" s="20">
        <f t="shared" si="44"/>
        <v>4400</v>
      </c>
      <c r="AW42" s="20">
        <f t="shared" si="44"/>
        <v>9</v>
      </c>
      <c r="AX42" s="20">
        <f t="shared" si="44"/>
        <v>4620</v>
      </c>
      <c r="AY42" s="20">
        <f t="shared" si="44"/>
        <v>0</v>
      </c>
      <c r="AZ42" s="20">
        <f t="shared" si="44"/>
        <v>0</v>
      </c>
      <c r="BA42" s="20">
        <f t="shared" si="44"/>
        <v>0</v>
      </c>
      <c r="BB42" s="20">
        <f t="shared" si="44"/>
        <v>169988.64220000003</v>
      </c>
      <c r="BC42" s="20">
        <f t="shared" si="44"/>
        <v>75</v>
      </c>
      <c r="BD42" s="20">
        <f t="shared" si="44"/>
        <v>0</v>
      </c>
      <c r="BE42" s="20">
        <f t="shared" si="44"/>
        <v>-56484.55219999998</v>
      </c>
      <c r="BF42" s="180">
        <f t="shared" si="44"/>
        <v>-16327.319999999998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97"/>
      <c r="AE43" s="97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0"/>
      <c r="AQ43" s="181"/>
      <c r="AR43" s="181"/>
      <c r="AS43" s="70"/>
      <c r="AT43" s="70"/>
      <c r="AU43" s="70"/>
      <c r="AV43" s="23"/>
      <c r="AW43" s="23"/>
      <c r="AX43" s="79"/>
      <c r="AY43" s="53"/>
      <c r="AZ43" s="53"/>
      <c r="BA43" s="53"/>
      <c r="BB43" s="53"/>
      <c r="BC43" s="53"/>
      <c r="BD43" s="53"/>
      <c r="BE43" s="53"/>
      <c r="BF43" s="182"/>
    </row>
    <row r="44" spans="1:58" s="24" customFormat="1" ht="13.5" thickBot="1">
      <c r="A44" s="27" t="s">
        <v>52</v>
      </c>
      <c r="B44" s="28"/>
      <c r="C44" s="28">
        <f>C28+C42</f>
        <v>290319.94999999995</v>
      </c>
      <c r="D44" s="28">
        <f aca="true" t="shared" si="45" ref="D44:BF44">D28+D42</f>
        <v>33851.823792200004</v>
      </c>
      <c r="E44" s="28">
        <f t="shared" si="45"/>
        <v>25578.61</v>
      </c>
      <c r="F44" s="28">
        <f t="shared" si="45"/>
        <v>3965.9400000000005</v>
      </c>
      <c r="G44" s="28">
        <f t="shared" si="45"/>
        <v>34624.340000000004</v>
      </c>
      <c r="H44" s="28">
        <f t="shared" si="45"/>
        <v>5370.11</v>
      </c>
      <c r="I44" s="28">
        <f t="shared" si="45"/>
        <v>83222.65</v>
      </c>
      <c r="J44" s="28">
        <f t="shared" si="45"/>
        <v>12905.759999999998</v>
      </c>
      <c r="K44" s="28">
        <f t="shared" si="45"/>
        <v>57645.07000000001</v>
      </c>
      <c r="L44" s="28">
        <f t="shared" si="45"/>
        <v>8939.19</v>
      </c>
      <c r="M44" s="28">
        <f t="shared" si="45"/>
        <v>20462.670000000002</v>
      </c>
      <c r="N44" s="28">
        <f t="shared" si="45"/>
        <v>3172.9199999999996</v>
      </c>
      <c r="O44" s="28">
        <f t="shared" si="45"/>
        <v>0</v>
      </c>
      <c r="P44" s="28">
        <f t="shared" si="45"/>
        <v>0</v>
      </c>
      <c r="Q44" s="28">
        <f t="shared" si="45"/>
        <v>0</v>
      </c>
      <c r="R44" s="28">
        <f t="shared" si="45"/>
        <v>0</v>
      </c>
      <c r="S44" s="28">
        <f t="shared" si="45"/>
        <v>221533.33999999997</v>
      </c>
      <c r="T44" s="28">
        <f t="shared" si="45"/>
        <v>34353.920000000006</v>
      </c>
      <c r="U44" s="28">
        <f t="shared" si="45"/>
        <v>21786.08</v>
      </c>
      <c r="V44" s="28">
        <f t="shared" si="45"/>
        <v>29486.379999999997</v>
      </c>
      <c r="W44" s="28">
        <f t="shared" si="45"/>
        <v>72879.17000000001</v>
      </c>
      <c r="X44" s="28">
        <f t="shared" si="45"/>
        <v>49093.72</v>
      </c>
      <c r="Y44" s="28">
        <f t="shared" si="45"/>
        <v>17428.63</v>
      </c>
      <c r="Z44" s="28">
        <f t="shared" si="45"/>
        <v>0</v>
      </c>
      <c r="AA44" s="28">
        <f t="shared" si="45"/>
        <v>0</v>
      </c>
      <c r="AB44" s="28">
        <f t="shared" si="45"/>
        <v>190673.97999999998</v>
      </c>
      <c r="AC44" s="28">
        <f t="shared" si="45"/>
        <v>258879.72379220003</v>
      </c>
      <c r="AD44" s="28">
        <f t="shared" si="45"/>
        <v>0</v>
      </c>
      <c r="AE44" s="28">
        <f t="shared" si="45"/>
        <v>0</v>
      </c>
      <c r="AF44" s="28">
        <f t="shared" si="45"/>
        <v>300</v>
      </c>
      <c r="AG44" s="28">
        <f t="shared" si="45"/>
        <v>19837.775999999998</v>
      </c>
      <c r="AH44" s="28">
        <f t="shared" si="45"/>
        <v>6646.5060711999995</v>
      </c>
      <c r="AI44" s="28">
        <f t="shared" si="45"/>
        <v>30192.389731999996</v>
      </c>
      <c r="AJ44" s="28">
        <f t="shared" si="45"/>
        <v>2737.61815176</v>
      </c>
      <c r="AK44" s="28">
        <f t="shared" si="45"/>
        <v>30051.53467314</v>
      </c>
      <c r="AL44" s="28">
        <f t="shared" si="45"/>
        <v>2766.2044811651995</v>
      </c>
      <c r="AM44" s="28">
        <f t="shared" si="45"/>
        <v>67423.97172588576</v>
      </c>
      <c r="AN44" s="28">
        <f t="shared" si="45"/>
        <v>6068.037910659437</v>
      </c>
      <c r="AO44" s="28">
        <f t="shared" si="45"/>
        <v>1628.1000000000001</v>
      </c>
      <c r="AP44" s="28">
        <f t="shared" si="45"/>
        <v>0</v>
      </c>
      <c r="AQ44" s="183">
        <f t="shared" si="45"/>
        <v>10845.98</v>
      </c>
      <c r="AR44" s="183">
        <f t="shared" si="45"/>
        <v>1952.2764</v>
      </c>
      <c r="AS44" s="184">
        <f t="shared" si="45"/>
        <v>56796.06</v>
      </c>
      <c r="AT44" s="184">
        <f t="shared" si="45"/>
        <v>40377.96</v>
      </c>
      <c r="AU44" s="184">
        <f t="shared" si="45"/>
        <v>9038.151</v>
      </c>
      <c r="AV44" s="28"/>
      <c r="AW44" s="28"/>
      <c r="AX44" s="28">
        <f t="shared" si="45"/>
        <v>8981.284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295343.8501458104</v>
      </c>
      <c r="BC44" s="28">
        <f t="shared" si="45"/>
        <v>75</v>
      </c>
      <c r="BD44" s="28">
        <f t="shared" si="45"/>
        <v>114762.90540409839</v>
      </c>
      <c r="BE44" s="28">
        <f t="shared" si="45"/>
        <v>-36239.126353610365</v>
      </c>
      <c r="BF44" s="28">
        <f t="shared" si="45"/>
        <v>-30859.36</v>
      </c>
    </row>
  </sheetData>
  <sheetProtection/>
  <mergeCells count="67">
    <mergeCell ref="BE3:BE6"/>
    <mergeCell ref="AG5:AG6"/>
    <mergeCell ref="AH5:AH6"/>
    <mergeCell ref="AI5:AI6"/>
    <mergeCell ref="AJ5:AJ6"/>
    <mergeCell ref="AK5:AK6"/>
    <mergeCell ref="AL5:AL6"/>
    <mergeCell ref="AS5:AS6"/>
    <mergeCell ref="AT5:AT6"/>
    <mergeCell ref="AO5:AO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Q3:R4"/>
    <mergeCell ref="AF3:AF6"/>
    <mergeCell ref="S3:T4"/>
    <mergeCell ref="U3:AB4"/>
    <mergeCell ref="AC3:AC6"/>
    <mergeCell ref="AD3:AD6"/>
    <mergeCell ref="T5:T6"/>
    <mergeCell ref="U5:U6"/>
    <mergeCell ref="E3:F4"/>
    <mergeCell ref="G3:H4"/>
    <mergeCell ref="I3:J4"/>
    <mergeCell ref="K3:L4"/>
    <mergeCell ref="M3:N4"/>
    <mergeCell ref="O3:P4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R5:R6"/>
    <mergeCell ref="S5:S6"/>
    <mergeCell ref="Z5:Z6"/>
    <mergeCell ref="AA5:AA6"/>
    <mergeCell ref="V5:V6"/>
    <mergeCell ref="W5:W6"/>
    <mergeCell ref="X5:X6"/>
    <mergeCell ref="Y5:Y6"/>
    <mergeCell ref="AP5:AP6"/>
    <mergeCell ref="AQ5:AQ6"/>
    <mergeCell ref="AR5:AR6"/>
    <mergeCell ref="AB5:AB6"/>
    <mergeCell ref="AE3:AE6"/>
    <mergeCell ref="AM5:AM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1">
      <selection activeCell="O51" sqref="O5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282" t="s">
        <v>76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12.75">
      <c r="A7" s="264" t="s">
        <v>93</v>
      </c>
      <c r="B7" s="264"/>
      <c r="C7" s="264"/>
      <c r="D7" s="264"/>
      <c r="E7" s="264"/>
      <c r="F7" s="264"/>
      <c r="G7" s="264"/>
      <c r="H7" s="94"/>
      <c r="I7" s="94"/>
      <c r="J7" s="94"/>
      <c r="K7" s="94"/>
      <c r="L7" s="94"/>
      <c r="M7" s="94"/>
      <c r="N7" s="94"/>
      <c r="O7" s="9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283" t="s">
        <v>56</v>
      </c>
      <c r="B10" s="286" t="s">
        <v>0</v>
      </c>
      <c r="C10" s="289" t="s">
        <v>57</v>
      </c>
      <c r="D10" s="292" t="s">
        <v>2</v>
      </c>
      <c r="E10" s="295" t="s">
        <v>58</v>
      </c>
      <c r="F10" s="220"/>
      <c r="G10" s="274" t="s">
        <v>74</v>
      </c>
      <c r="H10" s="275"/>
      <c r="I10" s="298" t="s">
        <v>8</v>
      </c>
      <c r="J10" s="299"/>
      <c r="K10" s="299"/>
      <c r="L10" s="299"/>
      <c r="M10" s="299"/>
      <c r="N10" s="300"/>
      <c r="O10" s="265" t="s">
        <v>59</v>
      </c>
      <c r="P10" s="265" t="s">
        <v>10</v>
      </c>
    </row>
    <row r="11" spans="1:16" ht="12.75">
      <c r="A11" s="284"/>
      <c r="B11" s="287"/>
      <c r="C11" s="290"/>
      <c r="D11" s="293"/>
      <c r="E11" s="296"/>
      <c r="F11" s="297"/>
      <c r="G11" s="276"/>
      <c r="H11" s="277"/>
      <c r="I11" s="301"/>
      <c r="J11" s="302"/>
      <c r="K11" s="302"/>
      <c r="L11" s="302"/>
      <c r="M11" s="302"/>
      <c r="N11" s="258"/>
      <c r="O11" s="266"/>
      <c r="P11" s="266"/>
    </row>
    <row r="12" spans="1:16" ht="26.25" customHeight="1">
      <c r="A12" s="284"/>
      <c r="B12" s="287"/>
      <c r="C12" s="290"/>
      <c r="D12" s="293"/>
      <c r="E12" s="268" t="s">
        <v>60</v>
      </c>
      <c r="F12" s="269"/>
      <c r="G12" s="114" t="s">
        <v>61</v>
      </c>
      <c r="H12" s="270" t="s">
        <v>5</v>
      </c>
      <c r="I12" s="272" t="s">
        <v>62</v>
      </c>
      <c r="J12" s="262" t="s">
        <v>30</v>
      </c>
      <c r="K12" s="262" t="s">
        <v>63</v>
      </c>
      <c r="L12" s="262" t="s">
        <v>35</v>
      </c>
      <c r="M12" s="262" t="s">
        <v>64</v>
      </c>
      <c r="N12" s="270" t="s">
        <v>37</v>
      </c>
      <c r="O12" s="266"/>
      <c r="P12" s="266"/>
    </row>
    <row r="13" spans="1:16" ht="66.75" customHeight="1" thickBot="1">
      <c r="A13" s="285"/>
      <c r="B13" s="288"/>
      <c r="C13" s="291"/>
      <c r="D13" s="294"/>
      <c r="E13" s="33" t="s">
        <v>65</v>
      </c>
      <c r="F13" s="110" t="s">
        <v>19</v>
      </c>
      <c r="G13" s="93" t="s">
        <v>75</v>
      </c>
      <c r="H13" s="271"/>
      <c r="I13" s="273"/>
      <c r="J13" s="263"/>
      <c r="K13" s="263"/>
      <c r="L13" s="263"/>
      <c r="M13" s="263"/>
      <c r="N13" s="271"/>
      <c r="O13" s="267"/>
      <c r="P13" s="267"/>
    </row>
    <row r="14" spans="1:16" ht="13.5" thickBot="1">
      <c r="A14" s="34">
        <v>1</v>
      </c>
      <c r="B14" s="35">
        <v>2</v>
      </c>
      <c r="C14" s="37">
        <v>3</v>
      </c>
      <c r="D14" s="38">
        <v>4</v>
      </c>
      <c r="E14" s="35">
        <v>5</v>
      </c>
      <c r="F14" s="36">
        <v>6</v>
      </c>
      <c r="G14" s="34">
        <v>7</v>
      </c>
      <c r="H14" s="88">
        <v>8</v>
      </c>
      <c r="I14" s="38">
        <v>9</v>
      </c>
      <c r="J14" s="35">
        <v>10</v>
      </c>
      <c r="K14" s="35">
        <v>11</v>
      </c>
      <c r="L14" s="35">
        <v>12</v>
      </c>
      <c r="M14" s="35">
        <v>13</v>
      </c>
      <c r="N14" s="80">
        <v>14</v>
      </c>
      <c r="O14" s="39">
        <v>15</v>
      </c>
      <c r="P14" s="102">
        <v>16</v>
      </c>
    </row>
    <row r="15" spans="1:16" ht="12.75" hidden="1">
      <c r="A15" s="8" t="s">
        <v>38</v>
      </c>
      <c r="B15" s="9"/>
      <c r="C15" s="11"/>
      <c r="D15" s="40"/>
      <c r="E15" s="9"/>
      <c r="F15" s="32"/>
      <c r="G15" s="8"/>
      <c r="H15" s="89"/>
      <c r="I15" s="40"/>
      <c r="J15" s="9"/>
      <c r="K15" s="9"/>
      <c r="L15" s="9"/>
      <c r="M15" s="9"/>
      <c r="N15" s="81"/>
      <c r="O15" s="41"/>
      <c r="P15" s="103"/>
    </row>
    <row r="16" spans="1:18" ht="12.75" hidden="1">
      <c r="A16" s="14" t="s">
        <v>39</v>
      </c>
      <c r="B16" s="15">
        <f>Лист1!B9</f>
        <v>1194.8</v>
      </c>
      <c r="C16" s="120">
        <f>Лист1!C9</f>
        <v>10335.02</v>
      </c>
      <c r="D16" s="118">
        <f>Лист1!D9</f>
        <v>2489.4996176000004</v>
      </c>
      <c r="E16" s="16">
        <f>Лист1!S9</f>
        <v>7030.62</v>
      </c>
      <c r="F16" s="72">
        <f>Лист1!T9</f>
        <v>1492.81</v>
      </c>
      <c r="G16" s="43">
        <f>Лист1!AB9</f>
        <v>0</v>
      </c>
      <c r="H16" s="115">
        <f>Лист1!AC9</f>
        <v>3982.3096176000004</v>
      </c>
      <c r="I16" s="42">
        <f>Лист1!AG9</f>
        <v>716.88</v>
      </c>
      <c r="J16" s="16">
        <f>Лист1!AI9+Лист1!AJ9</f>
        <v>1200.9221552</v>
      </c>
      <c r="K16" s="16">
        <f>Лист1!AH9+Лист1!AK9+Лист1!AL9+Лист1!AM9+Лист1!AN9+Лист1!AO9+Лист1!AP9+Лист1!AQ9+Лист1!AR9</f>
        <v>4216.918875879999</v>
      </c>
      <c r="L16" s="17">
        <f>Лист1!AS9+Лист1!AT9+Лист1!AU9</f>
        <v>4956</v>
      </c>
      <c r="M16" s="17">
        <f>Лист1!AX9</f>
        <v>0</v>
      </c>
      <c r="N16" s="100">
        <f>Лист1!BB9</f>
        <v>11090.72103108</v>
      </c>
      <c r="O16" s="44">
        <f>Лист1!BE9</f>
        <v>-7108.41141348</v>
      </c>
      <c r="P16" s="104">
        <f>Лист1!BF9</f>
        <v>-7030.62</v>
      </c>
      <c r="Q16" s="1"/>
      <c r="R16" s="1"/>
    </row>
    <row r="17" spans="1:18" ht="12.75" hidden="1">
      <c r="A17" s="14" t="s">
        <v>40</v>
      </c>
      <c r="B17" s="15">
        <f>Лист1!B10</f>
        <v>1194.8</v>
      </c>
      <c r="C17" s="120">
        <f>Лист1!C10</f>
        <v>10335.02</v>
      </c>
      <c r="D17" s="118">
        <f>Лист1!D10</f>
        <v>2489.4996176000004</v>
      </c>
      <c r="E17" s="16">
        <f>Лист1!S10</f>
        <v>6911.24</v>
      </c>
      <c r="F17" s="72">
        <f>Лист1!T10</f>
        <v>1453.71</v>
      </c>
      <c r="G17" s="43">
        <f>Лист1!AB10</f>
        <v>3821.31</v>
      </c>
      <c r="H17" s="115">
        <f>Лист1!AC10</f>
        <v>7764.519617600001</v>
      </c>
      <c r="I17" s="42">
        <f>Лист1!AG10</f>
        <v>716.88</v>
      </c>
      <c r="J17" s="16">
        <f>Лист1!AI10+Лист1!AJ10</f>
        <v>1200.9221552</v>
      </c>
      <c r="K17" s="16">
        <f>Лист1!AH10+Лист1!AK10+Лист1!AL10+Лист1!AM10+Лист1!AN10+Лист1!AO10+Лист1!AP10+Лист1!AQ10+Лист1!AR10</f>
        <v>4204.19186628</v>
      </c>
      <c r="L17" s="17">
        <f>Лист1!AS10+Лист1!AT10+Лист1!AU10</f>
        <v>3269.7799999999997</v>
      </c>
      <c r="M17" s="17">
        <f>Лист1!AX10</f>
        <v>0</v>
      </c>
      <c r="N17" s="100">
        <f>Лист1!BB10</f>
        <v>9391.774021480001</v>
      </c>
      <c r="O17" s="44">
        <f>Лист1!BE10</f>
        <v>-1627.2544038800006</v>
      </c>
      <c r="P17" s="104">
        <f>Лист1!BF10</f>
        <v>-3089.93</v>
      </c>
      <c r="Q17" s="1"/>
      <c r="R17" s="1"/>
    </row>
    <row r="18" spans="1:18" ht="13.5" hidden="1" thickBot="1">
      <c r="A18" s="45" t="s">
        <v>41</v>
      </c>
      <c r="B18" s="15">
        <f>Лист1!B11</f>
        <v>1194.8</v>
      </c>
      <c r="C18" s="120">
        <f>Лист1!C11</f>
        <v>10335.02</v>
      </c>
      <c r="D18" s="118">
        <f>Лист1!D11</f>
        <v>2484.022057</v>
      </c>
      <c r="E18" s="16">
        <f>Лист1!S11</f>
        <v>7626.49</v>
      </c>
      <c r="F18" s="72">
        <f>Лист1!T11</f>
        <v>1473.26</v>
      </c>
      <c r="G18" s="43">
        <f>Лист1!AB11</f>
        <v>8219.679999999998</v>
      </c>
      <c r="H18" s="115">
        <f>Лист1!AC11</f>
        <v>12176.962056999999</v>
      </c>
      <c r="I18" s="42">
        <f>Лист1!AG11</f>
        <v>716.88</v>
      </c>
      <c r="J18" s="16">
        <f>Лист1!AI11+Лист1!AJ11</f>
        <v>1197.42569248</v>
      </c>
      <c r="K18" s="16">
        <f>Лист1!AH11+Лист1!AK11+Лист1!AL11+Лист1!AM11+Лист1!AN11+Лист1!AO11+Лист1!AP11+Лист1!AQ11+Лист1!AR11</f>
        <v>4197.507713004</v>
      </c>
      <c r="L18" s="17">
        <f>Лист1!AS11+Лист1!AT11+Лист1!AU11</f>
        <v>1443.1399999999999</v>
      </c>
      <c r="M18" s="17">
        <f>Лист1!AX11</f>
        <v>0</v>
      </c>
      <c r="N18" s="100">
        <f>Лист1!BB11</f>
        <v>7554.9534054840005</v>
      </c>
      <c r="O18" s="44">
        <f>Лист1!BE11</f>
        <v>4622.008651515998</v>
      </c>
      <c r="P18" s="104">
        <f>Лист1!BF11</f>
        <v>593.1899999999987</v>
      </c>
      <c r="Q18" s="1"/>
      <c r="R18" s="1"/>
    </row>
    <row r="19" spans="1:18" s="24" customFormat="1" ht="13.5" hidden="1" thickBot="1">
      <c r="A19" s="46" t="s">
        <v>3</v>
      </c>
      <c r="B19" s="47"/>
      <c r="C19" s="50">
        <f>SUM(C16:C18)</f>
        <v>31005.06</v>
      </c>
      <c r="D19" s="50">
        <f aca="true" t="shared" si="0" ref="D19:P19">SUM(D16:D18)</f>
        <v>7463.021292200001</v>
      </c>
      <c r="E19" s="50">
        <f t="shared" si="0"/>
        <v>21568.35</v>
      </c>
      <c r="F19" s="50">
        <f t="shared" si="0"/>
        <v>4419.78</v>
      </c>
      <c r="G19" s="50">
        <f t="shared" si="0"/>
        <v>12040.989999999998</v>
      </c>
      <c r="H19" s="50">
        <f t="shared" si="0"/>
        <v>23923.7912922</v>
      </c>
      <c r="I19" s="50">
        <f t="shared" si="0"/>
        <v>2150.64</v>
      </c>
      <c r="J19" s="50">
        <f t="shared" si="0"/>
        <v>3599.27000288</v>
      </c>
      <c r="K19" s="50">
        <f t="shared" si="0"/>
        <v>12618.618455164</v>
      </c>
      <c r="L19" s="50">
        <f t="shared" si="0"/>
        <v>9668.919999999998</v>
      </c>
      <c r="M19" s="50">
        <f t="shared" si="0"/>
        <v>0</v>
      </c>
      <c r="N19" s="50">
        <f t="shared" si="0"/>
        <v>28037.448458044</v>
      </c>
      <c r="O19" s="50">
        <f t="shared" si="0"/>
        <v>-4113.6571658440025</v>
      </c>
      <c r="P19" s="50">
        <f t="shared" si="0"/>
        <v>-9527.36</v>
      </c>
      <c r="Q19" s="53"/>
      <c r="R19" s="53"/>
    </row>
    <row r="20" spans="1:18" ht="12.75" hidden="1">
      <c r="A20" s="8" t="s">
        <v>42</v>
      </c>
      <c r="B20" s="65"/>
      <c r="C20" s="121"/>
      <c r="D20" s="119"/>
      <c r="E20" s="54"/>
      <c r="F20" s="111"/>
      <c r="G20" s="57"/>
      <c r="H20" s="116"/>
      <c r="I20" s="56"/>
      <c r="J20" s="54"/>
      <c r="K20" s="54"/>
      <c r="L20" s="66"/>
      <c r="M20" s="66"/>
      <c r="N20" s="101"/>
      <c r="O20" s="67"/>
      <c r="P20" s="105"/>
      <c r="Q20" s="1"/>
      <c r="R20" s="1"/>
    </row>
    <row r="21" spans="1:18" ht="12.75" hidden="1">
      <c r="A21" s="14" t="s">
        <v>43</v>
      </c>
      <c r="B21" s="15">
        <f>Лист1!B14</f>
        <v>1250.1</v>
      </c>
      <c r="C21" s="120">
        <f>Лист1!C14</f>
        <v>10813.365</v>
      </c>
      <c r="D21" s="118">
        <f>Лист1!D14</f>
        <v>1351.670625</v>
      </c>
      <c r="E21" s="16">
        <f>Лист1!S14</f>
        <v>7302.4</v>
      </c>
      <c r="F21" s="72">
        <f>Лист1!T14</f>
        <v>1473.26</v>
      </c>
      <c r="G21" s="43">
        <f>Лист1!AB14</f>
        <v>4511.84</v>
      </c>
      <c r="H21" s="115">
        <f>Лист1!AC14</f>
        <v>7336.770625</v>
      </c>
      <c r="I21" s="42">
        <f>Лист1!AG14</f>
        <v>675.054</v>
      </c>
      <c r="J21" s="16">
        <f>Лист1!AI14+Лист1!AJ14</f>
        <v>1087.0646100999998</v>
      </c>
      <c r="K21" s="16">
        <f>Лист1!AH14+Лист1!AK14+Лист1!AL14+Лист1!AM14+Лист1!AN14+Лист1!AO14+Лист1!AP14+Лист1!AQ14+Лист1!AR14</f>
        <v>3733.373120958</v>
      </c>
      <c r="L21" s="17">
        <f>Лист1!AS14+Лист1!AT14+Лист1!AU14</f>
        <v>0</v>
      </c>
      <c r="M21" s="17">
        <f>Лист1!AX14</f>
        <v>0</v>
      </c>
      <c r="N21" s="100">
        <f>Лист1!BB14</f>
        <v>5495.4917310579995</v>
      </c>
      <c r="O21" s="44">
        <f>Лист1!BE14</f>
        <v>1841.2788939420006</v>
      </c>
      <c r="P21" s="104">
        <f>Лист1!BF14</f>
        <v>-2790.5599999999995</v>
      </c>
      <c r="Q21" s="1"/>
      <c r="R21" s="1"/>
    </row>
    <row r="22" spans="1:18" ht="12.75" hidden="1">
      <c r="A22" s="14" t="s">
        <v>44</v>
      </c>
      <c r="B22" s="15">
        <f>Лист1!B15</f>
        <v>1250.1</v>
      </c>
      <c r="C22" s="120">
        <f>Лист1!C15</f>
        <v>10813.365</v>
      </c>
      <c r="D22" s="118">
        <f>Лист1!D15</f>
        <v>1351.670625</v>
      </c>
      <c r="E22" s="16">
        <f>Лист1!S15</f>
        <v>7298.33</v>
      </c>
      <c r="F22" s="72">
        <f>Лист1!T15</f>
        <v>1473.26</v>
      </c>
      <c r="G22" s="43">
        <f>Лист1!AB15</f>
        <v>4506.99</v>
      </c>
      <c r="H22" s="115">
        <f>Лист1!AC15</f>
        <v>7331.920625</v>
      </c>
      <c r="I22" s="42">
        <f>Лист1!AG15</f>
        <v>675.054</v>
      </c>
      <c r="J22" s="16">
        <f>Лист1!AI15+Лист1!AJ15</f>
        <v>1087.0882100999997</v>
      </c>
      <c r="K22" s="16">
        <f>Лист1!AH15+Лист1!AK15+Лист1!AL15+Лист1!AM15+Лист1!AN15+Лист1!AO15+Лист1!AP15+Лист1!AQ15+Лист1!AR15</f>
        <v>3738.7626770879992</v>
      </c>
      <c r="L22" s="17">
        <f>Лист1!AS15+Лист1!AT15+Лист1!AU15</f>
        <v>1784.1599999999999</v>
      </c>
      <c r="M22" s="17">
        <f>Лист1!AX15</f>
        <v>0</v>
      </c>
      <c r="N22" s="100">
        <f>Лист1!BB15</f>
        <v>7285.064887187999</v>
      </c>
      <c r="O22" s="44">
        <f>Лист1!BE15</f>
        <v>46.85573781200037</v>
      </c>
      <c r="P22" s="104">
        <f>Лист1!BF15</f>
        <v>-2791.34</v>
      </c>
      <c r="Q22" s="1"/>
      <c r="R22" s="1"/>
    </row>
    <row r="23" spans="1:18" ht="12.75" hidden="1">
      <c r="A23" s="14" t="s">
        <v>45</v>
      </c>
      <c r="B23" s="15">
        <f>Лист1!B16</f>
        <v>1250.1</v>
      </c>
      <c r="C23" s="120">
        <f>Лист1!C16</f>
        <v>10813.365</v>
      </c>
      <c r="D23" s="118">
        <f>Лист1!D16</f>
        <v>1351.670625</v>
      </c>
      <c r="E23" s="16">
        <f>Лист1!S16</f>
        <v>7292.910000000001</v>
      </c>
      <c r="F23" s="72">
        <f>Лист1!T16</f>
        <v>1473.26</v>
      </c>
      <c r="G23" s="43">
        <f>Лист1!AB16</f>
        <v>8267.56</v>
      </c>
      <c r="H23" s="115">
        <f>Лист1!AC16</f>
        <v>11092.490624999999</v>
      </c>
      <c r="I23" s="42">
        <f>Лист1!AG16</f>
        <v>675.054</v>
      </c>
      <c r="J23" s="16">
        <f>Лист1!AI16+Лист1!AJ16</f>
        <v>1087.7151352499998</v>
      </c>
      <c r="K23" s="16">
        <f>Лист1!AH16+Лист1!AK16+Лист1!AL16+Лист1!AM16+Лист1!AN16+Лист1!AO16+Лист1!AP16+Лист1!AQ16+Лист1!AR16</f>
        <v>5875.820653698</v>
      </c>
      <c r="L23" s="17">
        <f>Лист1!AS16+Лист1!AT16+Лист1!AU16</f>
        <v>489.7</v>
      </c>
      <c r="M23" s="17">
        <f>Лист1!AX16</f>
        <v>0</v>
      </c>
      <c r="N23" s="100">
        <f>Лист1!BB16</f>
        <v>8128.289788947999</v>
      </c>
      <c r="O23" s="44">
        <f>Лист1!BE16</f>
        <v>2964.2008360519994</v>
      </c>
      <c r="P23" s="104">
        <f>Лист1!BF16</f>
        <v>974.6499999999987</v>
      </c>
      <c r="Q23" s="1"/>
      <c r="R23" s="1"/>
    </row>
    <row r="24" spans="1:18" ht="12.75" hidden="1">
      <c r="A24" s="14" t="s">
        <v>46</v>
      </c>
      <c r="B24" s="15">
        <f>Лист1!B17</f>
        <v>1250.1</v>
      </c>
      <c r="C24" s="120">
        <f>Лист1!C17</f>
        <v>10813.365</v>
      </c>
      <c r="D24" s="118">
        <f>Лист1!D17</f>
        <v>1351.670625</v>
      </c>
      <c r="E24" s="16">
        <f>Лист1!S17</f>
        <v>7102</v>
      </c>
      <c r="F24" s="72">
        <f>Лист1!T17</f>
        <v>1404.4</v>
      </c>
      <c r="G24" s="43">
        <f>Лист1!AB17</f>
        <v>6009.540000000001</v>
      </c>
      <c r="H24" s="115">
        <f>Лист1!AC17</f>
        <v>8765.610625000001</v>
      </c>
      <c r="I24" s="42">
        <f>Лист1!AG17</f>
        <v>675.054</v>
      </c>
      <c r="J24" s="16">
        <f>Лист1!AI17+Лист1!AJ17</f>
        <v>1120.1898580199997</v>
      </c>
      <c r="K24" s="16">
        <f>Лист1!AH17+Лист1!AK17+Лист1!AL17+Лист1!AM17+Лист1!AN17+Лист1!AO17+Лист1!AP17+Лист1!AQ17+Лист1!AR17</f>
        <v>5927.032725336</v>
      </c>
      <c r="L24" s="17">
        <f>Лист1!AS17+Лист1!AT17+Лист1!AU17</f>
        <v>365.8</v>
      </c>
      <c r="M24" s="17">
        <f>Лист1!AX17</f>
        <v>1590.88</v>
      </c>
      <c r="N24" s="100">
        <f>Лист1!BB17</f>
        <v>9678.956583356001</v>
      </c>
      <c r="O24" s="44">
        <f>Лист1!BD17</f>
        <v>-913.3459583559998</v>
      </c>
      <c r="P24" s="104">
        <f>Лист1!BE17</f>
        <v>-913.3459583559998</v>
      </c>
      <c r="Q24" s="1"/>
      <c r="R24" s="1"/>
    </row>
    <row r="25" spans="1:18" ht="12.75" hidden="1">
      <c r="A25" s="14" t="s">
        <v>47</v>
      </c>
      <c r="B25" s="15">
        <f>Лист1!B18</f>
        <v>1250.1</v>
      </c>
      <c r="C25" s="120">
        <f>Лист1!C18</f>
        <v>10813.365</v>
      </c>
      <c r="D25" s="118">
        <f>Лист1!D18</f>
        <v>1034.5049999999983</v>
      </c>
      <c r="E25" s="16">
        <f>Лист1!S18</f>
        <v>8205.7</v>
      </c>
      <c r="F25" s="72">
        <f>Лист1!T18</f>
        <v>1573.1599999999999</v>
      </c>
      <c r="G25" s="43">
        <f>Лист1!AB18</f>
        <v>8528.01</v>
      </c>
      <c r="H25" s="115">
        <f>Лист1!AC18</f>
        <v>11135.675</v>
      </c>
      <c r="I25" s="42">
        <f>Лист1!AG18</f>
        <v>750.06</v>
      </c>
      <c r="J25" s="16">
        <f>Лист1!AI18+Лист1!AJ18</f>
        <v>1253.8502999999998</v>
      </c>
      <c r="K25" s="16">
        <f>Лист1!AH18+Лист1!AK18+Лист1!AL18+Лист1!AM18+Лист1!AN18+Лист1!AO18+Лист1!AP18+Лист1!AQ18+Лист1!AR18</f>
        <v>4294.343519999999</v>
      </c>
      <c r="L25" s="17">
        <f>Лист1!AS18+Лист1!AT18+Лист1!AU18</f>
        <v>236</v>
      </c>
      <c r="M25" s="17">
        <f>Лист1!AX18</f>
        <v>260.6856</v>
      </c>
      <c r="N25" s="100">
        <f>Лист1!BB18</f>
        <v>6794.939419999999</v>
      </c>
      <c r="O25" s="44">
        <f>Лист1!BE18</f>
        <v>4340.7355800000005</v>
      </c>
      <c r="P25" s="104">
        <f>Лист1!BF18</f>
        <v>322.3099999999995</v>
      </c>
      <c r="Q25" s="1"/>
      <c r="R25" s="1"/>
    </row>
    <row r="26" spans="1:18" ht="12.75" hidden="1">
      <c r="A26" s="14" t="s">
        <v>48</v>
      </c>
      <c r="B26" s="15">
        <f>Лист1!B19</f>
        <v>1250.1</v>
      </c>
      <c r="C26" s="120">
        <f>Лист1!C19</f>
        <v>10813.365</v>
      </c>
      <c r="D26" s="118">
        <f>Лист1!D19</f>
        <v>1034.485</v>
      </c>
      <c r="E26" s="16">
        <f>Лист1!S19</f>
        <v>8085.6</v>
      </c>
      <c r="F26" s="72">
        <f>Лист1!T19</f>
        <v>1693.2800000000002</v>
      </c>
      <c r="G26" s="43">
        <f>Лист1!AB19</f>
        <v>6711.56</v>
      </c>
      <c r="H26" s="115">
        <f>Лист1!AC19</f>
        <v>9439.325</v>
      </c>
      <c r="I26" s="42">
        <f>Лист1!AG19</f>
        <v>750.06</v>
      </c>
      <c r="J26" s="16">
        <f>Лист1!AI19+Лист1!AJ19</f>
        <v>1253.8502999999998</v>
      </c>
      <c r="K26" s="16">
        <f>Лист1!AH19+Лист1!AK19+Лист1!AL19+Лист1!AM19+Лист1!AN19+Лист1!AO19+Лист1!AP19+Лист1!AQ19+Лист1!AR19</f>
        <v>12569.866829</v>
      </c>
      <c r="L26" s="17">
        <f>Лист1!AS19+Лист1!AT19+Лист1!AU19</f>
        <v>2529.9908</v>
      </c>
      <c r="M26" s="17">
        <f>Лист1!AX19</f>
        <v>230.94960000000003</v>
      </c>
      <c r="N26" s="100">
        <f>Лист1!BB19</f>
        <v>17334.717528999998</v>
      </c>
      <c r="O26" s="44">
        <f>Лист1!BE19</f>
        <v>-7895.392528999997</v>
      </c>
      <c r="P26" s="104">
        <f>Лист1!BF19</f>
        <v>-1374.04</v>
      </c>
      <c r="Q26" s="1"/>
      <c r="R26" s="1"/>
    </row>
    <row r="27" spans="1:18" ht="12.75" hidden="1">
      <c r="A27" s="14" t="s">
        <v>49</v>
      </c>
      <c r="B27" s="15">
        <f>Лист1!B20</f>
        <v>1250.1</v>
      </c>
      <c r="C27" s="120">
        <f>Лист1!C20</f>
        <v>10813.365</v>
      </c>
      <c r="D27" s="118">
        <f>Лист1!D20</f>
        <v>1270.4749999999988</v>
      </c>
      <c r="E27" s="16">
        <f>Лист1!S20</f>
        <v>7805.930000000001</v>
      </c>
      <c r="F27" s="72">
        <f>Лист1!T20</f>
        <v>1736.9600000000003</v>
      </c>
      <c r="G27" s="43">
        <f>Лист1!AB20</f>
        <v>5795.74</v>
      </c>
      <c r="H27" s="115">
        <f>Лист1!AC20</f>
        <v>8803.175</v>
      </c>
      <c r="I27" s="42">
        <f>Лист1!AG20</f>
        <v>750.06</v>
      </c>
      <c r="J27" s="16">
        <f>Лист1!AI20+Лист1!AJ20</f>
        <v>1235.9202407099997</v>
      </c>
      <c r="K27" s="16">
        <f>Лист1!AH20+Лист1!AK20+Лист1!AL20+Лист1!AM20+Лист1!AN20+Лист1!AO20+Лист1!AP20+Лист1!AQ20+Лист1!AR20</f>
        <v>4251.7291361219995</v>
      </c>
      <c r="L27" s="17">
        <f>Лист1!AS20+Лист1!AT20+Лист1!AU20</f>
        <v>643.1</v>
      </c>
      <c r="M27" s="17">
        <f>Лист1!AX20</f>
        <v>245.8176</v>
      </c>
      <c r="N27" s="100">
        <f>Лист1!BB20</f>
        <v>7126.626976832</v>
      </c>
      <c r="O27" s="44">
        <f>Лист1!BE20</f>
        <v>1676.5480231679994</v>
      </c>
      <c r="P27" s="104">
        <f>Лист1!BF20</f>
        <v>-2010.1900000000014</v>
      </c>
      <c r="Q27" s="1"/>
      <c r="R27" s="1"/>
    </row>
    <row r="28" spans="1:18" ht="12.75" hidden="1">
      <c r="A28" s="14" t="s">
        <v>50</v>
      </c>
      <c r="B28" s="15">
        <f>Лист1!B21</f>
        <v>1250.1</v>
      </c>
      <c r="C28" s="120">
        <f>Лист1!C21</f>
        <v>10813.365</v>
      </c>
      <c r="D28" s="118">
        <f>Лист1!D21</f>
        <v>1034.5050000000006</v>
      </c>
      <c r="E28" s="16">
        <f>Лист1!S21</f>
        <v>8041.9</v>
      </c>
      <c r="F28" s="72">
        <f>Лист1!T21</f>
        <v>1736.9600000000003</v>
      </c>
      <c r="G28" s="43">
        <f>Лист1!AB21</f>
        <v>7370.79</v>
      </c>
      <c r="H28" s="115">
        <f>Лист1!AC21</f>
        <v>10142.255000000001</v>
      </c>
      <c r="I28" s="42">
        <f>Лист1!AG21</f>
        <v>750.06</v>
      </c>
      <c r="J28" s="16">
        <f>Лист1!AI21+Лист1!AJ21</f>
        <v>1235.368546578</v>
      </c>
      <c r="K28" s="16">
        <f>Лист1!AH21+Лист1!AK21+Лист1!AL21+Лист1!AM21+Лист1!AN21+Лист1!AO21+Лист1!AP21+Лист1!AQ21+Лист1!AR21</f>
        <v>4251.1125618</v>
      </c>
      <c r="L28" s="17">
        <f>Лист1!AS21+Лист1!AT21+Лист1!AU21</f>
        <v>0</v>
      </c>
      <c r="M28" s="17">
        <f>Лист1!AX21</f>
        <v>290.4216</v>
      </c>
      <c r="N28" s="100">
        <f>Лист1!BB21</f>
        <v>6526.962708377999</v>
      </c>
      <c r="O28" s="44">
        <f>Лист1!BE21</f>
        <v>3615.2922916220023</v>
      </c>
      <c r="P28" s="104">
        <f>Лист1!BF21</f>
        <v>-671.1099999999997</v>
      </c>
      <c r="Q28" s="1"/>
      <c r="R28" s="1"/>
    </row>
    <row r="29" spans="1:18" ht="12.75" hidden="1">
      <c r="A29" s="14" t="s">
        <v>51</v>
      </c>
      <c r="B29" s="15">
        <f>Лист1!B22</f>
        <v>1248.6</v>
      </c>
      <c r="C29" s="120">
        <f>Лист1!C22</f>
        <v>10800.39</v>
      </c>
      <c r="D29" s="118">
        <f>Лист1!D22</f>
        <v>1155.6600000000003</v>
      </c>
      <c r="E29" s="16">
        <f>Лист1!S22</f>
        <v>7907.77</v>
      </c>
      <c r="F29" s="72">
        <f>Лист1!T22</f>
        <v>1736.9600000000003</v>
      </c>
      <c r="G29" s="43">
        <f>Лист1!AB22</f>
        <v>6615.220000000001</v>
      </c>
      <c r="H29" s="115">
        <f>Лист1!AC22</f>
        <v>9507.840000000002</v>
      </c>
      <c r="I29" s="42">
        <f>Лист1!AG22</f>
        <v>749.16</v>
      </c>
      <c r="J29" s="16">
        <f>Лист1!AI22+Лист1!AJ22</f>
        <v>1233.673324122</v>
      </c>
      <c r="K29" s="16">
        <f>Лист1!AH22+Лист1!AK22+Лист1!AL22+Лист1!AM22+Лист1!AN22+Лист1!AO22+Лист1!AP22+Лист1!AQ22+Лист1!AR22</f>
        <v>4245.4537028844</v>
      </c>
      <c r="L29" s="17">
        <f>Лист1!AS22+Лист1!AT22+Лист1!AU22</f>
        <v>0</v>
      </c>
      <c r="M29" s="17">
        <f>Лист1!AX22</f>
        <v>345.9288</v>
      </c>
      <c r="N29" s="100">
        <f>Лист1!BB22</f>
        <v>6574.215827006399</v>
      </c>
      <c r="O29" s="44">
        <f>Лист1!BE22</f>
        <v>2933.6241729936028</v>
      </c>
      <c r="P29" s="104">
        <f>Лист1!BF22</f>
        <v>-1292.5499999999993</v>
      </c>
      <c r="Q29" s="1"/>
      <c r="R29" s="1"/>
    </row>
    <row r="30" spans="1:18" ht="12.75" hidden="1">
      <c r="A30" s="14" t="s">
        <v>39</v>
      </c>
      <c r="B30" s="15">
        <f>Лист1!B23</f>
        <v>1248.6</v>
      </c>
      <c r="C30" s="120">
        <f>Лист1!C23</f>
        <v>10800.39</v>
      </c>
      <c r="D30" s="118">
        <f>Лист1!D23</f>
        <v>1070.7699999999993</v>
      </c>
      <c r="E30" s="16">
        <f>Лист1!S23</f>
        <v>7992.66</v>
      </c>
      <c r="F30" s="72">
        <f>Лист1!T23</f>
        <v>1736.9600000000003</v>
      </c>
      <c r="G30" s="43">
        <f>Лист1!AB23</f>
        <v>11267.76</v>
      </c>
      <c r="H30" s="115">
        <f>Лист1!AC23</f>
        <v>14075.49</v>
      </c>
      <c r="I30" s="42">
        <f>Лист1!AG23</f>
        <v>749.16</v>
      </c>
      <c r="J30" s="16">
        <f>Лист1!AI23+Лист1!AJ23</f>
        <v>1247.9257559999996</v>
      </c>
      <c r="K30" s="16">
        <f>Лист1!AH23+Лист1!AK23+Лист1!AL23+Лист1!AM23+Лист1!AN23+Лист1!AO23+Лист1!AP23+Лист1!AQ23+Лист1!AR23</f>
        <v>4281.948839999999</v>
      </c>
      <c r="L30" s="17">
        <f>Лист1!AS23+Лист1!AT23+Лист1!AU23</f>
        <v>0</v>
      </c>
      <c r="M30" s="17">
        <f>Лист1!AX23</f>
        <v>421.26000000000005</v>
      </c>
      <c r="N30" s="100">
        <f>Лист1!BB23</f>
        <v>6700.294596</v>
      </c>
      <c r="O30" s="44">
        <f>Лист1!BE23</f>
        <v>7375.195404</v>
      </c>
      <c r="P30" s="104">
        <f>Лист1!BF23</f>
        <v>3275.1000000000004</v>
      </c>
      <c r="Q30" s="1"/>
      <c r="R30" s="1"/>
    </row>
    <row r="31" spans="1:18" ht="12.75" hidden="1">
      <c r="A31" s="14" t="s">
        <v>40</v>
      </c>
      <c r="B31" s="15">
        <f>Лист1!B24</f>
        <v>1248.6</v>
      </c>
      <c r="C31" s="120">
        <f>Лист1!C24</f>
        <v>10800.39</v>
      </c>
      <c r="D31" s="118">
        <f>Лист1!D24</f>
        <v>1033.8399999999992</v>
      </c>
      <c r="E31" s="16">
        <f>Лист1!S24</f>
        <v>8029.59</v>
      </c>
      <c r="F31" s="72">
        <f>Лист1!T24</f>
        <v>1736.9600000000003</v>
      </c>
      <c r="G31" s="43">
        <f>Лист1!AB24</f>
        <v>9581.16</v>
      </c>
      <c r="H31" s="115">
        <f>Лист1!AC24</f>
        <v>12351.96</v>
      </c>
      <c r="I31" s="42">
        <f>Лист1!AG24</f>
        <v>749.16</v>
      </c>
      <c r="J31" s="16">
        <f>Лист1!AI24+Лист1!AJ24</f>
        <v>1252.3458</v>
      </c>
      <c r="K31" s="16">
        <f>Лист1!AH24+Лист1!AK24+Лист1!AL24+Лист1!AM24+Лист1!AN24+Лист1!AO24+Лист1!AP24+Лист1!AQ24+Лист1!AR24</f>
        <v>4286.69352</v>
      </c>
      <c r="L31" s="17">
        <f>Лист1!AS24+Лист1!AT24+Лист1!AU24</f>
        <v>0</v>
      </c>
      <c r="M31" s="17">
        <f>Лист1!AX24</f>
        <v>465.864</v>
      </c>
      <c r="N31" s="100">
        <f>Лист1!BB24</f>
        <v>6754.063319999999</v>
      </c>
      <c r="O31" s="44">
        <f>Лист1!BE24</f>
        <v>5597.89668</v>
      </c>
      <c r="P31" s="104">
        <f>Лист1!BF24</f>
        <v>1551.5699999999997</v>
      </c>
      <c r="Q31" s="1"/>
      <c r="R31" s="1"/>
    </row>
    <row r="32" spans="1:18" ht="13.5" hidden="1" thickBot="1">
      <c r="A32" s="45" t="s">
        <v>41</v>
      </c>
      <c r="B32" s="15">
        <f>Лист1!B25</f>
        <v>1248.6</v>
      </c>
      <c r="C32" s="120">
        <f>Лист1!C25</f>
        <v>10800.39</v>
      </c>
      <c r="D32" s="118">
        <f>Лист1!D25</f>
        <v>1033.8399999999992</v>
      </c>
      <c r="E32" s="16">
        <f>Лист1!S25</f>
        <v>8029.59</v>
      </c>
      <c r="F32" s="72">
        <f>Лист1!T25</f>
        <v>1736.9600000000003</v>
      </c>
      <c r="G32" s="43">
        <f>Лист1!AB25</f>
        <v>8923.53</v>
      </c>
      <c r="H32" s="115">
        <f>Лист1!AC25</f>
        <v>11694.33</v>
      </c>
      <c r="I32" s="42">
        <f>Лист1!AG25</f>
        <v>749.16</v>
      </c>
      <c r="J32" s="16">
        <f>Лист1!AI25+Лист1!AJ25</f>
        <v>1252.3458</v>
      </c>
      <c r="K32" s="16">
        <f>Лист1!AH25+Лист1!AK25+Лист1!AL25+Лист1!AM25+Лист1!AN25+Лист1!AO25+Лист1!AP25+Лист1!AQ25+Лист1!AR25</f>
        <v>4286.69352</v>
      </c>
      <c r="L32" s="17">
        <f>Лист1!AS25+Лист1!AT25+Лист1!AU25</f>
        <v>2120.46</v>
      </c>
      <c r="M32" s="17">
        <f>Лист1!AX25</f>
        <v>509.4768</v>
      </c>
      <c r="N32" s="100">
        <f>Лист1!BB25</f>
        <v>8918.13612</v>
      </c>
      <c r="O32" s="44">
        <f>Лист1!BE25</f>
        <v>2776.1938800000007</v>
      </c>
      <c r="P32" s="104">
        <f>Лист1!BF25</f>
        <v>893.9400000000005</v>
      </c>
      <c r="Q32" s="1"/>
      <c r="R32" s="1"/>
    </row>
    <row r="33" spans="1:18" s="24" customFormat="1" ht="13.5" hidden="1" thickBot="1">
      <c r="A33" s="46" t="s">
        <v>3</v>
      </c>
      <c r="B33" s="47"/>
      <c r="C33" s="50">
        <f aca="true" t="shared" si="1" ref="C33:P33">SUM(C21:C32)</f>
        <v>129708.48</v>
      </c>
      <c r="D33" s="51">
        <f t="shared" si="1"/>
        <v>14074.762499999997</v>
      </c>
      <c r="E33" s="48">
        <f t="shared" si="1"/>
        <v>93094.37999999999</v>
      </c>
      <c r="F33" s="48">
        <f t="shared" si="1"/>
        <v>19512.380000000005</v>
      </c>
      <c r="G33" s="49">
        <f t="shared" si="1"/>
        <v>88089.7</v>
      </c>
      <c r="H33" s="90">
        <f t="shared" si="1"/>
        <v>121676.84250000001</v>
      </c>
      <c r="I33" s="51">
        <f t="shared" si="1"/>
        <v>8697.095999999998</v>
      </c>
      <c r="J33" s="48">
        <f t="shared" si="1"/>
        <v>14347.337880879997</v>
      </c>
      <c r="K33" s="48">
        <f t="shared" si="1"/>
        <v>61742.83080688639</v>
      </c>
      <c r="L33" s="48">
        <f t="shared" si="1"/>
        <v>8169.2108</v>
      </c>
      <c r="M33" s="48">
        <f t="shared" si="1"/>
        <v>4361.284000000001</v>
      </c>
      <c r="N33" s="82">
        <f t="shared" si="1"/>
        <v>97317.7594877664</v>
      </c>
      <c r="O33" s="52">
        <f t="shared" si="1"/>
        <v>24359.083012233612</v>
      </c>
      <c r="P33" s="106">
        <f t="shared" si="1"/>
        <v>-4825.565958356001</v>
      </c>
      <c r="Q33" s="53"/>
      <c r="R33" s="53"/>
    </row>
    <row r="34" spans="1:18" ht="13.5" thickBot="1">
      <c r="A34" s="84" t="s">
        <v>66</v>
      </c>
      <c r="B34" s="85"/>
      <c r="C34" s="86"/>
      <c r="D34" s="85"/>
      <c r="E34" s="85"/>
      <c r="F34" s="85"/>
      <c r="G34" s="84"/>
      <c r="H34" s="117"/>
      <c r="I34" s="85"/>
      <c r="J34" s="85"/>
      <c r="K34" s="85"/>
      <c r="L34" s="85"/>
      <c r="M34" s="85"/>
      <c r="N34" s="87"/>
      <c r="O34" s="109"/>
      <c r="P34" s="107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160713.54</v>
      </c>
      <c r="D35" s="113">
        <f aca="true" t="shared" si="2" ref="D35:P35">D19+D33</f>
        <v>21537.783792199996</v>
      </c>
      <c r="E35" s="59">
        <f t="shared" si="2"/>
        <v>114662.72999999998</v>
      </c>
      <c r="F35" s="112">
        <f t="shared" si="2"/>
        <v>23932.160000000003</v>
      </c>
      <c r="G35" s="61">
        <f t="shared" si="2"/>
        <v>100130.69</v>
      </c>
      <c r="H35" s="83">
        <f t="shared" si="2"/>
        <v>145600.6337922</v>
      </c>
      <c r="I35" s="113">
        <f t="shared" si="2"/>
        <v>10847.735999999997</v>
      </c>
      <c r="J35" s="59">
        <f t="shared" si="2"/>
        <v>17946.607883759996</v>
      </c>
      <c r="K35" s="59">
        <f t="shared" si="2"/>
        <v>74361.44926205039</v>
      </c>
      <c r="L35" s="59">
        <f t="shared" si="2"/>
        <v>17838.1308</v>
      </c>
      <c r="M35" s="59">
        <f t="shared" si="2"/>
        <v>4361.284000000001</v>
      </c>
      <c r="N35" s="91">
        <f t="shared" si="2"/>
        <v>125355.2079458104</v>
      </c>
      <c r="O35" s="62">
        <f t="shared" si="2"/>
        <v>20245.42584638961</v>
      </c>
      <c r="P35" s="108">
        <f t="shared" si="2"/>
        <v>-14352.925958356002</v>
      </c>
      <c r="Q35" s="63"/>
      <c r="R35" s="53"/>
    </row>
    <row r="36" spans="1:18" ht="12.75">
      <c r="A36" s="8" t="s">
        <v>91</v>
      </c>
      <c r="B36" s="65"/>
      <c r="C36" s="121"/>
      <c r="D36" s="119"/>
      <c r="E36" s="54"/>
      <c r="F36" s="111"/>
      <c r="G36" s="57"/>
      <c r="H36" s="116"/>
      <c r="I36" s="56"/>
      <c r="J36" s="54"/>
      <c r="K36" s="54"/>
      <c r="L36" s="66"/>
      <c r="M36" s="66"/>
      <c r="N36" s="101"/>
      <c r="O36" s="67"/>
      <c r="P36" s="105"/>
      <c r="Q36" s="1"/>
      <c r="R36" s="1"/>
    </row>
    <row r="37" spans="1:18" ht="12.75">
      <c r="A37" s="14" t="s">
        <v>43</v>
      </c>
      <c r="B37" s="15">
        <f>Лист1!B30</f>
        <v>1248.6</v>
      </c>
      <c r="C37" s="120">
        <f>Лист1!C30</f>
        <v>10800.39</v>
      </c>
      <c r="D37" s="118">
        <f>Лист1!D30</f>
        <v>1033.8399999999992</v>
      </c>
      <c r="E37" s="16">
        <f>Лист1!S30</f>
        <v>8029.59</v>
      </c>
      <c r="F37" s="72">
        <f>Лист1!T30</f>
        <v>1736.9600000000003</v>
      </c>
      <c r="G37" s="43">
        <f>Лист1!AB30</f>
        <v>4838.9</v>
      </c>
      <c r="H37" s="115">
        <f>Лист1!AC30</f>
        <v>7609.699999999999</v>
      </c>
      <c r="I37" s="42">
        <f>Лист1!AG30</f>
        <v>749.16</v>
      </c>
      <c r="J37" s="16">
        <f>Лист1!AI30+Лист1!AJ30</f>
        <v>1248.6</v>
      </c>
      <c r="K37" s="16">
        <f>Лист1!AH30+Лист1!AK30+Лист1!AL30+Лист1!AM30+Лист1!AN30+Лист1!AO30+Лист1!AP30+Лист1!AQ30+Лист1!AR30</f>
        <v>4282.698</v>
      </c>
      <c r="L37" s="17">
        <f>Лист1!AS30+Лист1!AT30+Лист1!AU30</f>
        <v>0</v>
      </c>
      <c r="M37" s="17">
        <f>Лист1!AX30</f>
        <v>533.4</v>
      </c>
      <c r="N37" s="100">
        <f>Лист1!BB30</f>
        <v>6813.858</v>
      </c>
      <c r="O37" s="44">
        <f>Лист1!BE30</f>
        <v>795.8419999999987</v>
      </c>
      <c r="P37" s="104">
        <f>Лист1!BF30</f>
        <v>-3190.6900000000005</v>
      </c>
      <c r="Q37" s="1"/>
      <c r="R37" s="1"/>
    </row>
    <row r="38" spans="1:18" ht="12.75">
      <c r="A38" s="14" t="s">
        <v>44</v>
      </c>
      <c r="B38" s="15">
        <f>Лист1!B31</f>
        <v>1248.6</v>
      </c>
      <c r="C38" s="120">
        <f>Лист1!C31</f>
        <v>10800.39</v>
      </c>
      <c r="D38" s="118">
        <f>Лист1!D31</f>
        <v>1033.8499999999995</v>
      </c>
      <c r="E38" s="16">
        <f>Лист1!S31</f>
        <v>8029.58</v>
      </c>
      <c r="F38" s="72">
        <f>Лист1!T31</f>
        <v>1736.9600000000003</v>
      </c>
      <c r="G38" s="43">
        <f>Лист1!AB31</f>
        <v>7209.52</v>
      </c>
      <c r="H38" s="115">
        <f>Лист1!AC31</f>
        <v>9980.33</v>
      </c>
      <c r="I38" s="42">
        <f>Лист1!AG31</f>
        <v>749.16</v>
      </c>
      <c r="J38" s="16">
        <f>Лист1!AI31+Лист1!AJ31</f>
        <v>1248.6</v>
      </c>
      <c r="K38" s="16">
        <f>Лист1!AH31+Лист1!AK31+Лист1!AL31+Лист1!AM31+Лист1!AN31+Лист1!AO31+Лист1!AP31+Лист1!AQ31+Лист1!AR31</f>
        <v>5910.798000000001</v>
      </c>
      <c r="L38" s="17">
        <f>Лист1!AS31+Лист1!AT31+Лист1!AU31</f>
        <v>0</v>
      </c>
      <c r="M38" s="17">
        <f>Лист1!AX31</f>
        <v>427.34999999999997</v>
      </c>
      <c r="N38" s="100">
        <f>Лист1!BB31</f>
        <v>8335.908000000001</v>
      </c>
      <c r="O38" s="44">
        <f>Лист1!BE31</f>
        <v>1644.4219999999987</v>
      </c>
      <c r="P38" s="104">
        <f>Лист1!BF31</f>
        <v>-820.0599999999995</v>
      </c>
      <c r="Q38" s="1"/>
      <c r="R38" s="1"/>
    </row>
    <row r="39" spans="1:18" ht="12.75">
      <c r="A39" s="14" t="s">
        <v>45</v>
      </c>
      <c r="B39" s="15">
        <f>Лист1!B32</f>
        <v>1247.9</v>
      </c>
      <c r="C39" s="120">
        <f>Лист1!C32</f>
        <v>10794.335000000001</v>
      </c>
      <c r="D39" s="118">
        <f>Лист1!D32</f>
        <v>1033.2550000000028</v>
      </c>
      <c r="E39" s="16">
        <f>Лист1!S32</f>
        <v>8024.12</v>
      </c>
      <c r="F39" s="72">
        <f>Лист1!T32</f>
        <v>1736.9600000000003</v>
      </c>
      <c r="G39" s="43">
        <f>Лист1!AB32</f>
        <v>5721.56</v>
      </c>
      <c r="H39" s="115">
        <f>Лист1!AC32</f>
        <v>8491.775000000003</v>
      </c>
      <c r="I39" s="42">
        <f>Лист1!AG32</f>
        <v>748.74</v>
      </c>
      <c r="J39" s="16">
        <f>Лист1!AI32+Лист1!AJ32</f>
        <v>1247.9</v>
      </c>
      <c r="K39" s="16">
        <f>Лист1!AH32+Лист1!AK32+Лист1!AL32+Лист1!AM32+Лист1!AN32+Лист1!AO32+Лист1!AP32+Лист1!AQ32+Лист1!AR32</f>
        <v>4280.2970000000005</v>
      </c>
      <c r="L39" s="17">
        <f>Лист1!AS32+Лист1!AT32+Лист1!AU32</f>
        <v>0</v>
      </c>
      <c r="M39" s="17">
        <f>Лист1!AX32</f>
        <v>402.15</v>
      </c>
      <c r="N39" s="100">
        <f>Лист1!BB32</f>
        <v>6679.0869999999995</v>
      </c>
      <c r="O39" s="44">
        <f>Лист1!BE32</f>
        <v>1812.6880000000037</v>
      </c>
      <c r="P39" s="104">
        <f>Лист1!BF32</f>
        <v>-2302.5599999999995</v>
      </c>
      <c r="Q39" s="1"/>
      <c r="R39" s="1"/>
    </row>
    <row r="40" spans="1:18" ht="12.75">
      <c r="A40" s="14" t="s">
        <v>46</v>
      </c>
      <c r="B40" s="15">
        <f>Лист1!B33</f>
        <v>1247.9</v>
      </c>
      <c r="C40" s="120">
        <f>Лист1!C33</f>
        <v>10794.335000000001</v>
      </c>
      <c r="D40" s="118">
        <f>Лист1!D33</f>
        <v>1033.2550000000028</v>
      </c>
      <c r="E40" s="16">
        <f>Лист1!S33</f>
        <v>8024.12</v>
      </c>
      <c r="F40" s="72">
        <f>Лист1!T33</f>
        <v>1736.9600000000003</v>
      </c>
      <c r="G40" s="43">
        <f>Лист1!AB33</f>
        <v>6009.540000000001</v>
      </c>
      <c r="H40" s="115">
        <f>Лист1!AC33</f>
        <v>8779.755000000005</v>
      </c>
      <c r="I40" s="42">
        <f>Лист1!AG33</f>
        <v>748.74</v>
      </c>
      <c r="J40" s="16">
        <f>Лист1!AI33+Лист1!AJ33</f>
        <v>1247.9</v>
      </c>
      <c r="K40" s="16">
        <f>Лист1!AH33+Лист1!AK33+Лист1!AL33+Лист1!AM33+Лист1!AN33+Лист1!AO33+Лист1!AP33+Лист1!AQ33+Лист1!AR33</f>
        <v>4280.2970000000005</v>
      </c>
      <c r="L40" s="17">
        <f>Лист1!AS33+Лист1!AT33+Лист1!AU33</f>
        <v>195</v>
      </c>
      <c r="M40" s="17">
        <f>Лист1!AX33</f>
        <v>322.34999999999997</v>
      </c>
      <c r="N40" s="100">
        <f>Лист1!BB33</f>
        <v>6794.287</v>
      </c>
      <c r="O40" s="44">
        <f>Лист1!BE33</f>
        <v>1985.4680000000044</v>
      </c>
      <c r="P40" s="104">
        <f>Лист1!BF33</f>
        <v>-2014.579999999999</v>
      </c>
      <c r="Q40" s="1"/>
      <c r="R40" s="1"/>
    </row>
    <row r="41" spans="1:18" ht="12.75">
      <c r="A41" s="14" t="s">
        <v>47</v>
      </c>
      <c r="B41" s="15">
        <f>Лист1!B34</f>
        <v>1248.8</v>
      </c>
      <c r="C41" s="120">
        <f>Лист1!C34</f>
        <v>10802.12</v>
      </c>
      <c r="D41" s="118">
        <f>Лист1!D34</f>
        <v>1033.3000000000015</v>
      </c>
      <c r="E41" s="16">
        <f>Лист1!S34</f>
        <v>8031.86</v>
      </c>
      <c r="F41" s="72">
        <f>Лист1!T34</f>
        <v>1736.9600000000003</v>
      </c>
      <c r="G41" s="43">
        <f>Лист1!AB34</f>
        <v>8970.62</v>
      </c>
      <c r="H41" s="115">
        <f>Лист1!AC34</f>
        <v>11740.880000000003</v>
      </c>
      <c r="I41" s="42">
        <f>Лист1!AG34</f>
        <v>749.28</v>
      </c>
      <c r="J41" s="16">
        <f>Лист1!AI34+Лист1!AJ34</f>
        <v>1248.8</v>
      </c>
      <c r="K41" s="16">
        <f>Лист1!AH34+Лист1!AK34+Лист1!AL34+Лист1!AM34+Лист1!AN34+Лист1!AO34+Лист1!AP34+Лист1!AQ34+Лист1!AR34</f>
        <v>4283.384</v>
      </c>
      <c r="L41" s="17">
        <f>Лист1!AS34+Лист1!AT34+Лист1!AU34</f>
        <v>19794.27</v>
      </c>
      <c r="M41" s="17">
        <f>Лист1!AX34</f>
        <v>276.15</v>
      </c>
      <c r="N41" s="100">
        <f>Лист1!BB34</f>
        <v>26351.884000000002</v>
      </c>
      <c r="O41" s="44">
        <f>Лист1!BE34</f>
        <v>-14611.003999999999</v>
      </c>
      <c r="P41" s="104">
        <f>Лист1!BF34</f>
        <v>938.7600000000011</v>
      </c>
      <c r="Q41" s="1"/>
      <c r="R41" s="1"/>
    </row>
    <row r="42" spans="1:18" ht="12.75">
      <c r="A42" s="14" t="s">
        <v>48</v>
      </c>
      <c r="B42" s="15">
        <f>Лист1!B35</f>
        <v>1248.8</v>
      </c>
      <c r="C42" s="120">
        <f>Лист1!C35</f>
        <v>10802.12</v>
      </c>
      <c r="D42" s="118">
        <f>Лист1!D35</f>
        <v>1033.3000000000015</v>
      </c>
      <c r="E42" s="16">
        <f>Лист1!S35</f>
        <v>8031.86</v>
      </c>
      <c r="F42" s="72">
        <f>Лист1!T35</f>
        <v>1736.9600000000003</v>
      </c>
      <c r="G42" s="43">
        <f>Лист1!AB35</f>
        <v>6014.56</v>
      </c>
      <c r="H42" s="115">
        <f>Лист1!AC35</f>
        <v>8784.820000000003</v>
      </c>
      <c r="I42" s="42">
        <f>Лист1!AG35</f>
        <v>749.28</v>
      </c>
      <c r="J42" s="16">
        <f>Лист1!AI35+Лист1!AJ35</f>
        <v>1248.8</v>
      </c>
      <c r="K42" s="16">
        <f>Лист1!AH35+Лист1!AK35+Лист1!AL35+Лист1!AM35+Лист1!AN35+Лист1!AO35+Лист1!AP35+Лист1!AQ35+Лист1!AR35</f>
        <v>4283.384</v>
      </c>
      <c r="L42" s="17">
        <f>Лист1!AS35+Лист1!AT35+Лист1!AU35</f>
        <v>19003</v>
      </c>
      <c r="M42" s="17">
        <f>Лист1!AX35</f>
        <v>244.64999999999998</v>
      </c>
      <c r="N42" s="100">
        <f>Лист1!BB35</f>
        <v>25529.114</v>
      </c>
      <c r="O42" s="44">
        <f>Лист1!BE35</f>
        <v>-16744.293999999998</v>
      </c>
      <c r="P42" s="104">
        <f>Лист1!BF35</f>
        <v>-2017.2999999999993</v>
      </c>
      <c r="Q42" s="1"/>
      <c r="R42" s="1"/>
    </row>
    <row r="43" spans="1:18" ht="12.75">
      <c r="A43" s="14" t="s">
        <v>49</v>
      </c>
      <c r="B43" s="15">
        <f>Лист1!B36</f>
        <v>1248.8</v>
      </c>
      <c r="C43" s="120">
        <f>Лист1!C36</f>
        <v>10802.12</v>
      </c>
      <c r="D43" s="118">
        <f>Лист1!D36</f>
        <v>1033.2999999999997</v>
      </c>
      <c r="E43" s="16">
        <f>Лист1!S36</f>
        <v>9768.82</v>
      </c>
      <c r="F43" s="72">
        <f>Лист1!T36</f>
        <v>0</v>
      </c>
      <c r="G43" s="43">
        <f>Лист1!AB36</f>
        <v>7567.07</v>
      </c>
      <c r="H43" s="115">
        <f>Лист1!AC36</f>
        <v>8600.369999999999</v>
      </c>
      <c r="I43" s="42">
        <f>Лист1!AG36</f>
        <v>749.28</v>
      </c>
      <c r="J43" s="16">
        <f>Лист1!AI36+Лист1!AJ36</f>
        <v>1248.8</v>
      </c>
      <c r="K43" s="16">
        <f>Лист1!AH36+Лист1!AK36+Лист1!AL36+Лист1!AM36+Лист1!AN36+Лист1!AO36+Лист1!AP36+Лист1!AQ36+Лист1!AR36</f>
        <v>4283.384</v>
      </c>
      <c r="L43" s="17">
        <f>Лист1!AS36+Лист1!AT36+Лист1!AU36</f>
        <v>0</v>
      </c>
      <c r="M43" s="17">
        <f>Лист1!AX36</f>
        <v>260.4</v>
      </c>
      <c r="N43" s="100">
        <f>Лист1!BB36</f>
        <v>6541.864</v>
      </c>
      <c r="O43" s="44">
        <f>Лист1!BE36</f>
        <v>2058.5059999999994</v>
      </c>
      <c r="P43" s="104">
        <f>Лист1!BF36</f>
        <v>-2201.75</v>
      </c>
      <c r="Q43" s="1"/>
      <c r="R43" s="1"/>
    </row>
    <row r="44" spans="1:18" ht="12.75">
      <c r="A44" s="14" t="s">
        <v>50</v>
      </c>
      <c r="B44" s="15">
        <f>Лист1!B37</f>
        <v>1248.8</v>
      </c>
      <c r="C44" s="120">
        <f>Лист1!C37</f>
        <v>10802.12</v>
      </c>
      <c r="D44" s="118">
        <f>Лист1!D37</f>
        <v>1016.5600000000006</v>
      </c>
      <c r="E44" s="16">
        <f>Лист1!S37</f>
        <v>9785.560000000001</v>
      </c>
      <c r="F44" s="72">
        <f>Лист1!T37</f>
        <v>0</v>
      </c>
      <c r="G44" s="43">
        <f>Лист1!AB37</f>
        <v>5797.76</v>
      </c>
      <c r="H44" s="115">
        <f>Лист1!AC37</f>
        <v>6814.320000000001</v>
      </c>
      <c r="I44" s="42">
        <f>Лист1!AG37</f>
        <v>749.28</v>
      </c>
      <c r="J44" s="16">
        <f>Лист1!AI37+Лист1!AJ37</f>
        <v>1248.8</v>
      </c>
      <c r="K44" s="16">
        <f>Лист1!AH37+Лист1!AK37+Лист1!AL37+Лист1!AM37+Лист1!AN37+Лист1!AO37+Лист1!AP37+Лист1!AQ37+Лист1!AR37</f>
        <v>4283.384</v>
      </c>
      <c r="L44" s="17">
        <f>Лист1!AS37+Лист1!AT37+Лист1!AU37</f>
        <v>89.8</v>
      </c>
      <c r="M44" s="17">
        <f>Лист1!AX37</f>
        <v>307.65</v>
      </c>
      <c r="N44" s="100">
        <f>Лист1!BB37</f>
        <v>6678.914</v>
      </c>
      <c r="O44" s="44">
        <f>Лист1!BE37</f>
        <v>135.40600000000086</v>
      </c>
      <c r="P44" s="104">
        <f>Лист1!BF37</f>
        <v>-3987.800000000001</v>
      </c>
      <c r="Q44" s="1"/>
      <c r="R44" s="1"/>
    </row>
    <row r="45" spans="1:18" ht="12.75">
      <c r="A45" s="14" t="s">
        <v>51</v>
      </c>
      <c r="B45" s="15">
        <f>Лист1!B38</f>
        <v>1248.8</v>
      </c>
      <c r="C45" s="120">
        <f>Лист1!C38</f>
        <v>10802.12</v>
      </c>
      <c r="D45" s="118">
        <f>Лист1!D38</f>
        <v>1016.5700000000008</v>
      </c>
      <c r="E45" s="16">
        <f>Лист1!S38</f>
        <v>9785.550000000001</v>
      </c>
      <c r="F45" s="72">
        <f>Лист1!T38</f>
        <v>0</v>
      </c>
      <c r="G45" s="43">
        <f>Лист1!AB38</f>
        <v>11396.269999999999</v>
      </c>
      <c r="H45" s="115">
        <f>Лист1!AC38</f>
        <v>12412.84</v>
      </c>
      <c r="I45" s="42">
        <f>Лист1!AG38</f>
        <v>749.28</v>
      </c>
      <c r="J45" s="16">
        <f>Лист1!AI38+Лист1!AJ38</f>
        <v>1248.8</v>
      </c>
      <c r="K45" s="16">
        <f>Лист1!AH38+Лист1!AK38+Лист1!AL38+Лист1!AM38+Лист1!AN38+Лист1!AO38+Лист1!AP38+Лист1!AQ38+Лист1!AR38</f>
        <v>4283.384</v>
      </c>
      <c r="L45" s="17">
        <f>Лист1!AS38+Лист1!AT38+Лист1!AU38</f>
        <v>288</v>
      </c>
      <c r="M45" s="17">
        <f>Лист1!AX38</f>
        <v>366.45</v>
      </c>
      <c r="N45" s="100">
        <f>Лист1!BB38</f>
        <v>6935.914</v>
      </c>
      <c r="O45" s="44">
        <f>Лист1!BE38</f>
        <v>5476.926</v>
      </c>
      <c r="P45" s="104">
        <f>Лист1!BF38</f>
        <v>1610.7199999999975</v>
      </c>
      <c r="Q45" s="1"/>
      <c r="R45" s="1"/>
    </row>
    <row r="46" spans="1:18" ht="12.75">
      <c r="A46" s="14" t="s">
        <v>39</v>
      </c>
      <c r="B46" s="15">
        <f>Лист1!B39</f>
        <v>1248.8</v>
      </c>
      <c r="C46" s="120">
        <f>Лист1!C39</f>
        <v>10802.12</v>
      </c>
      <c r="D46" s="118">
        <f>Лист1!D39</f>
        <v>1015.6100000000009</v>
      </c>
      <c r="E46" s="16">
        <f>Лист1!S39</f>
        <v>9786.51</v>
      </c>
      <c r="F46" s="72">
        <f>Лист1!T39</f>
        <v>0</v>
      </c>
      <c r="G46" s="43">
        <f>Лист1!AB39</f>
        <v>8454.690000000002</v>
      </c>
      <c r="H46" s="115">
        <f>Лист1!AC39</f>
        <v>9470.300000000003</v>
      </c>
      <c r="I46" s="42">
        <f>Лист1!AG39</f>
        <v>749.28</v>
      </c>
      <c r="J46" s="16">
        <f>Лист1!AI39+Лист1!AJ39</f>
        <v>1248.8</v>
      </c>
      <c r="K46" s="16">
        <f>Лист1!AH39+Лист1!AK39+Лист1!AL39+Лист1!AM39+Лист1!AN39+Лист1!AO39+Лист1!AP39+Лист1!AQ39+Лист1!AR39</f>
        <v>4283.384</v>
      </c>
      <c r="L46" s="17">
        <f>Лист1!AS39+Лист1!AT39+Лист1!AU39</f>
        <v>1673</v>
      </c>
      <c r="M46" s="17">
        <f>Лист1!AX39</f>
        <v>446.25</v>
      </c>
      <c r="N46" s="100">
        <f>Лист1!BB39</f>
        <v>8400.714</v>
      </c>
      <c r="O46" s="44">
        <f>Лист1!BE39</f>
        <v>1144.586000000003</v>
      </c>
      <c r="P46" s="104">
        <f>Лист1!BF39</f>
        <v>-1331.819999999998</v>
      </c>
      <c r="Q46" s="1"/>
      <c r="R46" s="1"/>
    </row>
    <row r="47" spans="1:18" ht="12.75">
      <c r="A47" s="14" t="s">
        <v>40</v>
      </c>
      <c r="B47" s="15">
        <f>Лист1!B40</f>
        <v>1248.8</v>
      </c>
      <c r="C47" s="120">
        <f>Лист1!C40</f>
        <v>10802.12</v>
      </c>
      <c r="D47" s="118">
        <f>Лист1!D40</f>
        <v>1015.6000000000007</v>
      </c>
      <c r="E47" s="16">
        <f>Лист1!S40</f>
        <v>9786.52</v>
      </c>
      <c r="F47" s="72">
        <f>Лист1!T40</f>
        <v>0</v>
      </c>
      <c r="G47" s="43">
        <f>Лист1!AB40</f>
        <v>8553.039999999999</v>
      </c>
      <c r="H47" s="115">
        <f>Лист1!AC40</f>
        <v>9568.64</v>
      </c>
      <c r="I47" s="42">
        <f>Лист1!AG40</f>
        <v>749.28</v>
      </c>
      <c r="J47" s="16">
        <f>Лист1!AI40+Лист1!AJ40</f>
        <v>1248.8</v>
      </c>
      <c r="K47" s="16">
        <f>Лист1!AH40+Лист1!AK40+Лист1!AL40+Лист1!AM40+Лист1!AN40+Лист1!AO40+Лист1!AP40+Лист1!AQ40+Лист1!AR40</f>
        <v>4283.384</v>
      </c>
      <c r="L47" s="17">
        <f>Лист1!AS40+Лист1!AT40+Лист1!AU40</f>
        <v>0</v>
      </c>
      <c r="M47" s="17">
        <f>Лист1!AX40</f>
        <v>493.49999999999994</v>
      </c>
      <c r="N47" s="100">
        <f>Лист1!BB40</f>
        <v>6774.964</v>
      </c>
      <c r="O47" s="44">
        <f>Лист1!BE40</f>
        <v>2868.6759999999995</v>
      </c>
      <c r="P47" s="104">
        <f>Лист1!BF40</f>
        <v>-1233.4800000000014</v>
      </c>
      <c r="Q47" s="1"/>
      <c r="R47" s="1"/>
    </row>
    <row r="48" spans="1:18" ht="13.5" thickBot="1">
      <c r="A48" s="45" t="s">
        <v>41</v>
      </c>
      <c r="B48" s="15">
        <f>Лист1!B41</f>
        <v>1248.8</v>
      </c>
      <c r="C48" s="120">
        <f>Лист1!C41</f>
        <v>10802.12</v>
      </c>
      <c r="D48" s="118">
        <f>Лист1!D41</f>
        <v>1015.6000000000007</v>
      </c>
      <c r="E48" s="16">
        <f>Лист1!S41</f>
        <v>9786.52</v>
      </c>
      <c r="F48" s="72">
        <f>Лист1!T41</f>
        <v>0</v>
      </c>
      <c r="G48" s="43">
        <f>Лист1!AB41</f>
        <v>10009.76</v>
      </c>
      <c r="H48" s="115">
        <f>Лист1!AC41</f>
        <v>11025.36</v>
      </c>
      <c r="I48" s="42">
        <f>Лист1!AG41</f>
        <v>749.28</v>
      </c>
      <c r="J48" s="16">
        <f>Лист1!AI41+Лист1!AJ41</f>
        <v>1248.8</v>
      </c>
      <c r="K48" s="16">
        <f>Лист1!AH41+Лист1!AK41+Лист1!AL41+Лист1!AM41+Лист1!AN41+Лист1!AO41+Лист1!AP41+Лист1!AQ41+Лист1!AR41</f>
        <v>4283.384</v>
      </c>
      <c r="L48" s="17">
        <f>Лист1!AS41+Лист1!AT41+Лист1!AU41</f>
        <v>47330.970199999996</v>
      </c>
      <c r="M48" s="17">
        <f>Лист1!AX41</f>
        <v>539.6999999999999</v>
      </c>
      <c r="N48" s="100">
        <f>Лист1!BB41</f>
        <v>54152.13419999999</v>
      </c>
      <c r="O48" s="44">
        <f>Лист1!BE41</f>
        <v>-43051.77419999999</v>
      </c>
      <c r="P48" s="104">
        <f>Лист1!BF41</f>
        <v>223.23999999999978</v>
      </c>
      <c r="Q48" s="1"/>
      <c r="R48" s="1"/>
    </row>
    <row r="49" spans="1:18" s="24" customFormat="1" ht="13.5" thickBot="1">
      <c r="A49" s="46" t="s">
        <v>3</v>
      </c>
      <c r="B49" s="47"/>
      <c r="C49" s="50">
        <f aca="true" t="shared" si="3" ref="C49:P49">SUM(C37:C48)</f>
        <v>129606.40999999997</v>
      </c>
      <c r="D49" s="51">
        <f t="shared" si="3"/>
        <v>12314.04000000001</v>
      </c>
      <c r="E49" s="48">
        <f t="shared" si="3"/>
        <v>106870.61</v>
      </c>
      <c r="F49" s="48">
        <f t="shared" si="3"/>
        <v>10421.760000000002</v>
      </c>
      <c r="G49" s="49">
        <f t="shared" si="3"/>
        <v>90543.28999999998</v>
      </c>
      <c r="H49" s="90">
        <f t="shared" si="3"/>
        <v>113279.09000000001</v>
      </c>
      <c r="I49" s="51">
        <f t="shared" si="3"/>
        <v>8990.039999999999</v>
      </c>
      <c r="J49" s="48">
        <f t="shared" si="3"/>
        <v>14983.399999999996</v>
      </c>
      <c r="K49" s="48">
        <f t="shared" si="3"/>
        <v>53021.16199999999</v>
      </c>
      <c r="L49" s="48">
        <f t="shared" si="3"/>
        <v>88374.0402</v>
      </c>
      <c r="M49" s="48">
        <f t="shared" si="3"/>
        <v>4620</v>
      </c>
      <c r="N49" s="82">
        <f t="shared" si="3"/>
        <v>169988.64220000003</v>
      </c>
      <c r="O49" s="52">
        <f t="shared" si="3"/>
        <v>-56484.55219999998</v>
      </c>
      <c r="P49" s="106">
        <f t="shared" si="3"/>
        <v>-16327.319999999998</v>
      </c>
      <c r="Q49" s="53"/>
      <c r="R49" s="53"/>
    </row>
    <row r="50" spans="1:18" ht="13.5" thickBot="1">
      <c r="A50" s="84" t="s">
        <v>66</v>
      </c>
      <c r="B50" s="85"/>
      <c r="C50" s="86"/>
      <c r="D50" s="85"/>
      <c r="E50" s="85"/>
      <c r="F50" s="85"/>
      <c r="G50" s="84"/>
      <c r="H50" s="117"/>
      <c r="I50" s="85"/>
      <c r="J50" s="85"/>
      <c r="K50" s="85"/>
      <c r="L50" s="85"/>
      <c r="M50" s="85"/>
      <c r="N50" s="87"/>
      <c r="O50" s="109"/>
      <c r="P50" s="107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290319.94999999995</v>
      </c>
      <c r="D51" s="113">
        <f aca="true" t="shared" si="4" ref="D51:P51">D35+D49</f>
        <v>33851.823792200004</v>
      </c>
      <c r="E51" s="59">
        <f t="shared" si="4"/>
        <v>221533.33999999997</v>
      </c>
      <c r="F51" s="112">
        <f t="shared" si="4"/>
        <v>34353.920000000006</v>
      </c>
      <c r="G51" s="61">
        <f t="shared" si="4"/>
        <v>190673.97999999998</v>
      </c>
      <c r="H51" s="83">
        <f t="shared" si="4"/>
        <v>258879.72379220003</v>
      </c>
      <c r="I51" s="113">
        <f t="shared" si="4"/>
        <v>19837.775999999998</v>
      </c>
      <c r="J51" s="59">
        <f t="shared" si="4"/>
        <v>32930.007883759994</v>
      </c>
      <c r="K51" s="59">
        <f t="shared" si="4"/>
        <v>127382.61126205037</v>
      </c>
      <c r="L51" s="59">
        <f t="shared" si="4"/>
        <v>106212.171</v>
      </c>
      <c r="M51" s="59">
        <f t="shared" si="4"/>
        <v>8981.284</v>
      </c>
      <c r="N51" s="91">
        <f t="shared" si="4"/>
        <v>295343.8501458104</v>
      </c>
      <c r="O51" s="62">
        <f t="shared" si="4"/>
        <v>-36239.126353610365</v>
      </c>
      <c r="P51" s="108">
        <f t="shared" si="4"/>
        <v>-30680.245958355998</v>
      </c>
      <c r="Q51" s="63"/>
      <c r="R51" s="53"/>
    </row>
    <row r="53" spans="1:18" ht="12.75">
      <c r="A53" s="24" t="s">
        <v>67</v>
      </c>
      <c r="D53" s="2" t="s">
        <v>92</v>
      </c>
      <c r="Q53" s="1"/>
      <c r="R53" s="1"/>
    </row>
    <row r="54" spans="1:18" ht="12.75">
      <c r="A54" s="26" t="s">
        <v>68</v>
      </c>
      <c r="B54" s="26" t="s">
        <v>69</v>
      </c>
      <c r="C54" s="278" t="s">
        <v>70</v>
      </c>
      <c r="D54" s="279"/>
      <c r="Q54" s="1"/>
      <c r="R54" s="1"/>
    </row>
    <row r="55" spans="1:18" ht="12.75">
      <c r="A55" s="69">
        <v>76107.78</v>
      </c>
      <c r="B55" s="71">
        <v>63167.52</v>
      </c>
      <c r="C55" s="280">
        <f>A55-B55</f>
        <v>12940.260000000002</v>
      </c>
      <c r="D55" s="281"/>
      <c r="Q55" s="1"/>
      <c r="R55" s="1"/>
    </row>
    <row r="56" spans="1:18" ht="12.75">
      <c r="A56" s="64"/>
      <c r="Q56" s="1"/>
      <c r="R56" s="1"/>
    </row>
    <row r="57" spans="1:18" ht="12.75">
      <c r="A57" s="6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94</v>
      </c>
    </row>
    <row r="62" ht="12.75">
      <c r="A62" s="2" t="s">
        <v>73</v>
      </c>
    </row>
  </sheetData>
  <sheetProtection/>
  <mergeCells count="21">
    <mergeCell ref="I10:N11"/>
    <mergeCell ref="O10:O13"/>
    <mergeCell ref="C54:D54"/>
    <mergeCell ref="C55:D55"/>
    <mergeCell ref="N12:N13"/>
    <mergeCell ref="A6:O6"/>
    <mergeCell ref="A10:A13"/>
    <mergeCell ref="B10:B13"/>
    <mergeCell ref="C10:C13"/>
    <mergeCell ref="D10:D13"/>
    <mergeCell ref="E10:F11"/>
    <mergeCell ref="M12:M13"/>
    <mergeCell ref="A7:G7"/>
    <mergeCell ref="P10:P13"/>
    <mergeCell ref="E12:F12"/>
    <mergeCell ref="H12:H13"/>
    <mergeCell ref="I12:I13"/>
    <mergeCell ref="J12:J13"/>
    <mergeCell ref="K12:K13"/>
    <mergeCell ref="L12:L13"/>
    <mergeCell ref="G10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9" sqref="BE9"/>
    </sheetView>
  </sheetViews>
  <sheetFormatPr defaultColWidth="9.00390625" defaultRowHeight="12.75"/>
  <cols>
    <col min="1" max="1" width="8.75390625" style="304" bestFit="1" customWidth="1"/>
    <col min="2" max="2" width="9.125" style="304" customWidth="1"/>
    <col min="3" max="3" width="11.375" style="304" customWidth="1"/>
    <col min="4" max="4" width="10.375" style="304" customWidth="1"/>
    <col min="5" max="5" width="10.125" style="304" bestFit="1" customWidth="1"/>
    <col min="6" max="6" width="9.125" style="304" customWidth="1"/>
    <col min="7" max="7" width="10.25390625" style="304" customWidth="1"/>
    <col min="8" max="8" width="9.125" style="304" customWidth="1"/>
    <col min="9" max="9" width="9.875" style="304" customWidth="1"/>
    <col min="10" max="10" width="9.125" style="304" customWidth="1"/>
    <col min="11" max="11" width="10.375" style="304" customWidth="1"/>
    <col min="12" max="12" width="9.125" style="304" customWidth="1"/>
    <col min="13" max="13" width="10.125" style="304" bestFit="1" customWidth="1"/>
    <col min="14" max="14" width="9.125" style="304" customWidth="1"/>
    <col min="15" max="15" width="10.125" style="304" bestFit="1" customWidth="1"/>
    <col min="16" max="18" width="9.125" style="304" customWidth="1"/>
    <col min="19" max="19" width="10.125" style="304" bestFit="1" customWidth="1"/>
    <col min="20" max="20" width="10.125" style="304" customWidth="1"/>
    <col min="21" max="21" width="10.125" style="304" bestFit="1" customWidth="1"/>
    <col min="22" max="22" width="10.25390625" style="304" customWidth="1"/>
    <col min="23" max="23" width="10.625" style="304" customWidth="1"/>
    <col min="24" max="24" width="10.125" style="304" customWidth="1"/>
    <col min="25" max="28" width="10.125" style="304" bestFit="1" customWidth="1"/>
    <col min="29" max="30" width="11.375" style="304" customWidth="1"/>
    <col min="31" max="31" width="9.25390625" style="304" bestFit="1" customWidth="1"/>
    <col min="32" max="32" width="10.125" style="304" bestFit="1" customWidth="1"/>
    <col min="33" max="33" width="12.00390625" style="304" customWidth="1"/>
    <col min="34" max="34" width="14.25390625" style="304" customWidth="1"/>
    <col min="35" max="35" width="9.25390625" style="304" bestFit="1" customWidth="1"/>
    <col min="36" max="36" width="12.625" style="304" customWidth="1"/>
    <col min="37" max="38" width="9.25390625" style="304" bestFit="1" customWidth="1"/>
    <col min="39" max="39" width="10.125" style="304" bestFit="1" customWidth="1"/>
    <col min="40" max="40" width="9.25390625" style="304" bestFit="1" customWidth="1"/>
    <col min="41" max="42" width="10.125" style="304" bestFit="1" customWidth="1"/>
    <col min="43" max="44" width="9.25390625" style="304" customWidth="1"/>
    <col min="45" max="45" width="10.125" style="304" bestFit="1" customWidth="1"/>
    <col min="46" max="46" width="11.625" style="304" customWidth="1"/>
    <col min="47" max="47" width="10.875" style="304" customWidth="1"/>
    <col min="48" max="48" width="10.625" style="304" customWidth="1"/>
    <col min="49" max="49" width="10.25390625" style="304" customWidth="1"/>
    <col min="50" max="50" width="10.625" style="304" customWidth="1"/>
    <col min="51" max="51" width="9.25390625" style="304" bestFit="1" customWidth="1"/>
    <col min="52" max="53" width="10.125" style="304" bestFit="1" customWidth="1"/>
    <col min="54" max="54" width="11.625" style="304" customWidth="1"/>
    <col min="55" max="55" width="11.75390625" style="304" customWidth="1"/>
    <col min="56" max="56" width="12.125" style="304" customWidth="1"/>
    <col min="57" max="57" width="13.625" style="304" customWidth="1"/>
    <col min="58" max="58" width="11.00390625" style="304" customWidth="1"/>
    <col min="59" max="59" width="11.375" style="304" customWidth="1"/>
    <col min="60" max="16384" width="9.125" style="304" customWidth="1"/>
  </cols>
  <sheetData>
    <row r="1" spans="1:18" ht="21" customHeight="1">
      <c r="A1" s="206" t="s">
        <v>95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303"/>
      <c r="P1" s="303"/>
      <c r="Q1" s="303"/>
      <c r="R1" s="303"/>
    </row>
    <row r="2" spans="1:18" ht="13.5" thickBot="1">
      <c r="A2" s="303"/>
      <c r="B2" s="305"/>
      <c r="C2" s="306"/>
      <c r="D2" s="306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59" ht="29.25" customHeight="1" thickBot="1">
      <c r="A3" s="207" t="s">
        <v>96</v>
      </c>
      <c r="B3" s="209" t="s">
        <v>0</v>
      </c>
      <c r="C3" s="211" t="s">
        <v>1</v>
      </c>
      <c r="D3" s="213" t="s">
        <v>2</v>
      </c>
      <c r="E3" s="207" t="s">
        <v>97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0"/>
      <c r="S3" s="207"/>
      <c r="T3" s="223"/>
      <c r="U3" s="207" t="s">
        <v>3</v>
      </c>
      <c r="V3" s="223"/>
      <c r="W3" s="230" t="s">
        <v>4</v>
      </c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307"/>
      <c r="AJ3" s="308" t="s">
        <v>80</v>
      </c>
      <c r="AK3" s="197" t="s">
        <v>8</v>
      </c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10"/>
      <c r="BF3" s="311" t="s">
        <v>9</v>
      </c>
      <c r="BG3" s="312" t="s">
        <v>10</v>
      </c>
    </row>
    <row r="4" spans="1:59" ht="51.75" customHeight="1" hidden="1" thickBot="1">
      <c r="A4" s="208"/>
      <c r="B4" s="210"/>
      <c r="C4" s="212"/>
      <c r="D4" s="214"/>
      <c r="E4" s="208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5"/>
      <c r="S4" s="221"/>
      <c r="T4" s="229"/>
      <c r="U4" s="221"/>
      <c r="V4" s="229"/>
      <c r="W4" s="232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313"/>
      <c r="AJ4" s="314"/>
      <c r="AK4" s="198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5"/>
      <c r="BF4" s="315"/>
      <c r="BG4" s="316"/>
    </row>
    <row r="5" spans="1:61" ht="19.5" customHeight="1">
      <c r="A5" s="208"/>
      <c r="B5" s="210"/>
      <c r="C5" s="212"/>
      <c r="D5" s="214"/>
      <c r="E5" s="317" t="s">
        <v>11</v>
      </c>
      <c r="F5" s="318"/>
      <c r="G5" s="317" t="s">
        <v>98</v>
      </c>
      <c r="H5" s="318"/>
      <c r="I5" s="317" t="s">
        <v>12</v>
      </c>
      <c r="J5" s="318"/>
      <c r="K5" s="317" t="s">
        <v>14</v>
      </c>
      <c r="L5" s="318"/>
      <c r="M5" s="317" t="s">
        <v>13</v>
      </c>
      <c r="N5" s="318"/>
      <c r="O5" s="319" t="s">
        <v>15</v>
      </c>
      <c r="P5" s="319"/>
      <c r="Q5" s="317" t="s">
        <v>99</v>
      </c>
      <c r="R5" s="318"/>
      <c r="S5" s="319" t="s">
        <v>100</v>
      </c>
      <c r="T5" s="318"/>
      <c r="U5" s="202" t="s">
        <v>18</v>
      </c>
      <c r="V5" s="237" t="s">
        <v>19</v>
      </c>
      <c r="W5" s="320" t="s">
        <v>20</v>
      </c>
      <c r="X5" s="320" t="s">
        <v>101</v>
      </c>
      <c r="Y5" s="320" t="s">
        <v>21</v>
      </c>
      <c r="Z5" s="320" t="s">
        <v>23</v>
      </c>
      <c r="AA5" s="320" t="s">
        <v>22</v>
      </c>
      <c r="AB5" s="320" t="s">
        <v>24</v>
      </c>
      <c r="AC5" s="320" t="s">
        <v>25</v>
      </c>
      <c r="AD5" s="321" t="s">
        <v>26</v>
      </c>
      <c r="AE5" s="321" t="s">
        <v>102</v>
      </c>
      <c r="AF5" s="322" t="s">
        <v>27</v>
      </c>
      <c r="AG5" s="323" t="s">
        <v>79</v>
      </c>
      <c r="AH5" s="324" t="s">
        <v>6</v>
      </c>
      <c r="AI5" s="325" t="s">
        <v>7</v>
      </c>
      <c r="AJ5" s="314"/>
      <c r="AK5" s="326" t="s">
        <v>103</v>
      </c>
      <c r="AL5" s="327" t="s">
        <v>104</v>
      </c>
      <c r="AM5" s="327" t="s">
        <v>105</v>
      </c>
      <c r="AN5" s="245" t="s">
        <v>106</v>
      </c>
      <c r="AO5" s="327" t="s">
        <v>107</v>
      </c>
      <c r="AP5" s="245" t="s">
        <v>108</v>
      </c>
      <c r="AQ5" s="245" t="s">
        <v>109</v>
      </c>
      <c r="AR5" s="245" t="s">
        <v>110</v>
      </c>
      <c r="AS5" s="245" t="s">
        <v>111</v>
      </c>
      <c r="AT5" s="245" t="s">
        <v>34</v>
      </c>
      <c r="AU5" s="328" t="s">
        <v>112</v>
      </c>
      <c r="AV5" s="195" t="s">
        <v>113</v>
      </c>
      <c r="AW5" s="328" t="s">
        <v>114</v>
      </c>
      <c r="AX5" s="329" t="s">
        <v>115</v>
      </c>
      <c r="AY5" s="330"/>
      <c r="AZ5" s="249" t="s">
        <v>17</v>
      </c>
      <c r="BA5" s="245" t="s">
        <v>36</v>
      </c>
      <c r="BB5" s="245" t="s">
        <v>31</v>
      </c>
      <c r="BC5" s="331" t="s">
        <v>37</v>
      </c>
      <c r="BD5" s="242" t="s">
        <v>82</v>
      </c>
      <c r="BE5" s="245" t="s">
        <v>83</v>
      </c>
      <c r="BF5" s="315"/>
      <c r="BG5" s="316"/>
      <c r="BH5" s="189"/>
      <c r="BI5" s="188"/>
    </row>
    <row r="6" spans="1:61" ht="56.25" customHeight="1" thickBot="1">
      <c r="A6" s="208"/>
      <c r="B6" s="210"/>
      <c r="C6" s="212"/>
      <c r="D6" s="214"/>
      <c r="E6" s="332"/>
      <c r="F6" s="333"/>
      <c r="G6" s="332"/>
      <c r="H6" s="333"/>
      <c r="I6" s="332"/>
      <c r="J6" s="333"/>
      <c r="K6" s="332"/>
      <c r="L6" s="333"/>
      <c r="M6" s="332"/>
      <c r="N6" s="333"/>
      <c r="O6" s="334"/>
      <c r="P6" s="334"/>
      <c r="Q6" s="332"/>
      <c r="R6" s="333"/>
      <c r="S6" s="335"/>
      <c r="T6" s="333"/>
      <c r="U6" s="336"/>
      <c r="V6" s="337"/>
      <c r="W6" s="338"/>
      <c r="X6" s="338"/>
      <c r="Y6" s="338"/>
      <c r="Z6" s="338"/>
      <c r="AA6" s="338"/>
      <c r="AB6" s="338"/>
      <c r="AC6" s="338"/>
      <c r="AD6" s="339"/>
      <c r="AE6" s="339"/>
      <c r="AF6" s="340"/>
      <c r="AG6" s="341"/>
      <c r="AH6" s="342"/>
      <c r="AI6" s="343"/>
      <c r="AJ6" s="344"/>
      <c r="AK6" s="257"/>
      <c r="AL6" s="259"/>
      <c r="AM6" s="259"/>
      <c r="AN6" s="192"/>
      <c r="AO6" s="259"/>
      <c r="AP6" s="192"/>
      <c r="AQ6" s="192"/>
      <c r="AR6" s="192"/>
      <c r="AS6" s="192"/>
      <c r="AT6" s="192"/>
      <c r="AU6" s="261"/>
      <c r="AV6" s="196"/>
      <c r="AW6" s="261"/>
      <c r="AX6" s="345"/>
      <c r="AY6" s="124" t="s">
        <v>116</v>
      </c>
      <c r="AZ6" s="250"/>
      <c r="BA6" s="192"/>
      <c r="BB6" s="192"/>
      <c r="BC6" s="346"/>
      <c r="BD6" s="244"/>
      <c r="BE6" s="192"/>
      <c r="BF6" s="347"/>
      <c r="BG6" s="348"/>
      <c r="BH6" s="189"/>
      <c r="BI6" s="188"/>
    </row>
    <row r="7" spans="1:61" ht="19.5" customHeight="1" thickBot="1">
      <c r="A7" s="190">
        <v>1</v>
      </c>
      <c r="B7" s="39">
        <v>2</v>
      </c>
      <c r="C7" s="39">
        <v>3</v>
      </c>
      <c r="D7" s="190">
        <v>4</v>
      </c>
      <c r="E7" s="39">
        <v>5</v>
      </c>
      <c r="F7" s="39">
        <v>6</v>
      </c>
      <c r="G7" s="190">
        <v>7</v>
      </c>
      <c r="H7" s="39">
        <v>8</v>
      </c>
      <c r="I7" s="39">
        <v>9</v>
      </c>
      <c r="J7" s="190">
        <v>10</v>
      </c>
      <c r="K7" s="39">
        <v>11</v>
      </c>
      <c r="L7" s="39">
        <v>12</v>
      </c>
      <c r="M7" s="190">
        <v>13</v>
      </c>
      <c r="N7" s="39">
        <v>14</v>
      </c>
      <c r="O7" s="39">
        <v>15</v>
      </c>
      <c r="P7" s="190">
        <v>16</v>
      </c>
      <c r="Q7" s="39">
        <v>17</v>
      </c>
      <c r="R7" s="39">
        <v>18</v>
      </c>
      <c r="S7" s="190">
        <v>19</v>
      </c>
      <c r="T7" s="39">
        <v>20</v>
      </c>
      <c r="U7" s="39">
        <v>21</v>
      </c>
      <c r="V7" s="190">
        <v>22</v>
      </c>
      <c r="W7" s="39">
        <v>23</v>
      </c>
      <c r="X7" s="190">
        <v>24</v>
      </c>
      <c r="Y7" s="39">
        <v>25</v>
      </c>
      <c r="Z7" s="190">
        <v>26</v>
      </c>
      <c r="AA7" s="39">
        <v>27</v>
      </c>
      <c r="AB7" s="190">
        <v>28</v>
      </c>
      <c r="AC7" s="39">
        <v>29</v>
      </c>
      <c r="AD7" s="190">
        <v>30</v>
      </c>
      <c r="AE7" s="190">
        <v>31</v>
      </c>
      <c r="AF7" s="39">
        <v>32</v>
      </c>
      <c r="AG7" s="190">
        <v>33</v>
      </c>
      <c r="AH7" s="39">
        <v>34</v>
      </c>
      <c r="AI7" s="190">
        <v>35</v>
      </c>
      <c r="AJ7" s="39">
        <v>36</v>
      </c>
      <c r="AK7" s="190">
        <v>37</v>
      </c>
      <c r="AL7" s="39">
        <v>38</v>
      </c>
      <c r="AM7" s="190">
        <v>39</v>
      </c>
      <c r="AN7" s="190">
        <v>40</v>
      </c>
      <c r="AO7" s="39">
        <v>41</v>
      </c>
      <c r="AP7" s="190">
        <v>42</v>
      </c>
      <c r="AQ7" s="39">
        <v>43</v>
      </c>
      <c r="AR7" s="190"/>
      <c r="AS7" s="190">
        <v>44</v>
      </c>
      <c r="AT7" s="39">
        <v>45</v>
      </c>
      <c r="AU7" s="190">
        <v>46</v>
      </c>
      <c r="AV7" s="39">
        <v>47</v>
      </c>
      <c r="AW7" s="190">
        <v>48</v>
      </c>
      <c r="AX7" s="190">
        <v>49</v>
      </c>
      <c r="AY7" s="39"/>
      <c r="AZ7" s="39">
        <v>50</v>
      </c>
      <c r="BA7" s="39">
        <v>51</v>
      </c>
      <c r="BB7" s="39">
        <v>52</v>
      </c>
      <c r="BC7" s="39">
        <v>53</v>
      </c>
      <c r="BD7" s="39">
        <v>54</v>
      </c>
      <c r="BE7" s="39"/>
      <c r="BF7" s="39">
        <v>55</v>
      </c>
      <c r="BG7" s="39">
        <v>56</v>
      </c>
      <c r="BH7" s="188"/>
      <c r="BI7" s="188"/>
    </row>
    <row r="8" spans="1:59" s="24" customFormat="1" ht="13.5" thickBot="1">
      <c r="A8" s="27" t="s">
        <v>52</v>
      </c>
      <c r="B8" s="349"/>
      <c r="C8" s="349">
        <f>Лист1!C44</f>
        <v>290319.94999999995</v>
      </c>
      <c r="D8" s="349">
        <f>Лист1!D44</f>
        <v>33851.823792200004</v>
      </c>
      <c r="E8" s="349">
        <f>Лист1!E44</f>
        <v>25578.61</v>
      </c>
      <c r="F8" s="349">
        <f>Лист1!F44</f>
        <v>3965.9400000000005</v>
      </c>
      <c r="G8" s="349">
        <f>0</f>
        <v>0</v>
      </c>
      <c r="H8" s="349">
        <f>0</f>
        <v>0</v>
      </c>
      <c r="I8" s="349">
        <f>Лист1!G44</f>
        <v>34624.340000000004</v>
      </c>
      <c r="J8" s="349">
        <f>Лист1!H44</f>
        <v>5370.11</v>
      </c>
      <c r="K8" s="349">
        <f>Лист1!K44</f>
        <v>57645.07000000001</v>
      </c>
      <c r="L8" s="349">
        <f>Лист1!L44</f>
        <v>8939.19</v>
      </c>
      <c r="M8" s="349">
        <f>Лист1!I44</f>
        <v>83222.65</v>
      </c>
      <c r="N8" s="349">
        <f>Лист1!J44</f>
        <v>12905.759999999998</v>
      </c>
      <c r="O8" s="349">
        <f>Лист1!M44</f>
        <v>20462.670000000002</v>
      </c>
      <c r="P8" s="349">
        <f>Лист1!N44</f>
        <v>3172.9199999999996</v>
      </c>
      <c r="Q8" s="349">
        <f>'[3]Лист1'!O44</f>
        <v>0</v>
      </c>
      <c r="R8" s="349">
        <f>'[3]Лист1'!P44</f>
        <v>0</v>
      </c>
      <c r="S8" s="349">
        <f>'[3]Лист1'!Q44</f>
        <v>0</v>
      </c>
      <c r="T8" s="349">
        <f>'[3]Лист1'!R44</f>
        <v>0</v>
      </c>
      <c r="U8" s="349">
        <f>Лист1!S44</f>
        <v>221533.33999999997</v>
      </c>
      <c r="V8" s="349">
        <f>Лист1!T44</f>
        <v>34353.920000000006</v>
      </c>
      <c r="W8" s="349">
        <f>Лист1!U44</f>
        <v>21786.08</v>
      </c>
      <c r="X8" s="349">
        <v>0</v>
      </c>
      <c r="Y8" s="349">
        <f>Лист1!V44</f>
        <v>29486.379999999997</v>
      </c>
      <c r="Z8" s="349">
        <f>Лист1!X44</f>
        <v>49093.72</v>
      </c>
      <c r="AA8" s="349">
        <f>Лист1!W44</f>
        <v>72879.17000000001</v>
      </c>
      <c r="AB8" s="349">
        <f>Лист1!Y44</f>
        <v>17428.63</v>
      </c>
      <c r="AC8" s="349">
        <f>'[4]Лист1'!Z42</f>
        <v>0</v>
      </c>
      <c r="AD8" s="349">
        <f>'[4]Лист1'!AA42</f>
        <v>0</v>
      </c>
      <c r="AE8" s="349">
        <f>0</f>
        <v>0</v>
      </c>
      <c r="AF8" s="349">
        <f>Лист1!AB44</f>
        <v>190673.97999999998</v>
      </c>
      <c r="AG8" s="349">
        <f>Лист1!AC44</f>
        <v>258879.72379220003</v>
      </c>
      <c r="AH8" s="349">
        <f>'[5]2010 печать'!AD44</f>
        <v>0</v>
      </c>
      <c r="AI8" s="349">
        <f>'[4]Лист1'!AE42</f>
        <v>0</v>
      </c>
      <c r="AJ8" s="349">
        <f>Лист1!AF44</f>
        <v>300</v>
      </c>
      <c r="AK8" s="349">
        <f>Лист1!AG44</f>
        <v>19837.775999999998</v>
      </c>
      <c r="AL8" s="349">
        <f>Лист1!AH44</f>
        <v>6646.5060711999995</v>
      </c>
      <c r="AM8" s="349">
        <f>Лист1!AI44+Лист1!AJ44</f>
        <v>32930.007883759994</v>
      </c>
      <c r="AN8" s="349">
        <v>0</v>
      </c>
      <c r="AO8" s="349">
        <f>Лист1!AK44+Лист1!AL44</f>
        <v>32817.7391543052</v>
      </c>
      <c r="AP8" s="349">
        <f>Лист1!AM44+Лист1!AN44</f>
        <v>73492.00963654519</v>
      </c>
      <c r="AQ8" s="349">
        <v>0</v>
      </c>
      <c r="AR8" s="349">
        <v>0</v>
      </c>
      <c r="AS8" s="349">
        <v>0</v>
      </c>
      <c r="AT8" s="349">
        <f>Лист1!AO44</f>
        <v>1628.1000000000001</v>
      </c>
      <c r="AU8" s="349">
        <f>Лист1!AS44+Лист1!AU44</f>
        <v>65834.211</v>
      </c>
      <c r="AV8" s="349">
        <v>0</v>
      </c>
      <c r="AW8" s="349">
        <f>Лист1!AT44</f>
        <v>40377.96</v>
      </c>
      <c r="AX8" s="349">
        <f>Лист1!AQ44+Лист1!AR44</f>
        <v>12798.2564</v>
      </c>
      <c r="AY8" s="350">
        <f>Лист1!AX44</f>
        <v>8981.284</v>
      </c>
      <c r="AZ8" s="350">
        <f>'[3]Лист1'!AY44</f>
        <v>0</v>
      </c>
      <c r="BA8" s="350">
        <f>'[2]Лист1'!AZ44</f>
        <v>0</v>
      </c>
      <c r="BB8" s="350">
        <v>0</v>
      </c>
      <c r="BC8" s="350">
        <f>Лист1!BB44</f>
        <v>295343.8501458104</v>
      </c>
      <c r="BD8" s="349">
        <f>Лист1!BC44</f>
        <v>75</v>
      </c>
      <c r="BE8" s="351">
        <f>BD8+BC8</f>
        <v>295418.8501458104</v>
      </c>
      <c r="BF8" s="352">
        <f>Лист1!BE44</f>
        <v>-36239.126353610365</v>
      </c>
      <c r="BG8" s="352">
        <f>Лист1!BF44</f>
        <v>-30859.36</v>
      </c>
    </row>
    <row r="9" spans="1:59" ht="12.75">
      <c r="A9" s="5" t="s">
        <v>117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4"/>
      <c r="BF9" s="352"/>
      <c r="BG9" s="355"/>
    </row>
    <row r="10" spans="1:71" ht="12.75">
      <c r="A10" s="356" t="s">
        <v>43</v>
      </c>
      <c r="B10" s="357">
        <v>1248.8</v>
      </c>
      <c r="C10" s="177">
        <f aca="true" t="shared" si="0" ref="C10:C19">B10*8.55</f>
        <v>10677.24</v>
      </c>
      <c r="D10" s="132">
        <v>88.407</v>
      </c>
      <c r="E10" s="358">
        <v>0</v>
      </c>
      <c r="F10" s="358">
        <v>0</v>
      </c>
      <c r="G10" s="359">
        <v>6547.04</v>
      </c>
      <c r="H10" s="359">
        <v>0</v>
      </c>
      <c r="I10" s="359">
        <v>0</v>
      </c>
      <c r="J10" s="359">
        <v>0</v>
      </c>
      <c r="K10" s="359">
        <v>0</v>
      </c>
      <c r="L10" s="359">
        <v>0</v>
      </c>
      <c r="M10" s="359">
        <v>3150.29</v>
      </c>
      <c r="N10" s="359">
        <v>0</v>
      </c>
      <c r="O10" s="359">
        <v>1092.4</v>
      </c>
      <c r="P10" s="358">
        <v>0</v>
      </c>
      <c r="Q10" s="360">
        <v>0</v>
      </c>
      <c r="R10" s="361">
        <v>0</v>
      </c>
      <c r="S10" s="362">
        <v>0</v>
      </c>
      <c r="T10" s="363">
        <v>0</v>
      </c>
      <c r="U10" s="364">
        <f aca="true" t="shared" si="1" ref="U10:V21">E10+G10+I10+K10+M10+O10+Q10+S10</f>
        <v>10789.73</v>
      </c>
      <c r="V10" s="365">
        <f t="shared" si="1"/>
        <v>0</v>
      </c>
      <c r="W10" s="359">
        <v>715.41</v>
      </c>
      <c r="X10" s="359"/>
      <c r="Y10" s="359">
        <v>969.6</v>
      </c>
      <c r="Z10" s="359">
        <v>1613.48</v>
      </c>
      <c r="AA10" s="359">
        <v>2328.88</v>
      </c>
      <c r="AB10" s="359">
        <v>572.34</v>
      </c>
      <c r="AC10" s="359">
        <v>0</v>
      </c>
      <c r="AD10" s="358">
        <v>0</v>
      </c>
      <c r="AE10" s="366">
        <v>0</v>
      </c>
      <c r="AF10" s="366">
        <f>SUM(W10:AE10)</f>
        <v>6199.71</v>
      </c>
      <c r="AG10" s="367">
        <f>AF10+V10+D10</f>
        <v>6288.117</v>
      </c>
      <c r="AH10" s="368">
        <f aca="true" t="shared" si="2" ref="AH10:AI21">AC10</f>
        <v>0</v>
      </c>
      <c r="AI10" s="368">
        <f t="shared" si="2"/>
        <v>0</v>
      </c>
      <c r="AJ10" s="497">
        <f>'[6]Т01'!$I$157</f>
        <v>100</v>
      </c>
      <c r="AK10" s="369">
        <f aca="true" t="shared" si="3" ref="AK10:AK21">0.67*B10</f>
        <v>836.696</v>
      </c>
      <c r="AL10" s="369">
        <f aca="true" t="shared" si="4" ref="AL10:AL21">B10*0.2</f>
        <v>249.76</v>
      </c>
      <c r="AM10" s="369">
        <f aca="true" t="shared" si="5" ref="AM10:AM21">B10*1</f>
        <v>1248.8</v>
      </c>
      <c r="AN10" s="369">
        <f aca="true" t="shared" si="6" ref="AN10:AN21">B10*0.21</f>
        <v>262.248</v>
      </c>
      <c r="AO10" s="369">
        <f aca="true" t="shared" si="7" ref="AO10:AO21">2.02*B10</f>
        <v>2522.576</v>
      </c>
      <c r="AP10" s="369">
        <f aca="true" t="shared" si="8" ref="AP10:AP21">B10*1.03</f>
        <v>1286.264</v>
      </c>
      <c r="AQ10" s="369">
        <f aca="true" t="shared" si="9" ref="AQ10:AQ21">B10*0.75</f>
        <v>936.5999999999999</v>
      </c>
      <c r="AR10" s="369">
        <f aca="true" t="shared" si="10" ref="AR10:AR21">B10*0.75</f>
        <v>936.5999999999999</v>
      </c>
      <c r="AS10" s="369">
        <f>B10*1.15</f>
        <v>1436.12</v>
      </c>
      <c r="AT10" s="392"/>
      <c r="AU10" s="498"/>
      <c r="AV10" s="499"/>
      <c r="AW10" s="498"/>
      <c r="AX10" s="498"/>
      <c r="AY10" s="392"/>
      <c r="AZ10" s="178"/>
      <c r="BA10" s="178"/>
      <c r="BB10" s="371">
        <f>BA10*0.18</f>
        <v>0</v>
      </c>
      <c r="BC10" s="371">
        <f>SUM(AK10:BB10)</f>
        <v>9715.664</v>
      </c>
      <c r="BD10" s="500">
        <f>'[6]Т01'!$R$157</f>
        <v>25</v>
      </c>
      <c r="BE10" s="372">
        <f>BC10+BD10</f>
        <v>9740.664</v>
      </c>
      <c r="BF10" s="372">
        <f>AG10+AJ10-BE10</f>
        <v>-3352.5470000000005</v>
      </c>
      <c r="BG10" s="372">
        <f>AF10-U10</f>
        <v>-4590.0199999999995</v>
      </c>
      <c r="BH10" s="372"/>
      <c r="BI10" s="372"/>
      <c r="BJ10" s="373"/>
      <c r="BK10" s="373"/>
      <c r="BL10" s="371"/>
      <c r="BM10" s="352"/>
      <c r="BN10" s="352"/>
      <c r="BO10" s="355"/>
      <c r="BP10" s="374"/>
      <c r="BQ10" s="375"/>
      <c r="BR10" s="376"/>
      <c r="BS10" s="377"/>
    </row>
    <row r="11" spans="1:69" ht="12.75">
      <c r="A11" s="356" t="s">
        <v>44</v>
      </c>
      <c r="B11" s="357">
        <v>1248.8</v>
      </c>
      <c r="C11" s="177">
        <f t="shared" si="0"/>
        <v>10677.24</v>
      </c>
      <c r="D11" s="132">
        <v>88.407</v>
      </c>
      <c r="E11" s="358">
        <v>-2</v>
      </c>
      <c r="F11" s="358">
        <v>0</v>
      </c>
      <c r="G11" s="359">
        <v>6428.46</v>
      </c>
      <c r="H11" s="359">
        <v>0</v>
      </c>
      <c r="I11" s="359">
        <v>-2.71</v>
      </c>
      <c r="J11" s="359">
        <v>0</v>
      </c>
      <c r="K11" s="359">
        <v>-4.51</v>
      </c>
      <c r="L11" s="359">
        <v>0</v>
      </c>
      <c r="M11" s="359">
        <v>3143.78</v>
      </c>
      <c r="N11" s="359">
        <v>0</v>
      </c>
      <c r="O11" s="359">
        <v>1090.8</v>
      </c>
      <c r="P11" s="358">
        <v>0</v>
      </c>
      <c r="Q11" s="358">
        <v>0</v>
      </c>
      <c r="R11" s="358">
        <v>0</v>
      </c>
      <c r="S11" s="358">
        <v>0</v>
      </c>
      <c r="T11" s="359">
        <v>0</v>
      </c>
      <c r="U11" s="378">
        <f t="shared" si="1"/>
        <v>10653.82</v>
      </c>
      <c r="V11" s="365">
        <f t="shared" si="1"/>
        <v>0</v>
      </c>
      <c r="W11" s="359">
        <v>238.39</v>
      </c>
      <c r="X11" s="358">
        <v>3650.42</v>
      </c>
      <c r="Y11" s="359">
        <v>322.99</v>
      </c>
      <c r="Z11" s="359">
        <v>537.6</v>
      </c>
      <c r="AA11" s="359">
        <v>2663.18</v>
      </c>
      <c r="AB11" s="359">
        <v>845.76</v>
      </c>
      <c r="AC11" s="359">
        <v>0</v>
      </c>
      <c r="AD11" s="358">
        <v>0</v>
      </c>
      <c r="AE11" s="358">
        <v>0</v>
      </c>
      <c r="AF11" s="366">
        <f>SUM(W11:AE11)</f>
        <v>8258.34</v>
      </c>
      <c r="AG11" s="367">
        <f>AF11+V11+D11</f>
        <v>8346.747</v>
      </c>
      <c r="AH11" s="368">
        <f t="shared" si="2"/>
        <v>0</v>
      </c>
      <c r="AI11" s="368">
        <f t="shared" si="2"/>
        <v>0</v>
      </c>
      <c r="AJ11" s="497">
        <f>'[6]Т02'!$J$159</f>
        <v>100</v>
      </c>
      <c r="AK11" s="369">
        <f t="shared" si="3"/>
        <v>836.696</v>
      </c>
      <c r="AL11" s="369">
        <f t="shared" si="4"/>
        <v>249.76</v>
      </c>
      <c r="AM11" s="369">
        <f t="shared" si="5"/>
        <v>1248.8</v>
      </c>
      <c r="AN11" s="369">
        <f t="shared" si="6"/>
        <v>262.248</v>
      </c>
      <c r="AO11" s="369">
        <f t="shared" si="7"/>
        <v>2522.576</v>
      </c>
      <c r="AP11" s="369">
        <f t="shared" si="8"/>
        <v>1286.264</v>
      </c>
      <c r="AQ11" s="369">
        <f t="shared" si="9"/>
        <v>936.5999999999999</v>
      </c>
      <c r="AR11" s="369">
        <f t="shared" si="10"/>
        <v>936.5999999999999</v>
      </c>
      <c r="AS11" s="369">
        <f>B11*1.15</f>
        <v>1436.12</v>
      </c>
      <c r="AT11" s="369">
        <f>0.45*301.5</f>
        <v>135.675</v>
      </c>
      <c r="AU11" s="498"/>
      <c r="AV11" s="499"/>
      <c r="AW11" s="498"/>
      <c r="AX11" s="370">
        <f>22.56</f>
        <v>22.56</v>
      </c>
      <c r="AY11" s="392"/>
      <c r="AZ11" s="178"/>
      <c r="BA11" s="178"/>
      <c r="BB11" s="371">
        <f>BA11*0.18</f>
        <v>0</v>
      </c>
      <c r="BC11" s="371">
        <f>SUM(AK11:BB11)</f>
        <v>9873.899</v>
      </c>
      <c r="BD11" s="500">
        <f>'[6]Т02'!$S$158</f>
        <v>25</v>
      </c>
      <c r="BE11" s="372">
        <f aca="true" t="shared" si="11" ref="BE11:BE21">BC11+BD11</f>
        <v>9898.899</v>
      </c>
      <c r="BF11" s="372">
        <f aca="true" t="shared" si="12" ref="BF11:BF21">AG11+AJ11-BE11</f>
        <v>-1452.152</v>
      </c>
      <c r="BG11" s="372">
        <f aca="true" t="shared" si="13" ref="BG11:BG21">AF11-U11</f>
        <v>-2395.4799999999996</v>
      </c>
      <c r="BH11" s="372"/>
      <c r="BI11" s="372"/>
      <c r="BJ11" s="373"/>
      <c r="BK11" s="373"/>
      <c r="BL11" s="371"/>
      <c r="BM11" s="352"/>
      <c r="BN11" s="352"/>
      <c r="BO11" s="355"/>
      <c r="BP11" s="375"/>
      <c r="BQ11" s="379"/>
    </row>
    <row r="12" spans="1:68" ht="12.75">
      <c r="A12" s="356" t="s">
        <v>45</v>
      </c>
      <c r="B12" s="357">
        <v>1248.8</v>
      </c>
      <c r="C12" s="177">
        <f t="shared" si="0"/>
        <v>10677.24</v>
      </c>
      <c r="D12" s="132">
        <v>88.407</v>
      </c>
      <c r="E12" s="358">
        <v>0</v>
      </c>
      <c r="F12" s="358">
        <v>0</v>
      </c>
      <c r="G12" s="359">
        <v>6487.76</v>
      </c>
      <c r="H12" s="359">
        <v>0</v>
      </c>
      <c r="I12" s="359">
        <v>0</v>
      </c>
      <c r="J12" s="359">
        <v>0</v>
      </c>
      <c r="K12" s="359">
        <v>0</v>
      </c>
      <c r="L12" s="359">
        <v>0</v>
      </c>
      <c r="M12" s="359">
        <v>3150.29</v>
      </c>
      <c r="N12" s="359">
        <v>0</v>
      </c>
      <c r="O12" s="359">
        <v>1092.4</v>
      </c>
      <c r="P12" s="359">
        <v>0</v>
      </c>
      <c r="Q12" s="380">
        <v>0</v>
      </c>
      <c r="R12" s="380">
        <v>0</v>
      </c>
      <c r="S12" s="380">
        <v>0</v>
      </c>
      <c r="T12" s="359">
        <v>0</v>
      </c>
      <c r="U12" s="359">
        <f t="shared" si="1"/>
        <v>10730.449999999999</v>
      </c>
      <c r="V12" s="381">
        <f t="shared" si="1"/>
        <v>0</v>
      </c>
      <c r="W12" s="382">
        <v>692.44</v>
      </c>
      <c r="X12" s="358">
        <v>5485.04</v>
      </c>
      <c r="Y12" s="359">
        <v>938.51</v>
      </c>
      <c r="Z12" s="359">
        <v>2796.16</v>
      </c>
      <c r="AA12" s="359">
        <v>3682.9</v>
      </c>
      <c r="AB12" s="359">
        <v>1433.11</v>
      </c>
      <c r="AC12" s="359">
        <v>0</v>
      </c>
      <c r="AD12" s="358">
        <v>0</v>
      </c>
      <c r="AE12" s="359">
        <v>0</v>
      </c>
      <c r="AF12" s="383">
        <f>SUM(W12:AE12)</f>
        <v>15028.16</v>
      </c>
      <c r="AG12" s="367">
        <f>AF12+V12+D12</f>
        <v>15116.567</v>
      </c>
      <c r="AH12" s="368">
        <f t="shared" si="2"/>
        <v>0</v>
      </c>
      <c r="AI12" s="368">
        <f t="shared" si="2"/>
        <v>0</v>
      </c>
      <c r="AJ12" s="497">
        <f>'[6]Т03'!$G$159</f>
        <v>100</v>
      </c>
      <c r="AK12" s="369">
        <f t="shared" si="3"/>
        <v>836.696</v>
      </c>
      <c r="AL12" s="369">
        <f t="shared" si="4"/>
        <v>249.76</v>
      </c>
      <c r="AM12" s="369">
        <f t="shared" si="5"/>
        <v>1248.8</v>
      </c>
      <c r="AN12" s="369">
        <f t="shared" si="6"/>
        <v>262.248</v>
      </c>
      <c r="AO12" s="369">
        <f t="shared" si="7"/>
        <v>2522.576</v>
      </c>
      <c r="AP12" s="369">
        <f t="shared" si="8"/>
        <v>1286.264</v>
      </c>
      <c r="AQ12" s="369">
        <f t="shared" si="9"/>
        <v>936.5999999999999</v>
      </c>
      <c r="AR12" s="369">
        <f t="shared" si="10"/>
        <v>936.5999999999999</v>
      </c>
      <c r="AS12" s="369">
        <f>B12*1.15</f>
        <v>1436.12</v>
      </c>
      <c r="AT12" s="369">
        <f>0.45*301.5</f>
        <v>135.675</v>
      </c>
      <c r="AU12" s="498"/>
      <c r="AV12" s="499"/>
      <c r="AW12" s="498"/>
      <c r="AX12" s="498"/>
      <c r="AY12" s="392"/>
      <c r="AZ12" s="178"/>
      <c r="BA12" s="178"/>
      <c r="BB12" s="371">
        <f>BA12*0.18</f>
        <v>0</v>
      </c>
      <c r="BC12" s="371">
        <f>SUM(AK12:BB12)</f>
        <v>9851.339</v>
      </c>
      <c r="BD12" s="500">
        <f>'[6]Т03'!$S$159</f>
        <v>25</v>
      </c>
      <c r="BE12" s="372">
        <f t="shared" si="11"/>
        <v>9876.339</v>
      </c>
      <c r="BF12" s="372">
        <f t="shared" si="12"/>
        <v>5340.227999999999</v>
      </c>
      <c r="BG12" s="372">
        <f t="shared" si="13"/>
        <v>4297.710000000001</v>
      </c>
      <c r="BH12" s="372"/>
      <c r="BI12" s="372"/>
      <c r="BJ12" s="373"/>
      <c r="BK12" s="373"/>
      <c r="BL12" s="371"/>
      <c r="BM12" s="352"/>
      <c r="BN12" s="352"/>
      <c r="BO12" s="375"/>
      <c r="BP12" s="379"/>
    </row>
    <row r="13" spans="1:70" ht="12.75">
      <c r="A13" s="356" t="s">
        <v>46</v>
      </c>
      <c r="B13" s="357">
        <v>1248.8</v>
      </c>
      <c r="C13" s="177">
        <f t="shared" si="0"/>
        <v>10677.24</v>
      </c>
      <c r="D13" s="384">
        <v>88.407</v>
      </c>
      <c r="E13" s="362">
        <v>0</v>
      </c>
      <c r="F13" s="358">
        <v>0</v>
      </c>
      <c r="G13" s="382">
        <v>6487.75</v>
      </c>
      <c r="H13" s="359">
        <v>0</v>
      </c>
      <c r="I13" s="359">
        <v>0</v>
      </c>
      <c r="J13" s="359">
        <v>0</v>
      </c>
      <c r="K13" s="359">
        <v>0</v>
      </c>
      <c r="L13" s="359">
        <v>0</v>
      </c>
      <c r="M13" s="359">
        <v>3150.29</v>
      </c>
      <c r="N13" s="359">
        <v>0</v>
      </c>
      <c r="O13" s="359">
        <v>1092.4</v>
      </c>
      <c r="P13" s="358">
        <v>0</v>
      </c>
      <c r="Q13" s="385">
        <v>0</v>
      </c>
      <c r="R13" s="386">
        <v>0</v>
      </c>
      <c r="S13" s="387">
        <v>0</v>
      </c>
      <c r="T13" s="363">
        <v>0</v>
      </c>
      <c r="U13" s="378">
        <f t="shared" si="1"/>
        <v>10730.44</v>
      </c>
      <c r="V13" s="381">
        <f t="shared" si="1"/>
        <v>0</v>
      </c>
      <c r="W13" s="359">
        <v>176.77</v>
      </c>
      <c r="X13" s="358">
        <v>4791.38</v>
      </c>
      <c r="Y13" s="359">
        <v>239.02</v>
      </c>
      <c r="Z13" s="359">
        <v>398.09</v>
      </c>
      <c r="AA13" s="359">
        <v>2902.6</v>
      </c>
      <c r="AB13" s="358">
        <v>948.31</v>
      </c>
      <c r="AC13" s="359">
        <v>0</v>
      </c>
      <c r="AD13" s="358">
        <v>0</v>
      </c>
      <c r="AE13" s="358">
        <v>0</v>
      </c>
      <c r="AF13" s="366">
        <f>SUM(W13:AD13)</f>
        <v>9456.17</v>
      </c>
      <c r="AG13" s="388">
        <f>AF13+V13+D13</f>
        <v>9544.577</v>
      </c>
      <c r="AH13" s="389">
        <f t="shared" si="2"/>
        <v>0</v>
      </c>
      <c r="AI13" s="389">
        <f t="shared" si="2"/>
        <v>0</v>
      </c>
      <c r="AJ13" s="390">
        <f>'[7]Т04'!$J$161</f>
        <v>100</v>
      </c>
      <c r="AK13" s="369">
        <f t="shared" si="3"/>
        <v>836.696</v>
      </c>
      <c r="AL13" s="369">
        <f t="shared" si="4"/>
        <v>249.76</v>
      </c>
      <c r="AM13" s="369">
        <f t="shared" si="5"/>
        <v>1248.8</v>
      </c>
      <c r="AN13" s="369">
        <f t="shared" si="6"/>
        <v>262.248</v>
      </c>
      <c r="AO13" s="369">
        <f t="shared" si="7"/>
        <v>2522.576</v>
      </c>
      <c r="AP13" s="369">
        <f t="shared" si="8"/>
        <v>1286.264</v>
      </c>
      <c r="AQ13" s="369">
        <f t="shared" si="9"/>
        <v>936.5999999999999</v>
      </c>
      <c r="AR13" s="369">
        <f t="shared" si="10"/>
        <v>936.5999999999999</v>
      </c>
      <c r="AS13" s="369"/>
      <c r="AT13" s="501">
        <f>0.45*301.5</f>
        <v>135.675</v>
      </c>
      <c r="AU13" s="391"/>
      <c r="AV13" s="391"/>
      <c r="AW13" s="391"/>
      <c r="AX13" s="391">
        <f>25</f>
        <v>25</v>
      </c>
      <c r="AY13" s="392"/>
      <c r="AZ13" s="392"/>
      <c r="BA13" s="393"/>
      <c r="BB13" s="393"/>
      <c r="BC13" s="380">
        <f>SUM(AK13:BB13)</f>
        <v>8440.219</v>
      </c>
      <c r="BD13" s="394">
        <f>'[6]Т04'!$S$161</f>
        <v>25</v>
      </c>
      <c r="BE13" s="372">
        <f t="shared" si="11"/>
        <v>8465.219</v>
      </c>
      <c r="BF13" s="372">
        <f t="shared" si="12"/>
        <v>1179.3580000000002</v>
      </c>
      <c r="BG13" s="372">
        <f t="shared" si="13"/>
        <v>-1274.2700000000004</v>
      </c>
      <c r="BH13" s="372"/>
      <c r="BI13" s="372"/>
      <c r="BJ13" s="373"/>
      <c r="BK13" s="373"/>
      <c r="BL13" s="371"/>
      <c r="BM13" s="352"/>
      <c r="BN13" s="352"/>
      <c r="BO13" s="352"/>
      <c r="BP13" s="355"/>
      <c r="BQ13" s="375"/>
      <c r="BR13" s="379"/>
    </row>
    <row r="14" spans="1:69" ht="12.75">
      <c r="A14" s="356" t="s">
        <v>47</v>
      </c>
      <c r="B14" s="395">
        <v>1248.8</v>
      </c>
      <c r="C14" s="177">
        <f t="shared" si="0"/>
        <v>10677.24</v>
      </c>
      <c r="D14" s="384">
        <v>88.407</v>
      </c>
      <c r="E14" s="396">
        <v>0</v>
      </c>
      <c r="F14" s="358">
        <v>0</v>
      </c>
      <c r="G14" s="359">
        <v>6487.74</v>
      </c>
      <c r="H14" s="359">
        <v>0</v>
      </c>
      <c r="I14" s="359">
        <v>0</v>
      </c>
      <c r="J14" s="359">
        <v>0</v>
      </c>
      <c r="K14" s="359">
        <v>0</v>
      </c>
      <c r="L14" s="359">
        <v>0</v>
      </c>
      <c r="M14" s="359">
        <v>3150.29</v>
      </c>
      <c r="N14" s="359">
        <v>0</v>
      </c>
      <c r="O14" s="359">
        <v>1092.4</v>
      </c>
      <c r="P14" s="358">
        <v>0</v>
      </c>
      <c r="Q14" s="380">
        <v>0</v>
      </c>
      <c r="R14" s="397">
        <v>0</v>
      </c>
      <c r="S14" s="380">
        <v>0</v>
      </c>
      <c r="T14" s="358">
        <v>0</v>
      </c>
      <c r="U14" s="362">
        <f t="shared" si="1"/>
        <v>10730.429999999998</v>
      </c>
      <c r="V14" s="398">
        <f>F14+H14+J14+L14+N14++R14+T14</f>
        <v>0</v>
      </c>
      <c r="W14" s="359">
        <v>43.8</v>
      </c>
      <c r="X14" s="358">
        <v>8044.04</v>
      </c>
      <c r="Y14" s="359">
        <v>69.95</v>
      </c>
      <c r="Z14" s="359">
        <v>116.45</v>
      </c>
      <c r="AA14" s="359">
        <v>4037.04</v>
      </c>
      <c r="AB14" s="359">
        <v>1386.52</v>
      </c>
      <c r="AC14" s="359">
        <v>0</v>
      </c>
      <c r="AD14" s="358">
        <v>0</v>
      </c>
      <c r="AE14" s="366">
        <v>0</v>
      </c>
      <c r="AF14" s="399">
        <f>SUM(W14:AE14)</f>
        <v>13697.8</v>
      </c>
      <c r="AG14" s="388">
        <f aca="true" t="shared" si="14" ref="AG14:AG21">D14+V14+AF14</f>
        <v>13786.206999999999</v>
      </c>
      <c r="AH14" s="389">
        <f t="shared" si="2"/>
        <v>0</v>
      </c>
      <c r="AI14" s="389">
        <f t="shared" si="2"/>
        <v>0</v>
      </c>
      <c r="AJ14" s="390">
        <f>'[6]Т05'!$J$159+'[6]Т05'!$J$199</f>
        <v>214</v>
      </c>
      <c r="AK14" s="369">
        <f t="shared" si="3"/>
        <v>836.696</v>
      </c>
      <c r="AL14" s="369">
        <f t="shared" si="4"/>
        <v>249.76</v>
      </c>
      <c r="AM14" s="369">
        <f t="shared" si="5"/>
        <v>1248.8</v>
      </c>
      <c r="AN14" s="369">
        <f t="shared" si="6"/>
        <v>262.248</v>
      </c>
      <c r="AO14" s="369">
        <f t="shared" si="7"/>
        <v>2522.576</v>
      </c>
      <c r="AP14" s="369">
        <f t="shared" si="8"/>
        <v>1286.264</v>
      </c>
      <c r="AQ14" s="369">
        <f t="shared" si="9"/>
        <v>936.5999999999999</v>
      </c>
      <c r="AR14" s="369">
        <f t="shared" si="10"/>
        <v>936.5999999999999</v>
      </c>
      <c r="AS14" s="369"/>
      <c r="AT14" s="501">
        <f>0.45*301.5</f>
        <v>135.675</v>
      </c>
      <c r="AU14" s="391"/>
      <c r="AV14" s="391"/>
      <c r="AW14" s="391">
        <v>455</v>
      </c>
      <c r="AX14" s="391">
        <f>13</f>
        <v>13</v>
      </c>
      <c r="AY14" s="392"/>
      <c r="AZ14" s="392"/>
      <c r="BA14" s="393"/>
      <c r="BB14" s="393"/>
      <c r="BC14" s="380">
        <f>SUM(AK14:BB14)</f>
        <v>8883.219</v>
      </c>
      <c r="BD14" s="394">
        <f>'[6]Т05'!$S$159+'[6]Т05'!$S$199</f>
        <v>53.5</v>
      </c>
      <c r="BE14" s="372">
        <f t="shared" si="11"/>
        <v>8936.719</v>
      </c>
      <c r="BF14" s="372">
        <f t="shared" si="12"/>
        <v>5063.487999999999</v>
      </c>
      <c r="BG14" s="372">
        <f t="shared" si="13"/>
        <v>2967.370000000001</v>
      </c>
      <c r="BH14" s="372"/>
      <c r="BI14" s="372"/>
      <c r="BJ14" s="373"/>
      <c r="BK14" s="373"/>
      <c r="BL14" s="371"/>
      <c r="BM14" s="352"/>
      <c r="BN14" s="352"/>
      <c r="BO14" s="355"/>
      <c r="BP14" s="375"/>
      <c r="BQ14" s="379"/>
    </row>
    <row r="15" spans="1:69" ht="13.5" thickBot="1">
      <c r="A15" s="356" t="s">
        <v>48</v>
      </c>
      <c r="B15" s="357">
        <v>1248.8</v>
      </c>
      <c r="C15" s="177">
        <f t="shared" si="0"/>
        <v>10677.24</v>
      </c>
      <c r="D15" s="384">
        <v>88.407</v>
      </c>
      <c r="E15" s="400">
        <v>0</v>
      </c>
      <c r="F15" s="400"/>
      <c r="G15" s="400">
        <v>6487.75</v>
      </c>
      <c r="H15" s="400"/>
      <c r="I15" s="401">
        <v>0</v>
      </c>
      <c r="J15" s="401"/>
      <c r="K15" s="401">
        <v>0</v>
      </c>
      <c r="L15" s="401"/>
      <c r="M15" s="401">
        <v>3150.29</v>
      </c>
      <c r="N15" s="401"/>
      <c r="O15" s="401">
        <v>1092.4</v>
      </c>
      <c r="P15" s="401"/>
      <c r="Q15" s="401">
        <v>0</v>
      </c>
      <c r="R15" s="402"/>
      <c r="S15" s="402">
        <v>0</v>
      </c>
      <c r="T15" s="401"/>
      <c r="U15" s="403">
        <f t="shared" si="1"/>
        <v>10730.44</v>
      </c>
      <c r="V15" s="404">
        <f t="shared" si="1"/>
        <v>0</v>
      </c>
      <c r="W15" s="405">
        <v>0</v>
      </c>
      <c r="X15" s="400">
        <v>5282.14</v>
      </c>
      <c r="Y15" s="400">
        <v>0</v>
      </c>
      <c r="Z15" s="400">
        <v>0</v>
      </c>
      <c r="AA15" s="400">
        <v>2564.82</v>
      </c>
      <c r="AB15" s="400">
        <v>889.31</v>
      </c>
      <c r="AC15" s="400">
        <v>0</v>
      </c>
      <c r="AD15" s="400">
        <v>0</v>
      </c>
      <c r="AE15" s="406">
        <v>0</v>
      </c>
      <c r="AF15" s="407">
        <f aca="true" t="shared" si="15" ref="AF15:AF21">SUM(W15:AE15)</f>
        <v>8736.27</v>
      </c>
      <c r="AG15" s="388">
        <f t="shared" si="14"/>
        <v>8824.677</v>
      </c>
      <c r="AH15" s="389">
        <f t="shared" si="2"/>
        <v>0</v>
      </c>
      <c r="AI15" s="389">
        <f t="shared" si="2"/>
        <v>0</v>
      </c>
      <c r="AJ15" s="390">
        <f>'[6]Т06'!$J$159+'[6]Т06'!$J$199</f>
        <v>214</v>
      </c>
      <c r="AK15" s="369">
        <f t="shared" si="3"/>
        <v>836.696</v>
      </c>
      <c r="AL15" s="369">
        <f t="shared" si="4"/>
        <v>249.76</v>
      </c>
      <c r="AM15" s="369">
        <f t="shared" si="5"/>
        <v>1248.8</v>
      </c>
      <c r="AN15" s="369">
        <f t="shared" si="6"/>
        <v>262.248</v>
      </c>
      <c r="AO15" s="369">
        <f t="shared" si="7"/>
        <v>2522.576</v>
      </c>
      <c r="AP15" s="369">
        <f t="shared" si="8"/>
        <v>1286.264</v>
      </c>
      <c r="AQ15" s="369">
        <f t="shared" si="9"/>
        <v>936.5999999999999</v>
      </c>
      <c r="AR15" s="369">
        <f t="shared" si="10"/>
        <v>936.5999999999999</v>
      </c>
      <c r="AS15" s="369"/>
      <c r="AT15" s="501">
        <f>0.45*301.5</f>
        <v>135.675</v>
      </c>
      <c r="AU15" s="391"/>
      <c r="AV15" s="391"/>
      <c r="AW15" s="391"/>
      <c r="AX15" s="391"/>
      <c r="AY15" s="369"/>
      <c r="AZ15" s="369"/>
      <c r="BA15" s="393"/>
      <c r="BB15" s="393"/>
      <c r="BC15" s="408">
        <f>SUM(AK15:BB15)</f>
        <v>8415.219</v>
      </c>
      <c r="BD15" s="394">
        <f>'[6]Т06'!$S$159+'[6]Т06'!$S$199</f>
        <v>53.5</v>
      </c>
      <c r="BE15" s="372">
        <f t="shared" si="11"/>
        <v>8468.719</v>
      </c>
      <c r="BF15" s="372">
        <f t="shared" si="12"/>
        <v>569.9580000000005</v>
      </c>
      <c r="BG15" s="372">
        <f t="shared" si="13"/>
        <v>-1994.17</v>
      </c>
      <c r="BH15" s="372"/>
      <c r="BI15" s="372"/>
      <c r="BJ15" s="373"/>
      <c r="BK15" s="373"/>
      <c r="BL15" s="371"/>
      <c r="BM15" s="352"/>
      <c r="BN15" s="352"/>
      <c r="BO15" s="355"/>
      <c r="BP15" s="409"/>
      <c r="BQ15" s="379"/>
    </row>
    <row r="16" spans="1:66" ht="12.75">
      <c r="A16" s="356" t="s">
        <v>49</v>
      </c>
      <c r="B16" s="357">
        <v>1248.8</v>
      </c>
      <c r="C16" s="177">
        <f t="shared" si="0"/>
        <v>10677.24</v>
      </c>
      <c r="D16" s="384">
        <v>88.407</v>
      </c>
      <c r="E16" s="410"/>
      <c r="F16" s="410"/>
      <c r="G16" s="410">
        <v>6487.75</v>
      </c>
      <c r="H16" s="410"/>
      <c r="I16" s="410"/>
      <c r="J16" s="410"/>
      <c r="K16" s="410"/>
      <c r="L16" s="410"/>
      <c r="M16" s="410">
        <v>3150.29</v>
      </c>
      <c r="N16" s="410"/>
      <c r="O16" s="410">
        <v>1092.4</v>
      </c>
      <c r="P16" s="410"/>
      <c r="Q16" s="410"/>
      <c r="R16" s="410"/>
      <c r="S16" s="411"/>
      <c r="T16" s="405"/>
      <c r="U16" s="412">
        <f t="shared" si="1"/>
        <v>10730.44</v>
      </c>
      <c r="V16" s="413">
        <f t="shared" si="1"/>
        <v>0</v>
      </c>
      <c r="W16" s="414">
        <v>0</v>
      </c>
      <c r="X16" s="410">
        <v>4802.44</v>
      </c>
      <c r="Y16" s="410">
        <v>0</v>
      </c>
      <c r="Z16" s="410">
        <v>0</v>
      </c>
      <c r="AA16" s="410">
        <v>2354.68</v>
      </c>
      <c r="AB16" s="410">
        <v>814.09</v>
      </c>
      <c r="AC16" s="400"/>
      <c r="AD16" s="410"/>
      <c r="AE16" s="411"/>
      <c r="AF16" s="407">
        <f t="shared" si="15"/>
        <v>7971.209999999999</v>
      </c>
      <c r="AG16" s="415">
        <f t="shared" si="14"/>
        <v>8059.616999999999</v>
      </c>
      <c r="AH16" s="389">
        <f t="shared" si="2"/>
        <v>0</v>
      </c>
      <c r="AI16" s="389">
        <f t="shared" si="2"/>
        <v>0</v>
      </c>
      <c r="AJ16" s="390">
        <f>'[6]Т07'!$J$163+'[6]Т07'!$J$203</f>
        <v>214</v>
      </c>
      <c r="AK16" s="369">
        <f t="shared" si="3"/>
        <v>836.696</v>
      </c>
      <c r="AL16" s="369">
        <f t="shared" si="4"/>
        <v>249.76</v>
      </c>
      <c r="AM16" s="369">
        <f t="shared" si="5"/>
        <v>1248.8</v>
      </c>
      <c r="AN16" s="369">
        <f t="shared" si="6"/>
        <v>262.248</v>
      </c>
      <c r="AO16" s="369">
        <f t="shared" si="7"/>
        <v>2522.576</v>
      </c>
      <c r="AP16" s="369">
        <f t="shared" si="8"/>
        <v>1286.264</v>
      </c>
      <c r="AQ16" s="369">
        <f t="shared" si="9"/>
        <v>936.5999999999999</v>
      </c>
      <c r="AR16" s="369">
        <f t="shared" si="10"/>
        <v>936.5999999999999</v>
      </c>
      <c r="AS16" s="369"/>
      <c r="AT16" s="501">
        <f>0.45*301.5</f>
        <v>135.675</v>
      </c>
      <c r="AU16" s="391"/>
      <c r="AV16" s="391"/>
      <c r="AW16" s="391"/>
      <c r="AX16" s="391">
        <f>111.43+9.43+2126.36</f>
        <v>2247.2200000000003</v>
      </c>
      <c r="AY16" s="392"/>
      <c r="AZ16" s="392"/>
      <c r="BA16" s="393"/>
      <c r="BB16" s="393"/>
      <c r="BC16" s="380">
        <f>SUM(AK16:BB16)</f>
        <v>10662.438999999998</v>
      </c>
      <c r="BD16" s="394">
        <f>'[6]Т07'!$S$163+'[6]Т07'!$S$203</f>
        <v>53.5</v>
      </c>
      <c r="BE16" s="372">
        <f t="shared" si="11"/>
        <v>10715.938999999998</v>
      </c>
      <c r="BF16" s="372">
        <f t="shared" si="12"/>
        <v>-2442.322</v>
      </c>
      <c r="BG16" s="372">
        <f t="shared" si="13"/>
        <v>-2759.2300000000014</v>
      </c>
      <c r="BH16" s="372"/>
      <c r="BI16" s="372"/>
      <c r="BJ16" s="373"/>
      <c r="BK16" s="373"/>
      <c r="BL16" s="371"/>
      <c r="BM16" s="352"/>
      <c r="BN16" s="352"/>
    </row>
    <row r="17" spans="1:66" ht="12.75">
      <c r="A17" s="356" t="s">
        <v>50</v>
      </c>
      <c r="B17" s="357">
        <v>1248.8</v>
      </c>
      <c r="C17" s="177">
        <f t="shared" si="0"/>
        <v>10677.24</v>
      </c>
      <c r="D17" s="384">
        <v>88.407</v>
      </c>
      <c r="E17" s="410"/>
      <c r="F17" s="410"/>
      <c r="G17" s="410">
        <v>6487.75</v>
      </c>
      <c r="H17" s="410"/>
      <c r="I17" s="410"/>
      <c r="J17" s="410"/>
      <c r="K17" s="410"/>
      <c r="L17" s="410"/>
      <c r="M17" s="410">
        <v>3150.29</v>
      </c>
      <c r="N17" s="410"/>
      <c r="O17" s="410">
        <v>1092.4</v>
      </c>
      <c r="P17" s="410"/>
      <c r="Q17" s="410"/>
      <c r="R17" s="410"/>
      <c r="S17" s="411"/>
      <c r="T17" s="406"/>
      <c r="U17" s="416">
        <f t="shared" si="1"/>
        <v>10730.44</v>
      </c>
      <c r="V17" s="417">
        <f t="shared" si="1"/>
        <v>0</v>
      </c>
      <c r="W17" s="410">
        <v>0</v>
      </c>
      <c r="X17" s="410">
        <v>4516.97</v>
      </c>
      <c r="Y17" s="410">
        <v>0</v>
      </c>
      <c r="Z17" s="410">
        <v>0</v>
      </c>
      <c r="AA17" s="410">
        <v>2193.16</v>
      </c>
      <c r="AB17" s="410">
        <v>760.38</v>
      </c>
      <c r="AC17" s="410"/>
      <c r="AD17" s="410"/>
      <c r="AE17" s="411"/>
      <c r="AF17" s="407">
        <f t="shared" si="15"/>
        <v>7470.51</v>
      </c>
      <c r="AG17" s="415">
        <f t="shared" si="14"/>
        <v>7558.917</v>
      </c>
      <c r="AH17" s="389">
        <f t="shared" si="2"/>
        <v>0</v>
      </c>
      <c r="AI17" s="389">
        <f t="shared" si="2"/>
        <v>0</v>
      </c>
      <c r="AJ17" s="390">
        <f>'[6]Т08'!$J$167+'[6]Т08'!$J$207</f>
        <v>214</v>
      </c>
      <c r="AK17" s="369">
        <f t="shared" si="3"/>
        <v>836.696</v>
      </c>
      <c r="AL17" s="369">
        <f t="shared" si="4"/>
        <v>249.76</v>
      </c>
      <c r="AM17" s="369">
        <f t="shared" si="5"/>
        <v>1248.8</v>
      </c>
      <c r="AN17" s="369">
        <f t="shared" si="6"/>
        <v>262.248</v>
      </c>
      <c r="AO17" s="369">
        <f t="shared" si="7"/>
        <v>2522.576</v>
      </c>
      <c r="AP17" s="369">
        <f t="shared" si="8"/>
        <v>1286.264</v>
      </c>
      <c r="AQ17" s="369">
        <f t="shared" si="9"/>
        <v>936.5999999999999</v>
      </c>
      <c r="AR17" s="369">
        <f t="shared" si="10"/>
        <v>936.5999999999999</v>
      </c>
      <c r="AS17" s="369"/>
      <c r="AT17" s="501">
        <f>0.45*301.5</f>
        <v>135.675</v>
      </c>
      <c r="AU17" s="391">
        <v>1700</v>
      </c>
      <c r="AV17" s="391"/>
      <c r="AW17" s="391"/>
      <c r="AX17" s="391">
        <f>710</f>
        <v>710</v>
      </c>
      <c r="AY17" s="392"/>
      <c r="AZ17" s="392"/>
      <c r="BA17" s="393"/>
      <c r="BB17" s="393"/>
      <c r="BC17" s="380">
        <f>SUM(AK17:BB17)</f>
        <v>10825.219</v>
      </c>
      <c r="BD17" s="394">
        <f>'[6]Т08'!$S$167+'[6]Т08'!$S$207</f>
        <v>53.5</v>
      </c>
      <c r="BE17" s="372">
        <f t="shared" si="11"/>
        <v>10878.719</v>
      </c>
      <c r="BF17" s="372">
        <f t="shared" si="12"/>
        <v>-3105.8019999999988</v>
      </c>
      <c r="BG17" s="372">
        <f t="shared" si="13"/>
        <v>-3259.9300000000003</v>
      </c>
      <c r="BH17" s="372"/>
      <c r="BI17" s="372"/>
      <c r="BJ17" s="373"/>
      <c r="BK17" s="373"/>
      <c r="BL17" s="371"/>
      <c r="BM17" s="352"/>
      <c r="BN17" s="352"/>
    </row>
    <row r="18" spans="1:66" ht="12.75">
      <c r="A18" s="356" t="s">
        <v>51</v>
      </c>
      <c r="B18" s="357">
        <v>1248.8</v>
      </c>
      <c r="C18" s="177">
        <f t="shared" si="0"/>
        <v>10677.24</v>
      </c>
      <c r="D18" s="384">
        <v>88.407</v>
      </c>
      <c r="E18" s="410"/>
      <c r="F18" s="410"/>
      <c r="G18" s="410">
        <v>6547.06</v>
      </c>
      <c r="H18" s="410"/>
      <c r="I18" s="410"/>
      <c r="J18" s="410"/>
      <c r="K18" s="410"/>
      <c r="L18" s="410"/>
      <c r="M18" s="410">
        <v>3179.08</v>
      </c>
      <c r="N18" s="410"/>
      <c r="O18" s="410">
        <v>1102.42</v>
      </c>
      <c r="P18" s="410"/>
      <c r="Q18" s="410"/>
      <c r="R18" s="410"/>
      <c r="S18" s="411"/>
      <c r="T18" s="418"/>
      <c r="U18" s="418">
        <f t="shared" si="1"/>
        <v>10828.56</v>
      </c>
      <c r="V18" s="419">
        <f t="shared" si="1"/>
        <v>0</v>
      </c>
      <c r="W18" s="410">
        <v>186.14</v>
      </c>
      <c r="X18" s="410">
        <v>7668.91</v>
      </c>
      <c r="Y18" s="410">
        <v>252.34</v>
      </c>
      <c r="Z18" s="410">
        <v>17.46</v>
      </c>
      <c r="AA18" s="410">
        <v>3544.53</v>
      </c>
      <c r="AB18" s="410">
        <v>1406.93</v>
      </c>
      <c r="AC18" s="410"/>
      <c r="AD18" s="410"/>
      <c r="AE18" s="411"/>
      <c r="AF18" s="407">
        <f t="shared" si="15"/>
        <v>13076.310000000001</v>
      </c>
      <c r="AG18" s="415">
        <f t="shared" si="14"/>
        <v>13164.717</v>
      </c>
      <c r="AH18" s="389">
        <f t="shared" si="2"/>
        <v>0</v>
      </c>
      <c r="AI18" s="389">
        <f t="shared" si="2"/>
        <v>0</v>
      </c>
      <c r="AJ18" s="390">
        <f>'[6]Т09'!$J$167+'[6]Т09'!$J$207</f>
        <v>214</v>
      </c>
      <c r="AK18" s="369">
        <f t="shared" si="3"/>
        <v>836.696</v>
      </c>
      <c r="AL18" s="369">
        <f t="shared" si="4"/>
        <v>249.76</v>
      </c>
      <c r="AM18" s="369">
        <f t="shared" si="5"/>
        <v>1248.8</v>
      </c>
      <c r="AN18" s="369">
        <f t="shared" si="6"/>
        <v>262.248</v>
      </c>
      <c r="AO18" s="369">
        <f t="shared" si="7"/>
        <v>2522.576</v>
      </c>
      <c r="AP18" s="369">
        <f t="shared" si="8"/>
        <v>1286.264</v>
      </c>
      <c r="AQ18" s="369">
        <f t="shared" si="9"/>
        <v>936.5999999999999</v>
      </c>
      <c r="AR18" s="369">
        <f t="shared" si="10"/>
        <v>936.5999999999999</v>
      </c>
      <c r="AS18" s="369"/>
      <c r="AT18" s="501">
        <f>0.45*301.5</f>
        <v>135.675</v>
      </c>
      <c r="AU18" s="391"/>
      <c r="AV18" s="391"/>
      <c r="AW18" s="391"/>
      <c r="AX18" s="391"/>
      <c r="AY18" s="392"/>
      <c r="AZ18" s="392"/>
      <c r="BA18" s="393"/>
      <c r="BB18" s="393"/>
      <c r="BC18" s="380">
        <f>SUM(AK18:BB18)</f>
        <v>8415.219</v>
      </c>
      <c r="BD18" s="394">
        <f>'[6]Т08'!$S$167+'[6]Т08'!$S$207</f>
        <v>53.5</v>
      </c>
      <c r="BE18" s="372">
        <f t="shared" si="11"/>
        <v>8468.719</v>
      </c>
      <c r="BF18" s="372">
        <f t="shared" si="12"/>
        <v>4909.998000000001</v>
      </c>
      <c r="BG18" s="372">
        <f t="shared" si="13"/>
        <v>2247.750000000002</v>
      </c>
      <c r="BH18" s="372"/>
      <c r="BI18" s="372"/>
      <c r="BJ18" s="373"/>
      <c r="BK18" s="373"/>
      <c r="BL18" s="371"/>
      <c r="BM18" s="351"/>
      <c r="BN18" s="63"/>
    </row>
    <row r="19" spans="1:63" ht="12.75">
      <c r="A19" s="356" t="s">
        <v>39</v>
      </c>
      <c r="B19" s="357">
        <v>1248.8</v>
      </c>
      <c r="C19" s="177">
        <f t="shared" si="0"/>
        <v>10677.24</v>
      </c>
      <c r="D19" s="420">
        <v>88.407</v>
      </c>
      <c r="E19" s="400"/>
      <c r="F19" s="400"/>
      <c r="G19" s="400">
        <v>6547.06</v>
      </c>
      <c r="H19" s="400"/>
      <c r="I19" s="400"/>
      <c r="J19" s="400"/>
      <c r="K19" s="400"/>
      <c r="L19" s="400"/>
      <c r="M19" s="400">
        <v>3179.08</v>
      </c>
      <c r="N19" s="400"/>
      <c r="O19" s="400">
        <v>1102.42</v>
      </c>
      <c r="P19" s="400"/>
      <c r="Q19" s="400"/>
      <c r="R19" s="400"/>
      <c r="S19" s="406"/>
      <c r="T19" s="421"/>
      <c r="U19" s="422">
        <f t="shared" si="1"/>
        <v>10828.56</v>
      </c>
      <c r="V19" s="423">
        <f t="shared" si="1"/>
        <v>0</v>
      </c>
      <c r="W19" s="400">
        <v>0</v>
      </c>
      <c r="X19" s="400">
        <v>6799.89</v>
      </c>
      <c r="Y19" s="400">
        <v>0</v>
      </c>
      <c r="Z19" s="400">
        <v>0</v>
      </c>
      <c r="AA19" s="400">
        <v>3301.89</v>
      </c>
      <c r="AB19" s="400">
        <v>1145.13</v>
      </c>
      <c r="AC19" s="400"/>
      <c r="AD19" s="400"/>
      <c r="AE19" s="406"/>
      <c r="AF19" s="407">
        <f t="shared" si="15"/>
        <v>11246.91</v>
      </c>
      <c r="AG19" s="415">
        <f t="shared" si="14"/>
        <v>11335.317</v>
      </c>
      <c r="AH19" s="389">
        <f t="shared" si="2"/>
        <v>0</v>
      </c>
      <c r="AI19" s="389">
        <f t="shared" si="2"/>
        <v>0</v>
      </c>
      <c r="AJ19" s="390">
        <f>'[8]Т10'!$J$167+'[8]Т10'!$J$207</f>
        <v>214</v>
      </c>
      <c r="AK19" s="369">
        <f t="shared" si="3"/>
        <v>836.696</v>
      </c>
      <c r="AL19" s="369">
        <f t="shared" si="4"/>
        <v>249.76</v>
      </c>
      <c r="AM19" s="369">
        <f t="shared" si="5"/>
        <v>1248.8</v>
      </c>
      <c r="AN19" s="369">
        <f t="shared" si="6"/>
        <v>262.248</v>
      </c>
      <c r="AO19" s="369">
        <f t="shared" si="7"/>
        <v>2522.576</v>
      </c>
      <c r="AP19" s="369">
        <f t="shared" si="8"/>
        <v>1286.264</v>
      </c>
      <c r="AQ19" s="369">
        <f t="shared" si="9"/>
        <v>936.5999999999999</v>
      </c>
      <c r="AR19" s="369">
        <f t="shared" si="10"/>
        <v>936.5999999999999</v>
      </c>
      <c r="AS19" s="424">
        <f>B19*1.15</f>
        <v>1436.12</v>
      </c>
      <c r="AT19" s="501">
        <f>0.45*301.5</f>
        <v>135.675</v>
      </c>
      <c r="AU19" s="391">
        <v>7342</v>
      </c>
      <c r="AV19" s="391"/>
      <c r="AW19" s="391"/>
      <c r="AX19" s="391"/>
      <c r="AY19" s="392"/>
      <c r="AZ19" s="392"/>
      <c r="BA19" s="393"/>
      <c r="BB19" s="393"/>
      <c r="BC19" s="380">
        <f>SUM(AK19:BB19)</f>
        <v>17193.339</v>
      </c>
      <c r="BD19" s="394">
        <f>'[6]Т10'!$S$167+'[6]Т10'!$S$207</f>
        <v>53.5</v>
      </c>
      <c r="BE19" s="372">
        <f t="shared" si="11"/>
        <v>17246.839</v>
      </c>
      <c r="BF19" s="372">
        <f t="shared" si="12"/>
        <v>-5697.522000000001</v>
      </c>
      <c r="BG19" s="372">
        <f t="shared" si="13"/>
        <v>418.35000000000036</v>
      </c>
      <c r="BH19" s="372"/>
      <c r="BI19" s="372"/>
      <c r="BJ19" s="373"/>
      <c r="BK19" s="425"/>
    </row>
    <row r="20" spans="1:63" ht="12.75">
      <c r="A20" s="356" t="s">
        <v>40</v>
      </c>
      <c r="B20" s="357">
        <v>1248.8</v>
      </c>
      <c r="C20" s="177">
        <f>B20*8.55</f>
        <v>10677.24</v>
      </c>
      <c r="D20" s="426">
        <v>88.407</v>
      </c>
      <c r="E20" s="400"/>
      <c r="F20" s="400"/>
      <c r="G20" s="400">
        <v>6547.06</v>
      </c>
      <c r="H20" s="400"/>
      <c r="I20" s="400"/>
      <c r="J20" s="400"/>
      <c r="K20" s="400"/>
      <c r="L20" s="400"/>
      <c r="M20" s="400">
        <v>3179.08</v>
      </c>
      <c r="N20" s="400"/>
      <c r="O20" s="400">
        <v>1102.42</v>
      </c>
      <c r="P20" s="400"/>
      <c r="Q20" s="400"/>
      <c r="R20" s="400"/>
      <c r="S20" s="406"/>
      <c r="T20" s="421"/>
      <c r="U20" s="422">
        <f t="shared" si="1"/>
        <v>10828.56</v>
      </c>
      <c r="V20" s="423">
        <f t="shared" si="1"/>
        <v>0</v>
      </c>
      <c r="W20" s="400">
        <v>0</v>
      </c>
      <c r="X20" s="400">
        <v>6358.71</v>
      </c>
      <c r="Y20" s="400">
        <v>0</v>
      </c>
      <c r="Z20" s="400">
        <v>0</v>
      </c>
      <c r="AA20" s="400">
        <v>3087.75</v>
      </c>
      <c r="AB20" s="400">
        <v>1070.89</v>
      </c>
      <c r="AC20" s="400"/>
      <c r="AD20" s="400"/>
      <c r="AE20" s="406"/>
      <c r="AF20" s="407">
        <f t="shared" si="15"/>
        <v>10517.349999999999</v>
      </c>
      <c r="AG20" s="415">
        <f t="shared" si="14"/>
        <v>10605.756999999998</v>
      </c>
      <c r="AH20" s="389">
        <f t="shared" si="2"/>
        <v>0</v>
      </c>
      <c r="AI20" s="389">
        <f t="shared" si="2"/>
        <v>0</v>
      </c>
      <c r="AJ20" s="390">
        <f>'[6]Т11'!$J$167+'[6]Т11'!$J$207</f>
        <v>214</v>
      </c>
      <c r="AK20" s="369">
        <f t="shared" si="3"/>
        <v>836.696</v>
      </c>
      <c r="AL20" s="369">
        <f t="shared" si="4"/>
        <v>249.76</v>
      </c>
      <c r="AM20" s="369">
        <f t="shared" si="5"/>
        <v>1248.8</v>
      </c>
      <c r="AN20" s="369">
        <f t="shared" si="6"/>
        <v>262.248</v>
      </c>
      <c r="AO20" s="369">
        <f t="shared" si="7"/>
        <v>2522.576</v>
      </c>
      <c r="AP20" s="369">
        <f t="shared" si="8"/>
        <v>1286.264</v>
      </c>
      <c r="AQ20" s="369">
        <f t="shared" si="9"/>
        <v>936.5999999999999</v>
      </c>
      <c r="AR20" s="369">
        <f t="shared" si="10"/>
        <v>936.5999999999999</v>
      </c>
      <c r="AS20" s="424">
        <f>B20*1.15</f>
        <v>1436.12</v>
      </c>
      <c r="AT20" s="501">
        <f>0.45*301.5</f>
        <v>135.675</v>
      </c>
      <c r="AU20" s="391">
        <v>5010</v>
      </c>
      <c r="AV20" s="391"/>
      <c r="AW20" s="391"/>
      <c r="AX20" s="391">
        <f>542+9+1110</f>
        <v>1661</v>
      </c>
      <c r="AY20" s="392"/>
      <c r="AZ20" s="392"/>
      <c r="BA20" s="393"/>
      <c r="BB20" s="393"/>
      <c r="BC20" s="380">
        <f>SUM(AK20:BB20)</f>
        <v>16522.339</v>
      </c>
      <c r="BD20" s="394">
        <f>'[6]Т11'!$S$167+'[6]Т11'!$S$207</f>
        <v>53.5</v>
      </c>
      <c r="BE20" s="372">
        <f t="shared" si="11"/>
        <v>16575.839</v>
      </c>
      <c r="BF20" s="372">
        <f t="shared" si="12"/>
        <v>-5756.082000000002</v>
      </c>
      <c r="BG20" s="372">
        <f t="shared" si="13"/>
        <v>-311.21000000000095</v>
      </c>
      <c r="BH20" s="372"/>
      <c r="BI20" s="372"/>
      <c r="BJ20" s="427"/>
      <c r="BK20" s="425"/>
    </row>
    <row r="21" spans="1:63" ht="13.5" thickBot="1">
      <c r="A21" s="356" t="s">
        <v>41</v>
      </c>
      <c r="B21" s="357">
        <v>1248.8</v>
      </c>
      <c r="C21" s="177">
        <f>B21*8.55</f>
        <v>10677.24</v>
      </c>
      <c r="D21" s="426">
        <v>88.407</v>
      </c>
      <c r="E21" s="428"/>
      <c r="F21" s="428"/>
      <c r="G21" s="428">
        <v>6547.05</v>
      </c>
      <c r="H21" s="428"/>
      <c r="I21" s="428"/>
      <c r="J21" s="428"/>
      <c r="K21" s="428"/>
      <c r="L21" s="428"/>
      <c r="M21" s="428">
        <v>3179.07</v>
      </c>
      <c r="N21" s="428"/>
      <c r="O21" s="428">
        <v>1102.41</v>
      </c>
      <c r="P21" s="428"/>
      <c r="Q21" s="428"/>
      <c r="R21" s="428"/>
      <c r="S21" s="429"/>
      <c r="T21" s="430"/>
      <c r="U21" s="422">
        <f t="shared" si="1"/>
        <v>10828.53</v>
      </c>
      <c r="V21" s="423">
        <f t="shared" si="1"/>
        <v>0</v>
      </c>
      <c r="W21" s="400">
        <v>0</v>
      </c>
      <c r="X21" s="400">
        <v>6019.02</v>
      </c>
      <c r="Y21" s="400">
        <v>0</v>
      </c>
      <c r="Z21" s="400">
        <v>0</v>
      </c>
      <c r="AA21" s="400">
        <v>2922.41</v>
      </c>
      <c r="AB21" s="400">
        <v>1013.15</v>
      </c>
      <c r="AC21" s="400"/>
      <c r="AD21" s="400"/>
      <c r="AE21" s="406"/>
      <c r="AF21" s="407">
        <f t="shared" si="15"/>
        <v>9954.58</v>
      </c>
      <c r="AG21" s="415">
        <f t="shared" si="14"/>
        <v>10042.987</v>
      </c>
      <c r="AH21" s="389">
        <f t="shared" si="2"/>
        <v>0</v>
      </c>
      <c r="AI21" s="389">
        <f t="shared" si="2"/>
        <v>0</v>
      </c>
      <c r="AJ21" s="390">
        <f>'[6]Т12'!$J$191+'[6]Т12'!$J$231</f>
        <v>214</v>
      </c>
      <c r="AK21" s="369">
        <f t="shared" si="3"/>
        <v>836.696</v>
      </c>
      <c r="AL21" s="369">
        <f t="shared" si="4"/>
        <v>249.76</v>
      </c>
      <c r="AM21" s="369">
        <f t="shared" si="5"/>
        <v>1248.8</v>
      </c>
      <c r="AN21" s="369">
        <f t="shared" si="6"/>
        <v>262.248</v>
      </c>
      <c r="AO21" s="369">
        <f t="shared" si="7"/>
        <v>2522.576</v>
      </c>
      <c r="AP21" s="369">
        <f t="shared" si="8"/>
        <v>1286.264</v>
      </c>
      <c r="AQ21" s="369">
        <f t="shared" si="9"/>
        <v>936.5999999999999</v>
      </c>
      <c r="AR21" s="369">
        <f t="shared" si="10"/>
        <v>936.5999999999999</v>
      </c>
      <c r="AS21" s="424">
        <f>B21*1.15</f>
        <v>1436.12</v>
      </c>
      <c r="AT21" s="501">
        <f>0.45*301.5</f>
        <v>135.675</v>
      </c>
      <c r="AU21" s="391"/>
      <c r="AV21" s="391"/>
      <c r="AW21" s="391"/>
      <c r="AX21" s="391"/>
      <c r="AY21" s="392"/>
      <c r="AZ21" s="392"/>
      <c r="BA21" s="393"/>
      <c r="BB21" s="393"/>
      <c r="BC21" s="380">
        <f>SUM(AK21:BB21)</f>
        <v>9851.339</v>
      </c>
      <c r="BD21" s="394">
        <f>'[6]Т12'!$S$191+'[6]Т12'!$S$231</f>
        <v>53.5</v>
      </c>
      <c r="BE21" s="372">
        <f t="shared" si="11"/>
        <v>9904.839</v>
      </c>
      <c r="BF21" s="372">
        <f t="shared" si="12"/>
        <v>352.14799999999923</v>
      </c>
      <c r="BG21" s="372">
        <f t="shared" si="13"/>
        <v>-873.9500000000007</v>
      </c>
      <c r="BH21" s="372"/>
      <c r="BI21" s="372"/>
      <c r="BJ21" s="427"/>
      <c r="BK21" s="425"/>
    </row>
    <row r="22" spans="1:61" s="24" customFormat="1" ht="13.5" thickBot="1">
      <c r="A22" s="431" t="s">
        <v>3</v>
      </c>
      <c r="B22" s="432"/>
      <c r="C22" s="433">
        <f aca="true" t="shared" si="16" ref="C22:BF22">SUM(C10:C21)</f>
        <v>128126.88000000002</v>
      </c>
      <c r="D22" s="433">
        <f t="shared" si="16"/>
        <v>1060.8840000000002</v>
      </c>
      <c r="E22" s="433">
        <f t="shared" si="16"/>
        <v>-2</v>
      </c>
      <c r="F22" s="433">
        <f t="shared" si="16"/>
        <v>0</v>
      </c>
      <c r="G22" s="433">
        <f t="shared" si="16"/>
        <v>78090.23</v>
      </c>
      <c r="H22" s="433">
        <f t="shared" si="16"/>
        <v>0</v>
      </c>
      <c r="I22" s="433">
        <f t="shared" si="16"/>
        <v>-2.71</v>
      </c>
      <c r="J22" s="433">
        <f t="shared" si="16"/>
        <v>0</v>
      </c>
      <c r="K22" s="433">
        <f t="shared" si="16"/>
        <v>-4.51</v>
      </c>
      <c r="L22" s="433">
        <f t="shared" si="16"/>
        <v>0</v>
      </c>
      <c r="M22" s="433">
        <f t="shared" si="16"/>
        <v>37912.12000000001</v>
      </c>
      <c r="N22" s="433">
        <f t="shared" si="16"/>
        <v>0</v>
      </c>
      <c r="O22" s="433">
        <f t="shared" si="16"/>
        <v>13147.269999999999</v>
      </c>
      <c r="P22" s="433">
        <f t="shared" si="16"/>
        <v>0</v>
      </c>
      <c r="Q22" s="433">
        <f t="shared" si="16"/>
        <v>0</v>
      </c>
      <c r="R22" s="433">
        <f t="shared" si="16"/>
        <v>0</v>
      </c>
      <c r="S22" s="433">
        <f t="shared" si="16"/>
        <v>0</v>
      </c>
      <c r="T22" s="433">
        <f t="shared" si="16"/>
        <v>0</v>
      </c>
      <c r="U22" s="433">
        <f t="shared" si="16"/>
        <v>129140.4</v>
      </c>
      <c r="V22" s="433">
        <f t="shared" si="16"/>
        <v>0</v>
      </c>
      <c r="W22" s="433">
        <f t="shared" si="16"/>
        <v>2052.95</v>
      </c>
      <c r="X22" s="433">
        <f t="shared" si="16"/>
        <v>63418.95999999999</v>
      </c>
      <c r="Y22" s="433">
        <f t="shared" si="16"/>
        <v>2792.4100000000003</v>
      </c>
      <c r="Z22" s="433">
        <f t="shared" si="16"/>
        <v>5479.24</v>
      </c>
      <c r="AA22" s="433">
        <f t="shared" si="16"/>
        <v>35583.84</v>
      </c>
      <c r="AB22" s="433">
        <f t="shared" si="16"/>
        <v>12285.92</v>
      </c>
      <c r="AC22" s="433">
        <f t="shared" si="16"/>
        <v>0</v>
      </c>
      <c r="AD22" s="433">
        <f t="shared" si="16"/>
        <v>0</v>
      </c>
      <c r="AE22" s="433">
        <f t="shared" si="16"/>
        <v>0</v>
      </c>
      <c r="AF22" s="433">
        <f t="shared" si="16"/>
        <v>121613.31999999999</v>
      </c>
      <c r="AG22" s="433">
        <f t="shared" si="16"/>
        <v>122674.20399999998</v>
      </c>
      <c r="AH22" s="433">
        <f t="shared" si="16"/>
        <v>0</v>
      </c>
      <c r="AI22" s="433">
        <f t="shared" si="16"/>
        <v>0</v>
      </c>
      <c r="AJ22" s="433">
        <f t="shared" si="16"/>
        <v>2112</v>
      </c>
      <c r="AK22" s="433">
        <f t="shared" si="16"/>
        <v>10040.352</v>
      </c>
      <c r="AL22" s="433">
        <f t="shared" si="16"/>
        <v>2997.120000000001</v>
      </c>
      <c r="AM22" s="433">
        <f t="shared" si="16"/>
        <v>14985.599999999997</v>
      </c>
      <c r="AN22" s="433">
        <f t="shared" si="16"/>
        <v>3146.976</v>
      </c>
      <c r="AO22" s="433">
        <f t="shared" si="16"/>
        <v>30270.912000000008</v>
      </c>
      <c r="AP22" s="433">
        <f t="shared" si="16"/>
        <v>15435.167999999996</v>
      </c>
      <c r="AQ22" s="433">
        <f t="shared" si="16"/>
        <v>11239.200000000003</v>
      </c>
      <c r="AR22" s="433">
        <f t="shared" si="16"/>
        <v>11239.200000000003</v>
      </c>
      <c r="AS22" s="433">
        <f t="shared" si="16"/>
        <v>8616.72</v>
      </c>
      <c r="AT22" s="433">
        <f t="shared" si="16"/>
        <v>1492.4249999999997</v>
      </c>
      <c r="AU22" s="433">
        <f t="shared" si="16"/>
        <v>14052</v>
      </c>
      <c r="AV22" s="433">
        <f t="shared" si="16"/>
        <v>0</v>
      </c>
      <c r="AW22" s="433">
        <f t="shared" si="16"/>
        <v>455</v>
      </c>
      <c r="AX22" s="433">
        <f t="shared" si="16"/>
        <v>4678.780000000001</v>
      </c>
      <c r="AY22" s="433">
        <f t="shared" si="16"/>
        <v>0</v>
      </c>
      <c r="AZ22" s="433">
        <f t="shared" si="16"/>
        <v>0</v>
      </c>
      <c r="BA22" s="433">
        <f t="shared" si="16"/>
        <v>0</v>
      </c>
      <c r="BB22" s="433">
        <f t="shared" si="16"/>
        <v>0</v>
      </c>
      <c r="BC22" s="433">
        <f t="shared" si="16"/>
        <v>128649.45300000001</v>
      </c>
      <c r="BD22" s="433">
        <f t="shared" si="16"/>
        <v>528</v>
      </c>
      <c r="BE22" s="433">
        <f t="shared" si="16"/>
        <v>129177.45300000001</v>
      </c>
      <c r="BF22" s="433">
        <f t="shared" si="16"/>
        <v>-4391.2490000000025</v>
      </c>
      <c r="BG22" s="433">
        <f>SUM(BG10:BG21)</f>
        <v>-7527.08</v>
      </c>
      <c r="BI22" s="53"/>
    </row>
    <row r="23" spans="1:61" s="24" customFormat="1" ht="13.5" thickBot="1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6"/>
      <c r="BF23" s="435"/>
      <c r="BG23" s="437"/>
      <c r="BI23" s="53"/>
    </row>
    <row r="24" spans="1:59" s="24" customFormat="1" ht="13.5" thickBot="1">
      <c r="A24" s="27" t="s">
        <v>52</v>
      </c>
      <c r="B24" s="435"/>
      <c r="C24" s="438">
        <f aca="true" t="shared" si="17" ref="C24:L24">C22+C8</f>
        <v>418446.82999999996</v>
      </c>
      <c r="D24" s="438">
        <f t="shared" si="17"/>
        <v>34912.7077922</v>
      </c>
      <c r="E24" s="438">
        <f t="shared" si="17"/>
        <v>25576.61</v>
      </c>
      <c r="F24" s="438">
        <f t="shared" si="17"/>
        <v>3965.9400000000005</v>
      </c>
      <c r="G24" s="438">
        <f t="shared" si="17"/>
        <v>78090.23</v>
      </c>
      <c r="H24" s="438">
        <f t="shared" si="17"/>
        <v>0</v>
      </c>
      <c r="I24" s="438">
        <f t="shared" si="17"/>
        <v>34621.630000000005</v>
      </c>
      <c r="J24" s="438">
        <f t="shared" si="17"/>
        <v>5370.11</v>
      </c>
      <c r="K24" s="438">
        <f t="shared" si="17"/>
        <v>57640.560000000005</v>
      </c>
      <c r="L24" s="438">
        <f t="shared" si="17"/>
        <v>8939.19</v>
      </c>
      <c r="M24" s="438" t="e">
        <f>#REF!</f>
        <v>#REF!</v>
      </c>
      <c r="N24" s="438">
        <f aca="true" t="shared" si="18" ref="N24:BG24">N22+N8</f>
        <v>12905.759999999998</v>
      </c>
      <c r="O24" s="438">
        <f t="shared" si="18"/>
        <v>33609.94</v>
      </c>
      <c r="P24" s="438">
        <f t="shared" si="18"/>
        <v>3172.9199999999996</v>
      </c>
      <c r="Q24" s="438">
        <f t="shared" si="18"/>
        <v>0</v>
      </c>
      <c r="R24" s="438">
        <f t="shared" si="18"/>
        <v>0</v>
      </c>
      <c r="S24" s="438">
        <f t="shared" si="18"/>
        <v>0</v>
      </c>
      <c r="T24" s="438">
        <f t="shared" si="18"/>
        <v>0</v>
      </c>
      <c r="U24" s="438">
        <f t="shared" si="18"/>
        <v>350673.74</v>
      </c>
      <c r="V24" s="438">
        <f t="shared" si="18"/>
        <v>34353.920000000006</v>
      </c>
      <c r="W24" s="438">
        <f t="shared" si="18"/>
        <v>23839.030000000002</v>
      </c>
      <c r="X24" s="438">
        <f t="shared" si="18"/>
        <v>63418.95999999999</v>
      </c>
      <c r="Y24" s="438">
        <f t="shared" si="18"/>
        <v>32278.789999999997</v>
      </c>
      <c r="Z24" s="438">
        <f t="shared" si="18"/>
        <v>54572.96</v>
      </c>
      <c r="AA24" s="438">
        <f t="shared" si="18"/>
        <v>108463.01000000001</v>
      </c>
      <c r="AB24" s="438">
        <f t="shared" si="18"/>
        <v>29714.550000000003</v>
      </c>
      <c r="AC24" s="438">
        <f t="shared" si="18"/>
        <v>0</v>
      </c>
      <c r="AD24" s="438">
        <f t="shared" si="18"/>
        <v>0</v>
      </c>
      <c r="AE24" s="438">
        <f t="shared" si="18"/>
        <v>0</v>
      </c>
      <c r="AF24" s="438">
        <f t="shared" si="18"/>
        <v>312287.3</v>
      </c>
      <c r="AG24" s="438">
        <f t="shared" si="18"/>
        <v>381553.9277922</v>
      </c>
      <c r="AH24" s="438">
        <f t="shared" si="18"/>
        <v>0</v>
      </c>
      <c r="AI24" s="438">
        <f t="shared" si="18"/>
        <v>0</v>
      </c>
      <c r="AJ24" s="438">
        <f t="shared" si="18"/>
        <v>2412</v>
      </c>
      <c r="AK24" s="438">
        <f t="shared" si="18"/>
        <v>29878.127999999997</v>
      </c>
      <c r="AL24" s="438">
        <f t="shared" si="18"/>
        <v>9643.6260712</v>
      </c>
      <c r="AM24" s="438">
        <f t="shared" si="18"/>
        <v>47915.60788375999</v>
      </c>
      <c r="AN24" s="438">
        <f t="shared" si="18"/>
        <v>3146.976</v>
      </c>
      <c r="AO24" s="438">
        <f t="shared" si="18"/>
        <v>63088.651154305204</v>
      </c>
      <c r="AP24" s="438">
        <f t="shared" si="18"/>
        <v>88927.17763654518</v>
      </c>
      <c r="AQ24" s="438">
        <f t="shared" si="18"/>
        <v>11239.200000000003</v>
      </c>
      <c r="AR24" s="438">
        <f t="shared" si="18"/>
        <v>11239.200000000003</v>
      </c>
      <c r="AS24" s="438">
        <f t="shared" si="18"/>
        <v>8616.72</v>
      </c>
      <c r="AT24" s="438">
        <f t="shared" si="18"/>
        <v>3120.5249999999996</v>
      </c>
      <c r="AU24" s="438">
        <f t="shared" si="18"/>
        <v>79886.211</v>
      </c>
      <c r="AV24" s="438">
        <f t="shared" si="18"/>
        <v>0</v>
      </c>
      <c r="AW24" s="439">
        <f t="shared" si="18"/>
        <v>40832.96</v>
      </c>
      <c r="AX24" s="439">
        <f t="shared" si="18"/>
        <v>17477.0364</v>
      </c>
      <c r="AY24" s="439">
        <f t="shared" si="18"/>
        <v>8981.284</v>
      </c>
      <c r="AZ24" s="439">
        <f t="shared" si="18"/>
        <v>0</v>
      </c>
      <c r="BA24" s="439">
        <f t="shared" si="18"/>
        <v>0</v>
      </c>
      <c r="BB24" s="439">
        <f t="shared" si="18"/>
        <v>0</v>
      </c>
      <c r="BC24" s="439">
        <f t="shared" si="18"/>
        <v>423993.3031458104</v>
      </c>
      <c r="BD24" s="439">
        <f t="shared" si="18"/>
        <v>603</v>
      </c>
      <c r="BE24" s="439">
        <f t="shared" si="18"/>
        <v>424596.3031458104</v>
      </c>
      <c r="BF24" s="439">
        <f t="shared" si="18"/>
        <v>-40630.37535361037</v>
      </c>
      <c r="BG24" s="439">
        <f t="shared" si="18"/>
        <v>-38386.44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7">
      <selection activeCell="B35" sqref="B35"/>
    </sheetView>
  </sheetViews>
  <sheetFormatPr defaultColWidth="9.00390625" defaultRowHeight="12.75"/>
  <cols>
    <col min="1" max="1" width="10.00390625" style="304" customWidth="1"/>
    <col min="2" max="2" width="10.625" style="304" customWidth="1"/>
    <col min="3" max="3" width="11.875" style="304" customWidth="1"/>
    <col min="4" max="4" width="10.125" style="304" customWidth="1"/>
    <col min="5" max="5" width="11.625" style="304" customWidth="1"/>
    <col min="6" max="6" width="9.875" style="304" customWidth="1"/>
    <col min="7" max="7" width="11.875" style="304" customWidth="1"/>
    <col min="8" max="9" width="11.375" style="304" customWidth="1"/>
    <col min="10" max="10" width="10.00390625" style="304" customWidth="1"/>
    <col min="11" max="11" width="9.875" style="304" customWidth="1"/>
    <col min="12" max="12" width="11.875" style="304" customWidth="1"/>
    <col min="13" max="13" width="10.125" style="304" customWidth="1"/>
    <col min="14" max="14" width="11.375" style="304" customWidth="1"/>
    <col min="15" max="15" width="12.625" style="304" customWidth="1"/>
    <col min="16" max="16" width="10.375" style="304" customWidth="1"/>
    <col min="17" max="17" width="10.75390625" style="304" customWidth="1"/>
    <col min="18" max="16384" width="9.125" style="304" customWidth="1"/>
  </cols>
  <sheetData>
    <row r="1" spans="2:9" ht="20.25" customHeight="1">
      <c r="B1" s="440" t="s">
        <v>53</v>
      </c>
      <c r="C1" s="440"/>
      <c r="D1" s="440"/>
      <c r="E1" s="440"/>
      <c r="F1" s="440"/>
      <c r="G1" s="440"/>
      <c r="H1" s="440"/>
      <c r="I1" s="29"/>
    </row>
    <row r="2" spans="2:12" ht="21" customHeight="1">
      <c r="B2" s="440" t="s">
        <v>54</v>
      </c>
      <c r="C2" s="440"/>
      <c r="D2" s="440"/>
      <c r="E2" s="440"/>
      <c r="F2" s="440"/>
      <c r="G2" s="440"/>
      <c r="H2" s="440"/>
      <c r="I2" s="29"/>
      <c r="K2" s="303"/>
      <c r="L2" s="303"/>
    </row>
    <row r="5" spans="1:14" ht="12.75">
      <c r="A5" s="282" t="s">
        <v>127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2.75">
      <c r="A6" s="441" t="s">
        <v>118</v>
      </c>
      <c r="B6" s="441"/>
      <c r="C6" s="441"/>
      <c r="D6" s="441"/>
      <c r="E6" s="441"/>
      <c r="F6" s="441"/>
      <c r="G6" s="441"/>
      <c r="H6" s="94"/>
      <c r="I6" s="94"/>
      <c r="J6" s="94"/>
      <c r="K6" s="94"/>
      <c r="L6" s="94"/>
      <c r="M6" s="94"/>
      <c r="N6" s="94"/>
    </row>
    <row r="7" spans="1:15" ht="13.5" thickBot="1">
      <c r="A7" s="442" t="s">
        <v>55</v>
      </c>
      <c r="B7" s="442"/>
      <c r="C7" s="442"/>
      <c r="D7" s="442"/>
      <c r="E7" s="442">
        <v>8.55</v>
      </c>
      <c r="F7" s="442"/>
      <c r="I7" s="443"/>
      <c r="J7" s="443"/>
      <c r="K7" s="443"/>
      <c r="L7" s="443"/>
      <c r="M7" s="443"/>
      <c r="N7" s="443"/>
      <c r="O7" s="443"/>
    </row>
    <row r="8" spans="1:17" ht="12.75" customHeight="1">
      <c r="A8" s="444" t="s">
        <v>56</v>
      </c>
      <c r="B8" s="445" t="s">
        <v>0</v>
      </c>
      <c r="C8" s="446" t="s">
        <v>57</v>
      </c>
      <c r="D8" s="447" t="s">
        <v>2</v>
      </c>
      <c r="E8" s="295" t="s">
        <v>58</v>
      </c>
      <c r="F8" s="220"/>
      <c r="G8" s="274" t="s">
        <v>119</v>
      </c>
      <c r="H8" s="275"/>
      <c r="I8" s="448"/>
      <c r="J8" s="449" t="s">
        <v>8</v>
      </c>
      <c r="K8" s="450"/>
      <c r="L8" s="450"/>
      <c r="M8" s="450"/>
      <c r="N8" s="450"/>
      <c r="O8" s="451"/>
      <c r="P8" s="265" t="s">
        <v>59</v>
      </c>
      <c r="Q8" s="265" t="s">
        <v>10</v>
      </c>
    </row>
    <row r="9" spans="1:17" ht="12.75">
      <c r="A9" s="452"/>
      <c r="B9" s="453"/>
      <c r="C9" s="454"/>
      <c r="D9" s="455"/>
      <c r="E9" s="296"/>
      <c r="F9" s="297"/>
      <c r="G9" s="276"/>
      <c r="H9" s="277"/>
      <c r="I9" s="456"/>
      <c r="J9" s="301"/>
      <c r="K9" s="302"/>
      <c r="L9" s="302"/>
      <c r="M9" s="302"/>
      <c r="N9" s="302"/>
      <c r="O9" s="258"/>
      <c r="P9" s="266"/>
      <c r="Q9" s="266"/>
    </row>
    <row r="10" spans="1:17" ht="26.25" customHeight="1">
      <c r="A10" s="452"/>
      <c r="B10" s="453"/>
      <c r="C10" s="454"/>
      <c r="D10" s="455"/>
      <c r="E10" s="457" t="s">
        <v>60</v>
      </c>
      <c r="F10" s="225"/>
      <c r="G10" s="114" t="s">
        <v>61</v>
      </c>
      <c r="H10" s="458" t="s">
        <v>5</v>
      </c>
      <c r="I10" s="459" t="s">
        <v>120</v>
      </c>
      <c r="J10" s="460" t="s">
        <v>62</v>
      </c>
      <c r="K10" s="461" t="s">
        <v>121</v>
      </c>
      <c r="L10" s="461" t="s">
        <v>63</v>
      </c>
      <c r="M10" s="461" t="s">
        <v>35</v>
      </c>
      <c r="N10" s="262" t="s">
        <v>122</v>
      </c>
      <c r="O10" s="462" t="s">
        <v>37</v>
      </c>
      <c r="P10" s="266"/>
      <c r="Q10" s="266"/>
    </row>
    <row r="11" spans="1:17" ht="66.75" customHeight="1" thickBot="1">
      <c r="A11" s="463"/>
      <c r="B11" s="464"/>
      <c r="C11" s="465"/>
      <c r="D11" s="466"/>
      <c r="E11" s="33" t="s">
        <v>65</v>
      </c>
      <c r="F11" s="467" t="s">
        <v>19</v>
      </c>
      <c r="G11" s="93" t="s">
        <v>123</v>
      </c>
      <c r="H11" s="462"/>
      <c r="I11" s="468"/>
      <c r="J11" s="272"/>
      <c r="K11" s="262"/>
      <c r="L11" s="262"/>
      <c r="M11" s="262"/>
      <c r="N11" s="263"/>
      <c r="O11" s="469"/>
      <c r="P11" s="267"/>
      <c r="Q11" s="267"/>
    </row>
    <row r="12" spans="1:17" ht="13.5" thickBot="1">
      <c r="A12" s="34">
        <v>1</v>
      </c>
      <c r="B12" s="35">
        <v>2</v>
      </c>
      <c r="C12" s="34">
        <v>3</v>
      </c>
      <c r="D12" s="35">
        <v>4</v>
      </c>
      <c r="E12" s="34">
        <v>5</v>
      </c>
      <c r="F12" s="35">
        <v>6</v>
      </c>
      <c r="G12" s="34">
        <v>7</v>
      </c>
      <c r="H12" s="35">
        <v>8</v>
      </c>
      <c r="I12" s="34">
        <v>9</v>
      </c>
      <c r="J12" s="35">
        <v>10</v>
      </c>
      <c r="K12" s="34">
        <v>11</v>
      </c>
      <c r="L12" s="35">
        <v>12</v>
      </c>
      <c r="M12" s="34">
        <v>13</v>
      </c>
      <c r="N12" s="35">
        <v>14</v>
      </c>
      <c r="O12" s="34">
        <v>15</v>
      </c>
      <c r="P12" s="35">
        <v>16</v>
      </c>
      <c r="Q12" s="34">
        <v>17</v>
      </c>
    </row>
    <row r="13" spans="1:17" ht="13.5" thickBot="1">
      <c r="A13" s="470" t="s">
        <v>124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2"/>
      <c r="P13" s="473"/>
      <c r="Q13" s="473"/>
    </row>
    <row r="14" spans="1:19" s="24" customFormat="1" ht="13.5" thickBot="1">
      <c r="A14" s="58" t="s">
        <v>52</v>
      </c>
      <c r="B14" s="59"/>
      <c r="C14" s="60">
        <f>'2011 полн'!C8</f>
        <v>290319.94999999995</v>
      </c>
      <c r="D14" s="60">
        <f>'2011 полн'!D8</f>
        <v>33851.823792200004</v>
      </c>
      <c r="E14" s="60">
        <f>'2011 полн'!U8</f>
        <v>221533.33999999997</v>
      </c>
      <c r="F14" s="60">
        <f>'2011 полн'!V8</f>
        <v>34353.920000000006</v>
      </c>
      <c r="G14" s="60">
        <f>'2011 полн'!AF8</f>
        <v>190673.97999999998</v>
      </c>
      <c r="H14" s="60">
        <f>'2011 полн'!AG8</f>
        <v>258879.72379220003</v>
      </c>
      <c r="I14" s="60">
        <f>'2011 полн'!AJ8</f>
        <v>300</v>
      </c>
      <c r="J14" s="60">
        <f>'2011 полн'!AK8</f>
        <v>19837.775999999998</v>
      </c>
      <c r="K14" s="60">
        <f>'2011 полн'!AL8</f>
        <v>6646.5060711999995</v>
      </c>
      <c r="L14" s="60">
        <f>'2011 полн'!AM8+'2011 полн'!AO8+'2011 полн'!AP8+'2011 полн'!AT8+'2011 полн'!AX8+'2011 полн'!AY8</f>
        <v>162647.3970746104</v>
      </c>
      <c r="M14" s="60">
        <f>'2011 полн'!AU8+'2011 полн'!AV8+'2011 полн'!AW8</f>
        <v>106212.171</v>
      </c>
      <c r="N14" s="60">
        <f>'2011 полн'!BD8</f>
        <v>75</v>
      </c>
      <c r="O14" s="60">
        <f>'2011 полн'!BE8</f>
        <v>295418.8501458104</v>
      </c>
      <c r="P14" s="60">
        <f>'2011 полн'!BF8</f>
        <v>-36239.126353610365</v>
      </c>
      <c r="Q14" s="60">
        <f>'2011 полн'!BG8</f>
        <v>-30859.36</v>
      </c>
      <c r="R14" s="63"/>
      <c r="S14" s="53"/>
    </row>
    <row r="15" spans="1:19" ht="12.75">
      <c r="A15" s="8" t="s">
        <v>117</v>
      </c>
      <c r="B15" s="474"/>
      <c r="C15" s="475"/>
      <c r="D15" s="476"/>
      <c r="E15" s="477"/>
      <c r="F15" s="478"/>
      <c r="G15" s="479"/>
      <c r="H15" s="478"/>
      <c r="I15" s="480"/>
      <c r="J15" s="479"/>
      <c r="K15" s="481"/>
      <c r="L15" s="481"/>
      <c r="M15" s="482"/>
      <c r="N15" s="483"/>
      <c r="O15" s="484"/>
      <c r="P15" s="485"/>
      <c r="Q15" s="485"/>
      <c r="R15" s="303"/>
      <c r="S15" s="303"/>
    </row>
    <row r="16" spans="1:19" ht="12.75">
      <c r="A16" s="356" t="s">
        <v>43</v>
      </c>
      <c r="B16" s="486">
        <f>'2011 полн'!B10</f>
        <v>1248.8</v>
      </c>
      <c r="C16" s="487">
        <f>'2011 полн'!C10</f>
        <v>10677.24</v>
      </c>
      <c r="D16" s="488">
        <f>'2011 полн'!D10</f>
        <v>88.407</v>
      </c>
      <c r="E16" s="481">
        <f>'2011 полн'!U10</f>
        <v>10789.73</v>
      </c>
      <c r="F16" s="481">
        <f>'2011 полн'!V10</f>
        <v>0</v>
      </c>
      <c r="G16" s="489">
        <f>'2011 полн'!AF10</f>
        <v>6199.71</v>
      </c>
      <c r="H16" s="489">
        <f>'2011 полн'!AG10</f>
        <v>6288.117</v>
      </c>
      <c r="I16" s="489">
        <f>'2011 полн'!AJ10</f>
        <v>100</v>
      </c>
      <c r="J16" s="489">
        <f>'2011 полн'!AK10</f>
        <v>836.696</v>
      </c>
      <c r="K16" s="481">
        <f>'2011 полн'!AL10</f>
        <v>249.76</v>
      </c>
      <c r="L16" s="481">
        <f>'2011 полн'!AM10+'2011 полн'!AN10+'2011 полн'!AO10+'2011 полн'!AP10+'2011 полн'!AQ10+'2011 полн'!AR10+'2011 полн'!AS10+'2011 полн'!AT10+'2011 полн'!AX10</f>
        <v>8629.207999999999</v>
      </c>
      <c r="M16" s="482">
        <f>'2011 полн'!AU10+'2011 полн'!AV10+'2011 полн'!AW10</f>
        <v>0</v>
      </c>
      <c r="N16" s="490">
        <f>'2011 полн'!BD10</f>
        <v>25</v>
      </c>
      <c r="O16" s="484">
        <f>'2011 полн'!BE10</f>
        <v>9740.664</v>
      </c>
      <c r="P16" s="485">
        <f>'2011 полн'!BF10</f>
        <v>-3352.5470000000005</v>
      </c>
      <c r="Q16" s="485">
        <f>'2011 полн'!BG10</f>
        <v>-4590.0199999999995</v>
      </c>
      <c r="R16" s="303"/>
      <c r="S16" s="303"/>
    </row>
    <row r="17" spans="1:19" ht="12.75">
      <c r="A17" s="356" t="s">
        <v>44</v>
      </c>
      <c r="B17" s="486">
        <f>'2011 полн'!B11</f>
        <v>1248.8</v>
      </c>
      <c r="C17" s="487">
        <f>'2011 полн'!C11</f>
        <v>10677.24</v>
      </c>
      <c r="D17" s="488">
        <f>'2011 полн'!D11</f>
        <v>88.407</v>
      </c>
      <c r="E17" s="481">
        <f>'2011 полн'!U11</f>
        <v>10653.82</v>
      </c>
      <c r="F17" s="481">
        <f>'2011 полн'!V11</f>
        <v>0</v>
      </c>
      <c r="G17" s="489">
        <f>'2011 полн'!AF11</f>
        <v>8258.34</v>
      </c>
      <c r="H17" s="489">
        <f>'2011 полн'!AG11</f>
        <v>8346.747</v>
      </c>
      <c r="I17" s="489">
        <f>'2011 полн'!AJ11</f>
        <v>100</v>
      </c>
      <c r="J17" s="489">
        <f>'2011 полн'!AK11</f>
        <v>836.696</v>
      </c>
      <c r="K17" s="481">
        <f>'2011 полн'!AL11</f>
        <v>249.76</v>
      </c>
      <c r="L17" s="481">
        <f>'2011 полн'!AM11+'2011 полн'!AN11+'2011 полн'!AO11+'2011 полн'!AP11+'2011 полн'!AQ11+'2011 полн'!AR11+'2011 полн'!AS11+'2011 полн'!AT11+'2011 полн'!AX11</f>
        <v>8787.442999999997</v>
      </c>
      <c r="M17" s="482">
        <f>'2011 полн'!AU11+'2011 полн'!AV11+'2011 полн'!AW11</f>
        <v>0</v>
      </c>
      <c r="N17" s="490">
        <f>'2011 полн'!BD11</f>
        <v>25</v>
      </c>
      <c r="O17" s="484">
        <f>'2011 полн'!BE11</f>
        <v>9898.899</v>
      </c>
      <c r="P17" s="485">
        <f>'2011 полн'!BF11</f>
        <v>-1452.152</v>
      </c>
      <c r="Q17" s="485">
        <f>'2011 полн'!BG11</f>
        <v>-2395.4799999999996</v>
      </c>
      <c r="R17" s="303"/>
      <c r="S17" s="303"/>
    </row>
    <row r="18" spans="1:19" ht="12.75">
      <c r="A18" s="356" t="s">
        <v>45</v>
      </c>
      <c r="B18" s="486">
        <f>'2011 полн'!B12</f>
        <v>1248.8</v>
      </c>
      <c r="C18" s="487">
        <f>'2011 полн'!C12</f>
        <v>10677.24</v>
      </c>
      <c r="D18" s="488">
        <f>'2011 полн'!D12</f>
        <v>88.407</v>
      </c>
      <c r="E18" s="481">
        <f>'2011 полн'!U12</f>
        <v>10730.449999999999</v>
      </c>
      <c r="F18" s="481">
        <f>'2011 полн'!V12</f>
        <v>0</v>
      </c>
      <c r="G18" s="489">
        <f>'2011 полн'!AF12</f>
        <v>15028.16</v>
      </c>
      <c r="H18" s="489">
        <f>'2011 полн'!AG12</f>
        <v>15116.567</v>
      </c>
      <c r="I18" s="489">
        <f>'2011 полн'!AJ12</f>
        <v>100</v>
      </c>
      <c r="J18" s="489">
        <f>'2011 полн'!AK12</f>
        <v>836.696</v>
      </c>
      <c r="K18" s="481">
        <f>'2011 полн'!AL12</f>
        <v>249.76</v>
      </c>
      <c r="L18" s="481">
        <f>'2011 полн'!AM12+'2011 полн'!AN12+'2011 полн'!AO12+'2011 полн'!AP12+'2011 полн'!AQ12+'2011 полн'!AR12+'2011 полн'!AS12+'2011 полн'!AT12+'2011 полн'!AX12</f>
        <v>8764.882999999998</v>
      </c>
      <c r="M18" s="482">
        <f>'2011 полн'!AU12+'2011 полн'!AV12+'2011 полн'!AW12</f>
        <v>0</v>
      </c>
      <c r="N18" s="490">
        <f>'2011 полн'!BD12</f>
        <v>25</v>
      </c>
      <c r="O18" s="484">
        <f>'2011 полн'!BE12</f>
        <v>9876.339</v>
      </c>
      <c r="P18" s="485">
        <f>'2011 полн'!BF12</f>
        <v>5340.227999999999</v>
      </c>
      <c r="Q18" s="485">
        <f>'2011 полн'!BG12</f>
        <v>4297.710000000001</v>
      </c>
      <c r="R18" s="303"/>
      <c r="S18" s="303"/>
    </row>
    <row r="19" spans="1:19" ht="12.75">
      <c r="A19" s="356" t="s">
        <v>46</v>
      </c>
      <c r="B19" s="486">
        <f>'2011 полн'!B13</f>
        <v>1248.8</v>
      </c>
      <c r="C19" s="487">
        <f>'2011 полн'!C13</f>
        <v>10677.24</v>
      </c>
      <c r="D19" s="488">
        <f>'2011 полн'!D13</f>
        <v>88.407</v>
      </c>
      <c r="E19" s="481">
        <f>'2011 полн'!U13</f>
        <v>10730.44</v>
      </c>
      <c r="F19" s="481">
        <f>'2011 полн'!V13</f>
        <v>0</v>
      </c>
      <c r="G19" s="489">
        <f>'2011 полн'!AF13</f>
        <v>9456.17</v>
      </c>
      <c r="H19" s="489">
        <f>'2011 полн'!AG13</f>
        <v>9544.577</v>
      </c>
      <c r="I19" s="489">
        <f>'2011 полн'!AJ13</f>
        <v>100</v>
      </c>
      <c r="J19" s="489">
        <f>'2011 полн'!AK13</f>
        <v>836.696</v>
      </c>
      <c r="K19" s="481">
        <f>'2011 полн'!AL13</f>
        <v>249.76</v>
      </c>
      <c r="L19" s="481">
        <f>'2011 полн'!AM13+'2011 полн'!AN13+'2011 полн'!AO13+'2011 полн'!AP13+'2011 полн'!AQ13+'2011 полн'!AR13+'2011 полн'!AS13+'2011 полн'!AT13+'2011 полн'!AX13</f>
        <v>7353.763</v>
      </c>
      <c r="M19" s="482">
        <f>'2011 полн'!AU13+'2011 полн'!AV13+'2011 полн'!AW13</f>
        <v>0</v>
      </c>
      <c r="N19" s="490">
        <f>'2011 полн'!BD13</f>
        <v>25</v>
      </c>
      <c r="O19" s="484">
        <f>'2011 полн'!BE13</f>
        <v>8465.219</v>
      </c>
      <c r="P19" s="485">
        <f>'2011 полн'!BF13</f>
        <v>1179.3580000000002</v>
      </c>
      <c r="Q19" s="485">
        <f>'2011 полн'!BG13</f>
        <v>-1274.2700000000004</v>
      </c>
      <c r="R19" s="303"/>
      <c r="S19" s="303"/>
    </row>
    <row r="20" spans="1:19" ht="12.75">
      <c r="A20" s="356" t="s">
        <v>47</v>
      </c>
      <c r="B20" s="486">
        <f>'2011 полн'!B14</f>
        <v>1248.8</v>
      </c>
      <c r="C20" s="487">
        <f>'2011 полн'!C14</f>
        <v>10677.24</v>
      </c>
      <c r="D20" s="488">
        <f>'2011 полн'!D14</f>
        <v>88.407</v>
      </c>
      <c r="E20" s="481">
        <f>'2011 полн'!U14</f>
        <v>10730.429999999998</v>
      </c>
      <c r="F20" s="481">
        <f>'2011 полн'!V14</f>
        <v>0</v>
      </c>
      <c r="G20" s="489">
        <f>'2011 полн'!AF14</f>
        <v>13697.8</v>
      </c>
      <c r="H20" s="489">
        <f>'2011 полн'!AG14</f>
        <v>13786.206999999999</v>
      </c>
      <c r="I20" s="489">
        <f>'2011 полн'!AJ14</f>
        <v>214</v>
      </c>
      <c r="J20" s="489">
        <f>'2011 полн'!AK14</f>
        <v>836.696</v>
      </c>
      <c r="K20" s="481">
        <f>'2011 полн'!AL14</f>
        <v>249.76</v>
      </c>
      <c r="L20" s="481">
        <f>'2011 полн'!AM14+'2011 полн'!AN14+'2011 полн'!AO14+'2011 полн'!AP14+'2011 полн'!AQ14+'2011 полн'!AR14+'2011 полн'!AS14+'2011 полн'!AT14+'2011 полн'!AX14</f>
        <v>7341.763</v>
      </c>
      <c r="M20" s="482">
        <f>'2011 полн'!AU14+'2011 полн'!AV14+'2011 полн'!AW14</f>
        <v>455</v>
      </c>
      <c r="N20" s="490">
        <f>'2011 полн'!BD14</f>
        <v>53.5</v>
      </c>
      <c r="O20" s="484">
        <f>'2011 полн'!BE14</f>
        <v>8936.719</v>
      </c>
      <c r="P20" s="485">
        <f>'2011 полн'!BF14</f>
        <v>5063.487999999999</v>
      </c>
      <c r="Q20" s="485">
        <f>'2011 полн'!BG14</f>
        <v>2967.370000000001</v>
      </c>
      <c r="R20" s="303"/>
      <c r="S20" s="303"/>
    </row>
    <row r="21" spans="1:19" ht="12.75">
      <c r="A21" s="356" t="s">
        <v>48</v>
      </c>
      <c r="B21" s="486">
        <f>'2011 полн'!B15</f>
        <v>1248.8</v>
      </c>
      <c r="C21" s="487">
        <f>'2011 полн'!C15</f>
        <v>10677.24</v>
      </c>
      <c r="D21" s="488">
        <f>'2011 полн'!D15</f>
        <v>88.407</v>
      </c>
      <c r="E21" s="481">
        <f>'2011 полн'!U15</f>
        <v>10730.44</v>
      </c>
      <c r="F21" s="481">
        <f>'2011 полн'!V15</f>
        <v>0</v>
      </c>
      <c r="G21" s="489">
        <f>'2011 полн'!AF15</f>
        <v>8736.27</v>
      </c>
      <c r="H21" s="489">
        <f>'2011 полн'!AG15</f>
        <v>8824.677</v>
      </c>
      <c r="I21" s="489">
        <f>'2011 полн'!AJ15</f>
        <v>214</v>
      </c>
      <c r="J21" s="489">
        <f>'2011 полн'!AK15</f>
        <v>836.696</v>
      </c>
      <c r="K21" s="481">
        <f>'2011 полн'!AL15</f>
        <v>249.76</v>
      </c>
      <c r="L21" s="481">
        <f>'2011 полн'!AM15+'2011 полн'!AN15+'2011 полн'!AO15+'2011 полн'!AP15+'2011 полн'!AQ15+'2011 полн'!AR15+'2011 полн'!AS15+'2011 полн'!AT15+'2011 полн'!AX15</f>
        <v>7328.763</v>
      </c>
      <c r="M21" s="482">
        <f>'2011 полн'!AU15+'2011 полн'!AV15+'2011 полн'!AW15</f>
        <v>0</v>
      </c>
      <c r="N21" s="490">
        <f>'2011 полн'!BD15</f>
        <v>53.5</v>
      </c>
      <c r="O21" s="484">
        <f>'2011 полн'!BE15</f>
        <v>8468.719</v>
      </c>
      <c r="P21" s="485">
        <f>'2011 полн'!BF15</f>
        <v>569.9580000000005</v>
      </c>
      <c r="Q21" s="485">
        <f>'2011 полн'!BG15</f>
        <v>-1994.17</v>
      </c>
      <c r="R21" s="303"/>
      <c r="S21" s="303"/>
    </row>
    <row r="22" spans="1:17" ht="12.75">
      <c r="A22" s="356" t="s">
        <v>49</v>
      </c>
      <c r="B22" s="486">
        <f>'2011 полн'!B16</f>
        <v>1248.8</v>
      </c>
      <c r="C22" s="487">
        <f>'2011 полн'!C16</f>
        <v>10677.24</v>
      </c>
      <c r="D22" s="488">
        <f>'2011 полн'!D16</f>
        <v>88.407</v>
      </c>
      <c r="E22" s="481">
        <f>'2011 полн'!U16</f>
        <v>10730.44</v>
      </c>
      <c r="F22" s="481">
        <f>'2011 полн'!V16</f>
        <v>0</v>
      </c>
      <c r="G22" s="489">
        <f>'2011 полн'!AF16</f>
        <v>7971.209999999999</v>
      </c>
      <c r="H22" s="489">
        <f>'2011 полн'!AG16</f>
        <v>8059.616999999999</v>
      </c>
      <c r="I22" s="489">
        <f>'2011 полн'!AJ16</f>
        <v>214</v>
      </c>
      <c r="J22" s="489">
        <f>'2011 полн'!AK16</f>
        <v>836.696</v>
      </c>
      <c r="K22" s="481">
        <f>'2011 полн'!AL16</f>
        <v>249.76</v>
      </c>
      <c r="L22" s="481">
        <f>'2011 полн'!AM16+'2011 полн'!AN16+'2011 полн'!AO16+'2011 полн'!AP16+'2011 полн'!AQ16+'2011 полн'!AR16+'2011 полн'!AS16+'2011 полн'!AT16+'2011 полн'!AX16</f>
        <v>9575.983</v>
      </c>
      <c r="M22" s="482">
        <f>'2011 полн'!AU16+'2011 полн'!AV16+'2011 полн'!AW16</f>
        <v>0</v>
      </c>
      <c r="N22" s="490">
        <f>'2011 полн'!BD16</f>
        <v>53.5</v>
      </c>
      <c r="O22" s="484">
        <f>'2011 полн'!BE16</f>
        <v>10715.938999999998</v>
      </c>
      <c r="P22" s="485">
        <f>'2011 полн'!BF16</f>
        <v>-2442.322</v>
      </c>
      <c r="Q22" s="485">
        <f>'2011 полн'!BG16</f>
        <v>-2759.2300000000014</v>
      </c>
    </row>
    <row r="23" spans="1:17" ht="12.75">
      <c r="A23" s="356" t="s">
        <v>50</v>
      </c>
      <c r="B23" s="486">
        <f>'2011 полн'!B17</f>
        <v>1248.8</v>
      </c>
      <c r="C23" s="487">
        <f>'2011 полн'!C17</f>
        <v>10677.24</v>
      </c>
      <c r="D23" s="488">
        <f>'2011 полн'!D17</f>
        <v>88.407</v>
      </c>
      <c r="E23" s="481">
        <f>'2011 полн'!U17</f>
        <v>10730.44</v>
      </c>
      <c r="F23" s="481">
        <f>'2011 полн'!V17</f>
        <v>0</v>
      </c>
      <c r="G23" s="489">
        <f>'2011 полн'!AF17</f>
        <v>7470.51</v>
      </c>
      <c r="H23" s="489">
        <f>'2011 полн'!AG17</f>
        <v>7558.917</v>
      </c>
      <c r="I23" s="489">
        <f>'2011 полн'!AJ17</f>
        <v>214</v>
      </c>
      <c r="J23" s="489">
        <f>'2011 полн'!AK17</f>
        <v>836.696</v>
      </c>
      <c r="K23" s="481">
        <f>'2011 полн'!AL17</f>
        <v>249.76</v>
      </c>
      <c r="L23" s="481">
        <f>'2011 полн'!AM17+'2011 полн'!AN17+'2011 полн'!AO17+'2011 полн'!AP17+'2011 полн'!AQ17+'2011 полн'!AR17+'2011 полн'!AS17+'2011 полн'!AT17+'2011 полн'!AX17</f>
        <v>8038.763</v>
      </c>
      <c r="M23" s="482">
        <f>'2011 полн'!AU17+'2011 полн'!AV17+'2011 полн'!AW17</f>
        <v>1700</v>
      </c>
      <c r="N23" s="490">
        <f>'2011 полн'!BD17</f>
        <v>53.5</v>
      </c>
      <c r="O23" s="484">
        <f>'2011 полн'!BE17</f>
        <v>10878.719</v>
      </c>
      <c r="P23" s="485">
        <f>'2011 полн'!BF17</f>
        <v>-3105.8019999999988</v>
      </c>
      <c r="Q23" s="485">
        <f>'2011 полн'!BG17</f>
        <v>-3259.9300000000003</v>
      </c>
    </row>
    <row r="24" spans="1:17" ht="12.75">
      <c r="A24" s="356" t="s">
        <v>51</v>
      </c>
      <c r="B24" s="486">
        <f>'2011 полн'!B18</f>
        <v>1248.8</v>
      </c>
      <c r="C24" s="487">
        <f>'2011 полн'!C18</f>
        <v>10677.24</v>
      </c>
      <c r="D24" s="488">
        <f>'2011 полн'!D18</f>
        <v>88.407</v>
      </c>
      <c r="E24" s="481">
        <f>'2011 полн'!U18</f>
        <v>10828.56</v>
      </c>
      <c r="F24" s="481">
        <f>'2011 полн'!V18</f>
        <v>0</v>
      </c>
      <c r="G24" s="489">
        <f>'2011 полн'!AF18</f>
        <v>13076.310000000001</v>
      </c>
      <c r="H24" s="489">
        <f>'2011 полн'!AG18</f>
        <v>13164.717</v>
      </c>
      <c r="I24" s="489">
        <f>'2011 полн'!AJ18</f>
        <v>214</v>
      </c>
      <c r="J24" s="489">
        <f>'2011 полн'!AK18</f>
        <v>836.696</v>
      </c>
      <c r="K24" s="481">
        <f>'2011 полн'!AL18</f>
        <v>249.76</v>
      </c>
      <c r="L24" s="481">
        <f>'2011 полн'!AM18+'2011 полн'!AN18+'2011 полн'!AO18+'2011 полн'!AP18+'2011 полн'!AQ18+'2011 полн'!AR18+'2011 полн'!AS18+'2011 полн'!AT18+'2011 полн'!AX18</f>
        <v>7328.763</v>
      </c>
      <c r="M24" s="482">
        <f>'2011 полн'!AU18+'2011 полн'!AV18+'2011 полн'!AW18</f>
        <v>0</v>
      </c>
      <c r="N24" s="490">
        <f>'2011 полн'!BD18</f>
        <v>53.5</v>
      </c>
      <c r="O24" s="484">
        <f>'2011 полн'!BE18</f>
        <v>8468.719</v>
      </c>
      <c r="P24" s="485">
        <f>'2011 полн'!BF18</f>
        <v>4909.998000000001</v>
      </c>
      <c r="Q24" s="485">
        <f>'2011 полн'!BG18</f>
        <v>2247.750000000002</v>
      </c>
    </row>
    <row r="25" spans="1:17" ht="12.75">
      <c r="A25" s="356" t="s">
        <v>39</v>
      </c>
      <c r="B25" s="486">
        <f>'2011 полн'!B19</f>
        <v>1248.8</v>
      </c>
      <c r="C25" s="487">
        <f>'2011 полн'!C19</f>
        <v>10677.24</v>
      </c>
      <c r="D25" s="488">
        <f>'2011 полн'!D19</f>
        <v>88.407</v>
      </c>
      <c r="E25" s="481">
        <f>'2011 полн'!U19</f>
        <v>10828.56</v>
      </c>
      <c r="F25" s="481">
        <f>'2011 полн'!V19</f>
        <v>0</v>
      </c>
      <c r="G25" s="489">
        <f>'2011 полн'!AF19</f>
        <v>11246.91</v>
      </c>
      <c r="H25" s="489">
        <f>'2011 полн'!AG19</f>
        <v>11335.317</v>
      </c>
      <c r="I25" s="489">
        <f>'2011 полн'!AJ19</f>
        <v>214</v>
      </c>
      <c r="J25" s="489">
        <f>'2011 полн'!AK19</f>
        <v>836.696</v>
      </c>
      <c r="K25" s="481">
        <f>'2011 полн'!AL19</f>
        <v>249.76</v>
      </c>
      <c r="L25" s="481">
        <f>'2011 полн'!AM19+'2011 полн'!AN19+'2011 полн'!AO19+'2011 полн'!AP19+'2011 полн'!AQ19+'2011 полн'!AR19+'2011 полн'!AS19+'2011 полн'!AT19+'2011 полн'!AX19</f>
        <v>8764.882999999998</v>
      </c>
      <c r="M25" s="482">
        <f>'2011 полн'!AU19+'2011 полн'!AV19+'2011 полн'!AW19</f>
        <v>7342</v>
      </c>
      <c r="N25" s="490">
        <f>'2011 полн'!BD19</f>
        <v>53.5</v>
      </c>
      <c r="O25" s="484">
        <f>'2011 полн'!BE19</f>
        <v>17246.839</v>
      </c>
      <c r="P25" s="485">
        <f>'2011 полн'!BF19</f>
        <v>-5697.522000000001</v>
      </c>
      <c r="Q25" s="485">
        <f>'2011 полн'!BG19</f>
        <v>418.35000000000036</v>
      </c>
    </row>
    <row r="26" spans="1:17" ht="12.75">
      <c r="A26" s="356" t="s">
        <v>40</v>
      </c>
      <c r="B26" s="486">
        <f>'2011 полн'!B20</f>
        <v>1248.8</v>
      </c>
      <c r="C26" s="487">
        <f>'2011 полн'!C20</f>
        <v>10677.24</v>
      </c>
      <c r="D26" s="488">
        <f>'2011 полн'!D20</f>
        <v>88.407</v>
      </c>
      <c r="E26" s="481">
        <f>'2011 полн'!U20</f>
        <v>10828.56</v>
      </c>
      <c r="F26" s="481">
        <f>'2011 полн'!V20</f>
        <v>0</v>
      </c>
      <c r="G26" s="489">
        <f>'2011 полн'!AF20</f>
        <v>10517.349999999999</v>
      </c>
      <c r="H26" s="489">
        <f>'2011 полн'!AG20</f>
        <v>10605.756999999998</v>
      </c>
      <c r="I26" s="489">
        <f>'2011 полн'!AJ20</f>
        <v>214</v>
      </c>
      <c r="J26" s="489">
        <f>'2011 полн'!AK20</f>
        <v>836.696</v>
      </c>
      <c r="K26" s="481">
        <f>'2011 полн'!AL20</f>
        <v>249.76</v>
      </c>
      <c r="L26" s="481">
        <f>'2011 полн'!AM20+'2011 полн'!AN20+'2011 полн'!AO20+'2011 полн'!AP20+'2011 полн'!AQ20+'2011 полн'!AR20+'2011 полн'!AS20+'2011 полн'!AT20+'2011 полн'!AX20</f>
        <v>10425.882999999998</v>
      </c>
      <c r="M26" s="482">
        <f>'2011 полн'!AU20+'2011 полн'!AV20+'2011 полн'!AW20</f>
        <v>5010</v>
      </c>
      <c r="N26" s="490">
        <f>'2011 полн'!BD20</f>
        <v>53.5</v>
      </c>
      <c r="O26" s="484">
        <f>'2011 полн'!BE20</f>
        <v>16575.839</v>
      </c>
      <c r="P26" s="485">
        <f>'2011 полн'!BF20</f>
        <v>-5756.082000000002</v>
      </c>
      <c r="Q26" s="485">
        <f>'2011 полн'!BG20</f>
        <v>-311.21000000000095</v>
      </c>
    </row>
    <row r="27" spans="1:17" ht="13.5" thickBot="1">
      <c r="A27" s="491" t="s">
        <v>41</v>
      </c>
      <c r="B27" s="486">
        <f>'2011 полн'!B21</f>
        <v>1248.8</v>
      </c>
      <c r="C27" s="487">
        <f>'2011 полн'!C21</f>
        <v>10677.24</v>
      </c>
      <c r="D27" s="488">
        <f>'2011 полн'!D21</f>
        <v>88.407</v>
      </c>
      <c r="E27" s="481">
        <f>'2011 полн'!U21</f>
        <v>10828.53</v>
      </c>
      <c r="F27" s="481">
        <f>'2011 полн'!V21</f>
        <v>0</v>
      </c>
      <c r="G27" s="489">
        <f>'2011 полн'!AF21</f>
        <v>9954.58</v>
      </c>
      <c r="H27" s="489">
        <f>'2011 полн'!AG21</f>
        <v>10042.987</v>
      </c>
      <c r="I27" s="489">
        <f>'2011 полн'!AJ21</f>
        <v>214</v>
      </c>
      <c r="J27" s="489">
        <f>'2011 полн'!AK21</f>
        <v>836.696</v>
      </c>
      <c r="K27" s="481">
        <f>'2011 полн'!AL21</f>
        <v>249.76</v>
      </c>
      <c r="L27" s="481">
        <f>'2011 полн'!AM21+'2011 полн'!AN21+'2011 полн'!AO21+'2011 полн'!AP21+'2011 полн'!AQ21+'2011 полн'!AR21+'2011 полн'!AS21+'2011 полн'!AT21+'2011 полн'!AX21</f>
        <v>8764.882999999998</v>
      </c>
      <c r="M27" s="482">
        <f>'2011 полн'!AU21+'2011 полн'!AV21+'2011 полн'!AW21</f>
        <v>0</v>
      </c>
      <c r="N27" s="490">
        <f>'2011 полн'!BD21</f>
        <v>53.5</v>
      </c>
      <c r="O27" s="484">
        <f>'2011 полн'!BE21</f>
        <v>9904.839</v>
      </c>
      <c r="P27" s="485">
        <f>'2011 полн'!BF21</f>
        <v>352.14799999999923</v>
      </c>
      <c r="Q27" s="485">
        <f>'2011 полн'!BG21</f>
        <v>-873.9500000000007</v>
      </c>
    </row>
    <row r="28" spans="1:19" s="24" customFormat="1" ht="13.5" thickBot="1">
      <c r="A28" s="46" t="s">
        <v>3</v>
      </c>
      <c r="B28" s="47"/>
      <c r="C28" s="52">
        <f aca="true" t="shared" si="0" ref="C28:Q28">SUM(C16:C27)</f>
        <v>128126.88000000002</v>
      </c>
      <c r="D28" s="52">
        <f t="shared" si="0"/>
        <v>1060.8840000000002</v>
      </c>
      <c r="E28" s="52">
        <f t="shared" si="0"/>
        <v>129140.4</v>
      </c>
      <c r="F28" s="52">
        <f t="shared" si="0"/>
        <v>0</v>
      </c>
      <c r="G28" s="52">
        <f t="shared" si="0"/>
        <v>121613.31999999999</v>
      </c>
      <c r="H28" s="52">
        <f t="shared" si="0"/>
        <v>122674.20399999998</v>
      </c>
      <c r="I28" s="52">
        <f t="shared" si="0"/>
        <v>2112</v>
      </c>
      <c r="J28" s="52">
        <f t="shared" si="0"/>
        <v>10040.352</v>
      </c>
      <c r="K28" s="52">
        <f t="shared" si="0"/>
        <v>2997.120000000001</v>
      </c>
      <c r="L28" s="52">
        <f t="shared" si="0"/>
        <v>101104.98100000001</v>
      </c>
      <c r="M28" s="52">
        <f t="shared" si="0"/>
        <v>14507</v>
      </c>
      <c r="N28" s="52">
        <f t="shared" si="0"/>
        <v>528</v>
      </c>
      <c r="O28" s="52">
        <f t="shared" si="0"/>
        <v>129177.45300000001</v>
      </c>
      <c r="P28" s="52">
        <f t="shared" si="0"/>
        <v>-4391.2490000000025</v>
      </c>
      <c r="Q28" s="52">
        <f t="shared" si="0"/>
        <v>-7527.08</v>
      </c>
      <c r="R28" s="53"/>
      <c r="S28" s="53"/>
    </row>
    <row r="29" spans="1:17" ht="13.5" thickBot="1">
      <c r="A29" s="470" t="s">
        <v>66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2"/>
      <c r="P29" s="473"/>
      <c r="Q29" s="473"/>
    </row>
    <row r="30" spans="1:19" s="24" customFormat="1" ht="13.5" thickBot="1">
      <c r="A30" s="58" t="s">
        <v>52</v>
      </c>
      <c r="B30" s="59"/>
      <c r="C30" s="60">
        <f aca="true" t="shared" si="1" ref="C30:Q30">C28+C14</f>
        <v>418446.82999999996</v>
      </c>
      <c r="D30" s="60">
        <f t="shared" si="1"/>
        <v>34912.7077922</v>
      </c>
      <c r="E30" s="60">
        <f t="shared" si="1"/>
        <v>350673.74</v>
      </c>
      <c r="F30" s="60">
        <f t="shared" si="1"/>
        <v>34353.920000000006</v>
      </c>
      <c r="G30" s="60">
        <f t="shared" si="1"/>
        <v>312287.3</v>
      </c>
      <c r="H30" s="60">
        <f t="shared" si="1"/>
        <v>381553.9277922</v>
      </c>
      <c r="I30" s="60">
        <f t="shared" si="1"/>
        <v>2412</v>
      </c>
      <c r="J30" s="60">
        <f t="shared" si="1"/>
        <v>29878.127999999997</v>
      </c>
      <c r="K30" s="60">
        <f t="shared" si="1"/>
        <v>9643.6260712</v>
      </c>
      <c r="L30" s="60">
        <f t="shared" si="1"/>
        <v>263752.37807461043</v>
      </c>
      <c r="M30" s="60">
        <f t="shared" si="1"/>
        <v>120719.171</v>
      </c>
      <c r="N30" s="60">
        <f t="shared" si="1"/>
        <v>603</v>
      </c>
      <c r="O30" s="60">
        <f t="shared" si="1"/>
        <v>424596.3031458104</v>
      </c>
      <c r="P30" s="60">
        <f t="shared" si="1"/>
        <v>-40630.37535361037</v>
      </c>
      <c r="Q30" s="60">
        <f t="shared" si="1"/>
        <v>-38386.44</v>
      </c>
      <c r="R30" s="63"/>
      <c r="S30" s="53"/>
    </row>
    <row r="32" spans="1:18" ht="12.75">
      <c r="A32" s="24" t="s">
        <v>67</v>
      </c>
      <c r="D32" s="492" t="s">
        <v>125</v>
      </c>
      <c r="Q32" s="303"/>
      <c r="R32" s="303"/>
    </row>
    <row r="33" spans="1:18" ht="12.75">
      <c r="A33" s="353" t="s">
        <v>68</v>
      </c>
      <c r="B33" s="353" t="s">
        <v>69</v>
      </c>
      <c r="C33" s="493" t="s">
        <v>70</v>
      </c>
      <c r="D33" s="493"/>
      <c r="Q33" s="303"/>
      <c r="R33" s="303"/>
    </row>
    <row r="34" spans="1:18" ht="12.75">
      <c r="A34" s="494">
        <v>101503.36</v>
      </c>
      <c r="B34" s="494">
        <v>92977.62</v>
      </c>
      <c r="C34" s="495">
        <f>A34-B34</f>
        <v>8525.740000000005</v>
      </c>
      <c r="D34" s="496"/>
      <c r="Q34" s="303"/>
      <c r="R34" s="303"/>
    </row>
    <row r="35" spans="1:18" ht="12.75">
      <c r="A35" s="64"/>
      <c r="Q35" s="303"/>
      <c r="R35" s="303"/>
    </row>
    <row r="36" spans="1:18" ht="12.75">
      <c r="A36" s="304" t="s">
        <v>71</v>
      </c>
      <c r="G36" s="304" t="s">
        <v>72</v>
      </c>
      <c r="Q36" s="303"/>
      <c r="R36" s="303"/>
    </row>
    <row r="37" ht="12.75">
      <c r="A37" s="303"/>
    </row>
    <row r="38" ht="12.75">
      <c r="A38" s="492" t="s">
        <v>126</v>
      </c>
    </row>
    <row r="39" ht="12.75">
      <c r="A39" s="304" t="s">
        <v>73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2010-07-08T07:03:08Z</cp:lastPrinted>
  <dcterms:created xsi:type="dcterms:W3CDTF">2010-04-03T04:08:20Z</dcterms:created>
  <dcterms:modified xsi:type="dcterms:W3CDTF">2012-05-14T04:00:41Z</dcterms:modified>
  <cp:category/>
  <cp:version/>
  <cp:contentType/>
  <cp:contentStatus/>
</cp:coreProperties>
</file>