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activeTab="3"/>
  </bookViews>
  <sheets>
    <sheet name="Лист1" sheetId="1" r:id="rId1"/>
    <sheet name="Лист2" sheetId="2" r:id="rId2"/>
    <sheet name="2011 полн" sheetId="3" r:id="rId3"/>
    <sheet name="2011 печа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<sst xmlns="http://schemas.openxmlformats.org/spreadsheetml/2006/main" count="304" uniqueCount="128">
  <si>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</si>
  <si>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</si>
  <si>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</si>
  <si>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</si>
  <si>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</si>
  <si>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</si>
  <si>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</si>
  <si>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</si>
  <si>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</si>
  <si>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</si>
  <si>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</si>
  <si>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</si>
  <si>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</si>
  <si>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</si>
  <si>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</si>
  <si>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</si>
  <si>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</si>
  <si>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</si>
  <si>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</si>
  <si>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</si>
  <si>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</si>
  <si>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</si>
  <si>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</si>
  <si>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</si>
  <si>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</si>
  <si>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</si>
  <si>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</si>
  <si>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</si>
  <si>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</si>
  <si>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</si>
  <si>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</si>
  <si>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</si>
  <si>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</si>
  <si>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</si>
  <si>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</si>
  <si>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</si>
  <si>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</si>
  <si>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</si>
  <si>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</si>
  <si>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</si>
  <si>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</si>
  <si>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</si>
  <si>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</si>
  <si>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</si>
  <si>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</si>
  <si>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</si>
  <si>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</si>
  <si>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</si>
  <si>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</si>
  <si>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</si>
  <si>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</si>
  <si>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</si>
  <si>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</si>
  <si>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</si>
  <si>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</si>
  <si>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</si>
  <si>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</si>
  <si>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</si>
  <si>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</si>
  <si>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</si>
  <si>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</si>
  <si>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</si>
  <si>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</si>
  <si>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</si>
  <si>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</si>
  <si>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</si>
  <si>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</si>
  <si>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</si>
  <si>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</si>
  <si>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</si>
  <si>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</si>
  <si>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</si>
  <si>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</si>
  <si>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тел. 3-48-80</t>
  </si>
  <si>
    <t xml:space="preserve">Собрано квартплаты </t>
  </si>
  <si>
    <t>содержанию и тек.рем.</t>
  </si>
  <si>
    <t>Лицевой счет по адресу г. Таштагол, ул. Ленина, д. 78</t>
  </si>
  <si>
    <t>Выписка по лицевому счету по адресу г. Таштагол, ул. Ленина, д. 78</t>
  </si>
  <si>
    <t>Адрес</t>
  </si>
  <si>
    <t>Собрано всего по жил.услугам</t>
  </si>
  <si>
    <t>Доходы по нежил.помещениям</t>
  </si>
  <si>
    <t>для счетов-фактур</t>
  </si>
  <si>
    <t>Расходы по нежил. помещениям</t>
  </si>
  <si>
    <t>Расходы по жил. помещениям</t>
  </si>
  <si>
    <t>Доп. работы по содержанию ТУК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</si>
  <si>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</si>
  <si>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</si>
  <si>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</si>
  <si>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</si>
  <si>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</si>
  <si>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</si>
  <si>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2010 год</t>
  </si>
  <si>
    <t>*по состоянию на 01.01.2011 г.</t>
  </si>
  <si>
    <t>Исп. Ю.С. Дмитриева</t>
  </si>
  <si>
    <t>на начало отчетного периода</t>
  </si>
  <si>
    <t>на 01.01.2011г.</t>
  </si>
  <si>
    <t>Лицевой счет по адресу г. Таштагол, ул. 18 партсъезд, д.19</t>
  </si>
  <si>
    <t>№ п/п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</si>
  <si>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</si>
  <si>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</si>
  <si>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</si>
  <si>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</si>
  <si>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</si>
  <si>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</si>
  <si>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</si>
  <si>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</si>
  <si>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</si>
  <si>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</si>
  <si>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</si>
  <si>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</si>
  <si>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</si>
  <si>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</si>
  <si>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</si>
  <si>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</si>
  <si>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</si>
  <si>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</si>
  <si>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</si>
  <si>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Электроэнергия</t>
  </si>
  <si>
    <t>2011 год</t>
  </si>
  <si>
    <t>на 01.01.2012 г.</t>
  </si>
  <si>
    <t>Собрано квартплаты от населения</t>
  </si>
  <si>
    <t>Доходы по нежилым помещениям</t>
  </si>
  <si>
    <t>Услуга начисления</t>
  </si>
  <si>
    <t>Расходы по нежилым помещениям</t>
  </si>
  <si>
    <t>Собрано по содержанию и тек.рем.</t>
  </si>
  <si>
    <t>*по состоянию на 01.01.2012 г.</t>
  </si>
  <si>
    <t>Исп. В.В. Колмогорова</t>
  </si>
  <si>
    <t>Выписка по лицевому счету по адресу г. Таштагол ул. Ленина, д. 78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</si>
</sst>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textRotation="90" wrapText="1"/>
    </xf>
    <xf numFmtId="0" fontId="1" fillId="0" borderId="22" xfId="0" applyFont="1" applyFill="1" applyBorder="1" applyAlignment="1">
      <alignment horizontal="center" textRotation="90"/>
    </xf>
    <xf numFmtId="2" fontId="1" fillId="0" borderId="23" xfId="0" applyNumberFormat="1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  <xf numFmtId="4" fontId="2" fillId="0" borderId="32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2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/>
    </xf>
    <xf numFmtId="0" fontId="0" fillId="0" borderId="34" xfId="0" applyFont="1" applyFill="1" applyBorder="1" applyAlignment="1">
      <alignment/>
    </xf>
    <xf numFmtId="0" fontId="1" fillId="0" borderId="24" xfId="0" applyFont="1" applyFill="1" applyBorder="1" applyAlignment="1">
      <alignment horizontal="right" vertical="center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35" xfId="0" applyNumberFormat="1" applyFont="1" applyFill="1" applyBorder="1" applyAlignment="1">
      <alignment horizontal="right" wrapText="1"/>
    </xf>
    <xf numFmtId="4" fontId="1" fillId="0" borderId="27" xfId="0" applyNumberFormat="1" applyFont="1" applyFill="1" applyBorder="1" applyAlignment="1">
      <alignment horizontal="right" wrapText="1"/>
    </xf>
    <xf numFmtId="4" fontId="1" fillId="0" borderId="36" xfId="0" applyNumberFormat="1" applyFont="1" applyFill="1" applyBorder="1" applyAlignment="1">
      <alignment horizontal="right" wrapText="1"/>
    </xf>
    <xf numFmtId="4" fontId="1" fillId="0" borderId="29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4" fontId="1" fillId="0" borderId="25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9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31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wrapText="1"/>
    </xf>
    <xf numFmtId="4" fontId="0" fillId="0" borderId="11" xfId="0" applyNumberFormat="1" applyFont="1" applyBorder="1" applyAlignment="1">
      <alignment horizontal="right"/>
    </xf>
    <xf numFmtId="4" fontId="1" fillId="33" borderId="11" xfId="0" applyNumberFormat="1" applyFont="1" applyFill="1" applyBorder="1" applyAlignment="1">
      <alignment horizontal="right" wrapText="1"/>
    </xf>
    <xf numFmtId="4" fontId="2" fillId="0" borderId="11" xfId="54" applyNumberFormat="1" applyFont="1" applyFill="1" applyBorder="1" applyAlignment="1">
      <alignment horizontal="right"/>
      <protection/>
    </xf>
    <xf numFmtId="4" fontId="0" fillId="0" borderId="32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right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4" fontId="1" fillId="33" borderId="26" xfId="0" applyNumberFormat="1" applyFont="1" applyFill="1" applyBorder="1" applyAlignment="1">
      <alignment horizontal="right" wrapText="1"/>
    </xf>
    <xf numFmtId="4" fontId="1" fillId="33" borderId="27" xfId="0" applyNumberFormat="1" applyFont="1" applyFill="1" applyBorder="1" applyAlignment="1">
      <alignment horizontal="right"/>
    </xf>
    <xf numFmtId="0" fontId="1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33" borderId="36" xfId="0" applyFont="1" applyFill="1" applyBorder="1" applyAlignment="1">
      <alignment/>
    </xf>
    <xf numFmtId="4" fontId="1" fillId="33" borderId="20" xfId="0" applyNumberFormat="1" applyFont="1" applyFill="1" applyBorder="1" applyAlignment="1">
      <alignment horizontal="right"/>
    </xf>
    <xf numFmtId="4" fontId="1" fillId="33" borderId="30" xfId="0" applyNumberFormat="1" applyFont="1" applyFill="1" applyBorder="1" applyAlignment="1">
      <alignment horizontal="right"/>
    </xf>
    <xf numFmtId="0" fontId="1" fillId="33" borderId="27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" fontId="1" fillId="33" borderId="27" xfId="0" applyNumberFormat="1" applyFont="1" applyFill="1" applyBorder="1" applyAlignment="1">
      <alignment horizontal="right" wrapText="1"/>
    </xf>
    <xf numFmtId="4" fontId="1" fillId="33" borderId="26" xfId="0" applyNumberFormat="1" applyFont="1" applyFill="1" applyBorder="1" applyAlignment="1">
      <alignment horizontal="right"/>
    </xf>
    <xf numFmtId="4" fontId="1" fillId="33" borderId="15" xfId="0" applyNumberFormat="1" applyFont="1" applyFill="1" applyBorder="1" applyAlignment="1">
      <alignment horizontal="right"/>
    </xf>
    <xf numFmtId="4" fontId="1" fillId="33" borderId="14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" fontId="1" fillId="34" borderId="11" xfId="0" applyNumberFormat="1" applyFont="1" applyFill="1" applyBorder="1" applyAlignment="1">
      <alignment horizontal="right" wrapText="1"/>
    </xf>
    <xf numFmtId="4" fontId="0" fillId="33" borderId="13" xfId="0" applyNumberFormat="1" applyFont="1" applyFill="1" applyBorder="1" applyAlignment="1">
      <alignment horizontal="right" vertical="center" wrapText="1"/>
    </xf>
    <xf numFmtId="4" fontId="0" fillId="0" borderId="38" xfId="0" applyNumberFormat="1" applyFont="1" applyFill="1" applyBorder="1" applyAlignment="1">
      <alignment horizontal="right"/>
    </xf>
    <xf numFmtId="0" fontId="1" fillId="0" borderId="35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 horizontal="right"/>
    </xf>
    <xf numFmtId="4" fontId="0" fillId="0" borderId="39" xfId="0" applyNumberFormat="1" applyFont="1" applyFill="1" applyBorder="1" applyAlignment="1">
      <alignment horizontal="right"/>
    </xf>
    <xf numFmtId="4" fontId="1" fillId="0" borderId="35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4" fontId="0" fillId="36" borderId="32" xfId="0" applyNumberFormat="1" applyFont="1" applyFill="1" applyBorder="1" applyAlignment="1">
      <alignment horizontal="right"/>
    </xf>
    <xf numFmtId="4" fontId="0" fillId="36" borderId="11" xfId="0" applyNumberFormat="1" applyFont="1" applyFill="1" applyBorder="1" applyAlignment="1">
      <alignment horizontal="right"/>
    </xf>
    <xf numFmtId="4" fontId="1" fillId="35" borderId="25" xfId="0" applyNumberFormat="1" applyFont="1" applyFill="1" applyBorder="1" applyAlignment="1">
      <alignment wrapText="1"/>
    </xf>
    <xf numFmtId="4" fontId="1" fillId="33" borderId="25" xfId="0" applyNumberFormat="1" applyFont="1" applyFill="1" applyBorder="1" applyAlignment="1">
      <alignment wrapText="1"/>
    </xf>
    <xf numFmtId="4" fontId="1" fillId="0" borderId="27" xfId="0" applyNumberFormat="1" applyFont="1" applyFill="1" applyBorder="1" applyAlignment="1">
      <alignment wrapText="1"/>
    </xf>
    <xf numFmtId="4" fontId="2" fillId="0" borderId="13" xfId="34" applyNumberFormat="1" applyFont="1" applyFill="1" applyBorder="1" applyAlignment="1">
      <alignment vertical="center" wrapText="1"/>
      <protection/>
    </xf>
    <xf numFmtId="0" fontId="0" fillId="33" borderId="13" xfId="0" applyFont="1" applyFill="1" applyBorder="1" applyAlignment="1">
      <alignment horizontal="right" vertical="center" wrapText="1"/>
    </xf>
    <xf numFmtId="0" fontId="0" fillId="33" borderId="30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vertical="center" wrapText="1"/>
    </xf>
    <xf numFmtId="4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 horizontal="right"/>
    </xf>
    <xf numFmtId="4" fontId="0" fillId="35" borderId="13" xfId="0" applyNumberFormat="1" applyFont="1" applyFill="1" applyBorder="1" applyAlignment="1">
      <alignment horizontal="right"/>
    </xf>
    <xf numFmtId="4" fontId="0" fillId="35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0" fillId="0" borderId="16" xfId="0" applyFont="1" applyFill="1" applyBorder="1" applyAlignment="1">
      <alignment/>
    </xf>
    <xf numFmtId="4" fontId="0" fillId="0" borderId="17" xfId="0" applyNumberFormat="1" applyBorder="1" applyAlignment="1">
      <alignment horizontal="right"/>
    </xf>
    <xf numFmtId="4" fontId="0" fillId="36" borderId="44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4" fontId="0" fillId="36" borderId="10" xfId="0" applyNumberFormat="1" applyFont="1" applyFill="1" applyBorder="1" applyAlignment="1">
      <alignment horizontal="right"/>
    </xf>
    <xf numFmtId="0" fontId="0" fillId="0" borderId="39" xfId="0" applyFont="1" applyFill="1" applyBorder="1" applyAlignment="1">
      <alignment/>
    </xf>
    <xf numFmtId="4" fontId="0" fillId="0" borderId="45" xfId="0" applyNumberFormat="1" applyFont="1" applyFill="1" applyBorder="1" applyAlignment="1">
      <alignment horizontal="right"/>
    </xf>
    <xf numFmtId="4" fontId="1" fillId="35" borderId="11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4" fontId="1" fillId="35" borderId="11" xfId="0" applyNumberFormat="1" applyFont="1" applyFill="1" applyBorder="1" applyAlignment="1">
      <alignment horizontal="right" wrapText="1"/>
    </xf>
    <xf numFmtId="0" fontId="1" fillId="0" borderId="43" xfId="0" applyFont="1" applyFill="1" applyBorder="1" applyAlignment="1">
      <alignment/>
    </xf>
    <xf numFmtId="4" fontId="1" fillId="35" borderId="17" xfId="0" applyNumberFormat="1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4" fontId="2" fillId="0" borderId="20" xfId="34" applyNumberFormat="1" applyFont="1" applyFill="1" applyBorder="1" applyAlignment="1">
      <alignment horizontal="center" vertical="center" wrapText="1"/>
      <protection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0" fillId="37" borderId="15" xfId="0" applyNumberFormat="1" applyFont="1" applyFill="1" applyBorder="1" applyAlignment="1">
      <alignment horizontal="center"/>
    </xf>
    <xf numFmtId="4" fontId="0" fillId="34" borderId="32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38" borderId="32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4" fontId="0" fillId="33" borderId="2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 horizontal="center"/>
    </xf>
    <xf numFmtId="4" fontId="2" fillId="0" borderId="30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34" borderId="33" xfId="0" applyNumberFormat="1" applyFont="1" applyFill="1" applyBorder="1" applyAlignment="1">
      <alignment/>
    </xf>
    <xf numFmtId="4" fontId="0" fillId="34" borderId="20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38" borderId="11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4" fontId="10" fillId="0" borderId="32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 horizontal="center"/>
    </xf>
    <xf numFmtId="4" fontId="1" fillId="33" borderId="0" xfId="0" applyNumberFormat="1" applyFont="1" applyFill="1" applyBorder="1" applyAlignment="1">
      <alignment horizontal="right"/>
    </xf>
    <xf numFmtId="0" fontId="1" fillId="0" borderId="4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textRotation="90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0" fontId="1" fillId="36" borderId="47" xfId="0" applyFont="1" applyFill="1" applyBorder="1" applyAlignment="1">
      <alignment horizontal="center" vertical="center" wrapText="1"/>
    </xf>
    <xf numFmtId="0" fontId="1" fillId="36" borderId="41" xfId="0" applyFont="1" applyFill="1" applyBorder="1" applyAlignment="1">
      <alignment horizontal="center" vertical="center" wrapText="1"/>
    </xf>
    <xf numFmtId="0" fontId="1" fillId="36" borderId="42" xfId="0" applyFont="1" applyFill="1" applyBorder="1" applyAlignment="1">
      <alignment horizontal="center" vertical="center" wrapText="1"/>
    </xf>
    <xf numFmtId="2" fontId="1" fillId="35" borderId="21" xfId="0" applyNumberFormat="1" applyFont="1" applyFill="1" applyBorder="1" applyAlignment="1">
      <alignment horizontal="center" vertical="center" wrapText="1"/>
    </xf>
    <xf numFmtId="2" fontId="1" fillId="35" borderId="48" xfId="0" applyNumberFormat="1" applyFont="1" applyFill="1" applyBorder="1" applyAlignment="1">
      <alignment horizontal="center" vertical="center" wrapText="1"/>
    </xf>
    <xf numFmtId="2" fontId="1" fillId="35" borderId="47" xfId="0" applyNumberFormat="1" applyFont="1" applyFill="1" applyBorder="1" applyAlignment="1">
      <alignment horizontal="center" vertical="center" wrapText="1"/>
    </xf>
    <xf numFmtId="2" fontId="1" fillId="35" borderId="42" xfId="0" applyNumberFormat="1" applyFont="1" applyFill="1" applyBorder="1" applyAlignment="1">
      <alignment horizontal="center" vertical="center" wrapText="1"/>
    </xf>
    <xf numFmtId="2" fontId="1" fillId="33" borderId="45" xfId="0" applyNumberFormat="1" applyFont="1" applyFill="1" applyBorder="1" applyAlignment="1">
      <alignment horizontal="center" vertical="center" wrapText="1"/>
    </xf>
    <xf numFmtId="2" fontId="1" fillId="33" borderId="49" xfId="0" applyNumberFormat="1" applyFont="1" applyFill="1" applyBorder="1" applyAlignment="1">
      <alignment horizontal="center" vertical="center" wrapText="1"/>
    </xf>
    <xf numFmtId="2" fontId="1" fillId="38" borderId="47" xfId="0" applyNumberFormat="1" applyFont="1" applyFill="1" applyBorder="1" applyAlignment="1">
      <alignment horizontal="center" vertical="center" wrapText="1"/>
    </xf>
    <xf numFmtId="2" fontId="1" fillId="38" borderId="41" xfId="0" applyNumberFormat="1" applyFont="1" applyFill="1" applyBorder="1" applyAlignment="1">
      <alignment horizontal="center" vertical="center" wrapText="1"/>
    </xf>
    <xf numFmtId="2" fontId="1" fillId="38" borderId="42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8" fillId="0" borderId="47" xfId="0" applyNumberFormat="1" applyFont="1" applyFill="1" applyBorder="1" applyAlignment="1">
      <alignment horizontal="center" vertical="center" wrapText="1"/>
    </xf>
    <xf numFmtId="2" fontId="8" fillId="0" borderId="42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Border="1" applyAlignment="1">
      <alignment horizontal="center" vertical="center" wrapText="1"/>
    </xf>
    <xf numFmtId="2" fontId="1" fillId="0" borderId="52" xfId="0" applyNumberFormat="1" applyFont="1" applyBorder="1" applyAlignment="1">
      <alignment horizontal="center" vertical="center" wrapText="1"/>
    </xf>
    <xf numFmtId="2" fontId="1" fillId="0" borderId="53" xfId="0" applyNumberFormat="1" applyFont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55" xfId="0" applyNumberFormat="1" applyFont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2" fontId="7" fillId="34" borderId="47" xfId="0" applyNumberFormat="1" applyFont="1" applyFill="1" applyBorder="1" applyAlignment="1">
      <alignment horizontal="center" vertical="center" wrapText="1"/>
    </xf>
    <xf numFmtId="2" fontId="7" fillId="34" borderId="41" xfId="0" applyNumberFormat="1" applyFont="1" applyFill="1" applyBorder="1" applyAlignment="1">
      <alignment horizontal="center" vertical="center" wrapText="1"/>
    </xf>
    <xf numFmtId="2" fontId="7" fillId="34" borderId="42" xfId="0" applyNumberFormat="1" applyFont="1" applyFill="1" applyBorder="1" applyAlignment="1">
      <alignment horizontal="center" vertical="center" wrapText="1"/>
    </xf>
    <xf numFmtId="2" fontId="1" fillId="0" borderId="56" xfId="0" applyNumberFormat="1" applyFont="1" applyBorder="1" applyAlignment="1">
      <alignment horizontal="center" vertical="center" wrapText="1"/>
    </xf>
    <xf numFmtId="2" fontId="1" fillId="0" borderId="57" xfId="0" applyNumberFormat="1" applyFont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center" vertical="center" wrapText="1"/>
    </xf>
    <xf numFmtId="2" fontId="1" fillId="34" borderId="53" xfId="0" applyNumberFormat="1" applyFont="1" applyFill="1" applyBorder="1" applyAlignment="1">
      <alignment horizontal="center" vertical="center" wrapText="1"/>
    </xf>
    <xf numFmtId="2" fontId="1" fillId="34" borderId="43" xfId="0" applyNumberFormat="1" applyFont="1" applyFill="1" applyBorder="1" applyAlignment="1">
      <alignment horizontal="center" vertical="center" wrapText="1"/>
    </xf>
    <xf numFmtId="2" fontId="1" fillId="34" borderId="55" xfId="0" applyNumberFormat="1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textRotation="90"/>
    </xf>
    <xf numFmtId="0" fontId="1" fillId="0" borderId="41" xfId="0" applyFont="1" applyFill="1" applyBorder="1" applyAlignment="1">
      <alignment horizontal="center" textRotation="90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textRotation="90"/>
    </xf>
    <xf numFmtId="0" fontId="1" fillId="0" borderId="43" xfId="0" applyFont="1" applyFill="1" applyBorder="1" applyAlignment="1">
      <alignment horizontal="center" textRotation="90"/>
    </xf>
    <xf numFmtId="0" fontId="1" fillId="0" borderId="18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34" borderId="47" xfId="0" applyNumberFormat="1" applyFont="1" applyFill="1" applyBorder="1" applyAlignment="1">
      <alignment horizontal="center" vertical="center" wrapText="1"/>
    </xf>
    <xf numFmtId="2" fontId="1" fillId="34" borderId="41" xfId="0" applyNumberFormat="1" applyFont="1" applyFill="1" applyBorder="1" applyAlignment="1">
      <alignment horizontal="center" vertical="center" wrapText="1"/>
    </xf>
    <xf numFmtId="2" fontId="1" fillId="34" borderId="42" xfId="0" applyNumberFormat="1" applyFont="1" applyFill="1" applyBorder="1" applyAlignment="1">
      <alignment horizontal="center" vertical="center" wrapText="1"/>
    </xf>
    <xf numFmtId="0" fontId="1" fillId="37" borderId="47" xfId="0" applyFont="1" applyFill="1" applyBorder="1" applyAlignment="1">
      <alignment horizontal="center" textRotation="90"/>
    </xf>
    <xf numFmtId="0" fontId="1" fillId="37" borderId="41" xfId="0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center" vertical="center" wrapText="1"/>
    </xf>
    <xf numFmtId="4" fontId="1" fillId="0" borderId="41" xfId="0" applyNumberFormat="1" applyFont="1" applyFill="1" applyBorder="1" applyAlignment="1">
      <alignment horizontal="center" vertical="center" wrapText="1"/>
    </xf>
    <xf numFmtId="4" fontId="1" fillId="0" borderId="53" xfId="0" applyNumberFormat="1" applyFont="1" applyFill="1" applyBorder="1" applyAlignment="1">
      <alignment horizontal="center" vertical="center" wrapText="1"/>
    </xf>
    <xf numFmtId="4" fontId="1" fillId="0" borderId="43" xfId="0" applyNumberFormat="1" applyFont="1" applyFill="1" applyBorder="1" applyAlignment="1">
      <alignment horizontal="center" vertical="center" wrapText="1"/>
    </xf>
    <xf numFmtId="4" fontId="1" fillId="34" borderId="47" xfId="0" applyNumberFormat="1" applyFont="1" applyFill="1" applyBorder="1" applyAlignment="1">
      <alignment horizontal="center" vertical="center" wrapText="1"/>
    </xf>
    <xf numFmtId="4" fontId="1" fillId="34" borderId="41" xfId="0" applyNumberFormat="1" applyFont="1" applyFill="1" applyBorder="1" applyAlignment="1">
      <alignment horizontal="center" vertical="center" wrapText="1"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1" fillId="0" borderId="59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2" fontId="1" fillId="33" borderId="32" xfId="0" applyNumberFormat="1" applyFont="1" applyFill="1" applyBorder="1" applyAlignment="1">
      <alignment horizontal="center" vertical="center" textRotation="90" wrapText="1"/>
    </xf>
    <xf numFmtId="2" fontId="1" fillId="33" borderId="61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34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0" fontId="1" fillId="0" borderId="52" xfId="0" applyFont="1" applyFill="1" applyBorder="1" applyAlignment="1">
      <alignment horizontal="center" wrapText="1"/>
    </xf>
    <xf numFmtId="0" fontId="1" fillId="0" borderId="6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43" fontId="0" fillId="0" borderId="32" xfId="61" applyFont="1" applyFill="1" applyBorder="1" applyAlignment="1">
      <alignment horizontal="center"/>
    </xf>
    <xf numFmtId="43" fontId="0" fillId="0" borderId="20" xfId="61" applyFont="1" applyFill="1" applyBorder="1" applyAlignment="1">
      <alignment horizontal="center"/>
    </xf>
    <xf numFmtId="2" fontId="1" fillId="33" borderId="15" xfId="0" applyNumberFormat="1" applyFont="1" applyFill="1" applyBorder="1" applyAlignment="1">
      <alignment horizontal="center" vertical="center" textRotation="90" wrapText="1"/>
    </xf>
    <xf numFmtId="2" fontId="1" fillId="33" borderId="22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left"/>
    </xf>
    <xf numFmtId="0" fontId="1" fillId="0" borderId="6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4" fontId="1" fillId="0" borderId="64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4" fontId="1" fillId="0" borderId="65" xfId="0" applyNumberFormat="1" applyFont="1" applyFill="1" applyBorder="1" applyAlignment="1">
      <alignment horizontal="center" vertical="center" textRotation="90" wrapText="1"/>
    </xf>
    <xf numFmtId="4" fontId="1" fillId="0" borderId="32" xfId="0" applyNumberFormat="1" applyFont="1" applyFill="1" applyBorder="1" applyAlignment="1">
      <alignment horizontal="center" vertical="center" textRotation="90" wrapText="1"/>
    </xf>
    <xf numFmtId="4" fontId="1" fillId="0" borderId="61" xfId="0" applyNumberFormat="1" applyFont="1" applyFill="1" applyBorder="1" applyAlignment="1">
      <alignment horizontal="center" vertical="center" textRotation="90" wrapText="1"/>
    </xf>
    <xf numFmtId="4" fontId="1" fillId="0" borderId="63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34" xfId="0" applyNumberFormat="1" applyFont="1" applyFill="1" applyBorder="1" applyAlignment="1">
      <alignment horizontal="center" vertical="center" textRotation="90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2" fontId="1" fillId="0" borderId="63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Fill="1" applyBorder="1" applyAlignment="1">
      <alignment horizontal="center" vertical="center" wrapText="1"/>
    </xf>
    <xf numFmtId="2" fontId="1" fillId="0" borderId="67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2" fontId="7" fillId="0" borderId="47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43" xfId="0" applyNumberFormat="1" applyFont="1" applyBorder="1" applyAlignment="1">
      <alignment horizontal="center" vertical="center" wrapText="1"/>
    </xf>
    <xf numFmtId="0" fontId="1" fillId="36" borderId="51" xfId="0" applyFont="1" applyFill="1" applyBorder="1" applyAlignment="1">
      <alignment horizontal="center" vertical="center" wrapText="1"/>
    </xf>
    <xf numFmtId="0" fontId="1" fillId="36" borderId="52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/>
    </xf>
    <xf numFmtId="2" fontId="7" fillId="0" borderId="41" xfId="0" applyNumberFormat="1" applyFont="1" applyFill="1" applyBorder="1" applyAlignment="1">
      <alignment horizontal="center" vertical="center" wrapText="1"/>
    </xf>
    <xf numFmtId="0" fontId="1" fillId="36" borderId="46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2" fontId="1" fillId="0" borderId="70" xfId="0" applyNumberFormat="1" applyFont="1" applyBorder="1" applyAlignment="1">
      <alignment horizontal="center" vertical="center" wrapText="1"/>
    </xf>
    <xf numFmtId="2" fontId="1" fillId="0" borderId="66" xfId="0" applyNumberFormat="1" applyFont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2" fontId="1" fillId="34" borderId="51" xfId="0" applyNumberFormat="1" applyFont="1" applyFill="1" applyBorder="1" applyAlignment="1">
      <alignment horizontal="center" vertical="center" wrapText="1"/>
    </xf>
    <xf numFmtId="2" fontId="1" fillId="34" borderId="59" xfId="0" applyNumberFormat="1" applyFont="1" applyFill="1" applyBorder="1" applyAlignment="1">
      <alignment horizontal="center" vertical="center" wrapText="1"/>
    </xf>
    <xf numFmtId="2" fontId="1" fillId="34" borderId="71" xfId="0" applyNumberFormat="1" applyFont="1" applyFill="1" applyBorder="1" applyAlignment="1">
      <alignment horizontal="center" vertical="center" wrapText="1"/>
    </xf>
    <xf numFmtId="2" fontId="1" fillId="0" borderId="59" xfId="0" applyNumberFormat="1" applyFont="1" applyFill="1" applyBorder="1" applyAlignment="1">
      <alignment horizontal="center" vertical="center" wrapText="1"/>
    </xf>
    <xf numFmtId="2" fontId="1" fillId="0" borderId="71" xfId="0" applyNumberFormat="1" applyFont="1" applyFill="1" applyBorder="1" applyAlignment="1">
      <alignment horizontal="center" vertical="center" wrapText="1"/>
    </xf>
    <xf numFmtId="2" fontId="1" fillId="33" borderId="71" xfId="0" applyNumberFormat="1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textRotation="90"/>
    </xf>
    <xf numFmtId="0" fontId="1" fillId="37" borderId="42" xfId="0" applyFont="1" applyFill="1" applyBorder="1" applyAlignment="1">
      <alignment horizontal="center" textRotation="90"/>
    </xf>
    <xf numFmtId="2" fontId="1" fillId="0" borderId="48" xfId="0" applyNumberFormat="1" applyFont="1" applyBorder="1" applyAlignment="1">
      <alignment horizontal="center" vertical="center" wrapText="1"/>
    </xf>
    <xf numFmtId="2" fontId="1" fillId="0" borderId="72" xfId="0" applyNumberFormat="1" applyFont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 wrapText="1"/>
    </xf>
    <xf numFmtId="2" fontId="1" fillId="34" borderId="54" xfId="0" applyNumberFormat="1" applyFont="1" applyFill="1" applyBorder="1" applyAlignment="1">
      <alignment horizontal="center" vertical="center" wrapText="1"/>
    </xf>
    <xf numFmtId="2" fontId="1" fillId="34" borderId="58" xfId="0" applyNumberFormat="1" applyFont="1" applyFill="1" applyBorder="1" applyAlignment="1">
      <alignment horizontal="center" vertical="center" wrapText="1"/>
    </xf>
    <xf numFmtId="2" fontId="1" fillId="34" borderId="49" xfId="0" applyNumberFormat="1" applyFont="1" applyFill="1" applyBorder="1" applyAlignment="1">
      <alignment horizontal="center" vertical="center" wrapText="1"/>
    </xf>
    <xf numFmtId="2" fontId="7" fillId="0" borderId="42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1" fillId="0" borderId="73" xfId="0" applyNumberFormat="1" applyFont="1" applyFill="1" applyBorder="1" applyAlignment="1">
      <alignment horizontal="center" vertical="center" wrapText="1"/>
    </xf>
    <xf numFmtId="0" fontId="1" fillId="36" borderId="54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right"/>
    </xf>
    <xf numFmtId="4" fontId="1" fillId="0" borderId="74" xfId="0" applyNumberFormat="1" applyFont="1" applyFill="1" applyBorder="1" applyAlignment="1">
      <alignment horizontal="right"/>
    </xf>
    <xf numFmtId="4" fontId="1" fillId="0" borderId="60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32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40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0" fillId="37" borderId="14" xfId="0" applyNumberFormat="1" applyFont="1" applyFill="1" applyBorder="1" applyAlignment="1">
      <alignment horizontal="center"/>
    </xf>
    <xf numFmtId="4" fontId="0" fillId="0" borderId="33" xfId="0" applyNumberFormat="1" applyFont="1" applyFill="1" applyBorder="1" applyAlignment="1">
      <alignment horizontal="center"/>
    </xf>
    <xf numFmtId="4" fontId="2" fillId="34" borderId="32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1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4" fontId="10" fillId="33" borderId="11" xfId="0" applyNumberFormat="1" applyFont="1" applyFill="1" applyBorder="1" applyAlignment="1">
      <alignment/>
    </xf>
    <xf numFmtId="4" fontId="10" fillId="35" borderId="1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10" fillId="38" borderId="32" xfId="0" applyNumberFormat="1" applyFont="1" applyFill="1" applyBorder="1" applyAlignment="1">
      <alignment/>
    </xf>
    <xf numFmtId="4" fontId="0" fillId="38" borderId="32" xfId="0" applyNumberFormat="1" applyFont="1" applyFill="1" applyBorder="1" applyAlignment="1">
      <alignment/>
    </xf>
    <xf numFmtId="4" fontId="0" fillId="39" borderId="32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/>
    </xf>
    <xf numFmtId="4" fontId="1" fillId="0" borderId="46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0" fillId="0" borderId="62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0" fillId="0" borderId="11" xfId="0" applyNumberFormat="1" applyFont="1" applyBorder="1" applyAlignment="1">
      <alignment horizontal="center"/>
    </xf>
    <xf numFmtId="4" fontId="0" fillId="37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4" fontId="0" fillId="0" borderId="39" xfId="0" applyNumberFormat="1" applyFont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43" fontId="0" fillId="38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43" fontId="0" fillId="38" borderId="11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0" borderId="75" xfId="0" applyNumberFormat="1" applyFont="1" applyFill="1" applyBorder="1" applyAlignment="1">
      <alignment horizontal="center"/>
    </xf>
    <xf numFmtId="4" fontId="0" fillId="0" borderId="32" xfId="0" applyNumberFormat="1" applyFont="1" applyBorder="1" applyAlignment="1">
      <alignment horizontal="center"/>
    </xf>
    <xf numFmtId="4" fontId="0" fillId="37" borderId="33" xfId="0" applyNumberFormat="1" applyFont="1" applyFill="1" applyBorder="1" applyAlignment="1">
      <alignment horizontal="center"/>
    </xf>
    <xf numFmtId="4" fontId="0" fillId="0" borderId="76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62" xfId="0" applyFont="1" applyBorder="1" applyAlignment="1">
      <alignment horizontal="center" wrapText="1"/>
    </xf>
    <xf numFmtId="0" fontId="2" fillId="37" borderId="33" xfId="0" applyFont="1" applyFill="1" applyBorder="1" applyAlignment="1">
      <alignment horizontal="center"/>
    </xf>
    <xf numFmtId="0" fontId="2" fillId="0" borderId="20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1" xfId="0" applyFont="1" applyBorder="1" applyAlignment="1">
      <alignment wrapText="1"/>
    </xf>
    <xf numFmtId="4" fontId="0" fillId="0" borderId="13" xfId="0" applyNumberFormat="1" applyFont="1" applyBorder="1" applyAlignment="1">
      <alignment horizontal="center"/>
    </xf>
    <xf numFmtId="4" fontId="1" fillId="0" borderId="38" xfId="0" applyNumberFormat="1" applyFont="1" applyFill="1" applyBorder="1" applyAlignment="1">
      <alignment/>
    </xf>
    <xf numFmtId="0" fontId="28" fillId="0" borderId="11" xfId="0" applyFont="1" applyBorder="1" applyAlignment="1">
      <alignment wrapText="1"/>
    </xf>
    <xf numFmtId="0" fontId="28" fillId="0" borderId="32" xfId="0" applyFont="1" applyBorder="1" applyAlignment="1">
      <alignment wrapText="1"/>
    </xf>
    <xf numFmtId="0" fontId="2" fillId="0" borderId="62" xfId="0" applyFont="1" applyBorder="1" applyAlignment="1">
      <alignment wrapText="1"/>
    </xf>
    <xf numFmtId="0" fontId="2" fillId="37" borderId="33" xfId="0" applyFont="1" applyFill="1" applyBorder="1" applyAlignment="1">
      <alignment/>
    </xf>
    <xf numFmtId="0" fontId="28" fillId="0" borderId="20" xfId="0" applyFont="1" applyBorder="1" applyAlignment="1">
      <alignment wrapText="1"/>
    </xf>
    <xf numFmtId="2" fontId="10" fillId="34" borderId="13" xfId="0" applyNumberFormat="1" applyFont="1" applyFill="1" applyBorder="1" applyAlignment="1">
      <alignment horizontal="center"/>
    </xf>
    <xf numFmtId="0" fontId="2" fillId="0" borderId="39" xfId="0" applyFont="1" applyBorder="1" applyAlignment="1">
      <alignment wrapText="1"/>
    </xf>
    <xf numFmtId="0" fontId="2" fillId="37" borderId="15" xfId="0" applyFont="1" applyFill="1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5" xfId="0" applyFont="1" applyBorder="1" applyAlignment="1">
      <alignment wrapText="1"/>
    </xf>
    <xf numFmtId="4" fontId="0" fillId="34" borderId="76" xfId="0" applyNumberFormat="1" applyFill="1" applyBorder="1" applyAlignment="1">
      <alignment horizontal="right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7" borderId="15" xfId="0" applyFont="1" applyFill="1" applyBorder="1" applyAlignment="1">
      <alignment wrapText="1"/>
    </xf>
    <xf numFmtId="4" fontId="10" fillId="0" borderId="13" xfId="0" applyNumberFormat="1" applyFont="1" applyFill="1" applyBorder="1" applyAlignment="1">
      <alignment/>
    </xf>
    <xf numFmtId="0" fontId="0" fillId="39" borderId="0" xfId="0" applyFont="1" applyFill="1" applyAlignment="1">
      <alignment/>
    </xf>
    <xf numFmtId="4" fontId="2" fillId="34" borderId="76" xfId="0" applyNumberFormat="1" applyFont="1" applyFill="1" applyBorder="1" applyAlignment="1">
      <alignment horizontal="right" wrapText="1"/>
    </xf>
    <xf numFmtId="4" fontId="0" fillId="39" borderId="60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 wrapText="1"/>
    </xf>
    <xf numFmtId="4" fontId="2" fillId="0" borderId="32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" fillId="0" borderId="63" xfId="0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0" fontId="1" fillId="0" borderId="34" xfId="0" applyFont="1" applyFill="1" applyBorder="1" applyAlignment="1">
      <alignment horizontal="right"/>
    </xf>
    <xf numFmtId="0" fontId="1" fillId="0" borderId="48" xfId="0" applyFont="1" applyFill="1" applyBorder="1" applyAlignment="1">
      <alignment/>
    </xf>
    <xf numFmtId="0" fontId="1" fillId="0" borderId="72" xfId="0" applyFont="1" applyFill="1" applyBorder="1" applyAlignment="1">
      <alignment/>
    </xf>
    <xf numFmtId="0" fontId="1" fillId="0" borderId="77" xfId="0" applyFont="1" applyFill="1" applyBorder="1" applyAlignment="1">
      <alignment/>
    </xf>
    <xf numFmtId="4" fontId="1" fillId="0" borderId="48" xfId="0" applyNumberFormat="1" applyFont="1" applyFill="1" applyBorder="1" applyAlignment="1">
      <alignment/>
    </xf>
    <xf numFmtId="4" fontId="1" fillId="0" borderId="77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1" fillId="0" borderId="51" xfId="0" applyFont="1" applyFill="1" applyBorder="1" applyAlignment="1">
      <alignment horizontal="center" wrapText="1"/>
    </xf>
    <xf numFmtId="0" fontId="1" fillId="0" borderId="53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37" xfId="0" applyNumberFormat="1" applyFont="1" applyFill="1" applyBorder="1" applyAlignment="1">
      <alignment horizontal="center" vertical="center" textRotation="90" wrapText="1"/>
    </xf>
    <xf numFmtId="2" fontId="1" fillId="0" borderId="22" xfId="0" applyNumberFormat="1" applyFont="1" applyFill="1" applyBorder="1" applyAlignment="1">
      <alignment horizontal="center" vertical="center" textRotation="90" wrapText="1"/>
    </xf>
    <xf numFmtId="2" fontId="1" fillId="0" borderId="42" xfId="0" applyNumberFormat="1" applyFont="1" applyFill="1" applyBorder="1" applyAlignment="1">
      <alignment horizontal="center" vertical="center" textRotation="90" wrapText="1"/>
    </xf>
    <xf numFmtId="2" fontId="1" fillId="0" borderId="48" xfId="0" applyNumberFormat="1" applyFont="1" applyFill="1" applyBorder="1" applyAlignment="1">
      <alignment horizontal="center" vertical="center" textRotation="90" wrapText="1"/>
    </xf>
    <xf numFmtId="2" fontId="1" fillId="0" borderId="77" xfId="0" applyNumberFormat="1" applyFont="1" applyFill="1" applyBorder="1" applyAlignment="1">
      <alignment horizontal="center" vertical="center" textRotation="90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left"/>
    </xf>
    <xf numFmtId="0" fontId="1" fillId="0" borderId="52" xfId="0" applyFont="1" applyFill="1" applyBorder="1" applyAlignment="1">
      <alignment horizontal="left"/>
    </xf>
    <xf numFmtId="4" fontId="0" fillId="0" borderId="37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 wrapText="1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62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1" fillId="0" borderId="32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/>
    </xf>
    <xf numFmtId="2" fontId="0" fillId="0" borderId="15" xfId="0" applyNumberFormat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 horizontal="right" vertical="center" wrapText="1"/>
    </xf>
    <xf numFmtId="0" fontId="0" fillId="0" borderId="34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1;&#1077;&#1085;&#1080;&#1085;&#1072;,%2080%20&#1089;%202011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5;&#1086;&#1089;&#1087;&#1077;&#1083;&#1086;&#1074;&#1072;,%2013%20&#1089;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8%20&#1052;&#1072;&#1088;&#1090;&#1072;%204%20%20&#1089;%20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1;&#1077;&#1085;&#1080;&#1085;&#1072;,%2084%20&#1089;%202011%20&#1075;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Desktop\Victoria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AppData\Roaming\Microsoft\Excel\&#1083;&#1080;&#1094;.&#1089;&#1095;&#1077;&#1090;&#1072;%20&#1085;&#1077;&#1078;&#1080;&#1083;.%20&#1087;&#1086;&#1084;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AF44">
            <v>300</v>
          </cell>
          <cell r="BC44">
            <v>75</v>
          </cell>
        </row>
      </sheetData>
      <sheetData sheetId="2">
        <row r="8">
          <cell r="BD8">
            <v>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AY4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2">
          <cell r="Z42">
            <v>0</v>
          </cell>
          <cell r="AA42">
            <v>0</v>
          </cell>
          <cell r="AE4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  <sheetDataSet>
      <sheetData sheetId="1">
        <row r="44">
          <cell r="AD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AZ4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0">
        <row r="156">
          <cell r="I156">
            <v>100</v>
          </cell>
          <cell r="R156">
            <v>25</v>
          </cell>
        </row>
      </sheetData>
      <sheetData sheetId="1">
        <row r="157">
          <cell r="S157">
            <v>25</v>
          </cell>
        </row>
        <row r="158">
          <cell r="J158">
            <v>100</v>
          </cell>
        </row>
      </sheetData>
      <sheetData sheetId="2">
        <row r="158">
          <cell r="J158">
            <v>100</v>
          </cell>
          <cell r="S158">
            <v>25</v>
          </cell>
        </row>
      </sheetData>
      <sheetData sheetId="3">
        <row r="160">
          <cell r="S160">
            <v>25</v>
          </cell>
        </row>
      </sheetData>
      <sheetData sheetId="4">
        <row r="158">
          <cell r="J158">
            <v>100</v>
          </cell>
          <cell r="S158">
            <v>25</v>
          </cell>
        </row>
        <row r="200">
          <cell r="J200">
            <v>114</v>
          </cell>
          <cell r="S200">
            <v>28.5</v>
          </cell>
        </row>
      </sheetData>
      <sheetData sheetId="5">
        <row r="158">
          <cell r="J158">
            <v>100</v>
          </cell>
          <cell r="S158">
            <v>25</v>
          </cell>
        </row>
        <row r="200">
          <cell r="J200">
            <v>114</v>
          </cell>
          <cell r="S200">
            <v>28.5</v>
          </cell>
        </row>
      </sheetData>
      <sheetData sheetId="6">
        <row r="162">
          <cell r="J162">
            <v>100</v>
          </cell>
          <cell r="S162">
            <v>25</v>
          </cell>
        </row>
        <row r="204">
          <cell r="J204">
            <v>114</v>
          </cell>
          <cell r="S204">
            <v>28.5</v>
          </cell>
        </row>
      </sheetData>
      <sheetData sheetId="7">
        <row r="166">
          <cell r="J166">
            <v>100</v>
          </cell>
          <cell r="S166">
            <v>25</v>
          </cell>
        </row>
        <row r="208">
          <cell r="J208">
            <v>114</v>
          </cell>
          <cell r="S208">
            <v>28.5</v>
          </cell>
        </row>
      </sheetData>
      <sheetData sheetId="8">
        <row r="166">
          <cell r="J166">
            <v>100</v>
          </cell>
        </row>
        <row r="208">
          <cell r="J208">
            <v>114</v>
          </cell>
        </row>
      </sheetData>
      <sheetData sheetId="9">
        <row r="166">
          <cell r="S166">
            <v>25</v>
          </cell>
        </row>
        <row r="208">
          <cell r="S208">
            <v>28.5</v>
          </cell>
        </row>
      </sheetData>
      <sheetData sheetId="10">
        <row r="166">
          <cell r="J166">
            <v>100</v>
          </cell>
          <cell r="S166">
            <v>25</v>
          </cell>
        </row>
        <row r="208">
          <cell r="J208">
            <v>114</v>
          </cell>
          <cell r="S208">
            <v>28.5</v>
          </cell>
        </row>
      </sheetData>
      <sheetData sheetId="11">
        <row r="190">
          <cell r="J190">
            <v>100</v>
          </cell>
          <cell r="S190">
            <v>25</v>
          </cell>
        </row>
        <row r="232">
          <cell r="J232">
            <v>114</v>
          </cell>
          <cell r="S232">
            <v>28.5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</sheetNames>
    <sheetDataSet>
      <sheetData sheetId="3">
        <row r="160">
          <cell r="J160">
            <v>100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</sheetNames>
    <sheetDataSet>
      <sheetData sheetId="9">
        <row r="166">
          <cell r="J166">
            <v>100</v>
          </cell>
        </row>
        <row r="208">
          <cell r="J208">
            <v>114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4"/>
  <sheetViews>
    <sheetView zoomScalePageLayoutView="0" workbookViewId="0" topLeftCell="AB1">
      <selection activeCell="AD47" sqref="AD47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7" width="9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bestFit="1" customWidth="1"/>
    <col min="13" max="13" width="9.75390625" style="2" customWidth="1"/>
    <col min="14" max="14" width="9.375" style="2" customWidth="1"/>
    <col min="15" max="15" width="7.625" style="2" customWidth="1"/>
    <col min="16" max="17" width="7.25390625" style="2" customWidth="1"/>
    <col min="18" max="18" width="7.003906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00390625" style="2" customWidth="1"/>
    <col min="24" max="24" width="10.125" style="2" customWidth="1"/>
    <col min="25" max="27" width="9.125" style="2" customWidth="1"/>
    <col min="28" max="28" width="10.125" style="2" bestFit="1" customWidth="1"/>
    <col min="29" max="29" width="11.375" style="2" customWidth="1"/>
    <col min="30" max="31" width="9.25390625" style="2" bestFit="1" customWidth="1"/>
    <col min="32" max="32" width="10.25390625" style="2" customWidth="1"/>
    <col min="33" max="37" width="9.25390625" style="2" bestFit="1" customWidth="1"/>
    <col min="38" max="38" width="10.125" style="2" bestFit="1" customWidth="1"/>
    <col min="39" max="41" width="9.25390625" style="2" bestFit="1" customWidth="1"/>
    <col min="42" max="42" width="10.125" style="2" bestFit="1" customWidth="1"/>
    <col min="43" max="43" width="9.25390625" style="2" bestFit="1" customWidth="1"/>
    <col min="44" max="44" width="10.625" style="2" customWidth="1"/>
    <col min="45" max="45" width="10.875" style="2" customWidth="1"/>
    <col min="46" max="47" width="10.125" style="2" customWidth="1"/>
    <col min="48" max="48" width="10.375" style="2" customWidth="1"/>
    <col min="49" max="49" width="10.75390625" style="2" customWidth="1"/>
    <col min="50" max="50" width="14.00390625" style="2" customWidth="1"/>
    <col min="51" max="53" width="9.125" style="2" customWidth="1"/>
    <col min="54" max="54" width="10.375" style="2" customWidth="1"/>
    <col min="55" max="55" width="10.25390625" style="2" customWidth="1"/>
    <col min="56" max="56" width="10.375" style="2" customWidth="1"/>
    <col min="57" max="57" width="10.875" style="2" customWidth="1"/>
    <col min="58" max="58" width="12.25390625" style="2" customWidth="1"/>
    <col min="59" max="16384" width="9.125" style="2" customWidth="1"/>
  </cols>
  <sheetData>
    <row r="1" spans="1:18" ht="12.75">
      <c r="A1" s="246" t="s">
        <v>76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8" ht="13.5" customHeight="1" thickBot="1">
      <c r="A3" s="212" t="s">
        <v>78</v>
      </c>
      <c r="B3" s="248" t="s">
        <v>0</v>
      </c>
      <c r="C3" s="250" t="s">
        <v>1</v>
      </c>
      <c r="D3" s="252" t="s">
        <v>2</v>
      </c>
      <c r="E3" s="212" t="s">
        <v>11</v>
      </c>
      <c r="F3" s="254"/>
      <c r="G3" s="212" t="s">
        <v>12</v>
      </c>
      <c r="H3" s="213"/>
      <c r="I3" s="212" t="s">
        <v>13</v>
      </c>
      <c r="J3" s="213"/>
      <c r="K3" s="212" t="s">
        <v>14</v>
      </c>
      <c r="L3" s="213"/>
      <c r="M3" s="225" t="s">
        <v>15</v>
      </c>
      <c r="N3" s="213"/>
      <c r="O3" s="212" t="s">
        <v>16</v>
      </c>
      <c r="P3" s="213"/>
      <c r="Q3" s="212" t="s">
        <v>17</v>
      </c>
      <c r="R3" s="213"/>
      <c r="S3" s="212" t="s">
        <v>3</v>
      </c>
      <c r="T3" s="225"/>
      <c r="U3" s="237" t="s">
        <v>4</v>
      </c>
      <c r="V3" s="238"/>
      <c r="W3" s="238"/>
      <c r="X3" s="238"/>
      <c r="Y3" s="238"/>
      <c r="Z3" s="238"/>
      <c r="AA3" s="238"/>
      <c r="AB3" s="238"/>
      <c r="AC3" s="241" t="s">
        <v>79</v>
      </c>
      <c r="AD3" s="222" t="s">
        <v>6</v>
      </c>
      <c r="AE3" s="222" t="s">
        <v>7</v>
      </c>
      <c r="AF3" s="216" t="s">
        <v>80</v>
      </c>
      <c r="AG3" s="206" t="s">
        <v>8</v>
      </c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8"/>
      <c r="BC3" s="201" t="s">
        <v>81</v>
      </c>
      <c r="BD3" s="203"/>
      <c r="BE3" s="188" t="s">
        <v>9</v>
      </c>
      <c r="BF3" s="188" t="s">
        <v>10</v>
      </c>
    </row>
    <row r="4" spans="1:58" ht="36" customHeight="1" thickBot="1">
      <c r="A4" s="247"/>
      <c r="B4" s="249"/>
      <c r="C4" s="251"/>
      <c r="D4" s="253"/>
      <c r="E4" s="255"/>
      <c r="F4" s="256"/>
      <c r="G4" s="214"/>
      <c r="H4" s="215"/>
      <c r="I4" s="214"/>
      <c r="J4" s="215"/>
      <c r="K4" s="214"/>
      <c r="L4" s="215"/>
      <c r="M4" s="226"/>
      <c r="N4" s="227"/>
      <c r="O4" s="214"/>
      <c r="P4" s="215"/>
      <c r="Q4" s="214"/>
      <c r="R4" s="215"/>
      <c r="S4" s="214"/>
      <c r="T4" s="236"/>
      <c r="U4" s="239"/>
      <c r="V4" s="240"/>
      <c r="W4" s="240"/>
      <c r="X4" s="240"/>
      <c r="Y4" s="240"/>
      <c r="Z4" s="240"/>
      <c r="AA4" s="240"/>
      <c r="AB4" s="240"/>
      <c r="AC4" s="242"/>
      <c r="AD4" s="223"/>
      <c r="AE4" s="223"/>
      <c r="AF4" s="217"/>
      <c r="AG4" s="209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1"/>
      <c r="BC4" s="197" t="s">
        <v>82</v>
      </c>
      <c r="BD4" s="200" t="s">
        <v>83</v>
      </c>
      <c r="BE4" s="189"/>
      <c r="BF4" s="189"/>
    </row>
    <row r="5" spans="1:58" ht="29.25" customHeight="1" thickBot="1">
      <c r="A5" s="247"/>
      <c r="B5" s="249"/>
      <c r="C5" s="251"/>
      <c r="D5" s="253"/>
      <c r="E5" s="234" t="s">
        <v>18</v>
      </c>
      <c r="F5" s="228" t="s">
        <v>19</v>
      </c>
      <c r="G5" s="228" t="s">
        <v>18</v>
      </c>
      <c r="H5" s="228" t="s">
        <v>19</v>
      </c>
      <c r="I5" s="228" t="s">
        <v>18</v>
      </c>
      <c r="J5" s="228" t="s">
        <v>19</v>
      </c>
      <c r="K5" s="228" t="s">
        <v>18</v>
      </c>
      <c r="L5" s="228" t="s">
        <v>19</v>
      </c>
      <c r="M5" s="228" t="s">
        <v>18</v>
      </c>
      <c r="N5" s="228" t="s">
        <v>19</v>
      </c>
      <c r="O5" s="228" t="s">
        <v>18</v>
      </c>
      <c r="P5" s="228" t="s">
        <v>19</v>
      </c>
      <c r="Q5" s="228" t="s">
        <v>18</v>
      </c>
      <c r="R5" s="228" t="s">
        <v>19</v>
      </c>
      <c r="S5" s="228" t="s">
        <v>18</v>
      </c>
      <c r="T5" s="244" t="s">
        <v>19</v>
      </c>
      <c r="U5" s="219" t="s">
        <v>20</v>
      </c>
      <c r="V5" s="219" t="s">
        <v>21</v>
      </c>
      <c r="W5" s="219" t="s">
        <v>22</v>
      </c>
      <c r="X5" s="219" t="s">
        <v>23</v>
      </c>
      <c r="Y5" s="219" t="s">
        <v>24</v>
      </c>
      <c r="Z5" s="219" t="s">
        <v>25</v>
      </c>
      <c r="AA5" s="219" t="s">
        <v>26</v>
      </c>
      <c r="AB5" s="221" t="s">
        <v>27</v>
      </c>
      <c r="AC5" s="242"/>
      <c r="AD5" s="223"/>
      <c r="AE5" s="223"/>
      <c r="AF5" s="217"/>
      <c r="AG5" s="232" t="s">
        <v>28</v>
      </c>
      <c r="AH5" s="230" t="s">
        <v>29</v>
      </c>
      <c r="AI5" s="230" t="s">
        <v>30</v>
      </c>
      <c r="AJ5" s="186" t="s">
        <v>31</v>
      </c>
      <c r="AK5" s="230" t="s">
        <v>32</v>
      </c>
      <c r="AL5" s="186" t="s">
        <v>31</v>
      </c>
      <c r="AM5" s="186" t="s">
        <v>33</v>
      </c>
      <c r="AN5" s="186" t="s">
        <v>31</v>
      </c>
      <c r="AO5" s="186" t="s">
        <v>34</v>
      </c>
      <c r="AP5" s="186" t="s">
        <v>31</v>
      </c>
      <c r="AQ5" s="191" t="s">
        <v>84</v>
      </c>
      <c r="AR5" s="193" t="s">
        <v>31</v>
      </c>
      <c r="AS5" s="195" t="s">
        <v>85</v>
      </c>
      <c r="AT5" s="195" t="s">
        <v>86</v>
      </c>
      <c r="AU5" s="113" t="s">
        <v>31</v>
      </c>
      <c r="AV5" s="201" t="s">
        <v>87</v>
      </c>
      <c r="AW5" s="202"/>
      <c r="AX5" s="203"/>
      <c r="AY5" s="204" t="s">
        <v>17</v>
      </c>
      <c r="AZ5" s="200" t="s">
        <v>36</v>
      </c>
      <c r="BA5" s="200" t="s">
        <v>31</v>
      </c>
      <c r="BB5" s="200" t="s">
        <v>37</v>
      </c>
      <c r="BC5" s="198"/>
      <c r="BD5" s="186"/>
      <c r="BE5" s="189"/>
      <c r="BF5" s="189"/>
    </row>
    <row r="6" spans="1:58" ht="54" customHeight="1" thickBot="1">
      <c r="A6" s="247"/>
      <c r="B6" s="249"/>
      <c r="C6" s="251"/>
      <c r="D6" s="253"/>
      <c r="E6" s="235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45"/>
      <c r="U6" s="220"/>
      <c r="V6" s="220"/>
      <c r="W6" s="220"/>
      <c r="X6" s="220"/>
      <c r="Y6" s="220"/>
      <c r="Z6" s="220"/>
      <c r="AA6" s="220"/>
      <c r="AB6" s="209"/>
      <c r="AC6" s="243"/>
      <c r="AD6" s="224"/>
      <c r="AE6" s="224"/>
      <c r="AF6" s="218"/>
      <c r="AG6" s="233"/>
      <c r="AH6" s="231"/>
      <c r="AI6" s="231"/>
      <c r="AJ6" s="187"/>
      <c r="AK6" s="231"/>
      <c r="AL6" s="187"/>
      <c r="AM6" s="187"/>
      <c r="AN6" s="187"/>
      <c r="AO6" s="187"/>
      <c r="AP6" s="187"/>
      <c r="AQ6" s="192"/>
      <c r="AR6" s="194"/>
      <c r="AS6" s="196"/>
      <c r="AT6" s="196"/>
      <c r="AU6" s="115"/>
      <c r="AV6" s="114" t="s">
        <v>88</v>
      </c>
      <c r="AW6" s="114" t="s">
        <v>89</v>
      </c>
      <c r="AX6" s="114" t="s">
        <v>90</v>
      </c>
      <c r="AY6" s="205"/>
      <c r="AZ6" s="187"/>
      <c r="BA6" s="187"/>
      <c r="BB6" s="187"/>
      <c r="BC6" s="199"/>
      <c r="BD6" s="187"/>
      <c r="BE6" s="190"/>
      <c r="BF6" s="190"/>
    </row>
    <row r="7" spans="1:58" ht="13.5" thickBot="1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9">
        <v>10</v>
      </c>
      <c r="K7" s="8">
        <v>11</v>
      </c>
      <c r="L7" s="9">
        <v>12</v>
      </c>
      <c r="M7" s="8">
        <v>13</v>
      </c>
      <c r="N7" s="9">
        <v>14</v>
      </c>
      <c r="O7" s="8">
        <v>15</v>
      </c>
      <c r="P7" s="9">
        <v>16</v>
      </c>
      <c r="Q7" s="8">
        <v>17</v>
      </c>
      <c r="R7" s="9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9">
        <v>28</v>
      </c>
      <c r="AC7" s="8">
        <v>29</v>
      </c>
      <c r="AD7" s="9">
        <v>30</v>
      </c>
      <c r="AE7" s="8">
        <v>31</v>
      </c>
      <c r="AF7" s="9">
        <v>32</v>
      </c>
      <c r="AG7" s="8">
        <v>33</v>
      </c>
      <c r="AH7" s="9">
        <v>34</v>
      </c>
      <c r="AI7" s="8">
        <v>35</v>
      </c>
      <c r="AJ7" s="9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116">
        <v>43</v>
      </c>
      <c r="AR7" s="117">
        <v>44</v>
      </c>
      <c r="AS7" s="118">
        <v>45</v>
      </c>
      <c r="AT7" s="10">
        <v>46</v>
      </c>
      <c r="AU7" s="118">
        <v>47</v>
      </c>
      <c r="AV7" s="9">
        <v>48</v>
      </c>
      <c r="AW7" s="8">
        <v>49</v>
      </c>
      <c r="AX7" s="9">
        <v>50</v>
      </c>
      <c r="AY7" s="8">
        <v>51</v>
      </c>
      <c r="AZ7" s="9">
        <v>52</v>
      </c>
      <c r="BA7" s="8">
        <v>53</v>
      </c>
      <c r="BB7" s="9">
        <v>54</v>
      </c>
      <c r="BC7" s="8">
        <v>55</v>
      </c>
      <c r="BD7" s="11">
        <v>56</v>
      </c>
      <c r="BE7" s="1"/>
      <c r="BF7" s="119"/>
    </row>
    <row r="8" spans="1:58" ht="12.75" hidden="1">
      <c r="A8" s="5" t="s">
        <v>38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120"/>
      <c r="AR8" s="120"/>
      <c r="AS8" s="6"/>
      <c r="AT8" s="6"/>
      <c r="AU8" s="6"/>
      <c r="AV8" s="7"/>
      <c r="AW8" s="7"/>
      <c r="AX8" s="7"/>
      <c r="AY8" s="7"/>
      <c r="AZ8" s="13"/>
      <c r="BA8" s="1"/>
      <c r="BB8" s="1"/>
      <c r="BC8" s="1"/>
      <c r="BD8" s="1"/>
      <c r="BE8" s="1"/>
      <c r="BF8" s="119"/>
    </row>
    <row r="9" spans="1:58" s="122" customFormat="1" ht="12.75" hidden="1">
      <c r="A9" s="121" t="s">
        <v>39</v>
      </c>
      <c r="B9" s="81">
        <v>2428.3</v>
      </c>
      <c r="C9" s="170">
        <f>B9*8.65</f>
        <v>21004.795000000002</v>
      </c>
      <c r="D9" s="171">
        <f>C9*0.24088</f>
        <v>5059.6350196</v>
      </c>
      <c r="E9" s="82">
        <v>1614.79</v>
      </c>
      <c r="F9" s="82">
        <v>408.92</v>
      </c>
      <c r="G9" s="82">
        <v>2179.96</v>
      </c>
      <c r="H9" s="82">
        <v>552.05</v>
      </c>
      <c r="I9" s="82">
        <v>5248.07</v>
      </c>
      <c r="J9" s="82">
        <v>1329.01</v>
      </c>
      <c r="K9" s="82">
        <v>3633.29</v>
      </c>
      <c r="L9" s="82">
        <v>920.09</v>
      </c>
      <c r="M9" s="82">
        <v>1291.78</v>
      </c>
      <c r="N9" s="82">
        <v>327.16</v>
      </c>
      <c r="O9" s="82">
        <v>0</v>
      </c>
      <c r="P9" s="82">
        <v>0</v>
      </c>
      <c r="Q9" s="82">
        <v>0</v>
      </c>
      <c r="R9" s="82">
        <v>0</v>
      </c>
      <c r="S9" s="82">
        <f>E9+G9+I9+K9+M9+O9+Q9</f>
        <v>13967.890000000001</v>
      </c>
      <c r="T9" s="156">
        <f>P9+N9+L9+J9+H9+F9+R9</f>
        <v>3537.2300000000005</v>
      </c>
      <c r="U9" s="82">
        <v>0</v>
      </c>
      <c r="V9" s="82">
        <v>0</v>
      </c>
      <c r="W9" s="82">
        <v>0</v>
      </c>
      <c r="X9" s="82">
        <v>0</v>
      </c>
      <c r="Y9" s="82">
        <v>0</v>
      </c>
      <c r="Z9" s="103">
        <v>0</v>
      </c>
      <c r="AA9" s="103">
        <v>0</v>
      </c>
      <c r="AB9" s="103">
        <f>SUM(U9:AA9)</f>
        <v>0</v>
      </c>
      <c r="AC9" s="172">
        <f>D9+T9+AB9</f>
        <v>8596.865019600002</v>
      </c>
      <c r="AD9" s="173">
        <f>P9+Z9</f>
        <v>0</v>
      </c>
      <c r="AE9" s="158">
        <f>R9+AA9</f>
        <v>0</v>
      </c>
      <c r="AF9" s="158"/>
      <c r="AG9" s="25">
        <f>0.6*B9</f>
        <v>1456.98</v>
      </c>
      <c r="AH9" s="25">
        <f>B9*0.2*1.05826</f>
        <v>513.9545516000001</v>
      </c>
      <c r="AI9" s="25">
        <f>0.8518*B9</f>
        <v>2068.42594</v>
      </c>
      <c r="AJ9" s="25">
        <f>AI9*0.18</f>
        <v>372.3166692</v>
      </c>
      <c r="AK9" s="25">
        <f>1.04*B9*0.9531</f>
        <v>2406.9892392</v>
      </c>
      <c r="AL9" s="25">
        <f>AK9*0.18</f>
        <v>433.258063056</v>
      </c>
      <c r="AM9" s="25">
        <f>(1.91)*B9*0.9531</f>
        <v>4420.5283143</v>
      </c>
      <c r="AN9" s="25">
        <f>AM9*0.18</f>
        <v>795.6950965739999</v>
      </c>
      <c r="AO9" s="25"/>
      <c r="AP9" s="25">
        <f>AO9*0.18</f>
        <v>0</v>
      </c>
      <c r="AQ9" s="159"/>
      <c r="AR9" s="159"/>
      <c r="AS9" s="84"/>
      <c r="AT9" s="84"/>
      <c r="AU9" s="84">
        <f>(AS9+AT9)*0.18</f>
        <v>0</v>
      </c>
      <c r="AV9" s="160"/>
      <c r="AW9" s="161"/>
      <c r="AX9" s="25">
        <f>AV9*AW9*1.12*1.18</f>
        <v>0</v>
      </c>
      <c r="AY9" s="162"/>
      <c r="AZ9" s="163"/>
      <c r="BA9" s="163">
        <f>AZ9*0.18</f>
        <v>0</v>
      </c>
      <c r="BB9" s="163">
        <f>SUM(AG9:BA9)-AV9-AW9</f>
        <v>12468.14787393</v>
      </c>
      <c r="BC9" s="164"/>
      <c r="BD9" s="18">
        <f>BB9-(AF9-BC9)</f>
        <v>12468.14787393</v>
      </c>
      <c r="BE9" s="123">
        <f>AC9-BB9</f>
        <v>-3871.2828543299984</v>
      </c>
      <c r="BF9" s="124">
        <f>AB9-S9</f>
        <v>-13967.890000000001</v>
      </c>
    </row>
    <row r="10" spans="1:58" ht="12.75" hidden="1">
      <c r="A10" s="14" t="s">
        <v>40</v>
      </c>
      <c r="B10" s="81">
        <v>2428.3</v>
      </c>
      <c r="C10" s="170">
        <f>B10*8.65</f>
        <v>21004.795000000002</v>
      </c>
      <c r="D10" s="171">
        <f>C10*0.24088</f>
        <v>5059.6350196</v>
      </c>
      <c r="E10" s="82">
        <v>1552.13</v>
      </c>
      <c r="F10" s="82">
        <v>390.38</v>
      </c>
      <c r="G10" s="82">
        <v>2095.29</v>
      </c>
      <c r="H10" s="82">
        <v>527.09</v>
      </c>
      <c r="I10" s="82">
        <v>5044.25</v>
      </c>
      <c r="J10" s="82">
        <v>1268.81</v>
      </c>
      <c r="K10" s="82">
        <v>3492.15</v>
      </c>
      <c r="L10" s="82">
        <v>878.41</v>
      </c>
      <c r="M10" s="82">
        <v>1241.61</v>
      </c>
      <c r="N10" s="82">
        <v>312.34</v>
      </c>
      <c r="O10" s="82">
        <v>0</v>
      </c>
      <c r="P10" s="82">
        <v>0</v>
      </c>
      <c r="Q10" s="82">
        <v>0</v>
      </c>
      <c r="R10" s="82">
        <v>0</v>
      </c>
      <c r="S10" s="82">
        <f>E10+G10+I10+K10+M10+O10+Q10</f>
        <v>13425.43</v>
      </c>
      <c r="T10" s="156">
        <f>P10+N10+L10+J10+H10+F10+R10</f>
        <v>3377.03</v>
      </c>
      <c r="U10" s="82">
        <v>1017.79</v>
      </c>
      <c r="V10" s="82">
        <v>1374</v>
      </c>
      <c r="W10" s="82">
        <v>3850.8</v>
      </c>
      <c r="X10" s="82">
        <v>2289.96</v>
      </c>
      <c r="Y10" s="82">
        <v>814</v>
      </c>
      <c r="Z10" s="82">
        <v>0</v>
      </c>
      <c r="AA10" s="103">
        <v>0</v>
      </c>
      <c r="AB10" s="174">
        <f>SUM(U10:AA10)</f>
        <v>9346.55</v>
      </c>
      <c r="AC10" s="157">
        <f>D10+T10+AB10</f>
        <v>17783.2150196</v>
      </c>
      <c r="AD10" s="158">
        <f>P10+Z10</f>
        <v>0</v>
      </c>
      <c r="AE10" s="158">
        <f>R10+AA10</f>
        <v>0</v>
      </c>
      <c r="AF10" s="158"/>
      <c r="AG10" s="25">
        <f>0.6*B10</f>
        <v>1456.98</v>
      </c>
      <c r="AH10" s="25">
        <f>B10*0.201</f>
        <v>488.08830000000006</v>
      </c>
      <c r="AI10" s="25">
        <f>0.8518*B10</f>
        <v>2068.42594</v>
      </c>
      <c r="AJ10" s="25">
        <f>AI10*0.18</f>
        <v>372.3166692</v>
      </c>
      <c r="AK10" s="25">
        <f>1.04*B10*0.9531</f>
        <v>2406.9892392</v>
      </c>
      <c r="AL10" s="25">
        <f>AK10*0.18</f>
        <v>433.258063056</v>
      </c>
      <c r="AM10" s="25">
        <f>(1.91)*B10*0.9531</f>
        <v>4420.5283143</v>
      </c>
      <c r="AN10" s="25">
        <f>AM10*0.18</f>
        <v>795.6950965739999</v>
      </c>
      <c r="AO10" s="25"/>
      <c r="AP10" s="25">
        <f>AO10*0.18</f>
        <v>0</v>
      </c>
      <c r="AQ10" s="159"/>
      <c r="AR10" s="159"/>
      <c r="AS10" s="84">
        <v>5330</v>
      </c>
      <c r="AT10" s="84"/>
      <c r="AU10" s="84">
        <f>(AS10+AT10)*0.18</f>
        <v>959.4</v>
      </c>
      <c r="AV10" s="160"/>
      <c r="AW10" s="161"/>
      <c r="AX10" s="25">
        <f>AV10*AW10*1.12*1.18</f>
        <v>0</v>
      </c>
      <c r="AY10" s="162"/>
      <c r="AZ10" s="163"/>
      <c r="BA10" s="163">
        <f>AZ10*0.18</f>
        <v>0</v>
      </c>
      <c r="BB10" s="163">
        <f>SUM(AG10:BA10)-AV10-AW10</f>
        <v>18731.68162233</v>
      </c>
      <c r="BC10" s="164"/>
      <c r="BD10" s="18">
        <f>BB10-(AF10-BC10)</f>
        <v>18731.68162233</v>
      </c>
      <c r="BE10" s="123">
        <f>AC10-BB10</f>
        <v>-948.4666027300009</v>
      </c>
      <c r="BF10" s="123">
        <f>AB10-S10</f>
        <v>-4078.880000000001</v>
      </c>
    </row>
    <row r="11" spans="1:58" ht="13.5" hidden="1" thickBot="1">
      <c r="A11" s="50" t="s">
        <v>41</v>
      </c>
      <c r="B11" s="81">
        <v>2428.3</v>
      </c>
      <c r="C11" s="170">
        <f>B11*8.65</f>
        <v>21004.795000000002</v>
      </c>
      <c r="D11" s="171">
        <f>C11*0.24035</f>
        <v>5048.50247825</v>
      </c>
      <c r="E11" s="82">
        <v>1318.72</v>
      </c>
      <c r="F11" s="82">
        <v>392.05</v>
      </c>
      <c r="G11" s="82">
        <v>1780.22</v>
      </c>
      <c r="H11" s="82">
        <v>529.31</v>
      </c>
      <c r="I11" s="82">
        <v>4285.71</v>
      </c>
      <c r="J11" s="82">
        <v>1274.21</v>
      </c>
      <c r="K11" s="82">
        <v>2967.04</v>
      </c>
      <c r="L11" s="82">
        <v>882.15</v>
      </c>
      <c r="M11" s="82">
        <v>1054.94</v>
      </c>
      <c r="N11" s="103">
        <v>313.67</v>
      </c>
      <c r="O11" s="103">
        <v>0</v>
      </c>
      <c r="P11" s="103">
        <v>0</v>
      </c>
      <c r="Q11" s="103">
        <v>0</v>
      </c>
      <c r="R11" s="103">
        <v>0</v>
      </c>
      <c r="S11" s="82">
        <f>E11+G11+I11+K11+M11+O11+Q11</f>
        <v>11406.63</v>
      </c>
      <c r="T11" s="156">
        <f>P11+N11+L11+J11+H11+F11+R11</f>
        <v>3391.39</v>
      </c>
      <c r="U11" s="82">
        <v>1751.14</v>
      </c>
      <c r="V11" s="82">
        <v>2364</v>
      </c>
      <c r="W11" s="82">
        <v>5704.18</v>
      </c>
      <c r="X11" s="82">
        <v>3940.01</v>
      </c>
      <c r="Y11" s="82">
        <v>1401.04</v>
      </c>
      <c r="Z11" s="82">
        <v>0</v>
      </c>
      <c r="AA11" s="103">
        <v>0</v>
      </c>
      <c r="AB11" s="174">
        <f>SUM(U11:AA11)</f>
        <v>15160.369999999999</v>
      </c>
      <c r="AC11" s="157">
        <f>D11+T11+AB11</f>
        <v>23600.26247825</v>
      </c>
      <c r="AD11" s="158">
        <f>P11+Z11</f>
        <v>0</v>
      </c>
      <c r="AE11" s="158">
        <f>R11+AA11</f>
        <v>0</v>
      </c>
      <c r="AF11" s="158"/>
      <c r="AG11" s="25">
        <f>0.6*B11</f>
        <v>1456.98</v>
      </c>
      <c r="AH11" s="25">
        <f>B11*0.2*1.02524</f>
        <v>497.91805840000006</v>
      </c>
      <c r="AI11" s="25">
        <f>0.84932*B11</f>
        <v>2062.403756</v>
      </c>
      <c r="AJ11" s="25">
        <f>AI11*0.18</f>
        <v>371.23267608000003</v>
      </c>
      <c r="AK11" s="25">
        <f>1.04*B11*0.95033</f>
        <v>2399.99379256</v>
      </c>
      <c r="AL11" s="25">
        <f>AK11*0.18</f>
        <v>431.9988826608</v>
      </c>
      <c r="AM11" s="25">
        <f>(1.91)*B11*0.95033</f>
        <v>4407.68090749</v>
      </c>
      <c r="AN11" s="25">
        <f>AM11*0.18</f>
        <v>793.3825633482</v>
      </c>
      <c r="AO11" s="25"/>
      <c r="AP11" s="25">
        <f>AO11*0.18</f>
        <v>0</v>
      </c>
      <c r="AQ11" s="159"/>
      <c r="AR11" s="159"/>
      <c r="AS11" s="84">
        <v>1420</v>
      </c>
      <c r="AT11" s="84"/>
      <c r="AU11" s="84">
        <f>(AS11+AT11)*0.18</f>
        <v>255.6</v>
      </c>
      <c r="AV11" s="160"/>
      <c r="AW11" s="161"/>
      <c r="AX11" s="25">
        <f>AV11*AW11*1.12*1.18</f>
        <v>0</v>
      </c>
      <c r="AY11" s="162"/>
      <c r="AZ11" s="163"/>
      <c r="BA11" s="163">
        <f>AZ11*0.18</f>
        <v>0</v>
      </c>
      <c r="BB11" s="163">
        <f>SUM(AG11:BA11)-AV11-AW11</f>
        <v>14097.190636539</v>
      </c>
      <c r="BC11" s="164"/>
      <c r="BD11" s="18">
        <f>BB11-(AF11-BC11)</f>
        <v>14097.190636539</v>
      </c>
      <c r="BE11" s="123">
        <f>AC11-BB11</f>
        <v>9503.071841710998</v>
      </c>
      <c r="BF11" s="123">
        <f>AB11-S11</f>
        <v>3753.74</v>
      </c>
    </row>
    <row r="12" spans="1:58" s="24" customFormat="1" ht="15" customHeight="1" hidden="1" thickBot="1">
      <c r="A12" s="51" t="s">
        <v>3</v>
      </c>
      <c r="B12" s="76"/>
      <c r="C12" s="76">
        <f>SUM(C9:C11)</f>
        <v>63014.38500000001</v>
      </c>
      <c r="D12" s="76">
        <f aca="true" t="shared" si="0" ref="D12:BD12">SUM(D9:D11)</f>
        <v>15167.772517450001</v>
      </c>
      <c r="E12" s="76">
        <f t="shared" si="0"/>
        <v>4485.64</v>
      </c>
      <c r="F12" s="76">
        <f t="shared" si="0"/>
        <v>1191.35</v>
      </c>
      <c r="G12" s="76">
        <f t="shared" si="0"/>
        <v>6055.47</v>
      </c>
      <c r="H12" s="76">
        <f t="shared" si="0"/>
        <v>1608.4499999999998</v>
      </c>
      <c r="I12" s="76">
        <f t="shared" si="0"/>
        <v>14578.029999999999</v>
      </c>
      <c r="J12" s="76">
        <f t="shared" si="0"/>
        <v>3872.0299999999997</v>
      </c>
      <c r="K12" s="76">
        <f t="shared" si="0"/>
        <v>10092.48</v>
      </c>
      <c r="L12" s="76">
        <f t="shared" si="0"/>
        <v>2680.65</v>
      </c>
      <c r="M12" s="76">
        <f t="shared" si="0"/>
        <v>3588.33</v>
      </c>
      <c r="N12" s="76">
        <f t="shared" si="0"/>
        <v>953.1700000000001</v>
      </c>
      <c r="O12" s="76">
        <f t="shared" si="0"/>
        <v>0</v>
      </c>
      <c r="P12" s="76">
        <f t="shared" si="0"/>
        <v>0</v>
      </c>
      <c r="Q12" s="76">
        <f t="shared" si="0"/>
        <v>0</v>
      </c>
      <c r="R12" s="76">
        <f t="shared" si="0"/>
        <v>0</v>
      </c>
      <c r="S12" s="76">
        <f t="shared" si="0"/>
        <v>38799.95</v>
      </c>
      <c r="T12" s="76">
        <f t="shared" si="0"/>
        <v>10305.65</v>
      </c>
      <c r="U12" s="76">
        <f t="shared" si="0"/>
        <v>2768.9300000000003</v>
      </c>
      <c r="V12" s="76">
        <f t="shared" si="0"/>
        <v>3738</v>
      </c>
      <c r="W12" s="76">
        <f t="shared" si="0"/>
        <v>9554.98</v>
      </c>
      <c r="X12" s="76">
        <f t="shared" si="0"/>
        <v>6229.97</v>
      </c>
      <c r="Y12" s="76">
        <f t="shared" si="0"/>
        <v>2215.04</v>
      </c>
      <c r="Z12" s="76">
        <f t="shared" si="0"/>
        <v>0</v>
      </c>
      <c r="AA12" s="76">
        <f t="shared" si="0"/>
        <v>0</v>
      </c>
      <c r="AB12" s="76">
        <f t="shared" si="0"/>
        <v>24506.92</v>
      </c>
      <c r="AC12" s="76">
        <f t="shared" si="0"/>
        <v>49980.34251745</v>
      </c>
      <c r="AD12" s="76">
        <f t="shared" si="0"/>
        <v>0</v>
      </c>
      <c r="AE12" s="76">
        <f t="shared" si="0"/>
        <v>0</v>
      </c>
      <c r="AF12" s="76">
        <f t="shared" si="0"/>
        <v>0</v>
      </c>
      <c r="AG12" s="76">
        <f t="shared" si="0"/>
        <v>4370.9400000000005</v>
      </c>
      <c r="AH12" s="76">
        <f t="shared" si="0"/>
        <v>1499.9609100000002</v>
      </c>
      <c r="AI12" s="76">
        <f t="shared" si="0"/>
        <v>6199.255636</v>
      </c>
      <c r="AJ12" s="76">
        <f t="shared" si="0"/>
        <v>1115.86601448</v>
      </c>
      <c r="AK12" s="76">
        <f t="shared" si="0"/>
        <v>7213.972270960001</v>
      </c>
      <c r="AL12" s="76">
        <f t="shared" si="0"/>
        <v>1298.5150087728</v>
      </c>
      <c r="AM12" s="76">
        <f t="shared" si="0"/>
        <v>13248.73753609</v>
      </c>
      <c r="AN12" s="76">
        <f t="shared" si="0"/>
        <v>2384.7727564961997</v>
      </c>
      <c r="AO12" s="76">
        <f t="shared" si="0"/>
        <v>0</v>
      </c>
      <c r="AP12" s="76">
        <f t="shared" si="0"/>
        <v>0</v>
      </c>
      <c r="AQ12" s="125">
        <f t="shared" si="0"/>
        <v>0</v>
      </c>
      <c r="AR12" s="125">
        <f t="shared" si="0"/>
        <v>0</v>
      </c>
      <c r="AS12" s="126">
        <f t="shared" si="0"/>
        <v>6750</v>
      </c>
      <c r="AT12" s="126">
        <f t="shared" si="0"/>
        <v>0</v>
      </c>
      <c r="AU12" s="126">
        <f t="shared" si="0"/>
        <v>1215</v>
      </c>
      <c r="AV12" s="76">
        <f t="shared" si="0"/>
        <v>0</v>
      </c>
      <c r="AW12" s="76">
        <f t="shared" si="0"/>
        <v>0</v>
      </c>
      <c r="AX12" s="76">
        <f t="shared" si="0"/>
        <v>0</v>
      </c>
      <c r="AY12" s="76">
        <f t="shared" si="0"/>
        <v>0</v>
      </c>
      <c r="AZ12" s="76">
        <f t="shared" si="0"/>
        <v>0</v>
      </c>
      <c r="BA12" s="76">
        <f t="shared" si="0"/>
        <v>0</v>
      </c>
      <c r="BB12" s="76">
        <f t="shared" si="0"/>
        <v>45297.020132799</v>
      </c>
      <c r="BC12" s="76">
        <f t="shared" si="0"/>
        <v>0</v>
      </c>
      <c r="BD12" s="76">
        <f t="shared" si="0"/>
        <v>45297.020132799</v>
      </c>
      <c r="BE12" s="76">
        <f>SUM(BE9:BE11)</f>
        <v>4683.322384650999</v>
      </c>
      <c r="BF12" s="127">
        <f>SUM(BF9:BF11)</f>
        <v>-14293.030000000004</v>
      </c>
    </row>
    <row r="13" spans="1:58" ht="15" customHeight="1" hidden="1">
      <c r="A13" s="8" t="s">
        <v>42</v>
      </c>
      <c r="B13" s="73"/>
      <c r="C13" s="128"/>
      <c r="D13" s="128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30"/>
      <c r="P13" s="131"/>
      <c r="Q13" s="132"/>
      <c r="R13" s="132"/>
      <c r="S13" s="132"/>
      <c r="T13" s="132"/>
      <c r="U13" s="133"/>
      <c r="V13" s="133"/>
      <c r="W13" s="133"/>
      <c r="X13" s="133"/>
      <c r="Y13" s="133"/>
      <c r="Z13" s="133"/>
      <c r="AA13" s="134"/>
      <c r="AB13" s="134"/>
      <c r="AC13" s="135"/>
      <c r="AD13" s="136"/>
      <c r="AE13" s="136"/>
      <c r="AF13" s="61"/>
      <c r="AG13" s="61"/>
      <c r="AH13" s="61"/>
      <c r="AI13" s="61"/>
      <c r="AJ13" s="61"/>
      <c r="AK13" s="61"/>
      <c r="AL13" s="61"/>
      <c r="AM13" s="61"/>
      <c r="AN13" s="74"/>
      <c r="AO13" s="74"/>
      <c r="AP13" s="74"/>
      <c r="AQ13" s="137"/>
      <c r="AR13" s="138"/>
      <c r="AS13" s="106"/>
      <c r="AT13" s="106"/>
      <c r="AU13" s="139"/>
      <c r="AV13" s="61"/>
      <c r="AW13" s="61"/>
      <c r="AX13" s="62"/>
      <c r="AY13" s="1"/>
      <c r="AZ13" s="1"/>
      <c r="BA13" s="1"/>
      <c r="BB13" s="1"/>
      <c r="BC13" s="1"/>
      <c r="BD13" s="1"/>
      <c r="BE13" s="1"/>
      <c r="BF13" s="119"/>
    </row>
    <row r="14" spans="1:58" ht="12.75" hidden="1">
      <c r="A14" s="14" t="s">
        <v>43</v>
      </c>
      <c r="B14" s="165">
        <v>2428.61</v>
      </c>
      <c r="C14" s="170">
        <f aca="true" t="shared" si="1" ref="C14:C25">B14*8.65</f>
        <v>21007.4765</v>
      </c>
      <c r="D14" s="171">
        <f>C14*0.125</f>
        <v>2625.9345625</v>
      </c>
      <c r="E14" s="82">
        <v>1563.91</v>
      </c>
      <c r="F14" s="82">
        <v>392.05</v>
      </c>
      <c r="G14" s="82">
        <v>2111.22</v>
      </c>
      <c r="H14" s="82">
        <v>529.31</v>
      </c>
      <c r="I14" s="82">
        <v>5371.13</v>
      </c>
      <c r="J14" s="82">
        <v>1274.21</v>
      </c>
      <c r="K14" s="82">
        <v>3518.69</v>
      </c>
      <c r="L14" s="82">
        <v>882.15</v>
      </c>
      <c r="M14" s="82">
        <v>1251.03</v>
      </c>
      <c r="N14" s="103">
        <v>313.67</v>
      </c>
      <c r="O14" s="103">
        <v>0</v>
      </c>
      <c r="P14" s="103">
        <v>0</v>
      </c>
      <c r="Q14" s="103">
        <v>0</v>
      </c>
      <c r="R14" s="103">
        <v>0</v>
      </c>
      <c r="S14" s="82">
        <f aca="true" t="shared" si="2" ref="S14:S25">E14+G14+I14+K14+M14+O14+Q14</f>
        <v>13815.980000000001</v>
      </c>
      <c r="T14" s="156">
        <f aca="true" t="shared" si="3" ref="T14:T25">P14+N14+L14+J14+H14+F14+R14</f>
        <v>3391.39</v>
      </c>
      <c r="U14" s="82">
        <v>1410.98</v>
      </c>
      <c r="V14" s="82">
        <v>1904.74</v>
      </c>
      <c r="W14" s="82">
        <v>4350.46</v>
      </c>
      <c r="X14" s="82">
        <v>3174.63</v>
      </c>
      <c r="Y14" s="82">
        <v>1128.7</v>
      </c>
      <c r="Z14" s="82">
        <v>0</v>
      </c>
      <c r="AA14" s="103">
        <v>0</v>
      </c>
      <c r="AB14" s="175">
        <f aca="true" t="shared" si="4" ref="AB14:AB22">SUM(U14:AA14)</f>
        <v>11969.510000000002</v>
      </c>
      <c r="AC14" s="157">
        <f aca="true" t="shared" si="5" ref="AC14:AC22">D14+T14+AB14</f>
        <v>17986.8345625</v>
      </c>
      <c r="AD14" s="158">
        <f aca="true" t="shared" si="6" ref="AD14:AD25">P14+Z14</f>
        <v>0</v>
      </c>
      <c r="AE14" s="158">
        <f aca="true" t="shared" si="7" ref="AE14:AE25">R14+AA14</f>
        <v>0</v>
      </c>
      <c r="AF14" s="158"/>
      <c r="AG14" s="25">
        <f>0.6*B14*0.9</f>
        <v>1311.4494</v>
      </c>
      <c r="AH14" s="25">
        <f>B14*0.2*0.891</f>
        <v>432.77830200000005</v>
      </c>
      <c r="AI14" s="25">
        <f>0.85*B14*0.867-0.02</f>
        <v>1789.7441394999998</v>
      </c>
      <c r="AJ14" s="25">
        <f aca="true" t="shared" si="8" ref="AJ14:AJ25">AI14*0.18</f>
        <v>322.15394510999994</v>
      </c>
      <c r="AK14" s="25">
        <f>0.83*B14*0.8685</f>
        <v>1750.67566155</v>
      </c>
      <c r="AL14" s="25">
        <f aca="true" t="shared" si="9" ref="AL14:AL25">AK14*0.18</f>
        <v>315.121619079</v>
      </c>
      <c r="AM14" s="25">
        <f>1.91*B14*0.8686</f>
        <v>4029.12713386</v>
      </c>
      <c r="AN14" s="25">
        <f aca="true" t="shared" si="10" ref="AN14:AN25">AM14*0.18</f>
        <v>725.2428840947999</v>
      </c>
      <c r="AO14" s="25"/>
      <c r="AP14" s="25">
        <f aca="true" t="shared" si="11" ref="AP14:AR25">AO14*0.18</f>
        <v>0</v>
      </c>
      <c r="AQ14" s="159"/>
      <c r="AR14" s="159">
        <f>AQ14*0.18</f>
        <v>0</v>
      </c>
      <c r="AS14" s="84">
        <v>445</v>
      </c>
      <c r="AT14" s="84"/>
      <c r="AU14" s="84">
        <f>(AS14+AT14)*0.18+0.01</f>
        <v>80.11</v>
      </c>
      <c r="AV14" s="160">
        <v>508</v>
      </c>
      <c r="AW14" s="161">
        <v>1.125</v>
      </c>
      <c r="AX14" s="25"/>
      <c r="AY14" s="162"/>
      <c r="AZ14" s="163"/>
      <c r="BA14" s="163">
        <f>AZ14*0.18</f>
        <v>0</v>
      </c>
      <c r="BB14" s="163">
        <f>SUM(AG14:AU14)</f>
        <v>11201.403085193799</v>
      </c>
      <c r="BC14" s="164"/>
      <c r="BD14" s="140">
        <f>BB14-(AF14-BC14)</f>
        <v>11201.403085193799</v>
      </c>
      <c r="BE14" s="123">
        <f>(AC14-BB14)+(AF14-BC14)</f>
        <v>6785.4314773062015</v>
      </c>
      <c r="BF14" s="123">
        <f>AB14-S14</f>
        <v>-1846.4699999999993</v>
      </c>
    </row>
    <row r="15" spans="1:58" ht="12.75" hidden="1">
      <c r="A15" s="14" t="s">
        <v>44</v>
      </c>
      <c r="B15" s="165">
        <v>2428.61</v>
      </c>
      <c r="C15" s="170">
        <f t="shared" si="1"/>
        <v>21007.4765</v>
      </c>
      <c r="D15" s="171">
        <f>C15*0.125</f>
        <v>2625.9345625</v>
      </c>
      <c r="E15" s="82">
        <v>1584.82</v>
      </c>
      <c r="F15" s="82">
        <v>392.05</v>
      </c>
      <c r="G15" s="82">
        <v>2139.48</v>
      </c>
      <c r="H15" s="82">
        <v>529.31</v>
      </c>
      <c r="I15" s="82">
        <v>5150.59</v>
      </c>
      <c r="J15" s="82">
        <v>1274.21</v>
      </c>
      <c r="K15" s="82">
        <v>3565.8</v>
      </c>
      <c r="L15" s="82">
        <v>882.15</v>
      </c>
      <c r="M15" s="82">
        <v>1267.79</v>
      </c>
      <c r="N15" s="103">
        <v>313.67</v>
      </c>
      <c r="O15" s="103">
        <v>0</v>
      </c>
      <c r="P15" s="103">
        <v>0</v>
      </c>
      <c r="Q15" s="103">
        <v>0</v>
      </c>
      <c r="R15" s="103">
        <v>0</v>
      </c>
      <c r="S15" s="82">
        <f t="shared" si="2"/>
        <v>13708.48</v>
      </c>
      <c r="T15" s="156">
        <f t="shared" si="3"/>
        <v>3391.39</v>
      </c>
      <c r="U15" s="82">
        <v>1309.18</v>
      </c>
      <c r="V15" s="82">
        <v>1767.3</v>
      </c>
      <c r="W15" s="82">
        <v>4254.78</v>
      </c>
      <c r="X15" s="82">
        <v>2945.59</v>
      </c>
      <c r="Y15" s="82">
        <v>1047.21</v>
      </c>
      <c r="Z15" s="82">
        <v>0</v>
      </c>
      <c r="AA15" s="103">
        <v>0</v>
      </c>
      <c r="AB15" s="174">
        <f t="shared" si="4"/>
        <v>11324.060000000001</v>
      </c>
      <c r="AC15" s="157">
        <f t="shared" si="5"/>
        <v>17341.384562500003</v>
      </c>
      <c r="AD15" s="158">
        <f t="shared" si="6"/>
        <v>0</v>
      </c>
      <c r="AE15" s="158">
        <f t="shared" si="7"/>
        <v>0</v>
      </c>
      <c r="AF15" s="158"/>
      <c r="AG15" s="25">
        <f>0.6*B15*0.9</f>
        <v>1311.4494</v>
      </c>
      <c r="AH15" s="25">
        <f>B15*0.2*0.9153</f>
        <v>444.5813466</v>
      </c>
      <c r="AI15" s="25">
        <f>0.85*B15*0.867</f>
        <v>1789.7641394999998</v>
      </c>
      <c r="AJ15" s="25">
        <f t="shared" si="8"/>
        <v>322.15754510999994</v>
      </c>
      <c r="AK15" s="25">
        <f>0.83*B15*0.8684</f>
        <v>1750.47408692</v>
      </c>
      <c r="AL15" s="25">
        <f t="shared" si="9"/>
        <v>315.08533564559997</v>
      </c>
      <c r="AM15" s="25">
        <f>(1.91)*B15*0.8684</f>
        <v>4028.1994048399997</v>
      </c>
      <c r="AN15" s="25">
        <f t="shared" si="10"/>
        <v>725.0758928711999</v>
      </c>
      <c r="AO15" s="25"/>
      <c r="AP15" s="25">
        <f t="shared" si="11"/>
        <v>0</v>
      </c>
      <c r="AQ15" s="159"/>
      <c r="AR15" s="159">
        <f>AQ15*0.18</f>
        <v>0</v>
      </c>
      <c r="AS15" s="84"/>
      <c r="AT15" s="84">
        <f>756*3</f>
        <v>2268</v>
      </c>
      <c r="AU15" s="84">
        <f>(AS15+AT15)*0.18</f>
        <v>408.24</v>
      </c>
      <c r="AV15" s="160">
        <v>407</v>
      </c>
      <c r="AW15" s="161">
        <v>1.125</v>
      </c>
      <c r="AX15" s="25"/>
      <c r="AY15" s="162"/>
      <c r="AZ15" s="163"/>
      <c r="BA15" s="163">
        <f>AZ15*0.18</f>
        <v>0</v>
      </c>
      <c r="BB15" s="163">
        <f>SUM(AG15:AU15)+AY15</f>
        <v>13363.0271514868</v>
      </c>
      <c r="BC15" s="176"/>
      <c r="BD15" s="140">
        <f>BB15-(AF15-BC15)</f>
        <v>13363.0271514868</v>
      </c>
      <c r="BE15" s="123">
        <f>(AC15-BB15)+(AF15-BC15)</f>
        <v>3978.357411013203</v>
      </c>
      <c r="BF15" s="123">
        <f>AB15-S15</f>
        <v>-2384.4199999999983</v>
      </c>
    </row>
    <row r="16" spans="1:58" ht="13.5" hidden="1" thickBot="1">
      <c r="A16" s="141" t="s">
        <v>45</v>
      </c>
      <c r="B16" s="177">
        <v>2428.6</v>
      </c>
      <c r="C16" s="170">
        <f t="shared" si="1"/>
        <v>21007.39</v>
      </c>
      <c r="D16" s="171">
        <f>C16*0.125</f>
        <v>2625.92375</v>
      </c>
      <c r="E16" s="82">
        <v>1592.53</v>
      </c>
      <c r="F16" s="82">
        <v>356.89</v>
      </c>
      <c r="G16" s="82">
        <v>2149.87</v>
      </c>
      <c r="H16" s="82">
        <v>481.82</v>
      </c>
      <c r="I16" s="82">
        <v>5175.66</v>
      </c>
      <c r="J16" s="82">
        <v>1159.89</v>
      </c>
      <c r="K16" s="82">
        <v>3583.14</v>
      </c>
      <c r="L16" s="82">
        <v>803.01</v>
      </c>
      <c r="M16" s="82">
        <v>1273.94</v>
      </c>
      <c r="N16" s="103">
        <v>285.52</v>
      </c>
      <c r="O16" s="103">
        <v>0</v>
      </c>
      <c r="P16" s="103">
        <v>0</v>
      </c>
      <c r="Q16" s="103">
        <v>0</v>
      </c>
      <c r="R16" s="103">
        <v>0</v>
      </c>
      <c r="S16" s="82">
        <f t="shared" si="2"/>
        <v>13775.14</v>
      </c>
      <c r="T16" s="156">
        <f t="shared" si="3"/>
        <v>3087.13</v>
      </c>
      <c r="U16" s="83">
        <v>1640.28</v>
      </c>
      <c r="V16" s="83">
        <v>2214.32</v>
      </c>
      <c r="W16" s="83">
        <v>5321.04</v>
      </c>
      <c r="X16" s="83">
        <v>3690.59</v>
      </c>
      <c r="Y16" s="83">
        <v>1312.19</v>
      </c>
      <c r="Z16" s="83">
        <v>0</v>
      </c>
      <c r="AA16" s="169">
        <v>0</v>
      </c>
      <c r="AB16" s="175">
        <f t="shared" si="4"/>
        <v>14178.42</v>
      </c>
      <c r="AC16" s="157">
        <f t="shared" si="5"/>
        <v>19891.47375</v>
      </c>
      <c r="AD16" s="158">
        <f t="shared" si="6"/>
        <v>0</v>
      </c>
      <c r="AE16" s="158">
        <f t="shared" si="7"/>
        <v>0</v>
      </c>
      <c r="AF16" s="158"/>
      <c r="AG16" s="25">
        <f>0.6*B16*0.9</f>
        <v>1311.444</v>
      </c>
      <c r="AH16" s="178">
        <f>B16*0.2*0.9082</f>
        <v>441.13090400000004</v>
      </c>
      <c r="AI16" s="25">
        <f>0.85*B16*0.8675</f>
        <v>1790.788925</v>
      </c>
      <c r="AJ16" s="25">
        <f t="shared" si="8"/>
        <v>322.3420065</v>
      </c>
      <c r="AK16" s="178">
        <f>0.83*B16*0.838</f>
        <v>1689.188444</v>
      </c>
      <c r="AL16" s="25">
        <f t="shared" si="9"/>
        <v>304.05391991999994</v>
      </c>
      <c r="AM16" s="25">
        <f>1.91*B16*0.8381</f>
        <v>3887.632450599999</v>
      </c>
      <c r="AN16" s="25">
        <f t="shared" si="10"/>
        <v>699.7738411079998</v>
      </c>
      <c r="AO16" s="25"/>
      <c r="AP16" s="25">
        <f t="shared" si="11"/>
        <v>0</v>
      </c>
      <c r="AQ16" s="159">
        <v>2918.92</v>
      </c>
      <c r="AR16" s="159">
        <f>AQ16*0.18</f>
        <v>525.4056</v>
      </c>
      <c r="AS16" s="84">
        <v>139</v>
      </c>
      <c r="AT16" s="84"/>
      <c r="AU16" s="84">
        <f>(AS16+AT16)*0.18</f>
        <v>25.02</v>
      </c>
      <c r="AV16" s="160">
        <v>383</v>
      </c>
      <c r="AW16" s="161">
        <v>1.125</v>
      </c>
      <c r="AX16" s="25"/>
      <c r="AY16" s="162"/>
      <c r="AZ16" s="163"/>
      <c r="BA16" s="163">
        <f>AZ16*0.18</f>
        <v>0</v>
      </c>
      <c r="BB16" s="163">
        <f>SUM(AG16:AU16)</f>
        <v>14054.700091128</v>
      </c>
      <c r="BC16" s="176"/>
      <c r="BD16" s="142">
        <f>BB16-(AF16-BC16)</f>
        <v>14054.700091128</v>
      </c>
      <c r="BE16" s="143">
        <f>(AC16-BB16)+(AF16-BC16)</f>
        <v>5836.773658872002</v>
      </c>
      <c r="BF16" s="143">
        <f>AB16-S16</f>
        <v>403.28000000000065</v>
      </c>
    </row>
    <row r="17" spans="1:58" ht="13.5" hidden="1" thickBot="1">
      <c r="A17" s="144" t="s">
        <v>46</v>
      </c>
      <c r="B17" s="179">
        <v>2428.6</v>
      </c>
      <c r="C17" s="170">
        <f t="shared" si="1"/>
        <v>21007.39</v>
      </c>
      <c r="D17" s="171">
        <f>C17*0.125</f>
        <v>2625.92375</v>
      </c>
      <c r="E17" s="83">
        <v>1616.77</v>
      </c>
      <c r="F17" s="83">
        <v>370.7</v>
      </c>
      <c r="G17" s="83">
        <v>2182.61</v>
      </c>
      <c r="H17" s="83">
        <v>500.48</v>
      </c>
      <c r="I17" s="83">
        <v>5254.45</v>
      </c>
      <c r="J17" s="83">
        <v>1204.8</v>
      </c>
      <c r="K17" s="83">
        <v>3637.7</v>
      </c>
      <c r="L17" s="83">
        <v>834.1</v>
      </c>
      <c r="M17" s="83">
        <v>1293.35</v>
      </c>
      <c r="N17" s="169">
        <v>296.58</v>
      </c>
      <c r="O17" s="169">
        <v>0</v>
      </c>
      <c r="P17" s="169">
        <v>0</v>
      </c>
      <c r="Q17" s="169">
        <v>0</v>
      </c>
      <c r="R17" s="169">
        <v>0</v>
      </c>
      <c r="S17" s="82">
        <f t="shared" si="2"/>
        <v>13984.88</v>
      </c>
      <c r="T17" s="156">
        <f t="shared" si="3"/>
        <v>3206.66</v>
      </c>
      <c r="U17" s="82">
        <v>1596.22</v>
      </c>
      <c r="V17" s="82">
        <v>2154.93</v>
      </c>
      <c r="W17" s="82">
        <v>5176.51</v>
      </c>
      <c r="X17" s="82">
        <v>3591.42</v>
      </c>
      <c r="Y17" s="82">
        <v>1276.88</v>
      </c>
      <c r="Z17" s="82">
        <v>0</v>
      </c>
      <c r="AA17" s="82">
        <v>0</v>
      </c>
      <c r="AB17" s="175">
        <f t="shared" si="4"/>
        <v>13795.96</v>
      </c>
      <c r="AC17" s="157">
        <f t="shared" si="5"/>
        <v>19628.543749999997</v>
      </c>
      <c r="AD17" s="158">
        <f t="shared" si="6"/>
        <v>0</v>
      </c>
      <c r="AE17" s="158">
        <f t="shared" si="7"/>
        <v>0</v>
      </c>
      <c r="AF17" s="158"/>
      <c r="AG17" s="25">
        <f>0.6*B17*0.9</f>
        <v>1311.444</v>
      </c>
      <c r="AH17" s="178">
        <f>B17*0.2*0.9234</f>
        <v>448.51384800000005</v>
      </c>
      <c r="AI17" s="25">
        <f>0.85*B17*0.8934</f>
        <v>1844.2545539999999</v>
      </c>
      <c r="AJ17" s="25">
        <f t="shared" si="8"/>
        <v>331.96581971999996</v>
      </c>
      <c r="AK17" s="25">
        <f>0.83*B17*0.8498</f>
        <v>1712.9741523999999</v>
      </c>
      <c r="AL17" s="25">
        <f t="shared" si="9"/>
        <v>308.335347432</v>
      </c>
      <c r="AM17" s="25">
        <f>(1.91)*B17*0.8498</f>
        <v>3941.9043747999995</v>
      </c>
      <c r="AN17" s="25">
        <f t="shared" si="10"/>
        <v>709.5427874639998</v>
      </c>
      <c r="AO17" s="25"/>
      <c r="AP17" s="25">
        <f t="shared" si="11"/>
        <v>0</v>
      </c>
      <c r="AQ17" s="159">
        <v>2918.92</v>
      </c>
      <c r="AR17" s="159">
        <f t="shared" si="11"/>
        <v>525.4056</v>
      </c>
      <c r="AS17" s="84">
        <v>500</v>
      </c>
      <c r="AT17" s="84"/>
      <c r="AU17" s="84">
        <f>(AS17+AT17)*0.18</f>
        <v>90</v>
      </c>
      <c r="AV17" s="160">
        <v>307</v>
      </c>
      <c r="AW17" s="161">
        <v>1.125</v>
      </c>
      <c r="AX17" s="25">
        <v>2386.31</v>
      </c>
      <c r="AY17" s="162"/>
      <c r="AZ17" s="163"/>
      <c r="BA17" s="163">
        <f>AZ17*0.18</f>
        <v>0</v>
      </c>
      <c r="BB17" s="163">
        <f aca="true" t="shared" si="12" ref="BB17:BB22">SUM(AG17:BA17)-AV17-AW17</f>
        <v>17029.570483815998</v>
      </c>
      <c r="BC17" s="176"/>
      <c r="BD17" s="145">
        <f>(AC17-BA17)+(AF17-BB17)</f>
        <v>2598.973266183999</v>
      </c>
      <c r="BE17" s="143">
        <f aca="true" t="shared" si="13" ref="BE17:BE23">(AC17-BB17)+(AF17-BC17)</f>
        <v>2598.973266183999</v>
      </c>
      <c r="BF17" s="143">
        <f aca="true" t="shared" si="14" ref="BF17:BF23">AB17-S17</f>
        <v>-188.92000000000007</v>
      </c>
    </row>
    <row r="18" spans="1:58" ht="13.5" hidden="1" thickBot="1">
      <c r="A18" s="14" t="s">
        <v>47</v>
      </c>
      <c r="B18" s="177">
        <v>2428.61</v>
      </c>
      <c r="C18" s="170">
        <f t="shared" si="1"/>
        <v>21007.4765</v>
      </c>
      <c r="D18" s="155">
        <f aca="true" t="shared" si="15" ref="D18:D25">C18-E18-F18-G18-H18-I18-J18-K18-L18-M18-N18</f>
        <v>2076.5365000000006</v>
      </c>
      <c r="E18" s="83">
        <v>1775.14</v>
      </c>
      <c r="F18" s="83">
        <v>410.06</v>
      </c>
      <c r="G18" s="83">
        <v>2403.82</v>
      </c>
      <c r="H18" s="83">
        <v>555.86</v>
      </c>
      <c r="I18" s="83">
        <v>5776.49</v>
      </c>
      <c r="J18" s="83">
        <v>1335.05</v>
      </c>
      <c r="K18" s="83">
        <v>4001.36</v>
      </c>
      <c r="L18" s="83">
        <v>924.99</v>
      </c>
      <c r="M18" s="83">
        <v>1420.11</v>
      </c>
      <c r="N18" s="83">
        <v>328.06</v>
      </c>
      <c r="O18" s="169">
        <v>0</v>
      </c>
      <c r="P18" s="169">
        <v>0</v>
      </c>
      <c r="Q18" s="169">
        <v>0</v>
      </c>
      <c r="R18" s="169">
        <v>0</v>
      </c>
      <c r="S18" s="82">
        <f t="shared" si="2"/>
        <v>15376.920000000002</v>
      </c>
      <c r="T18" s="156">
        <f t="shared" si="3"/>
        <v>3554.02</v>
      </c>
      <c r="U18" s="83">
        <v>1563.44</v>
      </c>
      <c r="V18" s="83">
        <v>2110.58</v>
      </c>
      <c r="W18" s="83">
        <v>5076.53</v>
      </c>
      <c r="X18" s="83">
        <v>3517.62</v>
      </c>
      <c r="Y18" s="83">
        <v>1250.74</v>
      </c>
      <c r="Z18" s="83">
        <v>0</v>
      </c>
      <c r="AA18" s="169">
        <v>0</v>
      </c>
      <c r="AB18" s="175">
        <f t="shared" si="4"/>
        <v>13518.909999999998</v>
      </c>
      <c r="AC18" s="157">
        <f t="shared" si="5"/>
        <v>19149.4665</v>
      </c>
      <c r="AD18" s="158">
        <f t="shared" si="6"/>
        <v>0</v>
      </c>
      <c r="AE18" s="158">
        <f t="shared" si="7"/>
        <v>0</v>
      </c>
      <c r="AF18" s="158"/>
      <c r="AG18" s="25">
        <f aca="true" t="shared" si="16" ref="AG18:AG25">0.6*B18</f>
        <v>1457.166</v>
      </c>
      <c r="AH18" s="25">
        <f>B18*0.2*1.01</f>
        <v>490.57922</v>
      </c>
      <c r="AI18" s="25">
        <f>0.85*B18</f>
        <v>2064.3185</v>
      </c>
      <c r="AJ18" s="25">
        <f t="shared" si="8"/>
        <v>371.57732999999996</v>
      </c>
      <c r="AK18" s="25">
        <f>0.83*B18</f>
        <v>2015.7463</v>
      </c>
      <c r="AL18" s="25">
        <f t="shared" si="9"/>
        <v>362.834334</v>
      </c>
      <c r="AM18" s="25">
        <f>(1.91)*B18</f>
        <v>4638.6451</v>
      </c>
      <c r="AN18" s="25">
        <f t="shared" si="10"/>
        <v>834.956118</v>
      </c>
      <c r="AO18" s="25"/>
      <c r="AP18" s="25">
        <f t="shared" si="11"/>
        <v>0</v>
      </c>
      <c r="AQ18" s="159"/>
      <c r="AR18" s="159">
        <f t="shared" si="11"/>
        <v>0</v>
      </c>
      <c r="AS18" s="84">
        <v>1923.4</v>
      </c>
      <c r="AT18" s="84">
        <v>300</v>
      </c>
      <c r="AU18" s="84">
        <f>(AS18+AT18)*0.18</f>
        <v>400.212</v>
      </c>
      <c r="AV18" s="160">
        <v>263</v>
      </c>
      <c r="AW18" s="161">
        <v>1.125</v>
      </c>
      <c r="AX18" s="25">
        <f aca="true" t="shared" si="17" ref="AX14:AX25">AV18*AW18*1.12*1.18</f>
        <v>391.02840000000003</v>
      </c>
      <c r="AY18" s="162"/>
      <c r="AZ18" s="163"/>
      <c r="BA18" s="163">
        <f aca="true" t="shared" si="18" ref="BA18:BA25">AZ18*0.18</f>
        <v>0</v>
      </c>
      <c r="BB18" s="163">
        <f t="shared" si="12"/>
        <v>15250.463301999998</v>
      </c>
      <c r="BC18" s="176"/>
      <c r="BD18" s="18">
        <f aca="true" t="shared" si="19" ref="BD18:BD25">BB18-(AF18-BC18)</f>
        <v>15250.463301999998</v>
      </c>
      <c r="BE18" s="143">
        <f t="shared" si="13"/>
        <v>3899.0031980000003</v>
      </c>
      <c r="BF18" s="143">
        <f t="shared" si="14"/>
        <v>-1858.0100000000039</v>
      </c>
    </row>
    <row r="19" spans="1:58" ht="13.5" hidden="1" thickBot="1">
      <c r="A19" s="141" t="s">
        <v>48</v>
      </c>
      <c r="B19" s="177">
        <v>2428.61</v>
      </c>
      <c r="C19" s="170">
        <f t="shared" si="1"/>
        <v>21007.4765</v>
      </c>
      <c r="D19" s="155">
        <f t="shared" si="15"/>
        <v>2072.6965000000027</v>
      </c>
      <c r="E19" s="83">
        <v>1782.16</v>
      </c>
      <c r="F19" s="83">
        <v>403.53</v>
      </c>
      <c r="G19" s="83">
        <v>2413.24</v>
      </c>
      <c r="H19" s="83">
        <v>547.01</v>
      </c>
      <c r="I19" s="83">
        <v>5799.21</v>
      </c>
      <c r="J19" s="83">
        <v>1313.78</v>
      </c>
      <c r="K19" s="83">
        <v>4017.06</v>
      </c>
      <c r="L19" s="83">
        <v>910.26</v>
      </c>
      <c r="M19" s="83">
        <v>1425.7</v>
      </c>
      <c r="N19" s="169">
        <v>322.83</v>
      </c>
      <c r="O19" s="169">
        <v>0</v>
      </c>
      <c r="P19" s="169">
        <v>0</v>
      </c>
      <c r="Q19" s="169">
        <v>0</v>
      </c>
      <c r="R19" s="169">
        <v>0</v>
      </c>
      <c r="S19" s="82">
        <f t="shared" si="2"/>
        <v>15437.37</v>
      </c>
      <c r="T19" s="156">
        <f t="shared" si="3"/>
        <v>3497.41</v>
      </c>
      <c r="U19" s="83">
        <v>1810.47</v>
      </c>
      <c r="V19" s="83">
        <v>2450.19</v>
      </c>
      <c r="W19" s="83">
        <v>5884.55</v>
      </c>
      <c r="X19" s="83">
        <v>4079.43</v>
      </c>
      <c r="Y19" s="83">
        <v>1450.16</v>
      </c>
      <c r="Z19" s="83">
        <v>0</v>
      </c>
      <c r="AA19" s="169">
        <v>0</v>
      </c>
      <c r="AB19" s="175">
        <f t="shared" si="4"/>
        <v>15674.8</v>
      </c>
      <c r="AC19" s="157">
        <f t="shared" si="5"/>
        <v>21244.9065</v>
      </c>
      <c r="AD19" s="158">
        <f t="shared" si="6"/>
        <v>0</v>
      </c>
      <c r="AE19" s="158">
        <f t="shared" si="7"/>
        <v>0</v>
      </c>
      <c r="AF19" s="158"/>
      <c r="AG19" s="25">
        <f t="shared" si="16"/>
        <v>1457.166</v>
      </c>
      <c r="AH19" s="25">
        <f>B19*0.2*1.01045</f>
        <v>490.7977949000001</v>
      </c>
      <c r="AI19" s="25">
        <f>0.85*B19</f>
        <v>2064.3185</v>
      </c>
      <c r="AJ19" s="25">
        <f t="shared" si="8"/>
        <v>371.57732999999996</v>
      </c>
      <c r="AK19" s="25">
        <f>0.83*B19</f>
        <v>2015.7463</v>
      </c>
      <c r="AL19" s="25">
        <f t="shared" si="9"/>
        <v>362.834334</v>
      </c>
      <c r="AM19" s="25">
        <f>(1.91)*B19</f>
        <v>4638.6451</v>
      </c>
      <c r="AN19" s="25">
        <f t="shared" si="10"/>
        <v>834.956118</v>
      </c>
      <c r="AO19" s="25"/>
      <c r="AP19" s="25">
        <f t="shared" si="11"/>
        <v>0</v>
      </c>
      <c r="AQ19" s="159">
        <f>638.25+13188</f>
        <v>13826.25</v>
      </c>
      <c r="AR19" s="159">
        <f t="shared" si="11"/>
        <v>2488.725</v>
      </c>
      <c r="AS19" s="84">
        <v>1337.1</v>
      </c>
      <c r="AT19" s="84"/>
      <c r="AU19" s="84">
        <f>(AS19+AT19)*0.18</f>
        <v>240.67799999999997</v>
      </c>
      <c r="AV19" s="160">
        <v>233</v>
      </c>
      <c r="AW19" s="161">
        <v>1.125</v>
      </c>
      <c r="AX19" s="25">
        <f t="shared" si="17"/>
        <v>346.42440000000005</v>
      </c>
      <c r="AY19" s="162"/>
      <c r="AZ19" s="163"/>
      <c r="BA19" s="163">
        <f t="shared" si="18"/>
        <v>0</v>
      </c>
      <c r="BB19" s="163">
        <f t="shared" si="12"/>
        <v>30475.218876899995</v>
      </c>
      <c r="BC19" s="176"/>
      <c r="BD19" s="107">
        <f t="shared" si="19"/>
        <v>30475.218876899995</v>
      </c>
      <c r="BE19" s="143">
        <f t="shared" si="13"/>
        <v>-9230.312376899994</v>
      </c>
      <c r="BF19" s="143">
        <f t="shared" si="14"/>
        <v>237.42999999999847</v>
      </c>
    </row>
    <row r="20" spans="1:58" ht="13.5" hidden="1" thickBot="1">
      <c r="A20" s="144" t="s">
        <v>49</v>
      </c>
      <c r="B20" s="165">
        <v>2428.61</v>
      </c>
      <c r="C20" s="170">
        <f t="shared" si="1"/>
        <v>21007.4765</v>
      </c>
      <c r="D20" s="155">
        <f t="shared" si="15"/>
        <v>2052.766499999999</v>
      </c>
      <c r="E20" s="83">
        <v>1784.45</v>
      </c>
      <c r="F20" s="83">
        <v>403.53</v>
      </c>
      <c r="G20" s="83">
        <v>2416.36</v>
      </c>
      <c r="H20" s="83">
        <v>547.01</v>
      </c>
      <c r="I20" s="83">
        <v>5806.69</v>
      </c>
      <c r="J20" s="83">
        <v>1313.78</v>
      </c>
      <c r="K20" s="83">
        <v>4022.25</v>
      </c>
      <c r="L20" s="83">
        <v>910.26</v>
      </c>
      <c r="M20" s="83">
        <v>1427.55</v>
      </c>
      <c r="N20" s="169">
        <v>322.83</v>
      </c>
      <c r="O20" s="169">
        <v>0</v>
      </c>
      <c r="P20" s="169">
        <v>0</v>
      </c>
      <c r="Q20" s="169">
        <v>0</v>
      </c>
      <c r="R20" s="169">
        <v>0</v>
      </c>
      <c r="S20" s="82">
        <f t="shared" si="2"/>
        <v>15457.3</v>
      </c>
      <c r="T20" s="156">
        <f t="shared" si="3"/>
        <v>3497.41</v>
      </c>
      <c r="U20" s="83">
        <v>1476.47</v>
      </c>
      <c r="V20" s="83">
        <v>1999.15</v>
      </c>
      <c r="W20" s="83">
        <v>4804.38</v>
      </c>
      <c r="X20" s="83">
        <v>3327.89</v>
      </c>
      <c r="Y20" s="83">
        <v>1179.33</v>
      </c>
      <c r="Z20" s="83">
        <v>0</v>
      </c>
      <c r="AA20" s="169">
        <v>0</v>
      </c>
      <c r="AB20" s="175">
        <f t="shared" si="4"/>
        <v>12787.22</v>
      </c>
      <c r="AC20" s="157">
        <f t="shared" si="5"/>
        <v>18337.3965</v>
      </c>
      <c r="AD20" s="158">
        <f t="shared" si="6"/>
        <v>0</v>
      </c>
      <c r="AE20" s="158">
        <f t="shared" si="7"/>
        <v>0</v>
      </c>
      <c r="AF20" s="158"/>
      <c r="AG20" s="25">
        <f t="shared" si="16"/>
        <v>1457.166</v>
      </c>
      <c r="AH20" s="25">
        <f>B20*0.2*0.99426</f>
        <v>482.93395572000003</v>
      </c>
      <c r="AI20" s="25">
        <f>0.85*B20*0.9857</f>
        <v>2034.7987454499998</v>
      </c>
      <c r="AJ20" s="25">
        <f t="shared" si="8"/>
        <v>366.263774181</v>
      </c>
      <c r="AK20" s="25">
        <f>0.83*B20*0.9905</f>
        <v>1996.59671015</v>
      </c>
      <c r="AL20" s="25">
        <f t="shared" si="9"/>
        <v>359.387407827</v>
      </c>
      <c r="AM20" s="25">
        <f>(1.91)*B20*0.9904</f>
        <v>4594.11410704</v>
      </c>
      <c r="AN20" s="25">
        <f t="shared" si="10"/>
        <v>826.9405392671999</v>
      </c>
      <c r="AO20" s="25"/>
      <c r="AP20" s="25">
        <f t="shared" si="11"/>
        <v>0</v>
      </c>
      <c r="AQ20" s="159"/>
      <c r="AR20" s="159">
        <f t="shared" si="11"/>
        <v>0</v>
      </c>
      <c r="AS20" s="84">
        <v>1628</v>
      </c>
      <c r="AT20" s="84"/>
      <c r="AU20" s="84">
        <f aca="true" t="shared" si="20" ref="AU20:AU25">(AS20+AT20)*0.18</f>
        <v>293.03999999999996</v>
      </c>
      <c r="AV20" s="160">
        <v>248</v>
      </c>
      <c r="AW20" s="161">
        <v>1.125</v>
      </c>
      <c r="AX20" s="25">
        <f t="shared" si="17"/>
        <v>368.7264</v>
      </c>
      <c r="AY20" s="162"/>
      <c r="AZ20" s="163"/>
      <c r="BA20" s="163">
        <f t="shared" si="18"/>
        <v>0</v>
      </c>
      <c r="BB20" s="163">
        <f t="shared" si="12"/>
        <v>14407.9676396352</v>
      </c>
      <c r="BC20" s="176"/>
      <c r="BD20" s="18">
        <f t="shared" si="19"/>
        <v>14407.9676396352</v>
      </c>
      <c r="BE20" s="143">
        <f t="shared" si="13"/>
        <v>3929.4288603647983</v>
      </c>
      <c r="BF20" s="143">
        <f t="shared" si="14"/>
        <v>-2670.08</v>
      </c>
    </row>
    <row r="21" spans="1:58" ht="13.5" hidden="1" thickBot="1">
      <c r="A21" s="14" t="s">
        <v>50</v>
      </c>
      <c r="B21" s="165">
        <v>2428.61</v>
      </c>
      <c r="C21" s="170">
        <f t="shared" si="1"/>
        <v>21007.4765</v>
      </c>
      <c r="D21" s="155">
        <f t="shared" si="15"/>
        <v>2074.9464999999987</v>
      </c>
      <c r="E21" s="83">
        <v>1775.85</v>
      </c>
      <c r="F21" s="83">
        <v>411.31</v>
      </c>
      <c r="G21" s="83">
        <v>2402.06</v>
      </c>
      <c r="H21" s="83">
        <v>557.56</v>
      </c>
      <c r="I21" s="83">
        <v>5772.27</v>
      </c>
      <c r="J21" s="83">
        <v>1339.11</v>
      </c>
      <c r="K21" s="83">
        <v>3998.43</v>
      </c>
      <c r="L21" s="83">
        <v>927.81</v>
      </c>
      <c r="M21" s="83">
        <v>1419.08</v>
      </c>
      <c r="N21" s="169">
        <v>329.05</v>
      </c>
      <c r="O21" s="169">
        <v>0</v>
      </c>
      <c r="P21" s="169">
        <v>0</v>
      </c>
      <c r="Q21" s="83">
        <v>0</v>
      </c>
      <c r="R21" s="83">
        <v>0</v>
      </c>
      <c r="S21" s="82">
        <f t="shared" si="2"/>
        <v>15367.69</v>
      </c>
      <c r="T21" s="156">
        <f t="shared" si="3"/>
        <v>3564.8399999999997</v>
      </c>
      <c r="U21" s="83">
        <v>1488.54</v>
      </c>
      <c r="V21" s="83">
        <v>2015.6</v>
      </c>
      <c r="W21" s="83">
        <v>4843.07</v>
      </c>
      <c r="X21" s="83">
        <v>3355.14</v>
      </c>
      <c r="Y21" s="83">
        <v>1190.83</v>
      </c>
      <c r="Z21" s="83">
        <v>0</v>
      </c>
      <c r="AA21" s="169">
        <v>0</v>
      </c>
      <c r="AB21" s="175">
        <f t="shared" si="4"/>
        <v>12893.179999999998</v>
      </c>
      <c r="AC21" s="157">
        <f t="shared" si="5"/>
        <v>18532.966499999995</v>
      </c>
      <c r="AD21" s="158">
        <f t="shared" si="6"/>
        <v>0</v>
      </c>
      <c r="AE21" s="158">
        <f t="shared" si="7"/>
        <v>0</v>
      </c>
      <c r="AF21" s="158"/>
      <c r="AG21" s="25">
        <f t="shared" si="16"/>
        <v>1457.166</v>
      </c>
      <c r="AH21" s="25">
        <f>B21*0.2*0.99875</f>
        <v>485.11484750000005</v>
      </c>
      <c r="AI21" s="25">
        <f>0.85*B21*0.98526</f>
        <v>2033.89044531</v>
      </c>
      <c r="AJ21" s="25">
        <f t="shared" si="8"/>
        <v>366.10028015579996</v>
      </c>
      <c r="AK21" s="25">
        <f>0.83*B21*0.99</f>
        <v>1995.588837</v>
      </c>
      <c r="AL21" s="25">
        <f t="shared" si="9"/>
        <v>359.20599066</v>
      </c>
      <c r="AM21" s="25">
        <f>(1.91)*B21*0.99</f>
        <v>4592.258648999999</v>
      </c>
      <c r="AN21" s="25">
        <f t="shared" si="10"/>
        <v>826.6065568199998</v>
      </c>
      <c r="AO21" s="25"/>
      <c r="AP21" s="25">
        <f t="shared" si="11"/>
        <v>0</v>
      </c>
      <c r="AQ21" s="159"/>
      <c r="AR21" s="159">
        <f t="shared" si="11"/>
        <v>0</v>
      </c>
      <c r="AS21" s="84">
        <v>721</v>
      </c>
      <c r="AT21" s="84"/>
      <c r="AU21" s="84">
        <f t="shared" si="20"/>
        <v>129.78</v>
      </c>
      <c r="AV21" s="160">
        <v>293</v>
      </c>
      <c r="AW21" s="161">
        <v>1.125</v>
      </c>
      <c r="AX21" s="25">
        <f t="shared" si="17"/>
        <v>435.63239999999996</v>
      </c>
      <c r="AY21" s="162"/>
      <c r="AZ21" s="163"/>
      <c r="BA21" s="163">
        <f t="shared" si="18"/>
        <v>0</v>
      </c>
      <c r="BB21" s="163">
        <f t="shared" si="12"/>
        <v>13402.3440064458</v>
      </c>
      <c r="BC21" s="176"/>
      <c r="BD21" s="18">
        <f t="shared" si="19"/>
        <v>13402.3440064458</v>
      </c>
      <c r="BE21" s="143">
        <f t="shared" si="13"/>
        <v>5130.622493554196</v>
      </c>
      <c r="BF21" s="143">
        <f t="shared" si="14"/>
        <v>-2474.510000000002</v>
      </c>
    </row>
    <row r="22" spans="1:58" ht="13.5" hidden="1" thickBot="1">
      <c r="A22" s="141" t="s">
        <v>51</v>
      </c>
      <c r="B22" s="81">
        <v>2428.61</v>
      </c>
      <c r="C22" s="170">
        <f t="shared" si="1"/>
        <v>21007.4765</v>
      </c>
      <c r="D22" s="155">
        <f t="shared" si="15"/>
        <v>2064.2065000000025</v>
      </c>
      <c r="E22" s="82">
        <v>1775.33</v>
      </c>
      <c r="F22" s="82">
        <v>411.31</v>
      </c>
      <c r="G22" s="82">
        <v>2404.05</v>
      </c>
      <c r="H22" s="82">
        <v>557.56</v>
      </c>
      <c r="I22" s="82">
        <v>5777.06</v>
      </c>
      <c r="J22" s="82">
        <v>1339.11</v>
      </c>
      <c r="K22" s="82">
        <v>4001.74</v>
      </c>
      <c r="L22" s="82">
        <v>927.81</v>
      </c>
      <c r="M22" s="82">
        <v>1420.25</v>
      </c>
      <c r="N22" s="103">
        <v>329.05</v>
      </c>
      <c r="O22" s="103">
        <v>0</v>
      </c>
      <c r="P22" s="103">
        <v>0</v>
      </c>
      <c r="Q22" s="103">
        <v>0</v>
      </c>
      <c r="R22" s="103">
        <v>0</v>
      </c>
      <c r="S22" s="82">
        <f t="shared" si="2"/>
        <v>15378.43</v>
      </c>
      <c r="T22" s="156">
        <f t="shared" si="3"/>
        <v>3564.8399999999997</v>
      </c>
      <c r="U22" s="82">
        <v>1910.51</v>
      </c>
      <c r="V22" s="82">
        <v>2586.84</v>
      </c>
      <c r="W22" s="82">
        <v>6216.74</v>
      </c>
      <c r="X22" s="82">
        <v>4306.21</v>
      </c>
      <c r="Y22" s="82">
        <v>1528.43</v>
      </c>
      <c r="Z22" s="82">
        <v>0</v>
      </c>
      <c r="AA22" s="103">
        <v>0</v>
      </c>
      <c r="AB22" s="175">
        <f t="shared" si="4"/>
        <v>16548.73</v>
      </c>
      <c r="AC22" s="157">
        <f t="shared" si="5"/>
        <v>22177.7765</v>
      </c>
      <c r="AD22" s="158">
        <f t="shared" si="6"/>
        <v>0</v>
      </c>
      <c r="AE22" s="158">
        <f t="shared" si="7"/>
        <v>0</v>
      </c>
      <c r="AF22" s="158"/>
      <c r="AG22" s="25">
        <f t="shared" si="16"/>
        <v>1457.166</v>
      </c>
      <c r="AH22" s="25">
        <f>B22*0.2*0.9997</f>
        <v>485.5762834000001</v>
      </c>
      <c r="AI22" s="25">
        <f>0.85*B22*0.98509</f>
        <v>2033.5395111649998</v>
      </c>
      <c r="AJ22" s="25">
        <f t="shared" si="8"/>
        <v>366.03711200969997</v>
      </c>
      <c r="AK22" s="25">
        <f>0.83*B22*0.98981</f>
        <v>1995.2058452029999</v>
      </c>
      <c r="AL22" s="25">
        <f t="shared" si="9"/>
        <v>359.13705213654</v>
      </c>
      <c r="AM22" s="25">
        <f>(1.91)*B22*0.9898</f>
        <v>4591.33091998</v>
      </c>
      <c r="AN22" s="25">
        <f t="shared" si="10"/>
        <v>826.4395655963999</v>
      </c>
      <c r="AO22" s="25"/>
      <c r="AP22" s="25">
        <f t="shared" si="11"/>
        <v>0</v>
      </c>
      <c r="AQ22" s="159"/>
      <c r="AR22" s="159">
        <f t="shared" si="11"/>
        <v>0</v>
      </c>
      <c r="AS22" s="84"/>
      <c r="AT22" s="84"/>
      <c r="AU22" s="84">
        <f t="shared" si="20"/>
        <v>0</v>
      </c>
      <c r="AV22" s="160">
        <v>349</v>
      </c>
      <c r="AW22" s="161">
        <v>1.125</v>
      </c>
      <c r="AX22" s="25">
        <f t="shared" si="17"/>
        <v>518.8932000000001</v>
      </c>
      <c r="AY22" s="162"/>
      <c r="AZ22" s="163"/>
      <c r="BA22" s="163">
        <f t="shared" si="18"/>
        <v>0</v>
      </c>
      <c r="BB22" s="163">
        <f t="shared" si="12"/>
        <v>12633.325489490639</v>
      </c>
      <c r="BC22" s="176"/>
      <c r="BD22" s="107">
        <f t="shared" si="19"/>
        <v>12633.325489490639</v>
      </c>
      <c r="BE22" s="143">
        <f t="shared" si="13"/>
        <v>9544.451010509361</v>
      </c>
      <c r="BF22" s="143">
        <f t="shared" si="14"/>
        <v>1170.2999999999993</v>
      </c>
    </row>
    <row r="23" spans="1:58" ht="13.5" hidden="1" thickBot="1">
      <c r="A23" s="146" t="s">
        <v>39</v>
      </c>
      <c r="B23" s="81">
        <v>2428.61</v>
      </c>
      <c r="C23" s="154">
        <f t="shared" si="1"/>
        <v>21007.4765</v>
      </c>
      <c r="D23" s="155">
        <f t="shared" si="15"/>
        <v>2064.216500000001</v>
      </c>
      <c r="E23" s="85">
        <v>1775.33</v>
      </c>
      <c r="F23" s="82">
        <v>411.31</v>
      </c>
      <c r="G23" s="82">
        <v>2404.05</v>
      </c>
      <c r="H23" s="82">
        <v>557.56</v>
      </c>
      <c r="I23" s="82">
        <f>5777.06-0.01</f>
        <v>5777.05</v>
      </c>
      <c r="J23" s="82">
        <v>1339.11</v>
      </c>
      <c r="K23" s="82">
        <v>4001.74</v>
      </c>
      <c r="L23" s="82">
        <v>927.81</v>
      </c>
      <c r="M23" s="82">
        <v>1420.25</v>
      </c>
      <c r="N23" s="103">
        <v>329.05</v>
      </c>
      <c r="O23" s="103">
        <v>0</v>
      </c>
      <c r="P23" s="103">
        <v>0</v>
      </c>
      <c r="Q23" s="82">
        <v>0</v>
      </c>
      <c r="R23" s="82">
        <v>0</v>
      </c>
      <c r="S23" s="82">
        <f t="shared" si="2"/>
        <v>15378.42</v>
      </c>
      <c r="T23" s="156">
        <f t="shared" si="3"/>
        <v>3564.8399999999997</v>
      </c>
      <c r="U23" s="86">
        <f>1413.61+599.93</f>
        <v>2013.54</v>
      </c>
      <c r="V23" s="82">
        <f>1914.5+812.31</f>
        <v>2726.81</v>
      </c>
      <c r="W23" s="82">
        <f>4599.9+1952.11</f>
        <v>6552.009999999999</v>
      </c>
      <c r="X23" s="82">
        <f>3186.6+1352.14</f>
        <v>4538.74</v>
      </c>
      <c r="Y23" s="82">
        <f>1130.81+479.97</f>
        <v>1610.78</v>
      </c>
      <c r="Z23" s="103">
        <v>0</v>
      </c>
      <c r="AA23" s="103">
        <v>0</v>
      </c>
      <c r="AB23" s="103">
        <f>SUM(U23:AA23)</f>
        <v>17441.88</v>
      </c>
      <c r="AC23" s="157">
        <f>AB23+T23+D23</f>
        <v>23070.936500000003</v>
      </c>
      <c r="AD23" s="158">
        <f t="shared" si="6"/>
        <v>0</v>
      </c>
      <c r="AE23" s="158">
        <f t="shared" si="7"/>
        <v>0</v>
      </c>
      <c r="AF23" s="158"/>
      <c r="AG23" s="25">
        <f t="shared" si="16"/>
        <v>1457.166</v>
      </c>
      <c r="AH23" s="25">
        <f>B23*0.2</f>
        <v>485.72200000000004</v>
      </c>
      <c r="AI23" s="25">
        <f>0.847*B23</f>
        <v>2057.03267</v>
      </c>
      <c r="AJ23" s="25">
        <f t="shared" si="8"/>
        <v>370.2658806</v>
      </c>
      <c r="AK23" s="25">
        <f>0.83*B23</f>
        <v>2015.7463</v>
      </c>
      <c r="AL23" s="25">
        <f t="shared" si="9"/>
        <v>362.834334</v>
      </c>
      <c r="AM23" s="25">
        <f>(2.25/1.18)*B23</f>
        <v>4630.824152542373</v>
      </c>
      <c r="AN23" s="25">
        <f t="shared" si="10"/>
        <v>833.5483474576271</v>
      </c>
      <c r="AO23" s="25"/>
      <c r="AP23" s="25">
        <f t="shared" si="11"/>
        <v>0</v>
      </c>
      <c r="AQ23" s="159"/>
      <c r="AR23" s="159">
        <f t="shared" si="11"/>
        <v>0</v>
      </c>
      <c r="AS23" s="84">
        <v>0</v>
      </c>
      <c r="AT23" s="84"/>
      <c r="AU23" s="84">
        <f t="shared" si="20"/>
        <v>0</v>
      </c>
      <c r="AV23" s="160">
        <v>425</v>
      </c>
      <c r="AW23" s="161">
        <v>1.125</v>
      </c>
      <c r="AX23" s="25">
        <f t="shared" si="17"/>
        <v>631.89</v>
      </c>
      <c r="AY23" s="162"/>
      <c r="AZ23" s="180"/>
      <c r="BA23" s="163">
        <f t="shared" si="18"/>
        <v>0</v>
      </c>
      <c r="BB23" s="163">
        <f>SUM(AG23:AU23)+AX23+AY23+AZ23+BA23</f>
        <v>12845.0296846</v>
      </c>
      <c r="BC23" s="176"/>
      <c r="BD23" s="147">
        <f t="shared" si="19"/>
        <v>12845.0296846</v>
      </c>
      <c r="BE23" s="143">
        <f t="shared" si="13"/>
        <v>10225.906815400003</v>
      </c>
      <c r="BF23" s="143">
        <f t="shared" si="14"/>
        <v>2063.460000000001</v>
      </c>
    </row>
    <row r="24" spans="1:58" ht="12.75" hidden="1">
      <c r="A24" s="14" t="s">
        <v>40</v>
      </c>
      <c r="B24" s="165">
        <v>2428.61</v>
      </c>
      <c r="C24" s="154">
        <f t="shared" si="1"/>
        <v>21007.4765</v>
      </c>
      <c r="D24" s="155">
        <f t="shared" si="15"/>
        <v>2064.2065000000025</v>
      </c>
      <c r="E24" s="82">
        <v>1775.33</v>
      </c>
      <c r="F24" s="82">
        <v>411.31</v>
      </c>
      <c r="G24" s="82">
        <v>2404.05</v>
      </c>
      <c r="H24" s="82">
        <v>557.56</v>
      </c>
      <c r="I24" s="82">
        <v>5777.06</v>
      </c>
      <c r="J24" s="82">
        <v>1339.11</v>
      </c>
      <c r="K24" s="82">
        <v>4001.74</v>
      </c>
      <c r="L24" s="82">
        <v>927.81</v>
      </c>
      <c r="M24" s="82">
        <v>1420.25</v>
      </c>
      <c r="N24" s="103">
        <v>329.05</v>
      </c>
      <c r="O24" s="103">
        <v>0</v>
      </c>
      <c r="P24" s="103">
        <v>0</v>
      </c>
      <c r="Q24" s="103">
        <v>0</v>
      </c>
      <c r="R24" s="103">
        <v>0</v>
      </c>
      <c r="S24" s="82">
        <f t="shared" si="2"/>
        <v>15378.43</v>
      </c>
      <c r="T24" s="156">
        <f t="shared" si="3"/>
        <v>3564.8399999999997</v>
      </c>
      <c r="U24" s="82">
        <v>1978.63</v>
      </c>
      <c r="V24" s="82">
        <v>2678.63</v>
      </c>
      <c r="W24" s="82">
        <v>6437.73</v>
      </c>
      <c r="X24" s="82">
        <v>4459.29</v>
      </c>
      <c r="Y24" s="82">
        <v>1582.95</v>
      </c>
      <c r="Z24" s="82">
        <v>0</v>
      </c>
      <c r="AA24" s="103">
        <v>0</v>
      </c>
      <c r="AB24" s="103">
        <f>SUM(U24:AA24)</f>
        <v>17137.23</v>
      </c>
      <c r="AC24" s="157">
        <f>D24+T24+AB24</f>
        <v>22766.2765</v>
      </c>
      <c r="AD24" s="158">
        <f t="shared" si="6"/>
        <v>0</v>
      </c>
      <c r="AE24" s="158">
        <f t="shared" si="7"/>
        <v>0</v>
      </c>
      <c r="AF24" s="158"/>
      <c r="AG24" s="25">
        <f t="shared" si="16"/>
        <v>1457.166</v>
      </c>
      <c r="AH24" s="25">
        <f>B24*0.2</f>
        <v>485.72200000000004</v>
      </c>
      <c r="AI24" s="25">
        <f>0.85*B24</f>
        <v>2064.3185</v>
      </c>
      <c r="AJ24" s="25">
        <f t="shared" si="8"/>
        <v>371.57732999999996</v>
      </c>
      <c r="AK24" s="25">
        <f>0.83*B24</f>
        <v>2015.7463</v>
      </c>
      <c r="AL24" s="25">
        <f t="shared" si="9"/>
        <v>362.834334</v>
      </c>
      <c r="AM24" s="25">
        <f>(1.91)*B24</f>
        <v>4638.6451</v>
      </c>
      <c r="AN24" s="25">
        <f t="shared" si="10"/>
        <v>834.956118</v>
      </c>
      <c r="AO24" s="25"/>
      <c r="AP24" s="25">
        <f t="shared" si="11"/>
        <v>0</v>
      </c>
      <c r="AQ24" s="159"/>
      <c r="AR24" s="159">
        <f t="shared" si="11"/>
        <v>0</v>
      </c>
      <c r="AS24" s="84">
        <v>3217</v>
      </c>
      <c r="AT24" s="84"/>
      <c r="AU24" s="84">
        <f t="shared" si="20"/>
        <v>579.06</v>
      </c>
      <c r="AV24" s="160">
        <v>470</v>
      </c>
      <c r="AW24" s="161">
        <v>1.125</v>
      </c>
      <c r="AX24" s="25">
        <f t="shared" si="17"/>
        <v>698.796</v>
      </c>
      <c r="AY24" s="162"/>
      <c r="AZ24" s="163"/>
      <c r="BA24" s="163">
        <f t="shared" si="18"/>
        <v>0</v>
      </c>
      <c r="BB24" s="163">
        <f>SUM(AG24:AU24)+AX24+AY24+AZ24+BA24</f>
        <v>16725.821681999998</v>
      </c>
      <c r="BC24" s="164"/>
      <c r="BD24" s="62">
        <f t="shared" si="19"/>
        <v>16725.821681999998</v>
      </c>
      <c r="BE24" s="123">
        <f>(AC24-BB24)+(AF24-BC24)</f>
        <v>6040.454818000002</v>
      </c>
      <c r="BF24" s="123">
        <f>AB24-S24</f>
        <v>1758.7999999999993</v>
      </c>
    </row>
    <row r="25" spans="1:58" s="122" customFormat="1" ht="12.75" hidden="1">
      <c r="A25" s="121" t="s">
        <v>41</v>
      </c>
      <c r="B25" s="81">
        <v>2429.01</v>
      </c>
      <c r="C25" s="154">
        <f t="shared" si="1"/>
        <v>21010.936500000003</v>
      </c>
      <c r="D25" s="155">
        <f t="shared" si="15"/>
        <v>2064.526500000003</v>
      </c>
      <c r="E25" s="82">
        <v>1775.69</v>
      </c>
      <c r="F25" s="82">
        <v>411.31</v>
      </c>
      <c r="G25" s="82">
        <v>2404.54</v>
      </c>
      <c r="H25" s="82">
        <v>557.56</v>
      </c>
      <c r="I25" s="82">
        <v>5778.24</v>
      </c>
      <c r="J25" s="82">
        <v>1339.11</v>
      </c>
      <c r="K25" s="82">
        <v>4002.56</v>
      </c>
      <c r="L25" s="82">
        <v>927.81</v>
      </c>
      <c r="M25" s="82">
        <v>1420.54</v>
      </c>
      <c r="N25" s="103">
        <v>329.05</v>
      </c>
      <c r="O25" s="103">
        <v>0</v>
      </c>
      <c r="P25" s="103">
        <v>0</v>
      </c>
      <c r="Q25" s="103"/>
      <c r="R25" s="103"/>
      <c r="S25" s="82">
        <f t="shared" si="2"/>
        <v>15381.57</v>
      </c>
      <c r="T25" s="156">
        <f t="shared" si="3"/>
        <v>3564.8399999999997</v>
      </c>
      <c r="U25" s="82">
        <v>3838.32</v>
      </c>
      <c r="V25" s="82">
        <v>5199.98</v>
      </c>
      <c r="W25" s="82">
        <v>12491.92</v>
      </c>
      <c r="X25" s="82">
        <v>8654.16</v>
      </c>
      <c r="Y25" s="82">
        <v>3070.7</v>
      </c>
      <c r="Z25" s="82">
        <v>0</v>
      </c>
      <c r="AA25" s="103">
        <v>0</v>
      </c>
      <c r="AB25" s="103">
        <f>SUM(U25:AA25)</f>
        <v>33255.08</v>
      </c>
      <c r="AC25" s="157">
        <f>D25+T25+AB25</f>
        <v>38884.446500000005</v>
      </c>
      <c r="AD25" s="158">
        <f t="shared" si="6"/>
        <v>0</v>
      </c>
      <c r="AE25" s="158">
        <f t="shared" si="7"/>
        <v>0</v>
      </c>
      <c r="AF25" s="158"/>
      <c r="AG25" s="25">
        <f t="shared" si="16"/>
        <v>1457.4060000000002</v>
      </c>
      <c r="AH25" s="25">
        <f>B25*0.2</f>
        <v>485.8020000000001</v>
      </c>
      <c r="AI25" s="25">
        <f>0.85*B25</f>
        <v>2064.6585</v>
      </c>
      <c r="AJ25" s="25">
        <f t="shared" si="8"/>
        <v>371.63853</v>
      </c>
      <c r="AK25" s="25">
        <f>0.83*B25</f>
        <v>2016.0783000000001</v>
      </c>
      <c r="AL25" s="25">
        <f t="shared" si="9"/>
        <v>362.894094</v>
      </c>
      <c r="AM25" s="25">
        <f>(1.91)*B25</f>
        <v>4639.4091</v>
      </c>
      <c r="AN25" s="25">
        <f t="shared" si="10"/>
        <v>835.0936379999999</v>
      </c>
      <c r="AO25" s="25"/>
      <c r="AP25" s="25">
        <f t="shared" si="11"/>
        <v>0</v>
      </c>
      <c r="AQ25" s="159"/>
      <c r="AR25" s="159">
        <f t="shared" si="11"/>
        <v>0</v>
      </c>
      <c r="AS25" s="84">
        <v>3055</v>
      </c>
      <c r="AT25" s="84"/>
      <c r="AU25" s="84">
        <f t="shared" si="20"/>
        <v>549.9</v>
      </c>
      <c r="AV25" s="160">
        <v>514</v>
      </c>
      <c r="AW25" s="161">
        <v>1.125</v>
      </c>
      <c r="AX25" s="25">
        <f t="shared" si="17"/>
        <v>764.2152000000001</v>
      </c>
      <c r="AY25" s="162"/>
      <c r="AZ25" s="163"/>
      <c r="BA25" s="163">
        <f t="shared" si="18"/>
        <v>0</v>
      </c>
      <c r="BB25" s="163">
        <f>SUM(AG25:BA25)-AV25-AW25</f>
        <v>16602.095362</v>
      </c>
      <c r="BC25" s="164"/>
      <c r="BD25" s="80">
        <f t="shared" si="19"/>
        <v>16602.095362</v>
      </c>
      <c r="BE25" s="123">
        <f>(AC25-BB25)+(AF25-BC25)</f>
        <v>22282.351138000005</v>
      </c>
      <c r="BF25" s="123">
        <f>AB25-S25</f>
        <v>17873.510000000002</v>
      </c>
    </row>
    <row r="26" spans="1:58" s="24" customFormat="1" ht="12.75" hidden="1">
      <c r="A26" s="19" t="s">
        <v>3</v>
      </c>
      <c r="B26" s="20"/>
      <c r="C26" s="20">
        <f>SUM(C14:C25)</f>
        <v>252093.00499999998</v>
      </c>
      <c r="D26" s="20">
        <f aca="true" t="shared" si="21" ref="D26:BF26">SUM(D14:D25)</f>
        <v>27037.818625000014</v>
      </c>
      <c r="E26" s="20">
        <f t="shared" si="21"/>
        <v>20577.31</v>
      </c>
      <c r="F26" s="20">
        <f t="shared" si="21"/>
        <v>4785.36</v>
      </c>
      <c r="G26" s="20">
        <f t="shared" si="21"/>
        <v>27835.35</v>
      </c>
      <c r="H26" s="20">
        <f t="shared" si="21"/>
        <v>6478.5999999999985</v>
      </c>
      <c r="I26" s="20">
        <f t="shared" si="21"/>
        <v>67215.90000000001</v>
      </c>
      <c r="J26" s="20">
        <f t="shared" si="21"/>
        <v>15571.270000000004</v>
      </c>
      <c r="K26" s="20">
        <f t="shared" si="21"/>
        <v>46352.20999999999</v>
      </c>
      <c r="L26" s="20">
        <f t="shared" si="21"/>
        <v>10785.969999999998</v>
      </c>
      <c r="M26" s="20">
        <f t="shared" si="21"/>
        <v>16459.84</v>
      </c>
      <c r="N26" s="20">
        <f t="shared" si="21"/>
        <v>3828.4100000000008</v>
      </c>
      <c r="O26" s="20">
        <f t="shared" si="21"/>
        <v>0</v>
      </c>
      <c r="P26" s="20">
        <f t="shared" si="21"/>
        <v>0</v>
      </c>
      <c r="Q26" s="20">
        <f t="shared" si="21"/>
        <v>0</v>
      </c>
      <c r="R26" s="20">
        <f t="shared" si="21"/>
        <v>0</v>
      </c>
      <c r="S26" s="20">
        <f t="shared" si="21"/>
        <v>178440.61000000002</v>
      </c>
      <c r="T26" s="20">
        <f t="shared" si="21"/>
        <v>41449.60999999999</v>
      </c>
      <c r="U26" s="20">
        <f t="shared" si="21"/>
        <v>22036.579999999998</v>
      </c>
      <c r="V26" s="20">
        <f t="shared" si="21"/>
        <v>29809.070000000003</v>
      </c>
      <c r="W26" s="20">
        <f t="shared" si="21"/>
        <v>71409.72</v>
      </c>
      <c r="X26" s="20">
        <f t="shared" si="21"/>
        <v>49640.71000000001</v>
      </c>
      <c r="Y26" s="20">
        <f t="shared" si="21"/>
        <v>17628.9</v>
      </c>
      <c r="Z26" s="20">
        <f t="shared" si="21"/>
        <v>0</v>
      </c>
      <c r="AA26" s="20">
        <f t="shared" si="21"/>
        <v>0</v>
      </c>
      <c r="AB26" s="20">
        <f t="shared" si="21"/>
        <v>190524.97999999998</v>
      </c>
      <c r="AC26" s="20">
        <f t="shared" si="21"/>
        <v>259012.40862500004</v>
      </c>
      <c r="AD26" s="20">
        <f t="shared" si="21"/>
        <v>0</v>
      </c>
      <c r="AE26" s="20">
        <f t="shared" si="21"/>
        <v>0</v>
      </c>
      <c r="AF26" s="20">
        <f t="shared" si="21"/>
        <v>0</v>
      </c>
      <c r="AG26" s="20">
        <f t="shared" si="21"/>
        <v>16903.354799999997</v>
      </c>
      <c r="AH26" s="20">
        <f t="shared" si="21"/>
        <v>5659.25250212</v>
      </c>
      <c r="AI26" s="20">
        <f t="shared" si="21"/>
        <v>23631.427129925003</v>
      </c>
      <c r="AJ26" s="20">
        <f t="shared" si="21"/>
        <v>4253.656883386499</v>
      </c>
      <c r="AK26" s="20">
        <f t="shared" si="21"/>
        <v>22969.767237223</v>
      </c>
      <c r="AL26" s="20">
        <f t="shared" si="21"/>
        <v>4134.55810270014</v>
      </c>
      <c r="AM26" s="20">
        <f t="shared" si="21"/>
        <v>52850.73559266237</v>
      </c>
      <c r="AN26" s="20">
        <f t="shared" si="21"/>
        <v>9513.132406679226</v>
      </c>
      <c r="AO26" s="20">
        <f t="shared" si="21"/>
        <v>0</v>
      </c>
      <c r="AP26" s="20">
        <f t="shared" si="21"/>
        <v>0</v>
      </c>
      <c r="AQ26" s="148">
        <f t="shared" si="21"/>
        <v>19664.09</v>
      </c>
      <c r="AR26" s="148">
        <f t="shared" si="21"/>
        <v>3539.5362</v>
      </c>
      <c r="AS26" s="21">
        <f t="shared" si="21"/>
        <v>12965.5</v>
      </c>
      <c r="AT26" s="21">
        <f t="shared" si="21"/>
        <v>2568</v>
      </c>
      <c r="AU26" s="21">
        <f t="shared" si="21"/>
        <v>2796.04</v>
      </c>
      <c r="AV26" s="20">
        <f t="shared" si="21"/>
        <v>4400</v>
      </c>
      <c r="AW26" s="20">
        <f t="shared" si="21"/>
        <v>13.5</v>
      </c>
      <c r="AX26" s="20">
        <f t="shared" si="21"/>
        <v>6541.916000000001</v>
      </c>
      <c r="AY26" s="20">
        <f t="shared" si="21"/>
        <v>0</v>
      </c>
      <c r="AZ26" s="20">
        <f t="shared" si="21"/>
        <v>0</v>
      </c>
      <c r="BA26" s="20">
        <f t="shared" si="21"/>
        <v>0</v>
      </c>
      <c r="BB26" s="20">
        <f t="shared" si="21"/>
        <v>187990.96685469625</v>
      </c>
      <c r="BC26" s="20">
        <f t="shared" si="21"/>
        <v>0</v>
      </c>
      <c r="BD26" s="20">
        <f t="shared" si="21"/>
        <v>173560.36963706423</v>
      </c>
      <c r="BE26" s="20">
        <f t="shared" si="21"/>
        <v>71021.44177030376</v>
      </c>
      <c r="BF26" s="149">
        <f t="shared" si="21"/>
        <v>12084.369999999997</v>
      </c>
    </row>
    <row r="27" spans="1:58" s="24" customFormat="1" ht="12.75" hidden="1">
      <c r="A27" s="19"/>
      <c r="B27" s="20"/>
      <c r="C27" s="20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2"/>
      <c r="V27" s="22"/>
      <c r="W27" s="22"/>
      <c r="X27" s="22"/>
      <c r="Y27" s="22"/>
      <c r="Z27" s="22"/>
      <c r="AA27" s="22"/>
      <c r="AB27" s="22"/>
      <c r="AC27" s="22"/>
      <c r="AD27" s="105"/>
      <c r="AE27" s="105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78"/>
      <c r="AQ27" s="150"/>
      <c r="AR27" s="150"/>
      <c r="AS27" s="78"/>
      <c r="AT27" s="78"/>
      <c r="AU27" s="78"/>
      <c r="AV27" s="23"/>
      <c r="AW27" s="23"/>
      <c r="AX27" s="87"/>
      <c r="AY27" s="58"/>
      <c r="AZ27" s="58"/>
      <c r="BA27" s="58"/>
      <c r="BB27" s="58"/>
      <c r="BC27" s="58"/>
      <c r="BD27" s="58"/>
      <c r="BE27" s="58"/>
      <c r="BF27" s="151"/>
    </row>
    <row r="28" spans="1:58" s="24" customFormat="1" ht="13.5" hidden="1" thickBot="1">
      <c r="A28" s="27" t="s">
        <v>52</v>
      </c>
      <c r="B28" s="28"/>
      <c r="C28" s="28">
        <f>C12+C26</f>
        <v>315107.39</v>
      </c>
      <c r="D28" s="28">
        <f aca="true" t="shared" si="22" ref="D28:BF28">D12+D26</f>
        <v>42205.591142450015</v>
      </c>
      <c r="E28" s="28">
        <f t="shared" si="22"/>
        <v>25062.95</v>
      </c>
      <c r="F28" s="28">
        <f t="shared" si="22"/>
        <v>5976.709999999999</v>
      </c>
      <c r="G28" s="28">
        <f t="shared" si="22"/>
        <v>33890.82</v>
      </c>
      <c r="H28" s="28">
        <f t="shared" si="22"/>
        <v>8087.049999999998</v>
      </c>
      <c r="I28" s="28">
        <f t="shared" si="22"/>
        <v>81793.93000000001</v>
      </c>
      <c r="J28" s="28">
        <f t="shared" si="22"/>
        <v>19443.300000000003</v>
      </c>
      <c r="K28" s="28">
        <f t="shared" si="22"/>
        <v>56444.68999999999</v>
      </c>
      <c r="L28" s="28">
        <f t="shared" si="22"/>
        <v>13466.619999999997</v>
      </c>
      <c r="M28" s="28">
        <f t="shared" si="22"/>
        <v>20048.17</v>
      </c>
      <c r="N28" s="28">
        <f t="shared" si="22"/>
        <v>4781.580000000001</v>
      </c>
      <c r="O28" s="28">
        <f t="shared" si="22"/>
        <v>0</v>
      </c>
      <c r="P28" s="28">
        <f t="shared" si="22"/>
        <v>0</v>
      </c>
      <c r="Q28" s="28">
        <f t="shared" si="22"/>
        <v>0</v>
      </c>
      <c r="R28" s="28">
        <f t="shared" si="22"/>
        <v>0</v>
      </c>
      <c r="S28" s="28">
        <f t="shared" si="22"/>
        <v>217240.56</v>
      </c>
      <c r="T28" s="28">
        <f t="shared" si="22"/>
        <v>51755.259999999995</v>
      </c>
      <c r="U28" s="28">
        <f t="shared" si="22"/>
        <v>24805.51</v>
      </c>
      <c r="V28" s="28">
        <f t="shared" si="22"/>
        <v>33547.07000000001</v>
      </c>
      <c r="W28" s="28">
        <f t="shared" si="22"/>
        <v>80964.7</v>
      </c>
      <c r="X28" s="28">
        <f t="shared" si="22"/>
        <v>55870.68000000001</v>
      </c>
      <c r="Y28" s="28">
        <f t="shared" si="22"/>
        <v>19843.940000000002</v>
      </c>
      <c r="Z28" s="28">
        <f t="shared" si="22"/>
        <v>0</v>
      </c>
      <c r="AA28" s="28">
        <f t="shared" si="22"/>
        <v>0</v>
      </c>
      <c r="AB28" s="28">
        <f t="shared" si="22"/>
        <v>215031.89999999997</v>
      </c>
      <c r="AC28" s="28">
        <f t="shared" si="22"/>
        <v>308992.75114245</v>
      </c>
      <c r="AD28" s="28">
        <f t="shared" si="22"/>
        <v>0</v>
      </c>
      <c r="AE28" s="28">
        <f t="shared" si="22"/>
        <v>0</v>
      </c>
      <c r="AF28" s="28">
        <f t="shared" si="22"/>
        <v>0</v>
      </c>
      <c r="AG28" s="28">
        <f t="shared" si="22"/>
        <v>21274.294799999996</v>
      </c>
      <c r="AH28" s="28">
        <f t="shared" si="22"/>
        <v>7159.21341212</v>
      </c>
      <c r="AI28" s="28">
        <f t="shared" si="22"/>
        <v>29830.682765925005</v>
      </c>
      <c r="AJ28" s="28">
        <f>AJ12+AJ26</f>
        <v>5369.5228978665</v>
      </c>
      <c r="AK28" s="28">
        <f t="shared" si="22"/>
        <v>30183.739508183004</v>
      </c>
      <c r="AL28" s="28">
        <f t="shared" si="22"/>
        <v>5433.07311147294</v>
      </c>
      <c r="AM28" s="28">
        <f t="shared" si="22"/>
        <v>66099.47312875238</v>
      </c>
      <c r="AN28" s="28">
        <f t="shared" si="22"/>
        <v>11897.905163175426</v>
      </c>
      <c r="AO28" s="28">
        <f t="shared" si="22"/>
        <v>0</v>
      </c>
      <c r="AP28" s="28">
        <f t="shared" si="22"/>
        <v>0</v>
      </c>
      <c r="AQ28" s="152">
        <f t="shared" si="22"/>
        <v>19664.09</v>
      </c>
      <c r="AR28" s="152">
        <f t="shared" si="22"/>
        <v>3539.5362</v>
      </c>
      <c r="AS28" s="153">
        <f t="shared" si="22"/>
        <v>19715.5</v>
      </c>
      <c r="AT28" s="153">
        <f t="shared" si="22"/>
        <v>2568</v>
      </c>
      <c r="AU28" s="153">
        <f t="shared" si="22"/>
        <v>4011.04</v>
      </c>
      <c r="AV28" s="28">
        <f t="shared" si="22"/>
        <v>4400</v>
      </c>
      <c r="AW28" s="28">
        <f t="shared" si="22"/>
        <v>13.5</v>
      </c>
      <c r="AX28" s="28">
        <f t="shared" si="22"/>
        <v>6541.916000000001</v>
      </c>
      <c r="AY28" s="28">
        <f t="shared" si="22"/>
        <v>0</v>
      </c>
      <c r="AZ28" s="28">
        <f t="shared" si="22"/>
        <v>0</v>
      </c>
      <c r="BA28" s="28">
        <f t="shared" si="22"/>
        <v>0</v>
      </c>
      <c r="BB28" s="28">
        <f t="shared" si="22"/>
        <v>233287.98698749524</v>
      </c>
      <c r="BC28" s="28">
        <f t="shared" si="22"/>
        <v>0</v>
      </c>
      <c r="BD28" s="28">
        <f t="shared" si="22"/>
        <v>218857.38976986322</v>
      </c>
      <c r="BE28" s="28">
        <f t="shared" si="22"/>
        <v>75704.76415495476</v>
      </c>
      <c r="BF28" s="28">
        <f t="shared" si="22"/>
        <v>-2208.660000000007</v>
      </c>
    </row>
    <row r="29" spans="1:58" ht="15" customHeight="1" hidden="1">
      <c r="A29" s="8" t="s">
        <v>91</v>
      </c>
      <c r="B29" s="73"/>
      <c r="C29" s="128"/>
      <c r="D29" s="128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30"/>
      <c r="P29" s="131"/>
      <c r="Q29" s="132"/>
      <c r="R29" s="132"/>
      <c r="S29" s="132"/>
      <c r="T29" s="132"/>
      <c r="U29" s="133"/>
      <c r="V29" s="133"/>
      <c r="W29" s="133"/>
      <c r="X29" s="133"/>
      <c r="Y29" s="133"/>
      <c r="Z29" s="133"/>
      <c r="AA29" s="134"/>
      <c r="AB29" s="134"/>
      <c r="AC29" s="135"/>
      <c r="AD29" s="136"/>
      <c r="AE29" s="136"/>
      <c r="AF29" s="61"/>
      <c r="AG29" s="61"/>
      <c r="AH29" s="61"/>
      <c r="AI29" s="61"/>
      <c r="AJ29" s="61"/>
      <c r="AK29" s="61"/>
      <c r="AL29" s="61"/>
      <c r="AM29" s="61"/>
      <c r="AN29" s="74"/>
      <c r="AO29" s="74"/>
      <c r="AP29" s="74"/>
      <c r="AQ29" s="137"/>
      <c r="AR29" s="138"/>
      <c r="AS29" s="106"/>
      <c r="AT29" s="106"/>
      <c r="AU29" s="139"/>
      <c r="AV29" s="61"/>
      <c r="AW29" s="61"/>
      <c r="AX29" s="62"/>
      <c r="AY29" s="1"/>
      <c r="AZ29" s="1"/>
      <c r="BA29" s="1"/>
      <c r="BB29" s="1"/>
      <c r="BC29" s="1"/>
      <c r="BD29" s="1"/>
      <c r="BE29" s="1"/>
      <c r="BF29" s="119"/>
    </row>
    <row r="30" spans="1:58" ht="12.75" hidden="1">
      <c r="A30" s="14" t="s">
        <v>43</v>
      </c>
      <c r="B30" s="81">
        <v>2429.01</v>
      </c>
      <c r="C30" s="154">
        <f aca="true" t="shared" si="23" ref="C30:C41">B30*8.65</f>
        <v>21010.936500000003</v>
      </c>
      <c r="D30" s="155">
        <f aca="true" t="shared" si="24" ref="D30:D41">C30-E30-F30-G30-H30-I30-J30-K30-L30-M30-N30</f>
        <v>2064.526500000004</v>
      </c>
      <c r="E30" s="82">
        <v>1775.69</v>
      </c>
      <c r="F30" s="82">
        <v>411.31</v>
      </c>
      <c r="G30" s="82">
        <v>2404.55</v>
      </c>
      <c r="H30" s="82">
        <v>557.56</v>
      </c>
      <c r="I30" s="82">
        <v>5778.24</v>
      </c>
      <c r="J30" s="82">
        <v>1339.11</v>
      </c>
      <c r="K30" s="82">
        <v>4002.55</v>
      </c>
      <c r="L30" s="82">
        <v>927.81</v>
      </c>
      <c r="M30" s="82">
        <v>1420.54</v>
      </c>
      <c r="N30" s="103">
        <v>329.05</v>
      </c>
      <c r="O30" s="103">
        <v>0</v>
      </c>
      <c r="P30" s="103">
        <v>0</v>
      </c>
      <c r="Q30" s="103"/>
      <c r="R30" s="103"/>
      <c r="S30" s="82">
        <f aca="true" t="shared" si="25" ref="S30:S41">E30+G30+I30+K30+M30+O30+Q30</f>
        <v>15381.57</v>
      </c>
      <c r="T30" s="156">
        <f aca="true" t="shared" si="26" ref="T30:T41">P30+N30+L30+J30+H30+F30+R30</f>
        <v>3564.8399999999997</v>
      </c>
      <c r="U30" s="82">
        <v>1228.14</v>
      </c>
      <c r="V30" s="82">
        <v>1659.79</v>
      </c>
      <c r="W30" s="82">
        <v>3988.85</v>
      </c>
      <c r="X30" s="82">
        <v>2763.02</v>
      </c>
      <c r="Y30" s="82">
        <v>980.65</v>
      </c>
      <c r="Z30" s="82">
        <v>0</v>
      </c>
      <c r="AA30" s="103">
        <v>0</v>
      </c>
      <c r="AB30" s="103">
        <f>SUM(U30:AA30)</f>
        <v>10620.45</v>
      </c>
      <c r="AC30" s="157">
        <f aca="true" t="shared" si="27" ref="AC30:AC41">D30+T30+AB30</f>
        <v>16249.816500000004</v>
      </c>
      <c r="AD30" s="158">
        <f aca="true" t="shared" si="28" ref="AD30:AD41">P30+Z30</f>
        <v>0</v>
      </c>
      <c r="AE30" s="158">
        <f aca="true" t="shared" si="29" ref="AE30:AE41">R30+AA30</f>
        <v>0</v>
      </c>
      <c r="AF30" s="158"/>
      <c r="AG30" s="25">
        <f aca="true" t="shared" si="30" ref="AG30:AG41">0.6*B30</f>
        <v>1457.4060000000002</v>
      </c>
      <c r="AH30" s="25">
        <f aca="true" t="shared" si="31" ref="AH30:AH41">B30*0.2</f>
        <v>485.8020000000001</v>
      </c>
      <c r="AI30" s="25">
        <f aca="true" t="shared" si="32" ref="AI30:AI41">1*B30</f>
        <v>2429.01</v>
      </c>
      <c r="AJ30" s="25">
        <v>0</v>
      </c>
      <c r="AK30" s="25">
        <f aca="true" t="shared" si="33" ref="AK30:AK41">0.98*B30</f>
        <v>2380.4298000000003</v>
      </c>
      <c r="AL30" s="25">
        <v>0</v>
      </c>
      <c r="AM30" s="25">
        <f aca="true" t="shared" si="34" ref="AM30:AM41">2.25*B30</f>
        <v>5465.272500000001</v>
      </c>
      <c r="AN30" s="25">
        <v>0</v>
      </c>
      <c r="AO30" s="25"/>
      <c r="AP30" s="25">
        <v>0</v>
      </c>
      <c r="AQ30" s="159"/>
      <c r="AR30" s="159"/>
      <c r="AS30" s="84">
        <v>152</v>
      </c>
      <c r="AT30" s="84">
        <v>52</v>
      </c>
      <c r="AU30" s="84"/>
      <c r="AV30" s="160">
        <v>508</v>
      </c>
      <c r="AW30" s="161">
        <v>1.125</v>
      </c>
      <c r="AX30" s="25">
        <f aca="true" t="shared" si="35" ref="AX30:AX41">AV30*AW30*1.4</f>
        <v>800.0999999999999</v>
      </c>
      <c r="AY30" s="162"/>
      <c r="AZ30" s="163"/>
      <c r="BA30" s="163">
        <f aca="true" t="shared" si="36" ref="BA30:BA41">AZ30*0.18</f>
        <v>0</v>
      </c>
      <c r="BB30" s="163">
        <f aca="true" t="shared" si="37" ref="BB30:BB41">SUM(AG30:BA30)-AV30-AW30</f>
        <v>13222.020300000002</v>
      </c>
      <c r="BC30" s="164"/>
      <c r="BD30" s="140"/>
      <c r="BE30" s="123">
        <f>(AC30-BB30)+(AF30-BC30)</f>
        <v>3027.7962000000025</v>
      </c>
      <c r="BF30" s="123">
        <f>AB30-S30</f>
        <v>-4761.119999999999</v>
      </c>
    </row>
    <row r="31" spans="1:58" ht="12.75" hidden="1">
      <c r="A31" s="14" t="s">
        <v>44</v>
      </c>
      <c r="B31" s="165">
        <v>2429.01</v>
      </c>
      <c r="C31" s="154">
        <f t="shared" si="23"/>
        <v>21010.936500000003</v>
      </c>
      <c r="D31" s="155">
        <f t="shared" si="24"/>
        <v>2064.6565</v>
      </c>
      <c r="E31" s="85">
        <v>1775.68</v>
      </c>
      <c r="F31" s="82">
        <v>411.31</v>
      </c>
      <c r="G31" s="82">
        <v>2404.52</v>
      </c>
      <c r="H31" s="82">
        <v>557.56</v>
      </c>
      <c r="I31" s="82">
        <v>5778.19</v>
      </c>
      <c r="J31" s="82">
        <v>1339.11</v>
      </c>
      <c r="K31" s="82">
        <v>4002.52</v>
      </c>
      <c r="L31" s="82">
        <v>927.81</v>
      </c>
      <c r="M31" s="82">
        <v>1420.53</v>
      </c>
      <c r="N31" s="103">
        <v>329.05</v>
      </c>
      <c r="O31" s="103">
        <v>0</v>
      </c>
      <c r="P31" s="103">
        <v>0</v>
      </c>
      <c r="Q31" s="181">
        <v>0</v>
      </c>
      <c r="R31" s="181">
        <v>0</v>
      </c>
      <c r="S31" s="82">
        <f t="shared" si="25"/>
        <v>15381.44</v>
      </c>
      <c r="T31" s="156">
        <f t="shared" si="26"/>
        <v>3564.8399999999997</v>
      </c>
      <c r="U31" s="82">
        <v>1713.56</v>
      </c>
      <c r="V31" s="82">
        <v>2323.29</v>
      </c>
      <c r="W31" s="82">
        <v>5583.24</v>
      </c>
      <c r="X31" s="82">
        <v>3867.41</v>
      </c>
      <c r="Y31" s="82">
        <v>1372.69</v>
      </c>
      <c r="Z31" s="82">
        <v>0</v>
      </c>
      <c r="AA31" s="103">
        <v>0</v>
      </c>
      <c r="AB31" s="103">
        <f>SUM(U31:AA31)</f>
        <v>14860.19</v>
      </c>
      <c r="AC31" s="157">
        <f t="shared" si="27"/>
        <v>20489.6865</v>
      </c>
      <c r="AD31" s="158">
        <f t="shared" si="28"/>
        <v>0</v>
      </c>
      <c r="AE31" s="158">
        <f t="shared" si="29"/>
        <v>0</v>
      </c>
      <c r="AF31" s="158"/>
      <c r="AG31" s="25">
        <f t="shared" si="30"/>
        <v>1457.4060000000002</v>
      </c>
      <c r="AH31" s="25">
        <f t="shared" si="31"/>
        <v>485.8020000000001</v>
      </c>
      <c r="AI31" s="25">
        <f t="shared" si="32"/>
        <v>2429.01</v>
      </c>
      <c r="AJ31" s="25">
        <v>0</v>
      </c>
      <c r="AK31" s="25">
        <f t="shared" si="33"/>
        <v>2380.4298000000003</v>
      </c>
      <c r="AL31" s="25">
        <v>0</v>
      </c>
      <c r="AM31" s="25">
        <f t="shared" si="34"/>
        <v>5465.272500000001</v>
      </c>
      <c r="AN31" s="25">
        <v>0</v>
      </c>
      <c r="AO31" s="25">
        <f>524*5.4</f>
        <v>2829.6000000000004</v>
      </c>
      <c r="AP31" s="25"/>
      <c r="AQ31" s="159"/>
      <c r="AR31" s="159"/>
      <c r="AS31" s="84"/>
      <c r="AT31" s="84"/>
      <c r="AU31" s="84">
        <f aca="true" t="shared" si="38" ref="AU30:AU41">AT31*0.18</f>
        <v>0</v>
      </c>
      <c r="AV31" s="160">
        <v>407</v>
      </c>
      <c r="AW31" s="161">
        <v>1.125</v>
      </c>
      <c r="AX31" s="25">
        <f t="shared" si="35"/>
        <v>641.025</v>
      </c>
      <c r="AY31" s="162"/>
      <c r="AZ31" s="163"/>
      <c r="BA31" s="163">
        <f t="shared" si="36"/>
        <v>0</v>
      </c>
      <c r="BB31" s="163">
        <f t="shared" si="37"/>
        <v>15688.545300000002</v>
      </c>
      <c r="BC31" s="164"/>
      <c r="BD31" s="140"/>
      <c r="BE31" s="123">
        <f aca="true" t="shared" si="39" ref="BE31:BE41">(AC31-BB31)+(AF31-BC31)</f>
        <v>4801.141199999998</v>
      </c>
      <c r="BF31" s="123">
        <f aca="true" t="shared" si="40" ref="BF31:BF41">AB31-S31</f>
        <v>-521.25</v>
      </c>
    </row>
    <row r="32" spans="1:58" ht="13.5" hidden="1" thickBot="1">
      <c r="A32" s="141" t="s">
        <v>45</v>
      </c>
      <c r="B32" s="81">
        <v>2429.01</v>
      </c>
      <c r="C32" s="154">
        <f t="shared" si="23"/>
        <v>21010.936500000003</v>
      </c>
      <c r="D32" s="155">
        <f t="shared" si="24"/>
        <v>2073.5965000000033</v>
      </c>
      <c r="E32" s="82">
        <v>1775.17</v>
      </c>
      <c r="F32" s="82">
        <v>410.79</v>
      </c>
      <c r="G32" s="82">
        <v>2403.83</v>
      </c>
      <c r="H32" s="82">
        <v>556.85</v>
      </c>
      <c r="I32" s="82">
        <v>5776.54</v>
      </c>
      <c r="J32" s="82">
        <v>1337.4</v>
      </c>
      <c r="K32" s="82">
        <v>4001.38</v>
      </c>
      <c r="L32" s="82">
        <v>926.63</v>
      </c>
      <c r="M32" s="82">
        <v>1420.12</v>
      </c>
      <c r="N32" s="103">
        <v>328.63</v>
      </c>
      <c r="O32" s="103">
        <v>0</v>
      </c>
      <c r="P32" s="103">
        <v>0</v>
      </c>
      <c r="Q32" s="103">
        <v>0</v>
      </c>
      <c r="R32" s="103">
        <v>0</v>
      </c>
      <c r="S32" s="82">
        <f t="shared" si="25"/>
        <v>15377.04</v>
      </c>
      <c r="T32" s="156">
        <f t="shared" si="26"/>
        <v>3560.2999999999997</v>
      </c>
      <c r="U32" s="82">
        <v>1030.96</v>
      </c>
      <c r="V32" s="82">
        <v>1395.57</v>
      </c>
      <c r="W32" s="82">
        <v>3354.38</v>
      </c>
      <c r="X32" s="82">
        <v>2323.48</v>
      </c>
      <c r="Y32" s="82">
        <v>824.71</v>
      </c>
      <c r="Z32" s="82">
        <v>0</v>
      </c>
      <c r="AA32" s="103">
        <v>0</v>
      </c>
      <c r="AB32" s="103">
        <f>SUM(U32:AA32)</f>
        <v>8929.099999999999</v>
      </c>
      <c r="AC32" s="157">
        <f t="shared" si="27"/>
        <v>14562.996500000001</v>
      </c>
      <c r="AD32" s="158">
        <f t="shared" si="28"/>
        <v>0</v>
      </c>
      <c r="AE32" s="158">
        <f t="shared" si="29"/>
        <v>0</v>
      </c>
      <c r="AF32" s="158"/>
      <c r="AG32" s="25">
        <f t="shared" si="30"/>
        <v>1457.4060000000002</v>
      </c>
      <c r="AH32" s="25">
        <f t="shared" si="31"/>
        <v>485.8020000000001</v>
      </c>
      <c r="AI32" s="25">
        <f t="shared" si="32"/>
        <v>2429.01</v>
      </c>
      <c r="AJ32" s="25">
        <v>0</v>
      </c>
      <c r="AK32" s="25">
        <f t="shared" si="33"/>
        <v>2380.4298000000003</v>
      </c>
      <c r="AL32" s="25">
        <v>0</v>
      </c>
      <c r="AM32" s="25">
        <f t="shared" si="34"/>
        <v>5465.272500000001</v>
      </c>
      <c r="AN32" s="25">
        <v>0</v>
      </c>
      <c r="AO32" s="25"/>
      <c r="AP32" s="25"/>
      <c r="AQ32" s="159"/>
      <c r="AR32" s="159"/>
      <c r="AS32" s="84"/>
      <c r="AT32" s="84"/>
      <c r="AU32" s="84">
        <f t="shared" si="38"/>
        <v>0</v>
      </c>
      <c r="AV32" s="160">
        <v>383</v>
      </c>
      <c r="AW32" s="161">
        <v>1.125</v>
      </c>
      <c r="AX32" s="25">
        <f t="shared" si="35"/>
        <v>603.2249999999999</v>
      </c>
      <c r="AY32" s="162"/>
      <c r="AZ32" s="163"/>
      <c r="BA32" s="163">
        <f t="shared" si="36"/>
        <v>0</v>
      </c>
      <c r="BB32" s="163">
        <f t="shared" si="37"/>
        <v>12821.145300000002</v>
      </c>
      <c r="BC32" s="164"/>
      <c r="BD32" s="142"/>
      <c r="BE32" s="123">
        <f t="shared" si="39"/>
        <v>1741.8511999999992</v>
      </c>
      <c r="BF32" s="123">
        <f t="shared" si="40"/>
        <v>-6447.940000000002</v>
      </c>
    </row>
    <row r="33" spans="1:58" ht="12.75" hidden="1">
      <c r="A33" s="144" t="s">
        <v>46</v>
      </c>
      <c r="B33" s="81">
        <v>2429.01</v>
      </c>
      <c r="C33" s="154">
        <f t="shared" si="23"/>
        <v>21010.936500000003</v>
      </c>
      <c r="D33" s="155">
        <f t="shared" si="24"/>
        <v>2064.526500000003</v>
      </c>
      <c r="E33" s="82">
        <v>1775.69</v>
      </c>
      <c r="F33" s="82">
        <v>411.31</v>
      </c>
      <c r="G33" s="82">
        <v>2404.54</v>
      </c>
      <c r="H33" s="82">
        <v>557.56</v>
      </c>
      <c r="I33" s="82">
        <v>5778.24</v>
      </c>
      <c r="J33" s="82">
        <v>1339.11</v>
      </c>
      <c r="K33" s="82">
        <v>4002.56</v>
      </c>
      <c r="L33" s="82">
        <v>927.81</v>
      </c>
      <c r="M33" s="82">
        <v>1420.54</v>
      </c>
      <c r="N33" s="103">
        <v>329.05</v>
      </c>
      <c r="O33" s="103">
        <v>0</v>
      </c>
      <c r="P33" s="103">
        <v>0</v>
      </c>
      <c r="Q33" s="103"/>
      <c r="R33" s="103"/>
      <c r="S33" s="82">
        <f t="shared" si="25"/>
        <v>15381.57</v>
      </c>
      <c r="T33" s="156">
        <f t="shared" si="26"/>
        <v>3564.8399999999997</v>
      </c>
      <c r="U33" s="82">
        <v>1596.22</v>
      </c>
      <c r="V33" s="82">
        <v>2154.93</v>
      </c>
      <c r="W33" s="82">
        <v>5176.51</v>
      </c>
      <c r="X33" s="82">
        <v>3591.42</v>
      </c>
      <c r="Y33" s="82">
        <v>1276.88</v>
      </c>
      <c r="Z33" s="82">
        <v>0</v>
      </c>
      <c r="AA33" s="103">
        <v>0</v>
      </c>
      <c r="AB33" s="103">
        <f>SUM(U33:AA33)</f>
        <v>13795.96</v>
      </c>
      <c r="AC33" s="157">
        <f t="shared" si="27"/>
        <v>19425.326500000003</v>
      </c>
      <c r="AD33" s="158">
        <f t="shared" si="28"/>
        <v>0</v>
      </c>
      <c r="AE33" s="158">
        <f t="shared" si="29"/>
        <v>0</v>
      </c>
      <c r="AF33" s="158"/>
      <c r="AG33" s="25">
        <f t="shared" si="30"/>
        <v>1457.4060000000002</v>
      </c>
      <c r="AH33" s="25">
        <f t="shared" si="31"/>
        <v>485.8020000000001</v>
      </c>
      <c r="AI33" s="25">
        <f t="shared" si="32"/>
        <v>2429.01</v>
      </c>
      <c r="AJ33" s="25">
        <v>0</v>
      </c>
      <c r="AK33" s="25">
        <f t="shared" si="33"/>
        <v>2380.4298000000003</v>
      </c>
      <c r="AL33" s="25">
        <v>0</v>
      </c>
      <c r="AM33" s="25">
        <f t="shared" si="34"/>
        <v>5465.272500000001</v>
      </c>
      <c r="AN33" s="25">
        <v>0</v>
      </c>
      <c r="AO33" s="25"/>
      <c r="AP33" s="25"/>
      <c r="AQ33" s="159"/>
      <c r="AR33" s="159"/>
      <c r="AS33" s="84">
        <v>591</v>
      </c>
      <c r="AT33" s="84"/>
      <c r="AU33" s="84">
        <f t="shared" si="38"/>
        <v>0</v>
      </c>
      <c r="AV33" s="160">
        <v>307</v>
      </c>
      <c r="AW33" s="161">
        <v>1.125</v>
      </c>
      <c r="AX33" s="25">
        <f t="shared" si="35"/>
        <v>483.525</v>
      </c>
      <c r="AY33" s="162"/>
      <c r="AZ33" s="163"/>
      <c r="BA33" s="163">
        <f t="shared" si="36"/>
        <v>0</v>
      </c>
      <c r="BB33" s="163">
        <f t="shared" si="37"/>
        <v>13292.445300000001</v>
      </c>
      <c r="BC33" s="164"/>
      <c r="BD33" s="80"/>
      <c r="BE33" s="123">
        <f t="shared" si="39"/>
        <v>6132.881200000002</v>
      </c>
      <c r="BF33" s="123">
        <f t="shared" si="40"/>
        <v>-1585.6100000000006</v>
      </c>
    </row>
    <row r="34" spans="1:58" ht="12.75" hidden="1">
      <c r="A34" s="14" t="s">
        <v>47</v>
      </c>
      <c r="B34" s="81">
        <v>2429.41</v>
      </c>
      <c r="C34" s="154">
        <f t="shared" si="23"/>
        <v>21014.3965</v>
      </c>
      <c r="D34" s="155">
        <f t="shared" si="24"/>
        <v>2064.806499999997</v>
      </c>
      <c r="E34" s="82">
        <v>1776.06</v>
      </c>
      <c r="F34" s="82">
        <v>411.31</v>
      </c>
      <c r="G34" s="82">
        <v>2405.05</v>
      </c>
      <c r="H34" s="82">
        <v>557.56</v>
      </c>
      <c r="I34" s="82">
        <v>5779.41</v>
      </c>
      <c r="J34" s="82">
        <v>1339.11</v>
      </c>
      <c r="K34" s="82">
        <v>4003.38</v>
      </c>
      <c r="L34" s="82">
        <v>927.81</v>
      </c>
      <c r="M34" s="82">
        <v>1420.85</v>
      </c>
      <c r="N34" s="103">
        <v>329.05</v>
      </c>
      <c r="O34" s="103">
        <v>0</v>
      </c>
      <c r="P34" s="103">
        <v>0</v>
      </c>
      <c r="Q34" s="103"/>
      <c r="R34" s="103"/>
      <c r="S34" s="82">
        <f t="shared" si="25"/>
        <v>15384.750000000002</v>
      </c>
      <c r="T34" s="156">
        <f t="shared" si="26"/>
        <v>3564.8399999999997</v>
      </c>
      <c r="U34" s="166">
        <v>1753.94</v>
      </c>
      <c r="V34" s="166">
        <v>2376.7</v>
      </c>
      <c r="W34" s="166">
        <v>5712.01</v>
      </c>
      <c r="X34" s="166">
        <v>3956.6</v>
      </c>
      <c r="Y34" s="166">
        <v>1404.43</v>
      </c>
      <c r="Z34" s="166">
        <v>0</v>
      </c>
      <c r="AA34" s="167">
        <v>0</v>
      </c>
      <c r="AB34" s="103">
        <f aca="true" t="shared" si="41" ref="AB34:AB41">SUM(U34:AA34)</f>
        <v>15203.68</v>
      </c>
      <c r="AC34" s="157">
        <f t="shared" si="27"/>
        <v>20833.326499999996</v>
      </c>
      <c r="AD34" s="158">
        <f t="shared" si="28"/>
        <v>0</v>
      </c>
      <c r="AE34" s="158">
        <f t="shared" si="29"/>
        <v>0</v>
      </c>
      <c r="AF34" s="158"/>
      <c r="AG34" s="25">
        <f t="shared" si="30"/>
        <v>1457.646</v>
      </c>
      <c r="AH34" s="25">
        <f t="shared" si="31"/>
        <v>485.882</v>
      </c>
      <c r="AI34" s="25">
        <f t="shared" si="32"/>
        <v>2429.41</v>
      </c>
      <c r="AJ34" s="25">
        <v>0</v>
      </c>
      <c r="AK34" s="25">
        <f t="shared" si="33"/>
        <v>2380.8217999999997</v>
      </c>
      <c r="AL34" s="25">
        <v>0</v>
      </c>
      <c r="AM34" s="25">
        <f t="shared" si="34"/>
        <v>5466.1725</v>
      </c>
      <c r="AN34" s="25">
        <v>0</v>
      </c>
      <c r="AO34" s="25"/>
      <c r="AP34" s="25"/>
      <c r="AQ34" s="159"/>
      <c r="AR34" s="159"/>
      <c r="AS34" s="84">
        <v>2095</v>
      </c>
      <c r="AT34" s="84">
        <v>766.27</v>
      </c>
      <c r="AU34" s="84"/>
      <c r="AV34" s="160">
        <v>263</v>
      </c>
      <c r="AW34" s="161">
        <v>1.125</v>
      </c>
      <c r="AX34" s="25">
        <f t="shared" si="35"/>
        <v>414.22499999999997</v>
      </c>
      <c r="AY34" s="162"/>
      <c r="AZ34" s="163"/>
      <c r="BA34" s="163">
        <f t="shared" si="36"/>
        <v>0</v>
      </c>
      <c r="BB34" s="163">
        <f t="shared" si="37"/>
        <v>15495.427300000001</v>
      </c>
      <c r="BC34" s="164"/>
      <c r="BD34" s="18"/>
      <c r="BE34" s="123">
        <f t="shared" si="39"/>
        <v>5337.899199999994</v>
      </c>
      <c r="BF34" s="123">
        <f t="shared" si="40"/>
        <v>-181.07000000000153</v>
      </c>
    </row>
    <row r="35" spans="1:58" ht="13.5" hidden="1" thickBot="1">
      <c r="A35" s="141" t="s">
        <v>48</v>
      </c>
      <c r="B35" s="81">
        <v>2429.41</v>
      </c>
      <c r="C35" s="154">
        <f t="shared" si="23"/>
        <v>21014.3965</v>
      </c>
      <c r="D35" s="155">
        <f t="shared" si="24"/>
        <v>2057.0465000000004</v>
      </c>
      <c r="E35" s="82">
        <v>1782.95</v>
      </c>
      <c r="F35" s="82">
        <v>405.35</v>
      </c>
      <c r="G35" s="82">
        <v>2414.34</v>
      </c>
      <c r="H35" s="82">
        <v>549.47</v>
      </c>
      <c r="I35" s="82">
        <v>5801.76</v>
      </c>
      <c r="J35" s="82">
        <v>1319.69</v>
      </c>
      <c r="K35" s="82">
        <v>4018.82</v>
      </c>
      <c r="L35" s="82">
        <v>914.35</v>
      </c>
      <c r="M35" s="82">
        <v>1426.34</v>
      </c>
      <c r="N35" s="103">
        <v>324.28</v>
      </c>
      <c r="O35" s="103">
        <v>0</v>
      </c>
      <c r="P35" s="103">
        <v>0</v>
      </c>
      <c r="Q35" s="103">
        <v>0</v>
      </c>
      <c r="R35" s="103">
        <v>0</v>
      </c>
      <c r="S35" s="82">
        <f t="shared" si="25"/>
        <v>15444.21</v>
      </c>
      <c r="T35" s="156">
        <f t="shared" si="26"/>
        <v>3513.14</v>
      </c>
      <c r="U35" s="82">
        <v>1491.72</v>
      </c>
      <c r="V35" s="82">
        <v>2020.97</v>
      </c>
      <c r="W35" s="82">
        <v>4856.83</v>
      </c>
      <c r="X35" s="82">
        <v>3364.2</v>
      </c>
      <c r="Y35" s="82">
        <v>1194.09</v>
      </c>
      <c r="Z35" s="82">
        <v>0</v>
      </c>
      <c r="AA35" s="103">
        <v>0</v>
      </c>
      <c r="AB35" s="103">
        <f t="shared" si="41"/>
        <v>12927.810000000001</v>
      </c>
      <c r="AC35" s="157">
        <f t="shared" si="27"/>
        <v>18497.9965</v>
      </c>
      <c r="AD35" s="158">
        <f t="shared" si="28"/>
        <v>0</v>
      </c>
      <c r="AE35" s="158">
        <f t="shared" si="29"/>
        <v>0</v>
      </c>
      <c r="AF35" s="158"/>
      <c r="AG35" s="25">
        <f t="shared" si="30"/>
        <v>1457.646</v>
      </c>
      <c r="AH35" s="25">
        <f t="shared" si="31"/>
        <v>485.882</v>
      </c>
      <c r="AI35" s="25">
        <f t="shared" si="32"/>
        <v>2429.41</v>
      </c>
      <c r="AJ35" s="25">
        <v>0</v>
      </c>
      <c r="AK35" s="25">
        <f t="shared" si="33"/>
        <v>2380.8217999999997</v>
      </c>
      <c r="AL35" s="25">
        <v>0</v>
      </c>
      <c r="AM35" s="25">
        <f t="shared" si="34"/>
        <v>5466.1725</v>
      </c>
      <c r="AN35" s="25">
        <v>0</v>
      </c>
      <c r="AO35" s="25"/>
      <c r="AP35" s="25"/>
      <c r="AQ35" s="159"/>
      <c r="AR35" s="159"/>
      <c r="AS35" s="84">
        <v>156</v>
      </c>
      <c r="AT35" s="84"/>
      <c r="AU35" s="84">
        <f t="shared" si="38"/>
        <v>0</v>
      </c>
      <c r="AV35" s="160">
        <v>233</v>
      </c>
      <c r="AW35" s="161">
        <v>1.125</v>
      </c>
      <c r="AX35" s="25">
        <f t="shared" si="35"/>
        <v>366.97499999999997</v>
      </c>
      <c r="AY35" s="162"/>
      <c r="AZ35" s="163"/>
      <c r="BA35" s="163">
        <f t="shared" si="36"/>
        <v>0</v>
      </c>
      <c r="BB35" s="163">
        <f t="shared" si="37"/>
        <v>12742.9073</v>
      </c>
      <c r="BC35" s="164"/>
      <c r="BD35" s="107"/>
      <c r="BE35" s="123">
        <f t="shared" si="39"/>
        <v>5755.0892</v>
      </c>
      <c r="BF35" s="123">
        <f t="shared" si="40"/>
        <v>-2516.399999999998</v>
      </c>
    </row>
    <row r="36" spans="1:58" ht="12.75" hidden="1">
      <c r="A36" s="144" t="s">
        <v>49</v>
      </c>
      <c r="B36" s="81">
        <v>2429.41</v>
      </c>
      <c r="C36" s="154">
        <f t="shared" si="23"/>
        <v>21014.3965</v>
      </c>
      <c r="D36" s="155">
        <f t="shared" si="24"/>
        <v>2104.5165000000006</v>
      </c>
      <c r="E36" s="85">
        <v>2189.25</v>
      </c>
      <c r="F36" s="82">
        <v>0</v>
      </c>
      <c r="G36" s="82">
        <v>2965.05</v>
      </c>
      <c r="H36" s="82">
        <v>0</v>
      </c>
      <c r="I36" s="82">
        <v>7068.87</v>
      </c>
      <c r="J36" s="82">
        <v>0</v>
      </c>
      <c r="K36" s="82">
        <v>4935.32</v>
      </c>
      <c r="L36" s="82">
        <v>0</v>
      </c>
      <c r="M36" s="82">
        <v>1751.39</v>
      </c>
      <c r="N36" s="103">
        <v>0</v>
      </c>
      <c r="O36" s="103">
        <v>0</v>
      </c>
      <c r="P36" s="103">
        <v>0</v>
      </c>
      <c r="Q36" s="103"/>
      <c r="R36" s="103"/>
      <c r="S36" s="82">
        <f t="shared" si="25"/>
        <v>18909.879999999997</v>
      </c>
      <c r="T36" s="156">
        <f t="shared" si="26"/>
        <v>0</v>
      </c>
      <c r="U36" s="85">
        <v>1690.31</v>
      </c>
      <c r="V36" s="82">
        <v>2289.35</v>
      </c>
      <c r="W36" s="82">
        <v>5447.76</v>
      </c>
      <c r="X36" s="82">
        <v>3810.47</v>
      </c>
      <c r="Y36" s="82">
        <v>1352.16</v>
      </c>
      <c r="Z36" s="82">
        <v>0</v>
      </c>
      <c r="AA36" s="103">
        <v>0</v>
      </c>
      <c r="AB36" s="103">
        <f t="shared" si="41"/>
        <v>14590.05</v>
      </c>
      <c r="AC36" s="157">
        <f t="shared" si="27"/>
        <v>16694.5665</v>
      </c>
      <c r="AD36" s="158">
        <f t="shared" si="28"/>
        <v>0</v>
      </c>
      <c r="AE36" s="158">
        <f t="shared" si="29"/>
        <v>0</v>
      </c>
      <c r="AF36" s="158"/>
      <c r="AG36" s="25">
        <f t="shared" si="30"/>
        <v>1457.646</v>
      </c>
      <c r="AH36" s="25">
        <f t="shared" si="31"/>
        <v>485.882</v>
      </c>
      <c r="AI36" s="25">
        <f t="shared" si="32"/>
        <v>2429.41</v>
      </c>
      <c r="AJ36" s="25">
        <v>0</v>
      </c>
      <c r="AK36" s="25">
        <f t="shared" si="33"/>
        <v>2380.8217999999997</v>
      </c>
      <c r="AL36" s="25">
        <v>0</v>
      </c>
      <c r="AM36" s="25">
        <f t="shared" si="34"/>
        <v>5466.1725</v>
      </c>
      <c r="AN36" s="25">
        <v>0</v>
      </c>
      <c r="AO36" s="25"/>
      <c r="AP36" s="25"/>
      <c r="AQ36" s="159"/>
      <c r="AR36" s="159"/>
      <c r="AS36" s="84"/>
      <c r="AT36" s="84">
        <f>115</f>
        <v>115</v>
      </c>
      <c r="AU36" s="84"/>
      <c r="AV36" s="160">
        <v>248</v>
      </c>
      <c r="AW36" s="161">
        <v>1.125</v>
      </c>
      <c r="AX36" s="25">
        <f t="shared" si="35"/>
        <v>390.59999999999997</v>
      </c>
      <c r="AY36" s="162"/>
      <c r="AZ36" s="163"/>
      <c r="BA36" s="163">
        <f t="shared" si="36"/>
        <v>0</v>
      </c>
      <c r="BB36" s="163">
        <f t="shared" si="37"/>
        <v>12725.5323</v>
      </c>
      <c r="BC36" s="164"/>
      <c r="BD36" s="18"/>
      <c r="BE36" s="123">
        <f t="shared" si="39"/>
        <v>3969.0342</v>
      </c>
      <c r="BF36" s="123">
        <f t="shared" si="40"/>
        <v>-4319.829999999998</v>
      </c>
    </row>
    <row r="37" spans="1:58" ht="12.75" hidden="1">
      <c r="A37" s="14" t="s">
        <v>50</v>
      </c>
      <c r="B37" s="81">
        <v>2431.21</v>
      </c>
      <c r="C37" s="154">
        <f t="shared" si="23"/>
        <v>21029.966500000002</v>
      </c>
      <c r="D37" s="155">
        <f t="shared" si="24"/>
        <v>2032.3665000000003</v>
      </c>
      <c r="E37" s="85">
        <v>2192.97</v>
      </c>
      <c r="F37" s="82">
        <v>0</v>
      </c>
      <c r="G37" s="82">
        <v>2970.01</v>
      </c>
      <c r="H37" s="82">
        <v>0</v>
      </c>
      <c r="I37" s="82">
        <v>7080.93</v>
      </c>
      <c r="J37" s="82">
        <v>55.66</v>
      </c>
      <c r="K37" s="82">
        <v>4943.64</v>
      </c>
      <c r="L37" s="82">
        <v>0</v>
      </c>
      <c r="M37" s="82">
        <v>1754.39</v>
      </c>
      <c r="N37" s="103">
        <v>0</v>
      </c>
      <c r="O37" s="103">
        <v>0</v>
      </c>
      <c r="P37" s="103">
        <v>0</v>
      </c>
      <c r="Q37" s="103"/>
      <c r="R37" s="103"/>
      <c r="S37" s="82">
        <f t="shared" si="25"/>
        <v>18941.94</v>
      </c>
      <c r="T37" s="156">
        <f t="shared" si="26"/>
        <v>55.66</v>
      </c>
      <c r="U37" s="166">
        <v>2299.49</v>
      </c>
      <c r="V37" s="166">
        <v>3113.75</v>
      </c>
      <c r="W37" s="166">
        <v>7482.7</v>
      </c>
      <c r="X37" s="166">
        <v>5183.18</v>
      </c>
      <c r="Y37" s="166">
        <v>1839.62</v>
      </c>
      <c r="Z37" s="166">
        <v>0</v>
      </c>
      <c r="AA37" s="167">
        <v>0</v>
      </c>
      <c r="AB37" s="103">
        <f t="shared" si="41"/>
        <v>19918.739999999998</v>
      </c>
      <c r="AC37" s="157">
        <f t="shared" si="27"/>
        <v>22006.766499999998</v>
      </c>
      <c r="AD37" s="158">
        <f t="shared" si="28"/>
        <v>0</v>
      </c>
      <c r="AE37" s="158">
        <f t="shared" si="29"/>
        <v>0</v>
      </c>
      <c r="AF37" s="158"/>
      <c r="AG37" s="25">
        <f t="shared" si="30"/>
        <v>1458.7259999999999</v>
      </c>
      <c r="AH37" s="25">
        <f t="shared" si="31"/>
        <v>486.242</v>
      </c>
      <c r="AI37" s="25">
        <f t="shared" si="32"/>
        <v>2431.21</v>
      </c>
      <c r="AJ37" s="25">
        <v>0</v>
      </c>
      <c r="AK37" s="25">
        <f t="shared" si="33"/>
        <v>2382.5858</v>
      </c>
      <c r="AL37" s="25">
        <v>0</v>
      </c>
      <c r="AM37" s="25">
        <f t="shared" si="34"/>
        <v>5470.2225</v>
      </c>
      <c r="AN37" s="25">
        <v>0</v>
      </c>
      <c r="AO37" s="25"/>
      <c r="AP37" s="25"/>
      <c r="AQ37" s="159"/>
      <c r="AR37" s="159"/>
      <c r="AS37" s="84">
        <v>3850</v>
      </c>
      <c r="AT37" s="84">
        <f>47.8+138</f>
        <v>185.8</v>
      </c>
      <c r="AU37" s="84"/>
      <c r="AV37" s="160">
        <v>293</v>
      </c>
      <c r="AW37" s="161">
        <v>1.125</v>
      </c>
      <c r="AX37" s="25">
        <f t="shared" si="35"/>
        <v>461.47499999999997</v>
      </c>
      <c r="AY37" s="162"/>
      <c r="AZ37" s="163"/>
      <c r="BA37" s="163">
        <f t="shared" si="36"/>
        <v>0</v>
      </c>
      <c r="BB37" s="163">
        <f t="shared" si="37"/>
        <v>16726.2613</v>
      </c>
      <c r="BC37" s="164"/>
      <c r="BD37" s="18"/>
      <c r="BE37" s="123">
        <f t="shared" si="39"/>
        <v>5280.5052</v>
      </c>
      <c r="BF37" s="123">
        <f t="shared" si="40"/>
        <v>976.7999999999993</v>
      </c>
    </row>
    <row r="38" spans="1:58" ht="13.5" hidden="1" thickBot="1">
      <c r="A38" s="141" t="s">
        <v>51</v>
      </c>
      <c r="B38" s="81">
        <v>2431.21</v>
      </c>
      <c r="C38" s="154">
        <f t="shared" si="23"/>
        <v>21029.966500000002</v>
      </c>
      <c r="D38" s="155">
        <f t="shared" si="24"/>
        <v>2071.566500000003</v>
      </c>
      <c r="E38" s="82">
        <v>2188.37</v>
      </c>
      <c r="F38" s="82">
        <v>0</v>
      </c>
      <c r="G38" s="82">
        <v>2964.02</v>
      </c>
      <c r="H38" s="82">
        <v>0</v>
      </c>
      <c r="I38" s="82">
        <v>7066.16</v>
      </c>
      <c r="J38" s="82">
        <v>55.66</v>
      </c>
      <c r="K38" s="82">
        <v>4933.5</v>
      </c>
      <c r="L38" s="82">
        <v>0</v>
      </c>
      <c r="M38" s="82">
        <v>1750.69</v>
      </c>
      <c r="N38" s="103">
        <v>0</v>
      </c>
      <c r="O38" s="103">
        <v>0</v>
      </c>
      <c r="P38" s="103">
        <v>0</v>
      </c>
      <c r="Q38" s="103"/>
      <c r="R38" s="103"/>
      <c r="S38" s="82">
        <f t="shared" si="25"/>
        <v>18902.739999999998</v>
      </c>
      <c r="T38" s="156">
        <f t="shared" si="26"/>
        <v>55.66</v>
      </c>
      <c r="U38" s="82">
        <v>1936.78</v>
      </c>
      <c r="V38" s="82">
        <v>2623.46</v>
      </c>
      <c r="W38" s="82">
        <v>6303.34</v>
      </c>
      <c r="X38" s="82">
        <v>4366.62</v>
      </c>
      <c r="Y38" s="82">
        <v>1549.42</v>
      </c>
      <c r="Z38" s="82">
        <v>0</v>
      </c>
      <c r="AA38" s="103">
        <v>0</v>
      </c>
      <c r="AB38" s="103">
        <f t="shared" si="41"/>
        <v>16779.620000000003</v>
      </c>
      <c r="AC38" s="157">
        <f t="shared" si="27"/>
        <v>18906.846500000007</v>
      </c>
      <c r="AD38" s="158">
        <f t="shared" si="28"/>
        <v>0</v>
      </c>
      <c r="AE38" s="158">
        <f t="shared" si="29"/>
        <v>0</v>
      </c>
      <c r="AF38" s="158"/>
      <c r="AG38" s="25">
        <f t="shared" si="30"/>
        <v>1458.7259999999999</v>
      </c>
      <c r="AH38" s="25">
        <f t="shared" si="31"/>
        <v>486.242</v>
      </c>
      <c r="AI38" s="25">
        <f t="shared" si="32"/>
        <v>2431.21</v>
      </c>
      <c r="AJ38" s="25">
        <v>0</v>
      </c>
      <c r="AK38" s="25">
        <f t="shared" si="33"/>
        <v>2382.5858</v>
      </c>
      <c r="AL38" s="25">
        <v>0</v>
      </c>
      <c r="AM38" s="25">
        <f t="shared" si="34"/>
        <v>5470.2225</v>
      </c>
      <c r="AN38" s="25">
        <v>0</v>
      </c>
      <c r="AO38" s="25"/>
      <c r="AP38" s="25"/>
      <c r="AQ38" s="159"/>
      <c r="AR38" s="159"/>
      <c r="AS38" s="84">
        <v>10456</v>
      </c>
      <c r="AT38" s="84"/>
      <c r="AU38" s="168">
        <f t="shared" si="38"/>
        <v>0</v>
      </c>
      <c r="AV38" s="160">
        <v>349</v>
      </c>
      <c r="AW38" s="161">
        <v>1.125</v>
      </c>
      <c r="AX38" s="25">
        <f t="shared" si="35"/>
        <v>549.675</v>
      </c>
      <c r="AY38" s="162"/>
      <c r="AZ38" s="163"/>
      <c r="BA38" s="163">
        <f t="shared" si="36"/>
        <v>0</v>
      </c>
      <c r="BB38" s="163">
        <f t="shared" si="37"/>
        <v>23234.6613</v>
      </c>
      <c r="BC38" s="164"/>
      <c r="BD38" s="107"/>
      <c r="BE38" s="123">
        <f t="shared" si="39"/>
        <v>-4327.814799999993</v>
      </c>
      <c r="BF38" s="123">
        <f t="shared" si="40"/>
        <v>-2123.1199999999953</v>
      </c>
    </row>
    <row r="39" spans="1:58" ht="12.75" hidden="1">
      <c r="A39" s="146" t="s">
        <v>39</v>
      </c>
      <c r="B39" s="81">
        <v>2431.21</v>
      </c>
      <c r="C39" s="154">
        <f t="shared" si="23"/>
        <v>21029.966500000002</v>
      </c>
      <c r="D39" s="155">
        <f t="shared" si="24"/>
        <v>2061.8665000000005</v>
      </c>
      <c r="E39" s="83">
        <v>2189.51</v>
      </c>
      <c r="F39" s="83">
        <v>0</v>
      </c>
      <c r="G39" s="83">
        <v>2965.51</v>
      </c>
      <c r="H39" s="83">
        <v>0</v>
      </c>
      <c r="I39" s="83">
        <v>7069.81</v>
      </c>
      <c r="J39" s="83">
        <v>55.66</v>
      </c>
      <c r="K39" s="83">
        <v>4936.01</v>
      </c>
      <c r="L39" s="83">
        <v>0</v>
      </c>
      <c r="M39" s="83">
        <v>1751.6</v>
      </c>
      <c r="N39" s="169">
        <v>0</v>
      </c>
      <c r="O39" s="169">
        <v>0</v>
      </c>
      <c r="P39" s="169">
        <v>0</v>
      </c>
      <c r="Q39" s="169"/>
      <c r="R39" s="169"/>
      <c r="S39" s="82">
        <f t="shared" si="25"/>
        <v>18912.440000000002</v>
      </c>
      <c r="T39" s="156">
        <f t="shared" si="26"/>
        <v>55.66</v>
      </c>
      <c r="U39" s="82">
        <v>2034.39</v>
      </c>
      <c r="V39" s="82">
        <v>2755.27</v>
      </c>
      <c r="W39" s="82">
        <v>6620.47</v>
      </c>
      <c r="X39" s="82">
        <v>4586.13</v>
      </c>
      <c r="Y39" s="82">
        <v>1627.51</v>
      </c>
      <c r="Z39" s="82">
        <v>0</v>
      </c>
      <c r="AA39" s="103">
        <v>0</v>
      </c>
      <c r="AB39" s="103">
        <f t="shared" si="41"/>
        <v>17623.77</v>
      </c>
      <c r="AC39" s="157">
        <f t="shared" si="27"/>
        <v>19741.2965</v>
      </c>
      <c r="AD39" s="158">
        <f t="shared" si="28"/>
        <v>0</v>
      </c>
      <c r="AE39" s="158">
        <f t="shared" si="29"/>
        <v>0</v>
      </c>
      <c r="AF39" s="158">
        <v>100</v>
      </c>
      <c r="AG39" s="25">
        <f t="shared" si="30"/>
        <v>1458.7259999999999</v>
      </c>
      <c r="AH39" s="25">
        <f t="shared" si="31"/>
        <v>486.242</v>
      </c>
      <c r="AI39" s="25">
        <f t="shared" si="32"/>
        <v>2431.21</v>
      </c>
      <c r="AJ39" s="25">
        <v>0</v>
      </c>
      <c r="AK39" s="25">
        <f t="shared" si="33"/>
        <v>2382.5858</v>
      </c>
      <c r="AL39" s="25">
        <v>0</v>
      </c>
      <c r="AM39" s="25">
        <f t="shared" si="34"/>
        <v>5470.2225</v>
      </c>
      <c r="AN39" s="25">
        <v>0</v>
      </c>
      <c r="AO39" s="25"/>
      <c r="AP39" s="25"/>
      <c r="AQ39" s="159"/>
      <c r="AR39" s="159"/>
      <c r="AS39" s="84">
        <v>1190</v>
      </c>
      <c r="AT39" s="84"/>
      <c r="AU39" s="84">
        <f t="shared" si="38"/>
        <v>0</v>
      </c>
      <c r="AV39" s="160">
        <v>425</v>
      </c>
      <c r="AW39" s="161">
        <v>1.125</v>
      </c>
      <c r="AX39" s="25">
        <f t="shared" si="35"/>
        <v>669.375</v>
      </c>
      <c r="AY39" s="162"/>
      <c r="AZ39" s="163"/>
      <c r="BA39" s="163">
        <f t="shared" si="36"/>
        <v>0</v>
      </c>
      <c r="BB39" s="163">
        <f t="shared" si="37"/>
        <v>14088.3613</v>
      </c>
      <c r="BC39" s="164">
        <v>25</v>
      </c>
      <c r="BD39" s="147"/>
      <c r="BE39" s="123">
        <f t="shared" si="39"/>
        <v>5727.9352</v>
      </c>
      <c r="BF39" s="123">
        <f t="shared" si="40"/>
        <v>-1288.670000000002</v>
      </c>
    </row>
    <row r="40" spans="1:58" ht="12.75" hidden="1">
      <c r="A40" s="14" t="s">
        <v>40</v>
      </c>
      <c r="B40" s="81">
        <v>2431.21</v>
      </c>
      <c r="C40" s="154">
        <f t="shared" si="23"/>
        <v>21029.966500000002</v>
      </c>
      <c r="D40" s="155">
        <f t="shared" si="24"/>
        <v>2032.816500000001</v>
      </c>
      <c r="E40" s="82">
        <v>2192.93</v>
      </c>
      <c r="F40" s="82">
        <v>0</v>
      </c>
      <c r="G40" s="82">
        <v>2969.95</v>
      </c>
      <c r="H40" s="82">
        <v>0</v>
      </c>
      <c r="I40" s="82">
        <v>7080.75</v>
      </c>
      <c r="J40" s="82">
        <v>55.66</v>
      </c>
      <c r="K40" s="82">
        <v>4943.52</v>
      </c>
      <c r="L40" s="82">
        <v>0</v>
      </c>
      <c r="M40" s="82">
        <v>1754.34</v>
      </c>
      <c r="N40" s="103">
        <v>0</v>
      </c>
      <c r="O40" s="103">
        <v>0</v>
      </c>
      <c r="P40" s="103">
        <v>0</v>
      </c>
      <c r="Q40" s="103"/>
      <c r="R40" s="103"/>
      <c r="S40" s="82">
        <f t="shared" si="25"/>
        <v>18941.49</v>
      </c>
      <c r="T40" s="156">
        <f t="shared" si="26"/>
        <v>55.66</v>
      </c>
      <c r="U40" s="85">
        <v>2170.29</v>
      </c>
      <c r="V40" s="82">
        <v>2939.27</v>
      </c>
      <c r="W40" s="82">
        <v>6902.86</v>
      </c>
      <c r="X40" s="82">
        <v>4892.51</v>
      </c>
      <c r="Y40" s="82">
        <v>1736.2</v>
      </c>
      <c r="Z40" s="82">
        <v>0</v>
      </c>
      <c r="AA40" s="103">
        <v>0</v>
      </c>
      <c r="AB40" s="103">
        <f t="shared" si="41"/>
        <v>18641.13</v>
      </c>
      <c r="AC40" s="157">
        <f t="shared" si="27"/>
        <v>20729.6065</v>
      </c>
      <c r="AD40" s="158">
        <f t="shared" si="28"/>
        <v>0</v>
      </c>
      <c r="AE40" s="158">
        <f t="shared" si="29"/>
        <v>0</v>
      </c>
      <c r="AF40" s="158">
        <f>100</f>
        <v>100</v>
      </c>
      <c r="AG40" s="25">
        <f t="shared" si="30"/>
        <v>1458.7259999999999</v>
      </c>
      <c r="AH40" s="25">
        <f t="shared" si="31"/>
        <v>486.242</v>
      </c>
      <c r="AI40" s="25">
        <f t="shared" si="32"/>
        <v>2431.21</v>
      </c>
      <c r="AJ40" s="25">
        <v>0</v>
      </c>
      <c r="AK40" s="25">
        <f t="shared" si="33"/>
        <v>2382.5858</v>
      </c>
      <c r="AL40" s="25">
        <v>0</v>
      </c>
      <c r="AM40" s="25">
        <f t="shared" si="34"/>
        <v>5470.2225</v>
      </c>
      <c r="AN40" s="25">
        <v>0</v>
      </c>
      <c r="AO40" s="25"/>
      <c r="AP40" s="25"/>
      <c r="AQ40" s="159"/>
      <c r="AR40" s="159"/>
      <c r="AS40" s="84">
        <v>9668</v>
      </c>
      <c r="AT40" s="84"/>
      <c r="AU40" s="84">
        <f t="shared" si="38"/>
        <v>0</v>
      </c>
      <c r="AV40" s="160">
        <v>470</v>
      </c>
      <c r="AW40" s="161">
        <v>1.125</v>
      </c>
      <c r="AX40" s="25">
        <f t="shared" si="35"/>
        <v>740.25</v>
      </c>
      <c r="AY40" s="162"/>
      <c r="AZ40" s="163"/>
      <c r="BA40" s="163">
        <f t="shared" si="36"/>
        <v>0</v>
      </c>
      <c r="BB40" s="163">
        <f t="shared" si="37"/>
        <v>22637.2363</v>
      </c>
      <c r="BC40" s="164">
        <f>25</f>
        <v>25</v>
      </c>
      <c r="BD40" s="62"/>
      <c r="BE40" s="123">
        <f t="shared" si="39"/>
        <v>-1832.6297999999988</v>
      </c>
      <c r="BF40" s="123">
        <f t="shared" si="40"/>
        <v>-300.3600000000006</v>
      </c>
    </row>
    <row r="41" spans="1:58" s="122" customFormat="1" ht="12.75" hidden="1">
      <c r="A41" s="121" t="s">
        <v>41</v>
      </c>
      <c r="B41" s="81">
        <v>2431.21</v>
      </c>
      <c r="C41" s="154">
        <f t="shared" si="23"/>
        <v>21029.966500000002</v>
      </c>
      <c r="D41" s="155">
        <f t="shared" si="24"/>
        <v>2032.816500000001</v>
      </c>
      <c r="E41" s="82">
        <v>2192.93</v>
      </c>
      <c r="F41" s="82">
        <v>0</v>
      </c>
      <c r="G41" s="82">
        <v>2969.95</v>
      </c>
      <c r="H41" s="82">
        <v>0</v>
      </c>
      <c r="I41" s="82">
        <v>7080.75</v>
      </c>
      <c r="J41" s="82">
        <v>55.66</v>
      </c>
      <c r="K41" s="82">
        <v>4943.52</v>
      </c>
      <c r="L41" s="82">
        <v>0</v>
      </c>
      <c r="M41" s="82">
        <v>1754.34</v>
      </c>
      <c r="N41" s="103">
        <v>0</v>
      </c>
      <c r="O41" s="103">
        <v>0</v>
      </c>
      <c r="P41" s="103">
        <v>0</v>
      </c>
      <c r="Q41" s="103"/>
      <c r="R41" s="103"/>
      <c r="S41" s="82">
        <f t="shared" si="25"/>
        <v>18941.49</v>
      </c>
      <c r="T41" s="156">
        <f t="shared" si="26"/>
        <v>55.66</v>
      </c>
      <c r="U41" s="82">
        <v>1991.5</v>
      </c>
      <c r="V41" s="82">
        <v>2696.92</v>
      </c>
      <c r="W41" s="82">
        <v>6480.73</v>
      </c>
      <c r="X41" s="82">
        <v>4489.17</v>
      </c>
      <c r="Y41" s="82">
        <v>1593.2</v>
      </c>
      <c r="Z41" s="82">
        <v>0</v>
      </c>
      <c r="AA41" s="103">
        <v>0</v>
      </c>
      <c r="AB41" s="103">
        <f t="shared" si="41"/>
        <v>17251.52</v>
      </c>
      <c r="AC41" s="157">
        <f t="shared" si="27"/>
        <v>19339.9965</v>
      </c>
      <c r="AD41" s="158">
        <f t="shared" si="28"/>
        <v>0</v>
      </c>
      <c r="AE41" s="158">
        <f t="shared" si="29"/>
        <v>0</v>
      </c>
      <c r="AF41" s="158">
        <f>100</f>
        <v>100</v>
      </c>
      <c r="AG41" s="25">
        <f t="shared" si="30"/>
        <v>1458.7259999999999</v>
      </c>
      <c r="AH41" s="25">
        <f t="shared" si="31"/>
        <v>486.242</v>
      </c>
      <c r="AI41" s="25">
        <f t="shared" si="32"/>
        <v>2431.21</v>
      </c>
      <c r="AJ41" s="25">
        <v>0</v>
      </c>
      <c r="AK41" s="25">
        <f t="shared" si="33"/>
        <v>2382.5858</v>
      </c>
      <c r="AL41" s="25">
        <v>0</v>
      </c>
      <c r="AM41" s="25">
        <f t="shared" si="34"/>
        <v>5470.2225</v>
      </c>
      <c r="AN41" s="25">
        <v>0</v>
      </c>
      <c r="AO41" s="25"/>
      <c r="AP41" s="25"/>
      <c r="AQ41" s="159"/>
      <c r="AR41" s="159"/>
      <c r="AS41" s="84">
        <v>3946</v>
      </c>
      <c r="AT41" s="84">
        <f>6948.15+26207.29</f>
        <v>33155.44</v>
      </c>
      <c r="AU41" s="84">
        <f t="shared" si="38"/>
        <v>5967.9792</v>
      </c>
      <c r="AV41" s="160">
        <v>514</v>
      </c>
      <c r="AW41" s="161">
        <v>1.125</v>
      </c>
      <c r="AX41" s="25">
        <f t="shared" si="35"/>
        <v>809.55</v>
      </c>
      <c r="AY41" s="162"/>
      <c r="AZ41" s="163"/>
      <c r="BA41" s="163">
        <f t="shared" si="36"/>
        <v>0</v>
      </c>
      <c r="BB41" s="163">
        <f t="shared" si="37"/>
        <v>56107.95550000001</v>
      </c>
      <c r="BC41" s="164">
        <f>25</f>
        <v>25</v>
      </c>
      <c r="BD41" s="80"/>
      <c r="BE41" s="123">
        <f t="shared" si="39"/>
        <v>-36692.95900000001</v>
      </c>
      <c r="BF41" s="123">
        <f t="shared" si="40"/>
        <v>-1689.9700000000012</v>
      </c>
    </row>
    <row r="42" spans="1:58" s="24" customFormat="1" ht="12.75" hidden="1">
      <c r="A42" s="19" t="s">
        <v>3</v>
      </c>
      <c r="B42" s="20"/>
      <c r="C42" s="20">
        <f>SUM(C30:C41)</f>
        <v>252236.76800000007</v>
      </c>
      <c r="D42" s="20">
        <f aca="true" t="shared" si="42" ref="D42:BF42">SUM(D30:D41)</f>
        <v>24725.108000000015</v>
      </c>
      <c r="E42" s="20">
        <f t="shared" si="42"/>
        <v>23807.199999999997</v>
      </c>
      <c r="F42" s="20">
        <f t="shared" si="42"/>
        <v>2461.38</v>
      </c>
      <c r="G42" s="20">
        <f t="shared" si="42"/>
        <v>32241.32</v>
      </c>
      <c r="H42" s="20">
        <f t="shared" si="42"/>
        <v>3336.5599999999995</v>
      </c>
      <c r="I42" s="20">
        <f t="shared" si="42"/>
        <v>77139.65</v>
      </c>
      <c r="J42" s="20">
        <f t="shared" si="42"/>
        <v>8291.829999999998</v>
      </c>
      <c r="K42" s="20">
        <f t="shared" si="42"/>
        <v>53666.72</v>
      </c>
      <c r="L42" s="20">
        <f t="shared" si="42"/>
        <v>5552.22</v>
      </c>
      <c r="M42" s="20">
        <f t="shared" si="42"/>
        <v>19045.67</v>
      </c>
      <c r="N42" s="20">
        <f t="shared" si="42"/>
        <v>1969.11</v>
      </c>
      <c r="O42" s="20">
        <f t="shared" si="42"/>
        <v>0</v>
      </c>
      <c r="P42" s="20">
        <f t="shared" si="42"/>
        <v>0</v>
      </c>
      <c r="Q42" s="20">
        <f t="shared" si="42"/>
        <v>0</v>
      </c>
      <c r="R42" s="20">
        <f t="shared" si="42"/>
        <v>0</v>
      </c>
      <c r="S42" s="20">
        <f t="shared" si="42"/>
        <v>205900.56</v>
      </c>
      <c r="T42" s="20">
        <f t="shared" si="42"/>
        <v>21611.1</v>
      </c>
      <c r="U42" s="20">
        <f t="shared" si="42"/>
        <v>20937.3</v>
      </c>
      <c r="V42" s="20">
        <f t="shared" si="42"/>
        <v>28349.269999999997</v>
      </c>
      <c r="W42" s="20">
        <f t="shared" si="42"/>
        <v>67909.68000000001</v>
      </c>
      <c r="X42" s="20">
        <f t="shared" si="42"/>
        <v>47194.21</v>
      </c>
      <c r="Y42" s="20">
        <f t="shared" si="42"/>
        <v>16751.56</v>
      </c>
      <c r="Z42" s="20">
        <f t="shared" si="42"/>
        <v>0</v>
      </c>
      <c r="AA42" s="20">
        <f t="shared" si="42"/>
        <v>0</v>
      </c>
      <c r="AB42" s="20">
        <f t="shared" si="42"/>
        <v>181142.02</v>
      </c>
      <c r="AC42" s="20">
        <f t="shared" si="42"/>
        <v>227478.22800000003</v>
      </c>
      <c r="AD42" s="20">
        <f t="shared" si="42"/>
        <v>0</v>
      </c>
      <c r="AE42" s="20">
        <f t="shared" si="42"/>
        <v>0</v>
      </c>
      <c r="AF42" s="20">
        <f t="shared" si="42"/>
        <v>300</v>
      </c>
      <c r="AG42" s="20">
        <f t="shared" si="42"/>
        <v>17496.192000000003</v>
      </c>
      <c r="AH42" s="20">
        <f t="shared" si="42"/>
        <v>5832.064000000001</v>
      </c>
      <c r="AI42" s="20">
        <f t="shared" si="42"/>
        <v>29160.319999999996</v>
      </c>
      <c r="AJ42" s="20">
        <f t="shared" si="42"/>
        <v>0</v>
      </c>
      <c r="AK42" s="20">
        <f t="shared" si="42"/>
        <v>28577.113600000004</v>
      </c>
      <c r="AL42" s="20">
        <f t="shared" si="42"/>
        <v>0</v>
      </c>
      <c r="AM42" s="20">
        <f t="shared" si="42"/>
        <v>65610.72000000002</v>
      </c>
      <c r="AN42" s="20">
        <f t="shared" si="42"/>
        <v>0</v>
      </c>
      <c r="AO42" s="20">
        <f t="shared" si="42"/>
        <v>2829.6000000000004</v>
      </c>
      <c r="AP42" s="20">
        <f t="shared" si="42"/>
        <v>0</v>
      </c>
      <c r="AQ42" s="148">
        <f t="shared" si="42"/>
        <v>0</v>
      </c>
      <c r="AR42" s="148">
        <f t="shared" si="42"/>
        <v>0</v>
      </c>
      <c r="AS42" s="21">
        <f t="shared" si="42"/>
        <v>32104</v>
      </c>
      <c r="AT42" s="21">
        <f t="shared" si="42"/>
        <v>34274.51</v>
      </c>
      <c r="AU42" s="21">
        <f t="shared" si="42"/>
        <v>5967.9792</v>
      </c>
      <c r="AV42" s="20">
        <f t="shared" si="42"/>
        <v>4400</v>
      </c>
      <c r="AW42" s="20">
        <f t="shared" si="42"/>
        <v>13.5</v>
      </c>
      <c r="AX42" s="20">
        <f t="shared" si="42"/>
        <v>6930</v>
      </c>
      <c r="AY42" s="20">
        <f t="shared" si="42"/>
        <v>0</v>
      </c>
      <c r="AZ42" s="20">
        <f t="shared" si="42"/>
        <v>0</v>
      </c>
      <c r="BA42" s="20">
        <f t="shared" si="42"/>
        <v>0</v>
      </c>
      <c r="BB42" s="20">
        <f t="shared" si="42"/>
        <v>228782.4988</v>
      </c>
      <c r="BC42" s="20">
        <f t="shared" si="42"/>
        <v>75</v>
      </c>
      <c r="BD42" s="20">
        <f t="shared" si="42"/>
        <v>0</v>
      </c>
      <c r="BE42" s="20">
        <f t="shared" si="42"/>
        <v>-1079.2708000000057</v>
      </c>
      <c r="BF42" s="149">
        <f t="shared" si="42"/>
        <v>-24758.54</v>
      </c>
    </row>
    <row r="43" spans="1:58" s="24" customFormat="1" ht="12.75" hidden="1">
      <c r="A43" s="19"/>
      <c r="B43" s="20"/>
      <c r="C43" s="20"/>
      <c r="D43" s="20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2"/>
      <c r="V43" s="22"/>
      <c r="W43" s="22"/>
      <c r="X43" s="22"/>
      <c r="Y43" s="22"/>
      <c r="Z43" s="22"/>
      <c r="AA43" s="22"/>
      <c r="AB43" s="22"/>
      <c r="AC43" s="22"/>
      <c r="AD43" s="105"/>
      <c r="AE43" s="105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78"/>
      <c r="AQ43" s="150"/>
      <c r="AR43" s="150"/>
      <c r="AS43" s="78"/>
      <c r="AT43" s="78"/>
      <c r="AU43" s="78"/>
      <c r="AV43" s="23"/>
      <c r="AW43" s="23"/>
      <c r="AX43" s="87"/>
      <c r="AY43" s="58"/>
      <c r="AZ43" s="58"/>
      <c r="BA43" s="58"/>
      <c r="BB43" s="58"/>
      <c r="BC43" s="58"/>
      <c r="BD43" s="58"/>
      <c r="BE43" s="58"/>
      <c r="BF43" s="151"/>
    </row>
    <row r="44" spans="1:58" s="24" customFormat="1" ht="13.5" thickBot="1">
      <c r="A44" s="27" t="s">
        <v>52</v>
      </c>
      <c r="B44" s="28"/>
      <c r="C44" s="28">
        <f>C28+C42</f>
        <v>567344.158</v>
      </c>
      <c r="D44" s="28">
        <f aca="true" t="shared" si="43" ref="D44:BF44">D28+D42</f>
        <v>66930.69914245003</v>
      </c>
      <c r="E44" s="28">
        <f t="shared" si="43"/>
        <v>48870.149999999994</v>
      </c>
      <c r="F44" s="28">
        <f t="shared" si="43"/>
        <v>8438.09</v>
      </c>
      <c r="G44" s="28">
        <f t="shared" si="43"/>
        <v>66132.14</v>
      </c>
      <c r="H44" s="28">
        <f t="shared" si="43"/>
        <v>11423.609999999997</v>
      </c>
      <c r="I44" s="28">
        <f t="shared" si="43"/>
        <v>158933.58000000002</v>
      </c>
      <c r="J44" s="28">
        <f t="shared" si="43"/>
        <v>27735.13</v>
      </c>
      <c r="K44" s="28">
        <f t="shared" si="43"/>
        <v>110111.40999999999</v>
      </c>
      <c r="L44" s="28">
        <f t="shared" si="43"/>
        <v>19018.839999999997</v>
      </c>
      <c r="M44" s="28">
        <f t="shared" si="43"/>
        <v>39093.84</v>
      </c>
      <c r="N44" s="28">
        <f t="shared" si="43"/>
        <v>6750.6900000000005</v>
      </c>
      <c r="O44" s="28">
        <f t="shared" si="43"/>
        <v>0</v>
      </c>
      <c r="P44" s="28">
        <f t="shared" si="43"/>
        <v>0</v>
      </c>
      <c r="Q44" s="28">
        <f t="shared" si="43"/>
        <v>0</v>
      </c>
      <c r="R44" s="28">
        <f t="shared" si="43"/>
        <v>0</v>
      </c>
      <c r="S44" s="28">
        <f t="shared" si="43"/>
        <v>423141.12</v>
      </c>
      <c r="T44" s="28">
        <f t="shared" si="43"/>
        <v>73366.35999999999</v>
      </c>
      <c r="U44" s="28">
        <f t="shared" si="43"/>
        <v>45742.81</v>
      </c>
      <c r="V44" s="28">
        <f t="shared" si="43"/>
        <v>61896.340000000004</v>
      </c>
      <c r="W44" s="28">
        <f t="shared" si="43"/>
        <v>148874.38</v>
      </c>
      <c r="X44" s="28">
        <f t="shared" si="43"/>
        <v>103064.89000000001</v>
      </c>
      <c r="Y44" s="28">
        <f t="shared" si="43"/>
        <v>36595.5</v>
      </c>
      <c r="Z44" s="28">
        <f t="shared" si="43"/>
        <v>0</v>
      </c>
      <c r="AA44" s="28">
        <f t="shared" si="43"/>
        <v>0</v>
      </c>
      <c r="AB44" s="28">
        <f t="shared" si="43"/>
        <v>396173.9199999999</v>
      </c>
      <c r="AC44" s="28">
        <f t="shared" si="43"/>
        <v>536470.97914245</v>
      </c>
      <c r="AD44" s="28">
        <f t="shared" si="43"/>
        <v>0</v>
      </c>
      <c r="AE44" s="28">
        <f t="shared" si="43"/>
        <v>0</v>
      </c>
      <c r="AF44" s="28">
        <f t="shared" si="43"/>
        <v>300</v>
      </c>
      <c r="AG44" s="28">
        <f t="shared" si="43"/>
        <v>38770.4868</v>
      </c>
      <c r="AH44" s="28">
        <f t="shared" si="43"/>
        <v>12991.277412120002</v>
      </c>
      <c r="AI44" s="28">
        <f t="shared" si="43"/>
        <v>58991.002765925004</v>
      </c>
      <c r="AJ44" s="28">
        <f t="shared" si="43"/>
        <v>5369.5228978665</v>
      </c>
      <c r="AK44" s="28">
        <f t="shared" si="43"/>
        <v>58760.85310818301</v>
      </c>
      <c r="AL44" s="28">
        <f t="shared" si="43"/>
        <v>5433.07311147294</v>
      </c>
      <c r="AM44" s="28">
        <f t="shared" si="43"/>
        <v>131710.1931287524</v>
      </c>
      <c r="AN44" s="28">
        <f t="shared" si="43"/>
        <v>11897.905163175426</v>
      </c>
      <c r="AO44" s="28">
        <f t="shared" si="43"/>
        <v>2829.6000000000004</v>
      </c>
      <c r="AP44" s="28">
        <f t="shared" si="43"/>
        <v>0</v>
      </c>
      <c r="AQ44" s="152">
        <f t="shared" si="43"/>
        <v>19664.09</v>
      </c>
      <c r="AR44" s="152">
        <f t="shared" si="43"/>
        <v>3539.5362</v>
      </c>
      <c r="AS44" s="153">
        <f t="shared" si="43"/>
        <v>51819.5</v>
      </c>
      <c r="AT44" s="153">
        <f t="shared" si="43"/>
        <v>36842.51</v>
      </c>
      <c r="AU44" s="153">
        <f t="shared" si="43"/>
        <v>9979.019199999999</v>
      </c>
      <c r="AV44" s="28"/>
      <c r="AW44" s="28"/>
      <c r="AX44" s="28">
        <f t="shared" si="43"/>
        <v>13471.916000000001</v>
      </c>
      <c r="AY44" s="28">
        <f t="shared" si="43"/>
        <v>0</v>
      </c>
      <c r="AZ44" s="28">
        <f t="shared" si="43"/>
        <v>0</v>
      </c>
      <c r="BA44" s="28">
        <f t="shared" si="43"/>
        <v>0</v>
      </c>
      <c r="BB44" s="28">
        <f t="shared" si="43"/>
        <v>462070.4857874953</v>
      </c>
      <c r="BC44" s="28">
        <f t="shared" si="43"/>
        <v>75</v>
      </c>
      <c r="BD44" s="28">
        <f t="shared" si="43"/>
        <v>218857.38976986322</v>
      </c>
      <c r="BE44" s="28">
        <f t="shared" si="43"/>
        <v>74625.49335495476</v>
      </c>
      <c r="BF44" s="28">
        <f t="shared" si="43"/>
        <v>-26967.200000000008</v>
      </c>
    </row>
  </sheetData>
  <sheetProtection/>
  <mergeCells count="67">
    <mergeCell ref="A1:N1"/>
    <mergeCell ref="A3:A6"/>
    <mergeCell ref="B3:B6"/>
    <mergeCell ref="C3:C6"/>
    <mergeCell ref="D3:D6"/>
    <mergeCell ref="I5:I6"/>
    <mergeCell ref="J5:J6"/>
    <mergeCell ref="K5:K6"/>
    <mergeCell ref="E3:F4"/>
    <mergeCell ref="G3:H4"/>
    <mergeCell ref="AL5:AL6"/>
    <mergeCell ref="S3:T4"/>
    <mergeCell ref="U3:AB4"/>
    <mergeCell ref="AC3:AC6"/>
    <mergeCell ref="AD3:AD6"/>
    <mergeCell ref="T5:T6"/>
    <mergeCell ref="U5:U6"/>
    <mergeCell ref="V5:V6"/>
    <mergeCell ref="W5:W6"/>
    <mergeCell ref="X5:X6"/>
    <mergeCell ref="E5:E6"/>
    <mergeCell ref="F5:F6"/>
    <mergeCell ref="G5:G6"/>
    <mergeCell ref="H5:H6"/>
    <mergeCell ref="L5:L6"/>
    <mergeCell ref="M5:M6"/>
    <mergeCell ref="AH5:AH6"/>
    <mergeCell ref="AI5:AI6"/>
    <mergeCell ref="AJ5:AJ6"/>
    <mergeCell ref="AK5:AK6"/>
    <mergeCell ref="AG5:AG6"/>
    <mergeCell ref="Y5:Y6"/>
    <mergeCell ref="I3:J4"/>
    <mergeCell ref="K3:L4"/>
    <mergeCell ref="M3:N4"/>
    <mergeCell ref="O3:P4"/>
    <mergeCell ref="P5:P6"/>
    <mergeCell ref="Q5:Q6"/>
    <mergeCell ref="N5:N6"/>
    <mergeCell ref="O5:O6"/>
    <mergeCell ref="Q3:R4"/>
    <mergeCell ref="AF3:AF6"/>
    <mergeCell ref="Z5:Z6"/>
    <mergeCell ref="AA5:AA6"/>
    <mergeCell ref="AB5:AB6"/>
    <mergeCell ref="AE3:AE6"/>
    <mergeCell ref="R5:R6"/>
    <mergeCell ref="S5:S6"/>
    <mergeCell ref="BF3:BF6"/>
    <mergeCell ref="BC4:BC6"/>
    <mergeCell ref="BD4:BD6"/>
    <mergeCell ref="AV5:AX5"/>
    <mergeCell ref="AY5:AY6"/>
    <mergeCell ref="AZ5:AZ6"/>
    <mergeCell ref="BA5:BA6"/>
    <mergeCell ref="BB5:BB6"/>
    <mergeCell ref="AG3:BB4"/>
    <mergeCell ref="BC3:BD3"/>
    <mergeCell ref="AM5:AM6"/>
    <mergeCell ref="AN5:AN6"/>
    <mergeCell ref="BE3:BE6"/>
    <mergeCell ref="AQ5:AQ6"/>
    <mergeCell ref="AR5:AR6"/>
    <mergeCell ref="AS5:AS6"/>
    <mergeCell ref="AT5:AT6"/>
    <mergeCell ref="AO5:AO6"/>
    <mergeCell ref="AP5:AP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34">
      <selection activeCell="A8" sqref="A8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0.875" style="2" customWidth="1"/>
    <col min="4" max="4" width="8.875" style="2" customWidth="1"/>
    <col min="5" max="5" width="10.125" style="2" bestFit="1" customWidth="1"/>
    <col min="6" max="6" width="9.875" style="2" customWidth="1"/>
    <col min="7" max="7" width="10.875" style="2" customWidth="1"/>
    <col min="8" max="8" width="10.125" style="2" customWidth="1"/>
    <col min="9" max="9" width="9.25390625" style="2" customWidth="1"/>
    <col min="10" max="10" width="9.125" style="2" customWidth="1"/>
    <col min="11" max="11" width="10.375" style="2" customWidth="1"/>
    <col min="12" max="12" width="10.125" style="2" customWidth="1"/>
    <col min="13" max="13" width="8.875" style="2" customWidth="1"/>
    <col min="14" max="14" width="10.375" style="2" customWidth="1"/>
    <col min="15" max="15" width="10.75390625" style="2" customWidth="1"/>
    <col min="16" max="16" width="14.00390625" style="2" customWidth="1"/>
    <col min="17" max="16384" width="9.125" style="2" customWidth="1"/>
  </cols>
  <sheetData>
    <row r="1" ht="18.75">
      <c r="E1" s="29" t="s">
        <v>53</v>
      </c>
    </row>
    <row r="2" ht="18.75">
      <c r="E2" s="29" t="s">
        <v>54</v>
      </c>
    </row>
    <row r="6" spans="1:15" ht="12.75">
      <c r="A6" s="274" t="s">
        <v>77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</row>
    <row r="7" spans="1:15" ht="12.75">
      <c r="A7" s="299" t="s">
        <v>95</v>
      </c>
      <c r="B7" s="299"/>
      <c r="C7" s="299"/>
      <c r="D7" s="299"/>
      <c r="E7" s="299"/>
      <c r="F7" s="299"/>
      <c r="G7" s="299"/>
      <c r="H7" s="104"/>
      <c r="I7" s="104"/>
      <c r="J7" s="104"/>
      <c r="K7" s="104"/>
      <c r="L7" s="104"/>
      <c r="M7" s="104"/>
      <c r="N7" s="104"/>
      <c r="O7" s="104"/>
    </row>
    <row r="8" spans="1:15" ht="12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5" ht="13.5" thickBot="1">
      <c r="A9" s="31" t="s">
        <v>55</v>
      </c>
      <c r="D9" s="4"/>
      <c r="E9" s="31">
        <v>8.65</v>
      </c>
    </row>
    <row r="10" spans="1:16" ht="12.75" customHeight="1">
      <c r="A10" s="275" t="s">
        <v>56</v>
      </c>
      <c r="B10" s="278" t="s">
        <v>0</v>
      </c>
      <c r="C10" s="281" t="s">
        <v>57</v>
      </c>
      <c r="D10" s="284" t="s">
        <v>2</v>
      </c>
      <c r="E10" s="287" t="s">
        <v>58</v>
      </c>
      <c r="F10" s="213"/>
      <c r="G10" s="267" t="s">
        <v>74</v>
      </c>
      <c r="H10" s="267"/>
      <c r="I10" s="290" t="s">
        <v>8</v>
      </c>
      <c r="J10" s="291"/>
      <c r="K10" s="291"/>
      <c r="L10" s="291"/>
      <c r="M10" s="291"/>
      <c r="N10" s="292"/>
      <c r="O10" s="296" t="s">
        <v>59</v>
      </c>
      <c r="P10" s="257" t="s">
        <v>10</v>
      </c>
    </row>
    <row r="11" spans="1:16" ht="12.75">
      <c r="A11" s="276"/>
      <c r="B11" s="279"/>
      <c r="C11" s="282"/>
      <c r="D11" s="285"/>
      <c r="E11" s="288"/>
      <c r="F11" s="289"/>
      <c r="G11" s="268"/>
      <c r="H11" s="268"/>
      <c r="I11" s="293"/>
      <c r="J11" s="294"/>
      <c r="K11" s="294"/>
      <c r="L11" s="294"/>
      <c r="M11" s="294"/>
      <c r="N11" s="295"/>
      <c r="O11" s="297"/>
      <c r="P11" s="258"/>
    </row>
    <row r="12" spans="1:16" ht="26.25" customHeight="1">
      <c r="A12" s="276"/>
      <c r="B12" s="279"/>
      <c r="C12" s="282"/>
      <c r="D12" s="285"/>
      <c r="E12" s="260" t="s">
        <v>60</v>
      </c>
      <c r="F12" s="227"/>
      <c r="G12" s="33" t="s">
        <v>61</v>
      </c>
      <c r="H12" s="261" t="s">
        <v>5</v>
      </c>
      <c r="I12" s="263" t="s">
        <v>62</v>
      </c>
      <c r="J12" s="265" t="s">
        <v>30</v>
      </c>
      <c r="K12" s="265" t="s">
        <v>63</v>
      </c>
      <c r="L12" s="265" t="s">
        <v>35</v>
      </c>
      <c r="M12" s="265" t="s">
        <v>64</v>
      </c>
      <c r="N12" s="272" t="s">
        <v>37</v>
      </c>
      <c r="O12" s="297"/>
      <c r="P12" s="258"/>
    </row>
    <row r="13" spans="1:16" ht="66.75" customHeight="1" thickBot="1">
      <c r="A13" s="277"/>
      <c r="B13" s="280"/>
      <c r="C13" s="283"/>
      <c r="D13" s="286"/>
      <c r="E13" s="34" t="s">
        <v>65</v>
      </c>
      <c r="F13" s="35" t="s">
        <v>19</v>
      </c>
      <c r="G13" s="36" t="s">
        <v>75</v>
      </c>
      <c r="H13" s="262"/>
      <c r="I13" s="264"/>
      <c r="J13" s="266"/>
      <c r="K13" s="266"/>
      <c r="L13" s="266"/>
      <c r="M13" s="266"/>
      <c r="N13" s="273"/>
      <c r="O13" s="298"/>
      <c r="P13" s="259"/>
    </row>
    <row r="14" spans="1:16" ht="13.5" thickBot="1">
      <c r="A14" s="37">
        <v>1</v>
      </c>
      <c r="B14" s="38">
        <v>2</v>
      </c>
      <c r="C14" s="39">
        <v>3</v>
      </c>
      <c r="D14" s="37">
        <v>4</v>
      </c>
      <c r="E14" s="38">
        <v>5</v>
      </c>
      <c r="F14" s="40">
        <v>6</v>
      </c>
      <c r="G14" s="41">
        <v>7</v>
      </c>
      <c r="H14" s="88">
        <v>8</v>
      </c>
      <c r="I14" s="37">
        <v>9</v>
      </c>
      <c r="J14" s="38">
        <v>10</v>
      </c>
      <c r="K14" s="38">
        <v>11</v>
      </c>
      <c r="L14" s="38">
        <v>12</v>
      </c>
      <c r="M14" s="38">
        <v>13</v>
      </c>
      <c r="N14" s="97">
        <v>14</v>
      </c>
      <c r="O14" s="108">
        <v>15</v>
      </c>
      <c r="P14" s="42">
        <v>16</v>
      </c>
    </row>
    <row r="15" spans="1:16" ht="12.75" hidden="1">
      <c r="A15" s="8" t="s">
        <v>38</v>
      </c>
      <c r="B15" s="9"/>
      <c r="C15" s="32"/>
      <c r="D15" s="8"/>
      <c r="E15" s="9"/>
      <c r="F15" s="11"/>
      <c r="G15" s="43"/>
      <c r="H15" s="89"/>
      <c r="I15" s="8"/>
      <c r="J15" s="9"/>
      <c r="K15" s="9"/>
      <c r="L15" s="9"/>
      <c r="M15" s="9"/>
      <c r="N15" s="98"/>
      <c r="O15" s="109"/>
      <c r="P15" s="44"/>
    </row>
    <row r="16" spans="1:18" ht="12.75" hidden="1">
      <c r="A16" s="14" t="s">
        <v>39</v>
      </c>
      <c r="B16" s="15">
        <f>Лист1!B9</f>
        <v>2428.3</v>
      </c>
      <c r="C16" s="45">
        <f>Лист1!C9</f>
        <v>21004.795000000002</v>
      </c>
      <c r="D16" s="46">
        <f>Лист1!D9</f>
        <v>5059.6350196</v>
      </c>
      <c r="E16" s="16">
        <f>Лист1!S9</f>
        <v>13967.890000000001</v>
      </c>
      <c r="F16" s="18">
        <f>Лист1!T9</f>
        <v>3537.2300000000005</v>
      </c>
      <c r="G16" s="47">
        <f>Лист1!AB9</f>
        <v>0</v>
      </c>
      <c r="H16" s="95">
        <f>Лист1!AC9</f>
        <v>8596.865019600002</v>
      </c>
      <c r="I16" s="48">
        <f>Лист1!AG9</f>
        <v>1456.98</v>
      </c>
      <c r="J16" s="16">
        <f>Лист1!AI9+Лист1!AJ9</f>
        <v>2440.7426092</v>
      </c>
      <c r="K16" s="16">
        <f>Лист1!AH9+Лист1!AK9+Лист1!AL9+Лист1!AM9+Лист1!AN9+Лист1!AO9+Лист1!AP9+Лист1!AQ9+Лист1!AR9</f>
        <v>8570.42526473</v>
      </c>
      <c r="L16" s="17">
        <f>Лист1!AS9+Лист1!AT9+Лист1!AU9</f>
        <v>0</v>
      </c>
      <c r="M16" s="17">
        <f>Лист1!AX9</f>
        <v>0</v>
      </c>
      <c r="N16" s="101">
        <f>Лист1!BB9</f>
        <v>12468.14787393</v>
      </c>
      <c r="O16" s="110">
        <f>Лист1!BE9</f>
        <v>-3871.2828543299984</v>
      </c>
      <c r="P16" s="49">
        <f>Лист1!BF9</f>
        <v>-13967.890000000001</v>
      </c>
      <c r="Q16" s="1"/>
      <c r="R16" s="1"/>
    </row>
    <row r="17" spans="1:18" ht="12.75" hidden="1">
      <c r="A17" s="14" t="s">
        <v>40</v>
      </c>
      <c r="B17" s="15">
        <f>Лист1!B10</f>
        <v>2428.3</v>
      </c>
      <c r="C17" s="45">
        <f>Лист1!C10</f>
        <v>21004.795000000002</v>
      </c>
      <c r="D17" s="46">
        <f>Лист1!D10</f>
        <v>5059.6350196</v>
      </c>
      <c r="E17" s="16">
        <f>Лист1!S10</f>
        <v>13425.43</v>
      </c>
      <c r="F17" s="18">
        <f>Лист1!T10</f>
        <v>3377.03</v>
      </c>
      <c r="G17" s="47">
        <f>Лист1!AB10</f>
        <v>9346.55</v>
      </c>
      <c r="H17" s="95">
        <f>Лист1!AC10</f>
        <v>17783.2150196</v>
      </c>
      <c r="I17" s="48">
        <f>Лист1!AG10</f>
        <v>1456.98</v>
      </c>
      <c r="J17" s="16">
        <f>Лист1!AI10+Лист1!AJ10</f>
        <v>2440.7426092</v>
      </c>
      <c r="K17" s="16">
        <f>Лист1!AH10+Лист1!AK10+Лист1!AL10+Лист1!AM10+Лист1!AN10+Лист1!AO10+Лист1!AP10+Лист1!AQ10+Лист1!AR10</f>
        <v>8544.55901313</v>
      </c>
      <c r="L17" s="17">
        <f>Лист1!AS10+Лист1!AT10+Лист1!AU10</f>
        <v>6289.4</v>
      </c>
      <c r="M17" s="17">
        <f>Лист1!AX10</f>
        <v>0</v>
      </c>
      <c r="N17" s="101">
        <f>Лист1!BB10</f>
        <v>18731.68162233</v>
      </c>
      <c r="O17" s="110">
        <f>Лист1!BE10</f>
        <v>-948.4666027300009</v>
      </c>
      <c r="P17" s="49">
        <f>Лист1!BF10</f>
        <v>-4078.880000000001</v>
      </c>
      <c r="Q17" s="1"/>
      <c r="R17" s="1"/>
    </row>
    <row r="18" spans="1:18" ht="13.5" hidden="1" thickBot="1">
      <c r="A18" s="50" t="s">
        <v>41</v>
      </c>
      <c r="B18" s="15">
        <f>Лист1!B11</f>
        <v>2428.3</v>
      </c>
      <c r="C18" s="45">
        <f>Лист1!C11</f>
        <v>21004.795000000002</v>
      </c>
      <c r="D18" s="46">
        <f>Лист1!D11</f>
        <v>5048.50247825</v>
      </c>
      <c r="E18" s="16">
        <f>Лист1!S11</f>
        <v>11406.63</v>
      </c>
      <c r="F18" s="18">
        <f>Лист1!T11</f>
        <v>3391.39</v>
      </c>
      <c r="G18" s="47">
        <f>Лист1!AB11</f>
        <v>15160.369999999999</v>
      </c>
      <c r="H18" s="95">
        <f>Лист1!AC11</f>
        <v>23600.26247825</v>
      </c>
      <c r="I18" s="48">
        <f>Лист1!AG11</f>
        <v>1456.98</v>
      </c>
      <c r="J18" s="16">
        <f>Лист1!AI11+Лист1!AJ11</f>
        <v>2433.6364320800003</v>
      </c>
      <c r="K18" s="16">
        <f>Лист1!AH11+Лист1!AK11+Лист1!AL11+Лист1!AM11+Лист1!AN11+Лист1!AO11+Лист1!AP11+Лист1!AQ11+Лист1!AR11</f>
        <v>8530.974204459</v>
      </c>
      <c r="L18" s="17">
        <f>Лист1!AS11+Лист1!AT11+Лист1!AU11</f>
        <v>1675.6</v>
      </c>
      <c r="M18" s="17">
        <f>Лист1!AX11</f>
        <v>0</v>
      </c>
      <c r="N18" s="101">
        <f>Лист1!BB11</f>
        <v>14097.190636539</v>
      </c>
      <c r="O18" s="110">
        <f>Лист1!BE11</f>
        <v>9503.071841710998</v>
      </c>
      <c r="P18" s="49">
        <f>Лист1!BF11</f>
        <v>3753.74</v>
      </c>
      <c r="Q18" s="1"/>
      <c r="R18" s="1"/>
    </row>
    <row r="19" spans="1:18" s="24" customFormat="1" ht="13.5" hidden="1" thickBot="1">
      <c r="A19" s="51" t="s">
        <v>3</v>
      </c>
      <c r="B19" s="52"/>
      <c r="C19" s="57">
        <f aca="true" t="shared" si="0" ref="C19:O19">SUM(C16:C18)</f>
        <v>63014.38500000001</v>
      </c>
      <c r="D19" s="57">
        <f t="shared" si="0"/>
        <v>15167.772517450001</v>
      </c>
      <c r="E19" s="57">
        <f t="shared" si="0"/>
        <v>38799.95</v>
      </c>
      <c r="F19" s="57">
        <f t="shared" si="0"/>
        <v>10305.65</v>
      </c>
      <c r="G19" s="57">
        <f t="shared" si="0"/>
        <v>24506.92</v>
      </c>
      <c r="H19" s="57">
        <f t="shared" si="0"/>
        <v>49980.34251745</v>
      </c>
      <c r="I19" s="57">
        <f t="shared" si="0"/>
        <v>4370.9400000000005</v>
      </c>
      <c r="J19" s="57">
        <f t="shared" si="0"/>
        <v>7315.12165048</v>
      </c>
      <c r="K19" s="57">
        <f t="shared" si="0"/>
        <v>25645.958482319</v>
      </c>
      <c r="L19" s="57">
        <f t="shared" si="0"/>
        <v>7965</v>
      </c>
      <c r="M19" s="57">
        <f t="shared" si="0"/>
        <v>0</v>
      </c>
      <c r="N19" s="57">
        <f t="shared" si="0"/>
        <v>45297.020132799</v>
      </c>
      <c r="O19" s="57">
        <f t="shared" si="0"/>
        <v>4683.322384650999</v>
      </c>
      <c r="P19" s="57">
        <f>SUM(P16:P18)</f>
        <v>-14293.030000000004</v>
      </c>
      <c r="Q19" s="58"/>
      <c r="R19" s="58"/>
    </row>
    <row r="20" spans="1:18" ht="12.75" hidden="1">
      <c r="A20" s="8" t="s">
        <v>42</v>
      </c>
      <c r="B20" s="73"/>
      <c r="C20" s="59"/>
      <c r="D20" s="60"/>
      <c r="E20" s="61"/>
      <c r="F20" s="62"/>
      <c r="G20" s="63"/>
      <c r="H20" s="96"/>
      <c r="I20" s="64"/>
      <c r="J20" s="61"/>
      <c r="K20" s="61"/>
      <c r="L20" s="74"/>
      <c r="M20" s="74"/>
      <c r="N20" s="102"/>
      <c r="O20" s="111"/>
      <c r="P20" s="75"/>
      <c r="Q20" s="1"/>
      <c r="R20" s="1"/>
    </row>
    <row r="21" spans="1:18" ht="12.75" hidden="1">
      <c r="A21" s="14" t="s">
        <v>43</v>
      </c>
      <c r="B21" s="15">
        <f>Лист1!B14</f>
        <v>2428.61</v>
      </c>
      <c r="C21" s="45">
        <f>Лист1!C14</f>
        <v>21007.4765</v>
      </c>
      <c r="D21" s="46">
        <f>Лист1!D14</f>
        <v>2625.9345625</v>
      </c>
      <c r="E21" s="16">
        <f>Лист1!S14</f>
        <v>13815.980000000001</v>
      </c>
      <c r="F21" s="18">
        <f>Лист1!T14</f>
        <v>3391.39</v>
      </c>
      <c r="G21" s="47">
        <f>Лист1!AB14</f>
        <v>11969.510000000002</v>
      </c>
      <c r="H21" s="95">
        <f>Лист1!AC14</f>
        <v>17986.8345625</v>
      </c>
      <c r="I21" s="48">
        <f>Лист1!AG14</f>
        <v>1311.4494</v>
      </c>
      <c r="J21" s="16">
        <f>Лист1!AI14+Лист1!AJ14</f>
        <v>2111.89808461</v>
      </c>
      <c r="K21" s="16">
        <f>Лист1!AH14+Лист1!AK14+Лист1!AL14+Лист1!AM14+Лист1!AN14+Лист1!AO14+Лист1!AP14+Лист1!AQ14+Лист1!AR14</f>
        <v>7252.9456005838</v>
      </c>
      <c r="L21" s="17">
        <f>Лист1!AS14+Лист1!AT14+Лист1!AU14</f>
        <v>525.11</v>
      </c>
      <c r="M21" s="17">
        <f>Лист1!AX14</f>
        <v>0</v>
      </c>
      <c r="N21" s="101">
        <f>Лист1!BB14</f>
        <v>11201.403085193799</v>
      </c>
      <c r="O21" s="110">
        <f>Лист1!BE14</f>
        <v>6785.4314773062015</v>
      </c>
      <c r="P21" s="49">
        <f>Лист1!BF14</f>
        <v>-1846.4699999999993</v>
      </c>
      <c r="Q21" s="1"/>
      <c r="R21" s="1"/>
    </row>
    <row r="22" spans="1:18" ht="12.75" hidden="1">
      <c r="A22" s="14" t="s">
        <v>44</v>
      </c>
      <c r="B22" s="15">
        <f>Лист1!B15</f>
        <v>2428.61</v>
      </c>
      <c r="C22" s="45">
        <f>Лист1!C15</f>
        <v>21007.4765</v>
      </c>
      <c r="D22" s="46">
        <f>Лист1!D15</f>
        <v>2625.9345625</v>
      </c>
      <c r="E22" s="16">
        <f>Лист1!S15</f>
        <v>13708.48</v>
      </c>
      <c r="F22" s="18">
        <f>Лист1!T15</f>
        <v>3391.39</v>
      </c>
      <c r="G22" s="47">
        <f>Лист1!AB15</f>
        <v>11324.060000000001</v>
      </c>
      <c r="H22" s="95">
        <f>Лист1!AC15</f>
        <v>17341.384562500003</v>
      </c>
      <c r="I22" s="48">
        <f>Лист1!AG15</f>
        <v>1311.4494</v>
      </c>
      <c r="J22" s="16">
        <f>Лист1!AI15+Лист1!AJ15</f>
        <v>2111.92168461</v>
      </c>
      <c r="K22" s="16">
        <f>Лист1!AH15+Лист1!AK15+Лист1!AL15+Лист1!AM15+Лист1!AN15+Лист1!AO15+Лист1!AP15+Лист1!AQ15+Лист1!AR15</f>
        <v>7263.4160668768</v>
      </c>
      <c r="L22" s="17">
        <f>Лист1!AS15+Лист1!AT15+Лист1!AU15</f>
        <v>2676.24</v>
      </c>
      <c r="M22" s="17">
        <f>Лист1!AX15</f>
        <v>0</v>
      </c>
      <c r="N22" s="101">
        <f>Лист1!BB15</f>
        <v>13363.0271514868</v>
      </c>
      <c r="O22" s="110">
        <f>Лист1!BE15</f>
        <v>3978.357411013203</v>
      </c>
      <c r="P22" s="49">
        <f>Лист1!BF15</f>
        <v>-2384.4199999999983</v>
      </c>
      <c r="Q22" s="1"/>
      <c r="R22" s="1"/>
    </row>
    <row r="23" spans="1:18" ht="12.75" hidden="1">
      <c r="A23" s="14" t="s">
        <v>45</v>
      </c>
      <c r="B23" s="15">
        <f>Лист1!B16</f>
        <v>2428.6</v>
      </c>
      <c r="C23" s="45">
        <f>Лист1!C16</f>
        <v>21007.39</v>
      </c>
      <c r="D23" s="46">
        <f>Лист1!D16</f>
        <v>2625.92375</v>
      </c>
      <c r="E23" s="16">
        <f>Лист1!S16</f>
        <v>13775.14</v>
      </c>
      <c r="F23" s="18">
        <f>Лист1!T16</f>
        <v>3087.13</v>
      </c>
      <c r="G23" s="47">
        <f>Лист1!AB16</f>
        <v>14178.42</v>
      </c>
      <c r="H23" s="95">
        <f>Лист1!AC16</f>
        <v>19891.47375</v>
      </c>
      <c r="I23" s="48">
        <f>Лист1!AG16</f>
        <v>1311.444</v>
      </c>
      <c r="J23" s="16">
        <f>Лист1!AI16+Лист1!AJ16</f>
        <v>2113.1309315</v>
      </c>
      <c r="K23" s="16">
        <f>Лист1!AH16+Лист1!AK16+Лист1!AL16+Лист1!AM16+Лист1!AN16+Лист1!AO16+Лист1!AP16+Лист1!AQ16+Лист1!AR16</f>
        <v>10466.105159628</v>
      </c>
      <c r="L23" s="17">
        <f>Лист1!AS16+Лист1!AT16+Лист1!AU16</f>
        <v>164.02</v>
      </c>
      <c r="M23" s="17">
        <f>Лист1!AX16</f>
        <v>0</v>
      </c>
      <c r="N23" s="101">
        <f>Лист1!BB16</f>
        <v>14054.700091128</v>
      </c>
      <c r="O23" s="110">
        <f>Лист1!BE16</f>
        <v>5836.773658872002</v>
      </c>
      <c r="P23" s="49">
        <f>Лист1!BF16</f>
        <v>403.28000000000065</v>
      </c>
      <c r="Q23" s="1"/>
      <c r="R23" s="1"/>
    </row>
    <row r="24" spans="1:18" ht="12.75" hidden="1">
      <c r="A24" s="14" t="s">
        <v>46</v>
      </c>
      <c r="B24" s="15">
        <f>Лист1!B17</f>
        <v>2428.6</v>
      </c>
      <c r="C24" s="45">
        <f>Лист1!C17</f>
        <v>21007.39</v>
      </c>
      <c r="D24" s="46">
        <f>Лист1!D17</f>
        <v>2625.92375</v>
      </c>
      <c r="E24" s="16">
        <f>Лист1!S17</f>
        <v>13984.88</v>
      </c>
      <c r="F24" s="18">
        <f>Лист1!T17</f>
        <v>3206.66</v>
      </c>
      <c r="G24" s="47">
        <f>Лист1!AB17</f>
        <v>13795.96</v>
      </c>
      <c r="H24" s="95">
        <f>Лист1!AC17</f>
        <v>19628.543749999997</v>
      </c>
      <c r="I24" s="48">
        <f>Лист1!AG17</f>
        <v>1311.444</v>
      </c>
      <c r="J24" s="16">
        <f>Лист1!AI17+Лист1!AJ17</f>
        <v>2176.2203737199998</v>
      </c>
      <c r="K24" s="16">
        <f>Лист1!AH17+Лист1!AK17+Лист1!AL17+Лист1!AM17+Лист1!AN17+Лист1!AO17+Лист1!AP17+Лист1!AQ17+Лист1!AR17</f>
        <v>10565.596110096</v>
      </c>
      <c r="L24" s="17">
        <f>Лист1!AS17+Лист1!AT17+Лист1!AU17</f>
        <v>590</v>
      </c>
      <c r="M24" s="17">
        <f>Лист1!AX17</f>
        <v>2386.31</v>
      </c>
      <c r="N24" s="101">
        <f>Лист1!BB17</f>
        <v>17029.570483815998</v>
      </c>
      <c r="O24" s="110">
        <f>Лист1!BE17</f>
        <v>2598.973266183999</v>
      </c>
      <c r="P24" s="49">
        <f>Лист1!BF17</f>
        <v>-188.92000000000007</v>
      </c>
      <c r="Q24" s="1"/>
      <c r="R24" s="1"/>
    </row>
    <row r="25" spans="1:18" ht="12.75" hidden="1">
      <c r="A25" s="14" t="s">
        <v>47</v>
      </c>
      <c r="B25" s="15">
        <f>Лист1!B18</f>
        <v>2428.61</v>
      </c>
      <c r="C25" s="45">
        <f>Лист1!C18</f>
        <v>21007.4765</v>
      </c>
      <c r="D25" s="46">
        <f>Лист1!D18</f>
        <v>2076.5365000000006</v>
      </c>
      <c r="E25" s="16">
        <f>Лист1!S18</f>
        <v>15376.920000000002</v>
      </c>
      <c r="F25" s="18">
        <f>Лист1!T18</f>
        <v>3554.02</v>
      </c>
      <c r="G25" s="47">
        <f>Лист1!AB18</f>
        <v>13518.909999999998</v>
      </c>
      <c r="H25" s="95">
        <f>Лист1!AC18</f>
        <v>19149.4665</v>
      </c>
      <c r="I25" s="48">
        <f>Лист1!AG18</f>
        <v>1457.166</v>
      </c>
      <c r="J25" s="16">
        <f>Лист1!AI18+Лист1!AJ18</f>
        <v>2435.89583</v>
      </c>
      <c r="K25" s="16">
        <f>Лист1!AH18+Лист1!AK18+Лист1!AL18+Лист1!AM18+Лист1!AN18+Лист1!AO18+Лист1!AP18+Лист1!AQ18+Лист1!AR18</f>
        <v>8342.761072</v>
      </c>
      <c r="L25" s="17">
        <f>Лист1!AS18+Лист1!AT18+Лист1!AU18</f>
        <v>2623.612</v>
      </c>
      <c r="M25" s="17">
        <f>Лист1!AX18</f>
        <v>391.02840000000003</v>
      </c>
      <c r="N25" s="101">
        <f>Лист1!BB18</f>
        <v>15250.463301999998</v>
      </c>
      <c r="O25" s="110">
        <f>Лист1!BE18</f>
        <v>3899.0031980000003</v>
      </c>
      <c r="P25" s="49">
        <f>Лист1!BF18</f>
        <v>-1858.0100000000039</v>
      </c>
      <c r="Q25" s="1"/>
      <c r="R25" s="1"/>
    </row>
    <row r="26" spans="1:18" ht="12.75" hidden="1">
      <c r="A26" s="14" t="s">
        <v>48</v>
      </c>
      <c r="B26" s="15">
        <f>Лист1!B19</f>
        <v>2428.61</v>
      </c>
      <c r="C26" s="45">
        <f>Лист1!C19</f>
        <v>21007.4765</v>
      </c>
      <c r="D26" s="46">
        <f>Лист1!D19</f>
        <v>2072.6965000000027</v>
      </c>
      <c r="E26" s="16">
        <f>Лист1!S19</f>
        <v>15437.37</v>
      </c>
      <c r="F26" s="18">
        <f>Лист1!T19</f>
        <v>3497.41</v>
      </c>
      <c r="G26" s="47">
        <f>Лист1!AB19</f>
        <v>15674.8</v>
      </c>
      <c r="H26" s="95">
        <f>Лист1!AC19</f>
        <v>21244.9065</v>
      </c>
      <c r="I26" s="48">
        <f>Лист1!AG19</f>
        <v>1457.166</v>
      </c>
      <c r="J26" s="16">
        <f>Лист1!AI19+Лист1!AJ19</f>
        <v>2435.89583</v>
      </c>
      <c r="K26" s="16">
        <f>Лист1!AH19+Лист1!AK19+Лист1!AL19+Лист1!AM19+Лист1!AN19+Лист1!AO19+Лист1!AP19+Лист1!AQ19+Лист1!AR19</f>
        <v>24657.954646899998</v>
      </c>
      <c r="L26" s="17">
        <f>Лист1!AS19+Лист1!AT19+Лист1!AU19</f>
        <v>1577.7779999999998</v>
      </c>
      <c r="M26" s="17">
        <f>Лист1!AX19</f>
        <v>346.42440000000005</v>
      </c>
      <c r="N26" s="101">
        <f>Лист1!BB19</f>
        <v>30475.218876899995</v>
      </c>
      <c r="O26" s="110">
        <f>Лист1!BE19</f>
        <v>-9230.312376899994</v>
      </c>
      <c r="P26" s="49">
        <f>Лист1!BF19</f>
        <v>237.42999999999847</v>
      </c>
      <c r="Q26" s="1"/>
      <c r="R26" s="1"/>
    </row>
    <row r="27" spans="1:18" ht="12.75" hidden="1">
      <c r="A27" s="14" t="s">
        <v>49</v>
      </c>
      <c r="B27" s="15">
        <f>Лист1!B20</f>
        <v>2428.61</v>
      </c>
      <c r="C27" s="45">
        <f>Лист1!C20</f>
        <v>21007.4765</v>
      </c>
      <c r="D27" s="46">
        <f>Лист1!D20</f>
        <v>2052.766499999999</v>
      </c>
      <c r="E27" s="16">
        <f>Лист1!S20</f>
        <v>15457.3</v>
      </c>
      <c r="F27" s="18">
        <f>Лист1!T20</f>
        <v>3497.41</v>
      </c>
      <c r="G27" s="47">
        <f>Лист1!AB20</f>
        <v>12787.22</v>
      </c>
      <c r="H27" s="95">
        <f>Лист1!AC20</f>
        <v>18337.3965</v>
      </c>
      <c r="I27" s="48">
        <f>Лист1!AG20</f>
        <v>1457.166</v>
      </c>
      <c r="J27" s="16">
        <f>Лист1!AI20+Лист1!AJ20</f>
        <v>2401.0625196309998</v>
      </c>
      <c r="K27" s="16">
        <f>Лист1!AH20+Лист1!AK20+Лист1!AL20+Лист1!AM20+Лист1!AN20+Лист1!AO20+Лист1!AP20+Лист1!AQ20+Лист1!AR20</f>
        <v>8259.9727200042</v>
      </c>
      <c r="L27" s="17">
        <f>Лист1!AS20+Лист1!AT20+Лист1!AU20</f>
        <v>1921.04</v>
      </c>
      <c r="M27" s="17">
        <f>Лист1!AX20</f>
        <v>368.7264</v>
      </c>
      <c r="N27" s="101">
        <f>Лист1!BB20</f>
        <v>14407.9676396352</v>
      </c>
      <c r="O27" s="110">
        <f>Лист1!BE20</f>
        <v>3929.4288603647983</v>
      </c>
      <c r="P27" s="49">
        <f>Лист1!BF20</f>
        <v>-2670.08</v>
      </c>
      <c r="Q27" s="1"/>
      <c r="R27" s="1"/>
    </row>
    <row r="28" spans="1:18" ht="12.75" hidden="1">
      <c r="A28" s="14" t="s">
        <v>50</v>
      </c>
      <c r="B28" s="15">
        <f>Лист1!B21</f>
        <v>2428.61</v>
      </c>
      <c r="C28" s="45">
        <f>Лист1!C21</f>
        <v>21007.4765</v>
      </c>
      <c r="D28" s="46">
        <f>Лист1!D21</f>
        <v>2074.9464999999987</v>
      </c>
      <c r="E28" s="16">
        <f>Лист1!S21</f>
        <v>15367.69</v>
      </c>
      <c r="F28" s="18">
        <f>Лист1!T21</f>
        <v>3564.8399999999997</v>
      </c>
      <c r="G28" s="47">
        <f>Лист1!AB21</f>
        <v>12893.179999999998</v>
      </c>
      <c r="H28" s="95">
        <f>Лист1!AC21</f>
        <v>18532.966499999995</v>
      </c>
      <c r="I28" s="48">
        <f>Лист1!AG21</f>
        <v>1457.166</v>
      </c>
      <c r="J28" s="16">
        <f>Лист1!AI21+Лист1!AJ21</f>
        <v>2399.9907254658</v>
      </c>
      <c r="K28" s="16">
        <f>Лист1!AH21+Лист1!AK21+Лист1!AL21+Лист1!AM21+Лист1!AN21+Лист1!AO21+Лист1!AP21+Лист1!AQ21+Лист1!AR21</f>
        <v>8258.77488098</v>
      </c>
      <c r="L28" s="17">
        <f>Лист1!AS21+Лист1!AT21+Лист1!AU21</f>
        <v>850.78</v>
      </c>
      <c r="M28" s="17">
        <f>Лист1!AX21</f>
        <v>435.63239999999996</v>
      </c>
      <c r="N28" s="101">
        <f>Лист1!BB21</f>
        <v>13402.3440064458</v>
      </c>
      <c r="O28" s="110">
        <f>Лист1!BE21</f>
        <v>5130.622493554196</v>
      </c>
      <c r="P28" s="49">
        <f>Лист1!BF21</f>
        <v>-2474.510000000002</v>
      </c>
      <c r="Q28" s="1"/>
      <c r="R28" s="1"/>
    </row>
    <row r="29" spans="1:18" ht="12.75" hidden="1">
      <c r="A29" s="14" t="s">
        <v>51</v>
      </c>
      <c r="B29" s="15">
        <f>Лист1!B22</f>
        <v>2428.61</v>
      </c>
      <c r="C29" s="45">
        <f>Лист1!C22</f>
        <v>21007.4765</v>
      </c>
      <c r="D29" s="46">
        <f>Лист1!D22</f>
        <v>2064.2065000000025</v>
      </c>
      <c r="E29" s="16">
        <f>Лист1!S22</f>
        <v>15378.43</v>
      </c>
      <c r="F29" s="18">
        <f>Лист1!T22</f>
        <v>3564.8399999999997</v>
      </c>
      <c r="G29" s="47">
        <f>Лист1!AB22</f>
        <v>16548.73</v>
      </c>
      <c r="H29" s="95">
        <f>Лист1!AC22</f>
        <v>22177.7765</v>
      </c>
      <c r="I29" s="48">
        <f>Лист1!AG22</f>
        <v>1457.166</v>
      </c>
      <c r="J29" s="16">
        <f>Лист1!AI22+Лист1!AJ22</f>
        <v>2399.5766231746998</v>
      </c>
      <c r="K29" s="16">
        <f>Лист1!AH22+Лист1!AK22+Лист1!AL22+Лист1!AM22+Лист1!AN22+Лист1!AO22+Лист1!AP22+Лист1!AQ22+Лист1!AR22</f>
        <v>8257.689666315939</v>
      </c>
      <c r="L29" s="17">
        <f>Лист1!AS22+Лист1!AT22+Лист1!AU22</f>
        <v>0</v>
      </c>
      <c r="M29" s="17">
        <f>Лист1!AX22</f>
        <v>518.8932000000001</v>
      </c>
      <c r="N29" s="101">
        <f>Лист1!BB22</f>
        <v>12633.325489490639</v>
      </c>
      <c r="O29" s="110">
        <f>Лист1!BE22</f>
        <v>9544.451010509361</v>
      </c>
      <c r="P29" s="49">
        <f>Лист1!BF22</f>
        <v>1170.2999999999993</v>
      </c>
      <c r="Q29" s="1"/>
      <c r="R29" s="1"/>
    </row>
    <row r="30" spans="1:18" ht="12.75" hidden="1">
      <c r="A30" s="14" t="s">
        <v>39</v>
      </c>
      <c r="B30" s="15">
        <f>Лист1!B23</f>
        <v>2428.61</v>
      </c>
      <c r="C30" s="45">
        <f>Лист1!C23</f>
        <v>21007.4765</v>
      </c>
      <c r="D30" s="46">
        <f>Лист1!D23</f>
        <v>2064.216500000001</v>
      </c>
      <c r="E30" s="16">
        <f>Лист1!S23</f>
        <v>15378.42</v>
      </c>
      <c r="F30" s="18">
        <f>Лист1!T23</f>
        <v>3564.8399999999997</v>
      </c>
      <c r="G30" s="47">
        <f>Лист1!AB23</f>
        <v>17441.88</v>
      </c>
      <c r="H30" s="95">
        <f>Лист1!AC23</f>
        <v>23070.936500000003</v>
      </c>
      <c r="I30" s="48">
        <f>Лист1!AG23</f>
        <v>1457.166</v>
      </c>
      <c r="J30" s="16">
        <f>Лист1!AI23+Лист1!AJ23</f>
        <v>2427.2985506</v>
      </c>
      <c r="K30" s="16">
        <f>Лист1!AH23+Лист1!AK23+Лист1!AL23+Лист1!AM23+Лист1!AN23+Лист1!AO23+Лист1!AP23+Лист1!AQ23+Лист1!AR23</f>
        <v>8328.675134</v>
      </c>
      <c r="L30" s="17">
        <f>Лист1!AS23+Лист1!AT23+Лист1!AU23</f>
        <v>0</v>
      </c>
      <c r="M30" s="17">
        <f>Лист1!AX23</f>
        <v>631.89</v>
      </c>
      <c r="N30" s="101">
        <f>Лист1!BB23</f>
        <v>12845.0296846</v>
      </c>
      <c r="O30" s="110">
        <f>Лист1!BE23</f>
        <v>10225.906815400003</v>
      </c>
      <c r="P30" s="49">
        <f>Лист1!BF23</f>
        <v>2063.460000000001</v>
      </c>
      <c r="Q30" s="1"/>
      <c r="R30" s="1"/>
    </row>
    <row r="31" spans="1:18" ht="12.75" hidden="1">
      <c r="A31" s="14" t="s">
        <v>40</v>
      </c>
      <c r="B31" s="15">
        <f>Лист1!B24</f>
        <v>2428.61</v>
      </c>
      <c r="C31" s="45">
        <f>Лист1!C24</f>
        <v>21007.4765</v>
      </c>
      <c r="D31" s="46">
        <f>Лист1!D24</f>
        <v>2064.2065000000025</v>
      </c>
      <c r="E31" s="16">
        <f>Лист1!S24</f>
        <v>15378.43</v>
      </c>
      <c r="F31" s="18">
        <f>Лист1!T24</f>
        <v>3564.8399999999997</v>
      </c>
      <c r="G31" s="47">
        <f>Лист1!AB24</f>
        <v>17137.23</v>
      </c>
      <c r="H31" s="95">
        <f>Лист1!AC24</f>
        <v>22766.2765</v>
      </c>
      <c r="I31" s="48">
        <f>Лист1!AG24</f>
        <v>1457.166</v>
      </c>
      <c r="J31" s="16">
        <f>Лист1!AI24+Лист1!AJ24</f>
        <v>2435.89583</v>
      </c>
      <c r="K31" s="16">
        <f>Лист1!AH24+Лист1!AK24+Лист1!AL24+Лист1!AM24+Лист1!AN24+Лист1!AO24+Лист1!AP24+Лист1!AQ24+Лист1!AR24</f>
        <v>8337.903852</v>
      </c>
      <c r="L31" s="17">
        <f>Лист1!AS24+Лист1!AT24+Лист1!AU24</f>
        <v>3796.06</v>
      </c>
      <c r="M31" s="17">
        <f>Лист1!AX24</f>
        <v>698.796</v>
      </c>
      <c r="N31" s="101">
        <f>Лист1!BB24</f>
        <v>16725.821681999998</v>
      </c>
      <c r="O31" s="110">
        <f>Лист1!BE24</f>
        <v>6040.454818000002</v>
      </c>
      <c r="P31" s="49">
        <f>Лист1!BF24</f>
        <v>1758.7999999999993</v>
      </c>
      <c r="Q31" s="1"/>
      <c r="R31" s="1"/>
    </row>
    <row r="32" spans="1:18" ht="13.5" hidden="1" thickBot="1">
      <c r="A32" s="50" t="s">
        <v>41</v>
      </c>
      <c r="B32" s="15">
        <f>Лист1!B25</f>
        <v>2429.01</v>
      </c>
      <c r="C32" s="45">
        <f>Лист1!C25</f>
        <v>21010.936500000003</v>
      </c>
      <c r="D32" s="46">
        <f>Лист1!D25</f>
        <v>2064.526500000003</v>
      </c>
      <c r="E32" s="16">
        <f>Лист1!S25</f>
        <v>15381.57</v>
      </c>
      <c r="F32" s="18">
        <f>Лист1!T25</f>
        <v>3564.8399999999997</v>
      </c>
      <c r="G32" s="47">
        <f>Лист1!AB25</f>
        <v>33255.08</v>
      </c>
      <c r="H32" s="95">
        <f>Лист1!AC25</f>
        <v>38884.446500000005</v>
      </c>
      <c r="I32" s="48">
        <f>Лист1!AG25</f>
        <v>1457.4060000000002</v>
      </c>
      <c r="J32" s="16">
        <f>Лист1!AI25+Лист1!AJ25</f>
        <v>2436.29703</v>
      </c>
      <c r="K32" s="16">
        <f>Лист1!AH25+Лист1!AK25+Лист1!AL25+Лист1!AM25+Лист1!AN25+Лист1!AO25+Лист1!AP25+Лист1!AQ25+Лист1!AR25</f>
        <v>8339.277132</v>
      </c>
      <c r="L32" s="17">
        <f>Лист1!AS25+Лист1!AT25+Лист1!AU25</f>
        <v>3604.9</v>
      </c>
      <c r="M32" s="17">
        <f>Лист1!AX25</f>
        <v>764.2152000000001</v>
      </c>
      <c r="N32" s="101">
        <f>Лист1!BB25</f>
        <v>16602.095362</v>
      </c>
      <c r="O32" s="110">
        <f>Лист1!BE25</f>
        <v>22282.351138000005</v>
      </c>
      <c r="P32" s="49">
        <f>Лист1!BF25</f>
        <v>17873.510000000002</v>
      </c>
      <c r="Q32" s="1"/>
      <c r="R32" s="1"/>
    </row>
    <row r="33" spans="1:18" s="24" customFormat="1" ht="13.5" hidden="1" thickBot="1">
      <c r="A33" s="51" t="s">
        <v>3</v>
      </c>
      <c r="B33" s="52"/>
      <c r="C33" s="53">
        <f aca="true" t="shared" si="1" ref="C33:P33">SUM(C21:C32)</f>
        <v>252093.00499999998</v>
      </c>
      <c r="D33" s="54">
        <f t="shared" si="1"/>
        <v>27037.818625000014</v>
      </c>
      <c r="E33" s="53">
        <f t="shared" si="1"/>
        <v>178440.61000000002</v>
      </c>
      <c r="F33" s="55">
        <f t="shared" si="1"/>
        <v>41449.60999999999</v>
      </c>
      <c r="G33" s="56">
        <f t="shared" si="1"/>
        <v>190524.97999999998</v>
      </c>
      <c r="H33" s="90">
        <f t="shared" si="1"/>
        <v>259012.40862500004</v>
      </c>
      <c r="I33" s="54">
        <f t="shared" si="1"/>
        <v>16903.354799999997</v>
      </c>
      <c r="J33" s="53">
        <f t="shared" si="1"/>
        <v>27885.0840133115</v>
      </c>
      <c r="K33" s="53">
        <f t="shared" si="1"/>
        <v>118331.07204138474</v>
      </c>
      <c r="L33" s="53">
        <f t="shared" si="1"/>
        <v>18329.54</v>
      </c>
      <c r="M33" s="53">
        <f t="shared" si="1"/>
        <v>6541.916000000001</v>
      </c>
      <c r="N33" s="99">
        <f t="shared" si="1"/>
        <v>187990.96685469625</v>
      </c>
      <c r="O33" s="54">
        <f t="shared" si="1"/>
        <v>71021.44177030376</v>
      </c>
      <c r="P33" s="57">
        <f t="shared" si="1"/>
        <v>12084.369999999997</v>
      </c>
      <c r="Q33" s="58"/>
      <c r="R33" s="58"/>
    </row>
    <row r="34" spans="1:18" ht="13.5" thickBot="1">
      <c r="A34" s="92" t="s">
        <v>94</v>
      </c>
      <c r="B34" s="93"/>
      <c r="C34" s="93"/>
      <c r="D34" s="93"/>
      <c r="E34" s="93"/>
      <c r="F34" s="93"/>
      <c r="G34" s="93"/>
      <c r="H34" s="94"/>
      <c r="I34" s="93"/>
      <c r="J34" s="93"/>
      <c r="K34" s="93"/>
      <c r="L34" s="93"/>
      <c r="M34" s="93"/>
      <c r="N34" s="94"/>
      <c r="O34" s="93"/>
      <c r="P34" s="65"/>
      <c r="Q34" s="1"/>
      <c r="R34" s="1"/>
    </row>
    <row r="35" spans="1:18" s="24" customFormat="1" ht="13.5" thickBot="1">
      <c r="A35" s="66" t="s">
        <v>52</v>
      </c>
      <c r="B35" s="67"/>
      <c r="C35" s="68">
        <f>C19+C33</f>
        <v>315107.39</v>
      </c>
      <c r="D35" s="69">
        <f aca="true" t="shared" si="2" ref="D35:P35">D19+D33</f>
        <v>42205.591142450015</v>
      </c>
      <c r="E35" s="67">
        <f t="shared" si="2"/>
        <v>217240.56</v>
      </c>
      <c r="F35" s="68">
        <f t="shared" si="2"/>
        <v>51755.259999999995</v>
      </c>
      <c r="G35" s="69">
        <f t="shared" si="2"/>
        <v>215031.89999999997</v>
      </c>
      <c r="H35" s="91">
        <f t="shared" si="2"/>
        <v>308992.75114245</v>
      </c>
      <c r="I35" s="69">
        <f t="shared" si="2"/>
        <v>21274.294799999996</v>
      </c>
      <c r="J35" s="67">
        <f t="shared" si="2"/>
        <v>35200.2056637915</v>
      </c>
      <c r="K35" s="67">
        <f t="shared" si="2"/>
        <v>143977.03052370375</v>
      </c>
      <c r="L35" s="67">
        <f t="shared" si="2"/>
        <v>26294.54</v>
      </c>
      <c r="M35" s="67">
        <f t="shared" si="2"/>
        <v>6541.916000000001</v>
      </c>
      <c r="N35" s="100">
        <f t="shared" si="2"/>
        <v>233287.98698749524</v>
      </c>
      <c r="O35" s="112">
        <f t="shared" si="2"/>
        <v>75704.76415495476</v>
      </c>
      <c r="P35" s="70">
        <f t="shared" si="2"/>
        <v>-2208.660000000007</v>
      </c>
      <c r="Q35" s="71"/>
      <c r="R35" s="58"/>
    </row>
    <row r="36" spans="1:18" ht="12.75">
      <c r="A36" s="8" t="s">
        <v>91</v>
      </c>
      <c r="B36" s="73"/>
      <c r="C36" s="59"/>
      <c r="D36" s="60"/>
      <c r="E36" s="61"/>
      <c r="F36" s="62"/>
      <c r="G36" s="63"/>
      <c r="H36" s="96"/>
      <c r="I36" s="64"/>
      <c r="J36" s="61"/>
      <c r="K36" s="61"/>
      <c r="L36" s="74"/>
      <c r="M36" s="74"/>
      <c r="N36" s="102"/>
      <c r="O36" s="111"/>
      <c r="P36" s="75"/>
      <c r="Q36" s="1"/>
      <c r="R36" s="1"/>
    </row>
    <row r="37" spans="1:18" ht="12.75">
      <c r="A37" s="14" t="s">
        <v>43</v>
      </c>
      <c r="B37" s="15">
        <f>Лист1!B30</f>
        <v>2429.01</v>
      </c>
      <c r="C37" s="45">
        <f>Лист1!C30</f>
        <v>21010.936500000003</v>
      </c>
      <c r="D37" s="46">
        <f>Лист1!D30</f>
        <v>2064.526500000004</v>
      </c>
      <c r="E37" s="16">
        <f>Лист1!S30</f>
        <v>15381.57</v>
      </c>
      <c r="F37" s="18">
        <f>Лист1!T30</f>
        <v>3564.8399999999997</v>
      </c>
      <c r="G37" s="47">
        <f>Лист1!AB30</f>
        <v>10620.45</v>
      </c>
      <c r="H37" s="95">
        <f>Лист1!AC30</f>
        <v>16249.816500000004</v>
      </c>
      <c r="I37" s="48">
        <f>Лист1!AG30</f>
        <v>1457.4060000000002</v>
      </c>
      <c r="J37" s="16">
        <f>Лист1!AI30+Лист1!AJ30</f>
        <v>2429.01</v>
      </c>
      <c r="K37" s="16">
        <f>Лист1!AH30+Лист1!AK30+Лист1!AL30+Лист1!AM30+Лист1!AN30+Лист1!AO30+Лист1!AP30+Лист1!AQ30+Лист1!AR30</f>
        <v>8331.5043</v>
      </c>
      <c r="L37" s="17">
        <f>Лист1!AS30+Лист1!AT30+Лист1!AU30</f>
        <v>204</v>
      </c>
      <c r="M37" s="17">
        <f>Лист1!AX30</f>
        <v>800.0999999999999</v>
      </c>
      <c r="N37" s="101">
        <f>Лист1!BB30</f>
        <v>13222.020300000002</v>
      </c>
      <c r="O37" s="110">
        <f>Лист1!BE30</f>
        <v>3027.7962000000025</v>
      </c>
      <c r="P37" s="49">
        <f>Лист1!BF30</f>
        <v>-4761.119999999999</v>
      </c>
      <c r="Q37" s="1"/>
      <c r="R37" s="1"/>
    </row>
    <row r="38" spans="1:18" ht="12.75">
      <c r="A38" s="14" t="s">
        <v>44</v>
      </c>
      <c r="B38" s="15">
        <f>Лист1!B31</f>
        <v>2429.01</v>
      </c>
      <c r="C38" s="45">
        <f>Лист1!C31</f>
        <v>21010.936500000003</v>
      </c>
      <c r="D38" s="46">
        <f>Лист1!D31</f>
        <v>2064.6565</v>
      </c>
      <c r="E38" s="16">
        <f>Лист1!S31</f>
        <v>15381.44</v>
      </c>
      <c r="F38" s="18">
        <f>Лист1!T31</f>
        <v>3564.8399999999997</v>
      </c>
      <c r="G38" s="47">
        <f>Лист1!AB31</f>
        <v>14860.19</v>
      </c>
      <c r="H38" s="95">
        <f>Лист1!AC31</f>
        <v>20489.6865</v>
      </c>
      <c r="I38" s="48">
        <f>Лист1!AG31</f>
        <v>1457.4060000000002</v>
      </c>
      <c r="J38" s="16">
        <f>Лист1!AI31+Лист1!AJ31</f>
        <v>2429.01</v>
      </c>
      <c r="K38" s="16">
        <f>Лист1!AH31+Лист1!AK31+Лист1!AL31+Лист1!AM31+Лист1!AN31+Лист1!AO31+Лист1!AP31+Лист1!AQ31+Лист1!AR31</f>
        <v>11161.1043</v>
      </c>
      <c r="L38" s="17">
        <f>Лист1!AS31+Лист1!AT31+Лист1!AU31</f>
        <v>0</v>
      </c>
      <c r="M38" s="17">
        <f>Лист1!AX31</f>
        <v>641.025</v>
      </c>
      <c r="N38" s="101">
        <f>Лист1!BB31</f>
        <v>15688.545300000002</v>
      </c>
      <c r="O38" s="110">
        <f>Лист1!BE31</f>
        <v>4801.141199999998</v>
      </c>
      <c r="P38" s="49">
        <f>Лист1!BF31</f>
        <v>-521.25</v>
      </c>
      <c r="Q38" s="1"/>
      <c r="R38" s="1"/>
    </row>
    <row r="39" spans="1:18" ht="12.75">
      <c r="A39" s="14" t="s">
        <v>45</v>
      </c>
      <c r="B39" s="15">
        <f>Лист1!B32</f>
        <v>2429.01</v>
      </c>
      <c r="C39" s="45">
        <f>Лист1!C32</f>
        <v>21010.936500000003</v>
      </c>
      <c r="D39" s="46">
        <f>Лист1!D32</f>
        <v>2073.5965000000033</v>
      </c>
      <c r="E39" s="16">
        <f>Лист1!S32</f>
        <v>15377.04</v>
      </c>
      <c r="F39" s="18">
        <f>Лист1!T32</f>
        <v>3560.2999999999997</v>
      </c>
      <c r="G39" s="47">
        <f>Лист1!AB32</f>
        <v>8929.099999999999</v>
      </c>
      <c r="H39" s="95">
        <f>Лист1!AC32</f>
        <v>14562.996500000001</v>
      </c>
      <c r="I39" s="48">
        <f>Лист1!AG32</f>
        <v>1457.4060000000002</v>
      </c>
      <c r="J39" s="16">
        <f>Лист1!AI32+Лист1!AJ32</f>
        <v>2429.01</v>
      </c>
      <c r="K39" s="16">
        <f>Лист1!AH32+Лист1!AK32+Лист1!AL32+Лист1!AM32+Лист1!AN32+Лист1!AO32+Лист1!AP32+Лист1!AQ32+Лист1!AR32</f>
        <v>8331.5043</v>
      </c>
      <c r="L39" s="17">
        <f>Лист1!AS32+Лист1!AT32+Лист1!AU32</f>
        <v>0</v>
      </c>
      <c r="M39" s="17">
        <f>Лист1!AX32</f>
        <v>603.2249999999999</v>
      </c>
      <c r="N39" s="101">
        <f>Лист1!BB32</f>
        <v>12821.145300000002</v>
      </c>
      <c r="O39" s="110">
        <f>Лист1!BE32</f>
        <v>1741.8511999999992</v>
      </c>
      <c r="P39" s="49">
        <f>Лист1!BF32</f>
        <v>-6447.940000000002</v>
      </c>
      <c r="Q39" s="1"/>
      <c r="R39" s="1"/>
    </row>
    <row r="40" spans="1:18" ht="12.75">
      <c r="A40" s="14" t="s">
        <v>46</v>
      </c>
      <c r="B40" s="15">
        <f>Лист1!B33</f>
        <v>2429.01</v>
      </c>
      <c r="C40" s="45">
        <f>Лист1!C33</f>
        <v>21010.936500000003</v>
      </c>
      <c r="D40" s="46">
        <f>Лист1!D33</f>
        <v>2064.526500000003</v>
      </c>
      <c r="E40" s="16">
        <f>Лист1!S33</f>
        <v>15381.57</v>
      </c>
      <c r="F40" s="18">
        <f>Лист1!T33</f>
        <v>3564.8399999999997</v>
      </c>
      <c r="G40" s="47">
        <f>Лист1!AB33</f>
        <v>13795.96</v>
      </c>
      <c r="H40" s="95">
        <f>Лист1!AC33</f>
        <v>19425.326500000003</v>
      </c>
      <c r="I40" s="48">
        <f>Лист1!AG33</f>
        <v>1457.4060000000002</v>
      </c>
      <c r="J40" s="16">
        <f>Лист1!AI33+Лист1!AJ33</f>
        <v>2429.01</v>
      </c>
      <c r="K40" s="16">
        <f>Лист1!AH33+Лист1!AK33+Лист1!AL33+Лист1!AM33+Лист1!AN33+Лист1!AO33+Лист1!AP33+Лист1!AQ33+Лист1!AR33</f>
        <v>8331.5043</v>
      </c>
      <c r="L40" s="17">
        <f>Лист1!AS33+Лист1!AT33+Лист1!AU33</f>
        <v>591</v>
      </c>
      <c r="M40" s="17">
        <f>Лист1!AX33</f>
        <v>483.525</v>
      </c>
      <c r="N40" s="101">
        <f>Лист1!BB33</f>
        <v>13292.445300000001</v>
      </c>
      <c r="O40" s="110">
        <f>Лист1!BE33</f>
        <v>6132.881200000002</v>
      </c>
      <c r="P40" s="49">
        <f>Лист1!BF33</f>
        <v>-1585.6100000000006</v>
      </c>
      <c r="Q40" s="1"/>
      <c r="R40" s="1"/>
    </row>
    <row r="41" spans="1:18" ht="12.75">
      <c r="A41" s="14" t="s">
        <v>47</v>
      </c>
      <c r="B41" s="15">
        <f>Лист1!B34</f>
        <v>2429.41</v>
      </c>
      <c r="C41" s="45">
        <f>Лист1!C34</f>
        <v>21014.3965</v>
      </c>
      <c r="D41" s="46">
        <f>Лист1!D34</f>
        <v>2064.806499999997</v>
      </c>
      <c r="E41" s="16">
        <f>Лист1!S34</f>
        <v>15384.750000000002</v>
      </c>
      <c r="F41" s="18">
        <f>Лист1!T34</f>
        <v>3564.8399999999997</v>
      </c>
      <c r="G41" s="47">
        <f>Лист1!AB34</f>
        <v>15203.68</v>
      </c>
      <c r="H41" s="95">
        <f>Лист1!AC34</f>
        <v>20833.326499999996</v>
      </c>
      <c r="I41" s="48">
        <f>Лист1!AG34</f>
        <v>1457.646</v>
      </c>
      <c r="J41" s="16">
        <f>Лист1!AI34+Лист1!AJ34</f>
        <v>2429.41</v>
      </c>
      <c r="K41" s="16">
        <f>Лист1!AH34+Лист1!AK34+Лист1!AL34+Лист1!AM34+Лист1!AN34+Лист1!AO34+Лист1!AP34+Лист1!AQ34+Лист1!AR34</f>
        <v>8332.8763</v>
      </c>
      <c r="L41" s="17">
        <f>Лист1!AS34+Лист1!AT34+Лист1!AU34</f>
        <v>2861.27</v>
      </c>
      <c r="M41" s="17">
        <f>Лист1!AX34</f>
        <v>414.22499999999997</v>
      </c>
      <c r="N41" s="101">
        <f>Лист1!BB34</f>
        <v>15495.427300000001</v>
      </c>
      <c r="O41" s="110">
        <f>Лист1!BE34</f>
        <v>5337.899199999994</v>
      </c>
      <c r="P41" s="49">
        <f>Лист1!BF34</f>
        <v>-181.07000000000153</v>
      </c>
      <c r="Q41" s="1"/>
      <c r="R41" s="1"/>
    </row>
    <row r="42" spans="1:18" ht="12.75">
      <c r="A42" s="14" t="s">
        <v>48</v>
      </c>
      <c r="B42" s="15">
        <f>Лист1!B35</f>
        <v>2429.41</v>
      </c>
      <c r="C42" s="45">
        <f>Лист1!C35</f>
        <v>21014.3965</v>
      </c>
      <c r="D42" s="46">
        <f>Лист1!D35</f>
        <v>2057.0465000000004</v>
      </c>
      <c r="E42" s="16">
        <f>Лист1!S35</f>
        <v>15444.21</v>
      </c>
      <c r="F42" s="18">
        <f>Лист1!T35</f>
        <v>3513.14</v>
      </c>
      <c r="G42" s="47">
        <f>Лист1!AB35</f>
        <v>12927.810000000001</v>
      </c>
      <c r="H42" s="95">
        <f>Лист1!AC35</f>
        <v>18497.9965</v>
      </c>
      <c r="I42" s="48">
        <f>Лист1!AG35</f>
        <v>1457.646</v>
      </c>
      <c r="J42" s="16">
        <f>Лист1!AI35+Лист1!AJ35</f>
        <v>2429.41</v>
      </c>
      <c r="K42" s="16">
        <f>Лист1!AH35+Лист1!AK35+Лист1!AL35+Лист1!AM35+Лист1!AN35+Лист1!AO35+Лист1!AP35+Лист1!AQ35+Лист1!AR35</f>
        <v>8332.8763</v>
      </c>
      <c r="L42" s="17">
        <f>Лист1!AS35+Лист1!AT35+Лист1!AU35</f>
        <v>156</v>
      </c>
      <c r="M42" s="17">
        <f>Лист1!AX35</f>
        <v>366.97499999999997</v>
      </c>
      <c r="N42" s="101">
        <f>Лист1!BB35</f>
        <v>12742.9073</v>
      </c>
      <c r="O42" s="110">
        <f>Лист1!BE35</f>
        <v>5755.0892</v>
      </c>
      <c r="P42" s="49">
        <f>Лист1!BF35</f>
        <v>-2516.399999999998</v>
      </c>
      <c r="Q42" s="1"/>
      <c r="R42" s="1"/>
    </row>
    <row r="43" spans="1:18" ht="12.75">
      <c r="A43" s="14" t="s">
        <v>49</v>
      </c>
      <c r="B43" s="15">
        <f>Лист1!B36</f>
        <v>2429.41</v>
      </c>
      <c r="C43" s="45">
        <f>Лист1!C36</f>
        <v>21014.3965</v>
      </c>
      <c r="D43" s="46">
        <f>Лист1!D36</f>
        <v>2104.5165000000006</v>
      </c>
      <c r="E43" s="16">
        <f>Лист1!S36</f>
        <v>18909.879999999997</v>
      </c>
      <c r="F43" s="18">
        <f>Лист1!T36</f>
        <v>0</v>
      </c>
      <c r="G43" s="47">
        <f>Лист1!AB36</f>
        <v>14590.05</v>
      </c>
      <c r="H43" s="95">
        <f>Лист1!AC36</f>
        <v>16694.5665</v>
      </c>
      <c r="I43" s="48">
        <f>Лист1!AG36</f>
        <v>1457.646</v>
      </c>
      <c r="J43" s="16">
        <f>Лист1!AI36+Лист1!AJ36</f>
        <v>2429.41</v>
      </c>
      <c r="K43" s="16">
        <f>Лист1!AH36+Лист1!AK36+Лист1!AL36+Лист1!AM36+Лист1!AN36+Лист1!AO36+Лист1!AP36+Лист1!AQ36+Лист1!AR36</f>
        <v>8332.8763</v>
      </c>
      <c r="L43" s="17">
        <f>Лист1!AS36+Лист1!AT36+Лист1!AU36</f>
        <v>115</v>
      </c>
      <c r="M43" s="17">
        <f>Лист1!AX36</f>
        <v>390.59999999999997</v>
      </c>
      <c r="N43" s="101">
        <f>Лист1!BB36</f>
        <v>12725.5323</v>
      </c>
      <c r="O43" s="110">
        <f>Лист1!BE36</f>
        <v>3969.0342</v>
      </c>
      <c r="P43" s="49">
        <f>Лист1!BF36</f>
        <v>-4319.829999999998</v>
      </c>
      <c r="Q43" s="1"/>
      <c r="R43" s="1"/>
    </row>
    <row r="44" spans="1:18" ht="12.75">
      <c r="A44" s="14" t="s">
        <v>50</v>
      </c>
      <c r="B44" s="15">
        <f>Лист1!B37</f>
        <v>2431.21</v>
      </c>
      <c r="C44" s="45">
        <f>Лист1!C37</f>
        <v>21029.966500000002</v>
      </c>
      <c r="D44" s="46">
        <f>Лист1!D37</f>
        <v>2032.3665000000003</v>
      </c>
      <c r="E44" s="16">
        <f>Лист1!S37</f>
        <v>18941.94</v>
      </c>
      <c r="F44" s="18">
        <f>Лист1!T37</f>
        <v>55.66</v>
      </c>
      <c r="G44" s="47">
        <f>Лист1!AB37</f>
        <v>19918.739999999998</v>
      </c>
      <c r="H44" s="95">
        <f>Лист1!AC37</f>
        <v>22006.766499999998</v>
      </c>
      <c r="I44" s="48">
        <f>Лист1!AG37</f>
        <v>1458.7259999999999</v>
      </c>
      <c r="J44" s="16">
        <f>Лист1!AI37+Лист1!AJ37</f>
        <v>2431.21</v>
      </c>
      <c r="K44" s="16">
        <f>Лист1!AH37+Лист1!AK37+Лист1!AL37+Лист1!AM37+Лист1!AN37+Лист1!AO37+Лист1!AP37+Лист1!AQ37+Лист1!AR37</f>
        <v>8339.050299999999</v>
      </c>
      <c r="L44" s="17">
        <f>Лист1!AS37+Лист1!AT37+Лист1!AU37</f>
        <v>4035.8</v>
      </c>
      <c r="M44" s="17">
        <f>Лист1!AX37</f>
        <v>461.47499999999997</v>
      </c>
      <c r="N44" s="101">
        <f>Лист1!BB37</f>
        <v>16726.2613</v>
      </c>
      <c r="O44" s="110">
        <f>Лист1!BE37</f>
        <v>5280.5052</v>
      </c>
      <c r="P44" s="49">
        <f>Лист1!BF37</f>
        <v>976.7999999999993</v>
      </c>
      <c r="Q44" s="1"/>
      <c r="R44" s="1"/>
    </row>
    <row r="45" spans="1:18" ht="12.75">
      <c r="A45" s="14" t="s">
        <v>51</v>
      </c>
      <c r="B45" s="15">
        <f>Лист1!B38</f>
        <v>2431.21</v>
      </c>
      <c r="C45" s="45">
        <f>Лист1!C38</f>
        <v>21029.966500000002</v>
      </c>
      <c r="D45" s="46">
        <f>Лист1!D38</f>
        <v>2071.566500000003</v>
      </c>
      <c r="E45" s="16">
        <f>Лист1!S38</f>
        <v>18902.739999999998</v>
      </c>
      <c r="F45" s="18">
        <f>Лист1!T38</f>
        <v>55.66</v>
      </c>
      <c r="G45" s="47">
        <f>Лист1!AB38</f>
        <v>16779.620000000003</v>
      </c>
      <c r="H45" s="95">
        <f>Лист1!AC38</f>
        <v>18906.846500000007</v>
      </c>
      <c r="I45" s="48">
        <f>Лист1!AG38</f>
        <v>1458.7259999999999</v>
      </c>
      <c r="J45" s="16">
        <f>Лист1!AI38+Лист1!AJ38</f>
        <v>2431.21</v>
      </c>
      <c r="K45" s="16">
        <f>Лист1!AH38+Лист1!AK38+Лист1!AL38+Лист1!AM38+Лист1!AN38+Лист1!AO38+Лист1!AP38+Лист1!AQ38+Лист1!AR38</f>
        <v>8339.050299999999</v>
      </c>
      <c r="L45" s="17">
        <f>Лист1!AS38+Лист1!AT38+Лист1!AU38</f>
        <v>10456</v>
      </c>
      <c r="M45" s="17">
        <f>Лист1!AX38</f>
        <v>549.675</v>
      </c>
      <c r="N45" s="101">
        <f>Лист1!BB38</f>
        <v>23234.6613</v>
      </c>
      <c r="O45" s="110">
        <f>Лист1!BE38</f>
        <v>-4327.814799999993</v>
      </c>
      <c r="P45" s="49">
        <f>Лист1!BF38</f>
        <v>-2123.1199999999953</v>
      </c>
      <c r="Q45" s="1"/>
      <c r="R45" s="1"/>
    </row>
    <row r="46" spans="1:18" ht="12.75">
      <c r="A46" s="14" t="s">
        <v>39</v>
      </c>
      <c r="B46" s="15">
        <f>Лист1!B39</f>
        <v>2431.21</v>
      </c>
      <c r="C46" s="45">
        <f>Лист1!C39</f>
        <v>21029.966500000002</v>
      </c>
      <c r="D46" s="46">
        <f>Лист1!D39</f>
        <v>2061.8665000000005</v>
      </c>
      <c r="E46" s="16">
        <f>Лист1!S39</f>
        <v>18912.440000000002</v>
      </c>
      <c r="F46" s="18">
        <f>Лист1!T39</f>
        <v>55.66</v>
      </c>
      <c r="G46" s="47">
        <f>Лист1!AB39</f>
        <v>17623.77</v>
      </c>
      <c r="H46" s="95">
        <f>Лист1!AC39</f>
        <v>19741.2965</v>
      </c>
      <c r="I46" s="48">
        <f>Лист1!AG39</f>
        <v>1458.7259999999999</v>
      </c>
      <c r="J46" s="16">
        <f>Лист1!AI39+Лист1!AJ39</f>
        <v>2431.21</v>
      </c>
      <c r="K46" s="16">
        <f>Лист1!AH39+Лист1!AK39+Лист1!AL39+Лист1!AM39+Лист1!AN39+Лист1!AO39+Лист1!AP39+Лист1!AQ39+Лист1!AR39</f>
        <v>8339.050299999999</v>
      </c>
      <c r="L46" s="17">
        <f>Лист1!AS39+Лист1!AT39+Лист1!AU39</f>
        <v>1190</v>
      </c>
      <c r="M46" s="17">
        <f>Лист1!AX39</f>
        <v>669.375</v>
      </c>
      <c r="N46" s="101">
        <f>Лист1!BB39</f>
        <v>14088.3613</v>
      </c>
      <c r="O46" s="110">
        <f>Лист1!BE39</f>
        <v>5727.9352</v>
      </c>
      <c r="P46" s="49">
        <f>Лист1!BF39</f>
        <v>-1288.670000000002</v>
      </c>
      <c r="Q46" s="1"/>
      <c r="R46" s="1"/>
    </row>
    <row r="47" spans="1:18" ht="12.75">
      <c r="A47" s="14" t="s">
        <v>40</v>
      </c>
      <c r="B47" s="15">
        <f>Лист1!B40</f>
        <v>2431.21</v>
      </c>
      <c r="C47" s="45">
        <f>Лист1!C40</f>
        <v>21029.966500000002</v>
      </c>
      <c r="D47" s="46">
        <f>Лист1!D40</f>
        <v>2032.816500000001</v>
      </c>
      <c r="E47" s="16">
        <f>Лист1!S40</f>
        <v>18941.49</v>
      </c>
      <c r="F47" s="18">
        <f>Лист1!T40</f>
        <v>55.66</v>
      </c>
      <c r="G47" s="47">
        <f>Лист1!AB40</f>
        <v>18641.13</v>
      </c>
      <c r="H47" s="95">
        <f>Лист1!AC40</f>
        <v>20729.6065</v>
      </c>
      <c r="I47" s="48">
        <f>Лист1!AG40</f>
        <v>1458.7259999999999</v>
      </c>
      <c r="J47" s="16">
        <f>Лист1!AI40+Лист1!AJ40</f>
        <v>2431.21</v>
      </c>
      <c r="K47" s="16">
        <f>Лист1!AH40+Лист1!AK40+Лист1!AL40+Лист1!AM40+Лист1!AN40+Лист1!AO40+Лист1!AP40+Лист1!AQ40+Лист1!AR40</f>
        <v>8339.050299999999</v>
      </c>
      <c r="L47" s="17">
        <f>Лист1!AS40+Лист1!AT40+Лист1!AU40</f>
        <v>9668</v>
      </c>
      <c r="M47" s="17">
        <f>Лист1!AX40</f>
        <v>740.25</v>
      </c>
      <c r="N47" s="101">
        <f>Лист1!BB40</f>
        <v>22637.2363</v>
      </c>
      <c r="O47" s="110">
        <f>Лист1!BE40</f>
        <v>-1832.6297999999988</v>
      </c>
      <c r="P47" s="49">
        <f>Лист1!BF40</f>
        <v>-300.3600000000006</v>
      </c>
      <c r="Q47" s="1"/>
      <c r="R47" s="1"/>
    </row>
    <row r="48" spans="1:18" ht="13.5" thickBot="1">
      <c r="A48" s="50" t="s">
        <v>41</v>
      </c>
      <c r="B48" s="15">
        <f>Лист1!B41</f>
        <v>2431.21</v>
      </c>
      <c r="C48" s="45">
        <f>Лист1!C41</f>
        <v>21029.966500000002</v>
      </c>
      <c r="D48" s="46">
        <f>Лист1!D41</f>
        <v>2032.816500000001</v>
      </c>
      <c r="E48" s="16">
        <f>Лист1!S41</f>
        <v>18941.49</v>
      </c>
      <c r="F48" s="18">
        <f>Лист1!T41</f>
        <v>55.66</v>
      </c>
      <c r="G48" s="47">
        <f>Лист1!AB41</f>
        <v>17251.52</v>
      </c>
      <c r="H48" s="95">
        <f>Лист1!AC41</f>
        <v>19339.9965</v>
      </c>
      <c r="I48" s="48">
        <f>Лист1!AG41</f>
        <v>1458.7259999999999</v>
      </c>
      <c r="J48" s="16">
        <f>Лист1!AI41+Лист1!AJ41</f>
        <v>2431.21</v>
      </c>
      <c r="K48" s="16">
        <f>Лист1!AH41+Лист1!AK41+Лист1!AL41+Лист1!AM41+Лист1!AN41+Лист1!AO41+Лист1!AP41+Лист1!AQ41+Лист1!AR41</f>
        <v>8339.050299999999</v>
      </c>
      <c r="L48" s="17">
        <f>Лист1!AS41+Лист1!AT41+Лист1!AU41</f>
        <v>43069.419200000004</v>
      </c>
      <c r="M48" s="17">
        <f>Лист1!AX41</f>
        <v>809.55</v>
      </c>
      <c r="N48" s="101">
        <f>Лист1!BB41</f>
        <v>56107.95550000001</v>
      </c>
      <c r="O48" s="110">
        <f>Лист1!BE41</f>
        <v>-36692.95900000001</v>
      </c>
      <c r="P48" s="49">
        <f>Лист1!BF41</f>
        <v>-1689.9700000000012</v>
      </c>
      <c r="Q48" s="1"/>
      <c r="R48" s="1"/>
    </row>
    <row r="49" spans="1:18" s="24" customFormat="1" ht="13.5" thickBot="1">
      <c r="A49" s="51" t="s">
        <v>3</v>
      </c>
      <c r="B49" s="52"/>
      <c r="C49" s="53">
        <f aca="true" t="shared" si="3" ref="C49:P49">SUM(C37:C48)</f>
        <v>252236.76800000007</v>
      </c>
      <c r="D49" s="54">
        <f t="shared" si="3"/>
        <v>24725.108000000015</v>
      </c>
      <c r="E49" s="53">
        <f t="shared" si="3"/>
        <v>205900.56</v>
      </c>
      <c r="F49" s="55">
        <f t="shared" si="3"/>
        <v>21611.1</v>
      </c>
      <c r="G49" s="56">
        <f t="shared" si="3"/>
        <v>181142.02</v>
      </c>
      <c r="H49" s="90">
        <f t="shared" si="3"/>
        <v>227478.22800000003</v>
      </c>
      <c r="I49" s="54">
        <f t="shared" si="3"/>
        <v>17496.192000000003</v>
      </c>
      <c r="J49" s="53">
        <f t="shared" si="3"/>
        <v>29160.319999999996</v>
      </c>
      <c r="K49" s="53">
        <f t="shared" si="3"/>
        <v>102849.49760000002</v>
      </c>
      <c r="L49" s="53">
        <f t="shared" si="3"/>
        <v>72346.48920000001</v>
      </c>
      <c r="M49" s="53">
        <f t="shared" si="3"/>
        <v>6930</v>
      </c>
      <c r="N49" s="99">
        <f t="shared" si="3"/>
        <v>228782.4988</v>
      </c>
      <c r="O49" s="54">
        <f t="shared" si="3"/>
        <v>-1079.2708000000057</v>
      </c>
      <c r="P49" s="57">
        <f t="shared" si="3"/>
        <v>-24758.54</v>
      </c>
      <c r="Q49" s="58"/>
      <c r="R49" s="58"/>
    </row>
    <row r="50" spans="1:18" ht="13.5" thickBot="1">
      <c r="A50" s="92" t="s">
        <v>66</v>
      </c>
      <c r="B50" s="93"/>
      <c r="C50" s="93"/>
      <c r="D50" s="93"/>
      <c r="E50" s="93"/>
      <c r="F50" s="93"/>
      <c r="G50" s="93"/>
      <c r="H50" s="94"/>
      <c r="I50" s="93"/>
      <c r="J50" s="93"/>
      <c r="K50" s="93"/>
      <c r="L50" s="93"/>
      <c r="M50" s="93"/>
      <c r="N50" s="94"/>
      <c r="O50" s="93"/>
      <c r="P50" s="65"/>
      <c r="Q50" s="1"/>
      <c r="R50" s="1"/>
    </row>
    <row r="51" spans="1:18" s="24" customFormat="1" ht="13.5" thickBot="1">
      <c r="A51" s="66" t="s">
        <v>52</v>
      </c>
      <c r="B51" s="67"/>
      <c r="C51" s="68">
        <f>C35+C49</f>
        <v>567344.158</v>
      </c>
      <c r="D51" s="69">
        <f aca="true" t="shared" si="4" ref="D51:P51">D35+D49</f>
        <v>66930.69914245003</v>
      </c>
      <c r="E51" s="67">
        <f t="shared" si="4"/>
        <v>423141.12</v>
      </c>
      <c r="F51" s="68">
        <f t="shared" si="4"/>
        <v>73366.35999999999</v>
      </c>
      <c r="G51" s="69">
        <f t="shared" si="4"/>
        <v>396173.9199999999</v>
      </c>
      <c r="H51" s="91">
        <f t="shared" si="4"/>
        <v>536470.97914245</v>
      </c>
      <c r="I51" s="69">
        <f t="shared" si="4"/>
        <v>38770.4868</v>
      </c>
      <c r="J51" s="67">
        <f t="shared" si="4"/>
        <v>64360.5256637915</v>
      </c>
      <c r="K51" s="67">
        <f t="shared" si="4"/>
        <v>246826.52812370379</v>
      </c>
      <c r="L51" s="67">
        <f t="shared" si="4"/>
        <v>98641.02920000002</v>
      </c>
      <c r="M51" s="67">
        <f t="shared" si="4"/>
        <v>13471.916000000001</v>
      </c>
      <c r="N51" s="100">
        <f t="shared" si="4"/>
        <v>462070.4857874953</v>
      </c>
      <c r="O51" s="112">
        <f t="shared" si="4"/>
        <v>74625.49335495476</v>
      </c>
      <c r="P51" s="70">
        <f t="shared" si="4"/>
        <v>-26967.200000000008</v>
      </c>
      <c r="Q51" s="71"/>
      <c r="R51" s="58"/>
    </row>
    <row r="52" spans="1:18" s="24" customFormat="1" ht="12.75">
      <c r="A52" s="30"/>
      <c r="B52" s="71"/>
      <c r="C52" s="71"/>
      <c r="D52" s="71"/>
      <c r="E52" s="71"/>
      <c r="F52" s="71"/>
      <c r="G52" s="71"/>
      <c r="H52" s="182"/>
      <c r="I52" s="71"/>
      <c r="J52" s="71"/>
      <c r="K52" s="71"/>
      <c r="L52" s="71"/>
      <c r="M52" s="71"/>
      <c r="N52" s="182"/>
      <c r="O52" s="71"/>
      <c r="P52" s="71"/>
      <c r="Q52" s="71"/>
      <c r="R52" s="58"/>
    </row>
    <row r="53" spans="1:18" ht="12.75">
      <c r="A53" s="24" t="s">
        <v>67</v>
      </c>
      <c r="D53" s="2" t="s">
        <v>92</v>
      </c>
      <c r="Q53" s="1"/>
      <c r="R53" s="1"/>
    </row>
    <row r="54" spans="1:18" ht="12.75">
      <c r="A54" s="26" t="s">
        <v>68</v>
      </c>
      <c r="B54" s="26" t="s">
        <v>69</v>
      </c>
      <c r="C54" s="269" t="s">
        <v>70</v>
      </c>
      <c r="D54" s="269"/>
      <c r="Q54" s="1"/>
      <c r="R54" s="1"/>
    </row>
    <row r="55" spans="1:18" ht="12.75">
      <c r="A55" s="77">
        <v>157015.4</v>
      </c>
      <c r="B55" s="79">
        <v>92471.58</v>
      </c>
      <c r="C55" s="270">
        <f>A55-B55</f>
        <v>64543.81999999999</v>
      </c>
      <c r="D55" s="271"/>
      <c r="Q55" s="1"/>
      <c r="R55" s="1"/>
    </row>
    <row r="56" spans="1:18" ht="12.75">
      <c r="A56" s="72"/>
      <c r="Q56" s="1"/>
      <c r="R56" s="1"/>
    </row>
    <row r="57" spans="1:18" ht="12.75">
      <c r="A57" s="72"/>
      <c r="Q57" s="1"/>
      <c r="R57" s="1"/>
    </row>
    <row r="58" spans="1:18" ht="12.75">
      <c r="A58" s="2" t="s">
        <v>71</v>
      </c>
      <c r="G58" s="2" t="s">
        <v>72</v>
      </c>
      <c r="Q58" s="1"/>
      <c r="R58" s="1"/>
    </row>
    <row r="59" ht="12.75">
      <c r="A59" s="1"/>
    </row>
    <row r="60" ht="12.75">
      <c r="A60" s="1"/>
    </row>
    <row r="61" ht="12.75">
      <c r="A61" s="1" t="s">
        <v>93</v>
      </c>
    </row>
    <row r="62" ht="12.75">
      <c r="A62" s="2" t="s">
        <v>73</v>
      </c>
    </row>
  </sheetData>
  <sheetProtection/>
  <mergeCells count="21">
    <mergeCell ref="A7:G7"/>
    <mergeCell ref="C54:D54"/>
    <mergeCell ref="C55:D55"/>
    <mergeCell ref="N12:N13"/>
    <mergeCell ref="M12:M13"/>
    <mergeCell ref="A6:O6"/>
    <mergeCell ref="A10:A13"/>
    <mergeCell ref="B10:B13"/>
    <mergeCell ref="C10:C13"/>
    <mergeCell ref="D10:D13"/>
    <mergeCell ref="E10:F11"/>
    <mergeCell ref="P10:P13"/>
    <mergeCell ref="E12:F12"/>
    <mergeCell ref="H12:H13"/>
    <mergeCell ref="I12:I13"/>
    <mergeCell ref="J12:J13"/>
    <mergeCell ref="K12:K13"/>
    <mergeCell ref="L12:L13"/>
    <mergeCell ref="G10:H11"/>
    <mergeCell ref="I10:N11"/>
    <mergeCell ref="O10:O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24"/>
  <sheetViews>
    <sheetView zoomScalePageLayoutView="0" workbookViewId="0" topLeftCell="A1">
      <pane xSplit="2" ySplit="7" topLeftCell="AT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K8" sqref="AK8:BB8"/>
    </sheetView>
  </sheetViews>
  <sheetFormatPr defaultColWidth="9.00390625" defaultRowHeight="12.75"/>
  <cols>
    <col min="1" max="1" width="8.75390625" style="301" bestFit="1" customWidth="1"/>
    <col min="2" max="2" width="9.125" style="301" customWidth="1"/>
    <col min="3" max="3" width="11.375" style="301" customWidth="1"/>
    <col min="4" max="4" width="10.375" style="301" customWidth="1"/>
    <col min="5" max="5" width="10.125" style="301" bestFit="1" customWidth="1"/>
    <col min="6" max="6" width="9.125" style="301" customWidth="1"/>
    <col min="7" max="7" width="10.25390625" style="301" customWidth="1"/>
    <col min="8" max="8" width="9.125" style="301" customWidth="1"/>
    <col min="9" max="9" width="9.875" style="301" customWidth="1"/>
    <col min="10" max="10" width="9.125" style="301" customWidth="1"/>
    <col min="11" max="11" width="10.375" style="301" customWidth="1"/>
    <col min="12" max="12" width="9.125" style="301" customWidth="1"/>
    <col min="13" max="13" width="10.125" style="301" bestFit="1" customWidth="1"/>
    <col min="14" max="14" width="9.125" style="301" customWidth="1"/>
    <col min="15" max="15" width="10.125" style="301" bestFit="1" customWidth="1"/>
    <col min="16" max="18" width="9.125" style="301" customWidth="1"/>
    <col min="19" max="19" width="10.125" style="301" bestFit="1" customWidth="1"/>
    <col min="20" max="20" width="10.125" style="301" customWidth="1"/>
    <col min="21" max="21" width="10.125" style="301" bestFit="1" customWidth="1"/>
    <col min="22" max="22" width="10.25390625" style="301" customWidth="1"/>
    <col min="23" max="23" width="10.625" style="301" customWidth="1"/>
    <col min="24" max="24" width="10.125" style="301" customWidth="1"/>
    <col min="25" max="28" width="10.125" style="301" bestFit="1" customWidth="1"/>
    <col min="29" max="30" width="11.375" style="301" customWidth="1"/>
    <col min="31" max="31" width="9.25390625" style="301" bestFit="1" customWidth="1"/>
    <col min="32" max="32" width="10.125" style="301" bestFit="1" customWidth="1"/>
    <col min="33" max="33" width="12.00390625" style="301" customWidth="1"/>
    <col min="34" max="34" width="14.25390625" style="301" customWidth="1"/>
    <col min="35" max="35" width="9.25390625" style="301" bestFit="1" customWidth="1"/>
    <col min="36" max="36" width="12.625" style="301" customWidth="1"/>
    <col min="37" max="38" width="9.25390625" style="301" bestFit="1" customWidth="1"/>
    <col min="39" max="39" width="10.125" style="301" bestFit="1" customWidth="1"/>
    <col min="40" max="40" width="9.25390625" style="301" bestFit="1" customWidth="1"/>
    <col min="41" max="42" width="10.125" style="301" bestFit="1" customWidth="1"/>
    <col min="43" max="44" width="9.25390625" style="301" customWidth="1"/>
    <col min="45" max="45" width="10.125" style="301" bestFit="1" customWidth="1"/>
    <col min="46" max="46" width="11.625" style="301" customWidth="1"/>
    <col min="47" max="47" width="10.875" style="301" customWidth="1"/>
    <col min="48" max="48" width="10.625" style="301" customWidth="1"/>
    <col min="49" max="49" width="10.25390625" style="301" customWidth="1"/>
    <col min="50" max="50" width="10.625" style="301" customWidth="1"/>
    <col min="51" max="51" width="9.25390625" style="301" bestFit="1" customWidth="1"/>
    <col min="52" max="53" width="10.125" style="301" bestFit="1" customWidth="1"/>
    <col min="54" max="54" width="11.625" style="301" customWidth="1"/>
    <col min="55" max="55" width="11.75390625" style="301" customWidth="1"/>
    <col min="56" max="56" width="12.125" style="301" customWidth="1"/>
    <col min="57" max="57" width="13.625" style="301" customWidth="1"/>
    <col min="58" max="58" width="11.00390625" style="301" customWidth="1"/>
    <col min="59" max="59" width="11.375" style="301" customWidth="1"/>
    <col min="60" max="16384" width="9.125" style="301" customWidth="1"/>
  </cols>
  <sheetData>
    <row r="1" spans="1:18" ht="21" customHeight="1">
      <c r="A1" s="246" t="s">
        <v>96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300"/>
      <c r="P1" s="300"/>
      <c r="Q1" s="300"/>
      <c r="R1" s="300"/>
    </row>
    <row r="2" spans="1:18" ht="13.5" thickBot="1">
      <c r="A2" s="300"/>
      <c r="B2" s="302"/>
      <c r="C2" s="303"/>
      <c r="D2" s="303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</row>
    <row r="3" spans="1:59" ht="29.25" customHeight="1" thickBot="1">
      <c r="A3" s="212" t="s">
        <v>97</v>
      </c>
      <c r="B3" s="248" t="s">
        <v>0</v>
      </c>
      <c r="C3" s="250" t="s">
        <v>1</v>
      </c>
      <c r="D3" s="252" t="s">
        <v>2</v>
      </c>
      <c r="E3" s="212" t="s">
        <v>98</v>
      </c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13"/>
      <c r="S3" s="212"/>
      <c r="T3" s="225"/>
      <c r="U3" s="212" t="s">
        <v>3</v>
      </c>
      <c r="V3" s="225"/>
      <c r="W3" s="237" t="s">
        <v>4</v>
      </c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304"/>
      <c r="AJ3" s="305" t="s">
        <v>80</v>
      </c>
      <c r="AK3" s="221" t="s">
        <v>8</v>
      </c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306"/>
      <c r="BB3" s="306"/>
      <c r="BC3" s="306"/>
      <c r="BD3" s="306"/>
      <c r="BE3" s="307"/>
      <c r="BF3" s="308" t="s">
        <v>9</v>
      </c>
      <c r="BG3" s="309" t="s">
        <v>10</v>
      </c>
    </row>
    <row r="4" spans="1:59" ht="51.75" customHeight="1" hidden="1" thickBot="1">
      <c r="A4" s="247"/>
      <c r="B4" s="249"/>
      <c r="C4" s="251"/>
      <c r="D4" s="253"/>
      <c r="E4" s="247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7"/>
      <c r="S4" s="214"/>
      <c r="T4" s="236"/>
      <c r="U4" s="214"/>
      <c r="V4" s="236"/>
      <c r="W4" s="239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310"/>
      <c r="AJ4" s="311"/>
      <c r="AK4" s="209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1"/>
      <c r="BF4" s="312"/>
      <c r="BG4" s="313"/>
    </row>
    <row r="5" spans="1:61" ht="19.5" customHeight="1">
      <c r="A5" s="247"/>
      <c r="B5" s="249"/>
      <c r="C5" s="251"/>
      <c r="D5" s="253"/>
      <c r="E5" s="314" t="s">
        <v>11</v>
      </c>
      <c r="F5" s="315"/>
      <c r="G5" s="314" t="s">
        <v>99</v>
      </c>
      <c r="H5" s="315"/>
      <c r="I5" s="314" t="s">
        <v>12</v>
      </c>
      <c r="J5" s="315"/>
      <c r="K5" s="314" t="s">
        <v>14</v>
      </c>
      <c r="L5" s="315"/>
      <c r="M5" s="314" t="s">
        <v>13</v>
      </c>
      <c r="N5" s="315"/>
      <c r="O5" s="316" t="s">
        <v>15</v>
      </c>
      <c r="P5" s="316"/>
      <c r="Q5" s="314" t="s">
        <v>100</v>
      </c>
      <c r="R5" s="315"/>
      <c r="S5" s="316" t="s">
        <v>101</v>
      </c>
      <c r="T5" s="315"/>
      <c r="U5" s="228" t="s">
        <v>18</v>
      </c>
      <c r="V5" s="244" t="s">
        <v>19</v>
      </c>
      <c r="W5" s="317" t="s">
        <v>20</v>
      </c>
      <c r="X5" s="317" t="s">
        <v>102</v>
      </c>
      <c r="Y5" s="317" t="s">
        <v>21</v>
      </c>
      <c r="Z5" s="317" t="s">
        <v>23</v>
      </c>
      <c r="AA5" s="317" t="s">
        <v>22</v>
      </c>
      <c r="AB5" s="317" t="s">
        <v>24</v>
      </c>
      <c r="AC5" s="317" t="s">
        <v>25</v>
      </c>
      <c r="AD5" s="318" t="s">
        <v>26</v>
      </c>
      <c r="AE5" s="318" t="s">
        <v>103</v>
      </c>
      <c r="AF5" s="319" t="s">
        <v>27</v>
      </c>
      <c r="AG5" s="320" t="s">
        <v>79</v>
      </c>
      <c r="AH5" s="321" t="s">
        <v>6</v>
      </c>
      <c r="AI5" s="322" t="s">
        <v>7</v>
      </c>
      <c r="AJ5" s="311"/>
      <c r="AK5" s="323" t="s">
        <v>104</v>
      </c>
      <c r="AL5" s="324" t="s">
        <v>105</v>
      </c>
      <c r="AM5" s="324" t="s">
        <v>106</v>
      </c>
      <c r="AN5" s="200" t="s">
        <v>107</v>
      </c>
      <c r="AO5" s="324" t="s">
        <v>108</v>
      </c>
      <c r="AP5" s="200" t="s">
        <v>109</v>
      </c>
      <c r="AQ5" s="200" t="s">
        <v>110</v>
      </c>
      <c r="AR5" s="200" t="s">
        <v>111</v>
      </c>
      <c r="AS5" s="200" t="s">
        <v>112</v>
      </c>
      <c r="AT5" s="200" t="s">
        <v>34</v>
      </c>
      <c r="AU5" s="325" t="s">
        <v>113</v>
      </c>
      <c r="AV5" s="193" t="s">
        <v>114</v>
      </c>
      <c r="AW5" s="325" t="s">
        <v>115</v>
      </c>
      <c r="AX5" s="326" t="s">
        <v>116</v>
      </c>
      <c r="AY5" s="327"/>
      <c r="AZ5" s="204" t="s">
        <v>17</v>
      </c>
      <c r="BA5" s="200" t="s">
        <v>36</v>
      </c>
      <c r="BB5" s="200" t="s">
        <v>31</v>
      </c>
      <c r="BC5" s="328" t="s">
        <v>37</v>
      </c>
      <c r="BD5" s="197" t="s">
        <v>82</v>
      </c>
      <c r="BE5" s="200" t="s">
        <v>83</v>
      </c>
      <c r="BF5" s="312"/>
      <c r="BG5" s="313"/>
      <c r="BH5" s="183"/>
      <c r="BI5" s="184"/>
    </row>
    <row r="6" spans="1:61" ht="56.25" customHeight="1" thickBot="1">
      <c r="A6" s="247"/>
      <c r="B6" s="249"/>
      <c r="C6" s="251"/>
      <c r="D6" s="253"/>
      <c r="E6" s="329"/>
      <c r="F6" s="330"/>
      <c r="G6" s="329"/>
      <c r="H6" s="330"/>
      <c r="I6" s="329"/>
      <c r="J6" s="330"/>
      <c r="K6" s="329"/>
      <c r="L6" s="330"/>
      <c r="M6" s="329"/>
      <c r="N6" s="330"/>
      <c r="O6" s="331"/>
      <c r="P6" s="331"/>
      <c r="Q6" s="329"/>
      <c r="R6" s="330"/>
      <c r="S6" s="332"/>
      <c r="T6" s="330"/>
      <c r="U6" s="333"/>
      <c r="V6" s="334"/>
      <c r="W6" s="335"/>
      <c r="X6" s="335"/>
      <c r="Y6" s="335"/>
      <c r="Z6" s="335"/>
      <c r="AA6" s="335"/>
      <c r="AB6" s="335"/>
      <c r="AC6" s="335"/>
      <c r="AD6" s="336"/>
      <c r="AE6" s="336"/>
      <c r="AF6" s="337"/>
      <c r="AG6" s="338"/>
      <c r="AH6" s="339"/>
      <c r="AI6" s="340"/>
      <c r="AJ6" s="341"/>
      <c r="AK6" s="233"/>
      <c r="AL6" s="231"/>
      <c r="AM6" s="231"/>
      <c r="AN6" s="187"/>
      <c r="AO6" s="231"/>
      <c r="AP6" s="187"/>
      <c r="AQ6" s="187"/>
      <c r="AR6" s="187"/>
      <c r="AS6" s="187"/>
      <c r="AT6" s="187"/>
      <c r="AU6" s="196"/>
      <c r="AV6" s="194"/>
      <c r="AW6" s="196"/>
      <c r="AX6" s="342"/>
      <c r="AY6" s="115" t="s">
        <v>117</v>
      </c>
      <c r="AZ6" s="205"/>
      <c r="BA6" s="187"/>
      <c r="BB6" s="187"/>
      <c r="BC6" s="343"/>
      <c r="BD6" s="199"/>
      <c r="BE6" s="187"/>
      <c r="BF6" s="344"/>
      <c r="BG6" s="345"/>
      <c r="BH6" s="183"/>
      <c r="BI6" s="184"/>
    </row>
    <row r="7" spans="1:61" ht="19.5" customHeight="1" thickBot="1">
      <c r="A7" s="346">
        <v>1</v>
      </c>
      <c r="B7" s="42">
        <v>2</v>
      </c>
      <c r="C7" s="42">
        <v>3</v>
      </c>
      <c r="D7" s="346">
        <v>4</v>
      </c>
      <c r="E7" s="42">
        <v>5</v>
      </c>
      <c r="F7" s="42">
        <v>6</v>
      </c>
      <c r="G7" s="346">
        <v>7</v>
      </c>
      <c r="H7" s="42">
        <v>8</v>
      </c>
      <c r="I7" s="42">
        <v>9</v>
      </c>
      <c r="J7" s="346">
        <v>10</v>
      </c>
      <c r="K7" s="42">
        <v>11</v>
      </c>
      <c r="L7" s="42">
        <v>12</v>
      </c>
      <c r="M7" s="346">
        <v>13</v>
      </c>
      <c r="N7" s="42">
        <v>14</v>
      </c>
      <c r="O7" s="42">
        <v>15</v>
      </c>
      <c r="P7" s="346">
        <v>16</v>
      </c>
      <c r="Q7" s="42">
        <v>17</v>
      </c>
      <c r="R7" s="42">
        <v>18</v>
      </c>
      <c r="S7" s="346">
        <v>19</v>
      </c>
      <c r="T7" s="42">
        <v>20</v>
      </c>
      <c r="U7" s="42">
        <v>21</v>
      </c>
      <c r="V7" s="346">
        <v>22</v>
      </c>
      <c r="W7" s="42">
        <v>23</v>
      </c>
      <c r="X7" s="346">
        <v>24</v>
      </c>
      <c r="Y7" s="42">
        <v>25</v>
      </c>
      <c r="Z7" s="346">
        <v>26</v>
      </c>
      <c r="AA7" s="42">
        <v>27</v>
      </c>
      <c r="AB7" s="346">
        <v>28</v>
      </c>
      <c r="AC7" s="42">
        <v>29</v>
      </c>
      <c r="AD7" s="346">
        <v>30</v>
      </c>
      <c r="AE7" s="346">
        <v>31</v>
      </c>
      <c r="AF7" s="42">
        <v>32</v>
      </c>
      <c r="AG7" s="346">
        <v>33</v>
      </c>
      <c r="AH7" s="42">
        <v>34</v>
      </c>
      <c r="AI7" s="346">
        <v>35</v>
      </c>
      <c r="AJ7" s="42">
        <v>36</v>
      </c>
      <c r="AK7" s="346">
        <v>37</v>
      </c>
      <c r="AL7" s="42">
        <v>38</v>
      </c>
      <c r="AM7" s="346">
        <v>39</v>
      </c>
      <c r="AN7" s="346">
        <v>40</v>
      </c>
      <c r="AO7" s="42">
        <v>41</v>
      </c>
      <c r="AP7" s="346">
        <v>42</v>
      </c>
      <c r="AQ7" s="42">
        <v>43</v>
      </c>
      <c r="AR7" s="346"/>
      <c r="AS7" s="346">
        <v>44</v>
      </c>
      <c r="AT7" s="42">
        <v>45</v>
      </c>
      <c r="AU7" s="346">
        <v>46</v>
      </c>
      <c r="AV7" s="42">
        <v>47</v>
      </c>
      <c r="AW7" s="346">
        <v>48</v>
      </c>
      <c r="AX7" s="346">
        <v>49</v>
      </c>
      <c r="AY7" s="42"/>
      <c r="AZ7" s="42">
        <v>50</v>
      </c>
      <c r="BA7" s="42">
        <v>51</v>
      </c>
      <c r="BB7" s="42">
        <v>52</v>
      </c>
      <c r="BC7" s="42">
        <v>53</v>
      </c>
      <c r="BD7" s="42">
        <v>54</v>
      </c>
      <c r="BE7" s="42"/>
      <c r="BF7" s="42">
        <v>55</v>
      </c>
      <c r="BG7" s="42">
        <v>56</v>
      </c>
      <c r="BH7" s="184"/>
      <c r="BI7" s="184"/>
    </row>
    <row r="8" spans="1:59" s="24" customFormat="1" ht="13.5" thickBot="1">
      <c r="A8" s="27" t="s">
        <v>52</v>
      </c>
      <c r="B8" s="347"/>
      <c r="C8" s="347">
        <f>Лист1!C44</f>
        <v>567344.158</v>
      </c>
      <c r="D8" s="347">
        <f>Лист1!D44</f>
        <v>66930.69914245003</v>
      </c>
      <c r="E8" s="347">
        <f>Лист1!E44</f>
        <v>48870.149999999994</v>
      </c>
      <c r="F8" s="347">
        <f>Лист1!F44</f>
        <v>8438.09</v>
      </c>
      <c r="G8" s="347">
        <f>0</f>
        <v>0</v>
      </c>
      <c r="H8" s="347">
        <f>0</f>
        <v>0</v>
      </c>
      <c r="I8" s="347">
        <f>Лист1!G44</f>
        <v>66132.14</v>
      </c>
      <c r="J8" s="347">
        <f>Лист1!H44</f>
        <v>11423.609999999997</v>
      </c>
      <c r="K8" s="347">
        <f>Лист1!K44</f>
        <v>110111.40999999999</v>
      </c>
      <c r="L8" s="347">
        <f>Лист1!L44</f>
        <v>19018.839999999997</v>
      </c>
      <c r="M8" s="347">
        <f>Лист1!I44</f>
        <v>158933.58000000002</v>
      </c>
      <c r="N8" s="347">
        <f>Лист1!J44</f>
        <v>27735.13</v>
      </c>
      <c r="O8" s="347">
        <f>Лист1!M44</f>
        <v>39093.84</v>
      </c>
      <c r="P8" s="347">
        <f>Лист1!N44</f>
        <v>6750.6900000000005</v>
      </c>
      <c r="Q8" s="347">
        <f>'[2]Лист1'!O44</f>
        <v>0</v>
      </c>
      <c r="R8" s="347">
        <f>'[2]Лист1'!P44</f>
        <v>0</v>
      </c>
      <c r="S8" s="347">
        <f>'[2]Лист1'!Q44</f>
        <v>0</v>
      </c>
      <c r="T8" s="347">
        <f>'[2]Лист1'!R44</f>
        <v>0</v>
      </c>
      <c r="U8" s="347">
        <f>Лист1!S44</f>
        <v>423141.12</v>
      </c>
      <c r="V8" s="347">
        <f>Лист1!T44</f>
        <v>73366.35999999999</v>
      </c>
      <c r="W8" s="347">
        <f>Лист1!U44</f>
        <v>45742.81</v>
      </c>
      <c r="X8" s="347">
        <v>0</v>
      </c>
      <c r="Y8" s="347">
        <f>Лист1!V44</f>
        <v>61896.340000000004</v>
      </c>
      <c r="Z8" s="347">
        <f>Лист1!X44</f>
        <v>103064.89000000001</v>
      </c>
      <c r="AA8" s="347">
        <f>Лист1!W44</f>
        <v>148874.38</v>
      </c>
      <c r="AB8" s="347">
        <f>Лист1!Y44</f>
        <v>36595.5</v>
      </c>
      <c r="AC8" s="347">
        <f>'[3]Лист1'!Z42</f>
        <v>0</v>
      </c>
      <c r="AD8" s="347">
        <f>'[3]Лист1'!AA42</f>
        <v>0</v>
      </c>
      <c r="AE8" s="347">
        <f>0</f>
        <v>0</v>
      </c>
      <c r="AF8" s="347">
        <f>Лист1!AB44</f>
        <v>396173.9199999999</v>
      </c>
      <c r="AG8" s="347">
        <f>Лист1!AC44</f>
        <v>536470.97914245</v>
      </c>
      <c r="AH8" s="347">
        <f>'[4]2010 печать'!AD44</f>
        <v>0</v>
      </c>
      <c r="AI8" s="347">
        <f>'[3]Лист1'!AE42</f>
        <v>0</v>
      </c>
      <c r="AJ8" s="347">
        <f>'[1]Лист1'!AF44</f>
        <v>300</v>
      </c>
      <c r="AK8" s="347">
        <f>Лист1!AG44</f>
        <v>38770.4868</v>
      </c>
      <c r="AL8" s="347">
        <f>Лист1!AH44</f>
        <v>12991.277412120002</v>
      </c>
      <c r="AM8" s="347">
        <f>Лист1!AI44+Лист1!AJ44</f>
        <v>64360.5256637915</v>
      </c>
      <c r="AN8" s="347">
        <v>0</v>
      </c>
      <c r="AO8" s="347">
        <f>Лист1!AK44+Лист1!AL44</f>
        <v>64193.92621965595</v>
      </c>
      <c r="AP8" s="347">
        <f>Лист1!AM44+Лист1!AN44</f>
        <v>143608.09829192783</v>
      </c>
      <c r="AQ8" s="347">
        <v>0</v>
      </c>
      <c r="AR8" s="347">
        <v>0</v>
      </c>
      <c r="AS8" s="347">
        <v>0</v>
      </c>
      <c r="AT8" s="347">
        <f>Лист1!AO44</f>
        <v>2829.6000000000004</v>
      </c>
      <c r="AU8" s="347">
        <f>Лист1!AS44+Лист1!AU44</f>
        <v>61798.519199999995</v>
      </c>
      <c r="AV8" s="347">
        <v>0</v>
      </c>
      <c r="AW8" s="347">
        <f>Лист1!AT44</f>
        <v>36842.51</v>
      </c>
      <c r="AX8" s="347">
        <f>Лист1!AQ44+Лист1!AR44</f>
        <v>23203.6262</v>
      </c>
      <c r="AY8" s="348">
        <f>Лист1!AX44</f>
        <v>13471.916000000001</v>
      </c>
      <c r="AZ8" s="348">
        <f>'[2]Лист1'!AY44</f>
        <v>0</v>
      </c>
      <c r="BA8" s="348">
        <f>'[5]Лист1'!AZ44</f>
        <v>0</v>
      </c>
      <c r="BB8" s="348">
        <v>0</v>
      </c>
      <c r="BC8" s="348">
        <f>Лист1!BB44</f>
        <v>462070.4857874953</v>
      </c>
      <c r="BD8" s="347">
        <f>'[1]Лист1'!BC44</f>
        <v>75</v>
      </c>
      <c r="BE8" s="349">
        <f>BD8+BC8</f>
        <v>462145.4857874953</v>
      </c>
      <c r="BF8" s="350">
        <f>Лист1!BE44</f>
        <v>74625.49335495476</v>
      </c>
      <c r="BG8" s="350">
        <f>Лист1!BF44</f>
        <v>-26967.200000000008</v>
      </c>
    </row>
    <row r="9" spans="1:59" ht="12.75">
      <c r="A9" s="5" t="s">
        <v>118</v>
      </c>
      <c r="B9" s="351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  <c r="AW9" s="351"/>
      <c r="AX9" s="351"/>
      <c r="AY9" s="351"/>
      <c r="AZ9" s="351"/>
      <c r="BA9" s="351"/>
      <c r="BB9" s="351"/>
      <c r="BC9" s="351"/>
      <c r="BD9" s="351"/>
      <c r="BE9" s="352"/>
      <c r="BF9" s="350"/>
      <c r="BG9" s="353"/>
    </row>
    <row r="10" spans="1:73" ht="12.75">
      <c r="A10" s="354" t="s">
        <v>43</v>
      </c>
      <c r="B10" s="355">
        <v>2431.21</v>
      </c>
      <c r="C10" s="154">
        <f>B10*8.55</f>
        <v>20786.845500000003</v>
      </c>
      <c r="D10" s="171">
        <v>130.1806</v>
      </c>
      <c r="E10" s="356">
        <v>0</v>
      </c>
      <c r="F10" s="356">
        <v>0</v>
      </c>
      <c r="G10" s="357">
        <v>12851.43</v>
      </c>
      <c r="H10" s="357">
        <v>0</v>
      </c>
      <c r="I10" s="357">
        <v>0</v>
      </c>
      <c r="J10" s="357">
        <v>0</v>
      </c>
      <c r="K10" s="357">
        <v>0</v>
      </c>
      <c r="L10" s="357">
        <v>0</v>
      </c>
      <c r="M10" s="357">
        <v>6068.64</v>
      </c>
      <c r="N10" s="357">
        <v>47.68</v>
      </c>
      <c r="O10" s="357">
        <v>2121.45</v>
      </c>
      <c r="P10" s="356">
        <v>0</v>
      </c>
      <c r="Q10" s="358">
        <v>0</v>
      </c>
      <c r="R10" s="359">
        <v>0</v>
      </c>
      <c r="S10" s="360">
        <v>0</v>
      </c>
      <c r="T10" s="361">
        <v>0</v>
      </c>
      <c r="U10" s="362">
        <f aca="true" t="shared" si="0" ref="U10:V13">E10+G10+I10+K10+M10+O10+Q10+S10</f>
        <v>21041.52</v>
      </c>
      <c r="V10" s="363">
        <f t="shared" si="0"/>
        <v>47.68</v>
      </c>
      <c r="W10" s="357">
        <v>2183.27</v>
      </c>
      <c r="X10" s="357"/>
      <c r="Y10" s="357">
        <v>2958.03</v>
      </c>
      <c r="Z10" s="357">
        <v>4922.91</v>
      </c>
      <c r="AA10" s="357">
        <v>6401.67</v>
      </c>
      <c r="AB10" s="357">
        <v>1573.54</v>
      </c>
      <c r="AC10" s="357">
        <v>0</v>
      </c>
      <c r="AD10" s="356">
        <v>0</v>
      </c>
      <c r="AE10" s="364">
        <v>0</v>
      </c>
      <c r="AF10" s="364">
        <f>SUM(W10:AE10)</f>
        <v>18039.42</v>
      </c>
      <c r="AG10" s="365">
        <f>AF10+V10+D10</f>
        <v>18217.2806</v>
      </c>
      <c r="AH10" s="366">
        <f aca="true" t="shared" si="1" ref="AH10:AI13">AC10</f>
        <v>0</v>
      </c>
      <c r="AI10" s="366">
        <f t="shared" si="1"/>
        <v>0</v>
      </c>
      <c r="AJ10" s="367">
        <f>'[6]Т01'!$I$156</f>
        <v>100</v>
      </c>
      <c r="AK10" s="368">
        <f>0.67*B10</f>
        <v>1628.9107000000001</v>
      </c>
      <c r="AL10" s="368">
        <f>B10*0.2</f>
        <v>486.242</v>
      </c>
      <c r="AM10" s="368">
        <f>B10*1</f>
        <v>2431.21</v>
      </c>
      <c r="AN10" s="368">
        <f>B10*0.21</f>
        <v>510.5541</v>
      </c>
      <c r="AO10" s="368">
        <f>2.02*B10</f>
        <v>4911.0442</v>
      </c>
      <c r="AP10" s="368">
        <f>B10*1.03</f>
        <v>2504.1463</v>
      </c>
      <c r="AQ10" s="368">
        <f>B10*0.75</f>
        <v>1823.4075</v>
      </c>
      <c r="AR10" s="368">
        <f>B10*0.75</f>
        <v>1823.4075</v>
      </c>
      <c r="AS10" s="368">
        <f>B10*1.15</f>
        <v>2795.8914999999997</v>
      </c>
      <c r="AT10" s="369"/>
      <c r="AU10" s="370"/>
      <c r="AV10" s="371"/>
      <c r="AW10" s="370"/>
      <c r="AX10" s="370">
        <f>30</f>
        <v>30</v>
      </c>
      <c r="AY10" s="370"/>
      <c r="AZ10" s="369"/>
      <c r="BA10" s="180"/>
      <c r="BB10" s="372">
        <f>BA10*0.18</f>
        <v>0</v>
      </c>
      <c r="BC10" s="372">
        <f>SUM(AK10:BB10)</f>
        <v>18944.813799999996</v>
      </c>
      <c r="BD10" s="373">
        <f>'[6]Т01'!$R$156</f>
        <v>25</v>
      </c>
      <c r="BE10" s="373">
        <f>BC10+BD10</f>
        <v>18969.813799999996</v>
      </c>
      <c r="BF10" s="373">
        <f>AG10+AJ10-BE10</f>
        <v>-652.533199999998</v>
      </c>
      <c r="BG10" s="374">
        <f>AF10-U10</f>
        <v>-3002.100000000002</v>
      </c>
      <c r="BH10" s="374"/>
      <c r="BI10" s="374"/>
      <c r="BJ10" s="374"/>
      <c r="BK10" s="374"/>
      <c r="BL10" s="375"/>
      <c r="BM10" s="375"/>
      <c r="BN10" s="372"/>
      <c r="BO10" s="350"/>
      <c r="BP10" s="350"/>
      <c r="BQ10" s="353"/>
      <c r="BR10" s="376"/>
      <c r="BS10" s="377"/>
      <c r="BT10" s="378"/>
      <c r="BU10" s="379"/>
    </row>
    <row r="11" spans="1:71" ht="12.75">
      <c r="A11" s="354" t="s">
        <v>44</v>
      </c>
      <c r="B11" s="355">
        <v>2431.21</v>
      </c>
      <c r="C11" s="154">
        <f>B11*8.55</f>
        <v>20786.845500000003</v>
      </c>
      <c r="D11" s="171">
        <v>130.1806</v>
      </c>
      <c r="E11" s="356">
        <v>0</v>
      </c>
      <c r="F11" s="356">
        <v>0</v>
      </c>
      <c r="G11" s="357">
        <v>12141.93</v>
      </c>
      <c r="H11" s="357">
        <v>0</v>
      </c>
      <c r="I11" s="357">
        <v>0</v>
      </c>
      <c r="J11" s="357">
        <v>0</v>
      </c>
      <c r="K11" s="357">
        <v>0</v>
      </c>
      <c r="L11" s="357">
        <v>0</v>
      </c>
      <c r="M11" s="357">
        <v>6068.64</v>
      </c>
      <c r="N11" s="357">
        <v>0</v>
      </c>
      <c r="O11" s="357">
        <v>2121.45</v>
      </c>
      <c r="P11" s="356">
        <v>0</v>
      </c>
      <c r="Q11" s="356">
        <v>0</v>
      </c>
      <c r="R11" s="356">
        <v>0</v>
      </c>
      <c r="S11" s="356">
        <v>0</v>
      </c>
      <c r="T11" s="357">
        <v>0</v>
      </c>
      <c r="U11" s="380">
        <f t="shared" si="0"/>
        <v>20332.02</v>
      </c>
      <c r="V11" s="363">
        <f t="shared" si="0"/>
        <v>0</v>
      </c>
      <c r="W11" s="357">
        <v>446.66</v>
      </c>
      <c r="X11" s="356">
        <v>9632.54</v>
      </c>
      <c r="Y11" s="357">
        <v>605.17</v>
      </c>
      <c r="Z11" s="357">
        <v>1007.3</v>
      </c>
      <c r="AA11" s="357">
        <v>6094.57</v>
      </c>
      <c r="AB11" s="357">
        <v>2017.45</v>
      </c>
      <c r="AC11" s="357">
        <v>0</v>
      </c>
      <c r="AD11" s="356">
        <v>0</v>
      </c>
      <c r="AE11" s="356">
        <v>0</v>
      </c>
      <c r="AF11" s="364">
        <f>SUM(W11:AE11)</f>
        <v>19803.69</v>
      </c>
      <c r="AG11" s="365">
        <f>AF11+V11+D11</f>
        <v>19933.8706</v>
      </c>
      <c r="AH11" s="366">
        <f t="shared" si="1"/>
        <v>0</v>
      </c>
      <c r="AI11" s="366">
        <f t="shared" si="1"/>
        <v>0</v>
      </c>
      <c r="AJ11" s="367">
        <f>'[6]Т02'!$J$158</f>
        <v>100</v>
      </c>
      <c r="AK11" s="368">
        <f>0.67*B11</f>
        <v>1628.9107000000001</v>
      </c>
      <c r="AL11" s="368">
        <f>B11*0.2</f>
        <v>486.242</v>
      </c>
      <c r="AM11" s="368">
        <f>B11*1</f>
        <v>2431.21</v>
      </c>
      <c r="AN11" s="368">
        <f>B11*0.21</f>
        <v>510.5541</v>
      </c>
      <c r="AO11" s="368">
        <f>2.02*B11</f>
        <v>4911.0442</v>
      </c>
      <c r="AP11" s="368">
        <f>B11*1.03</f>
        <v>2504.1463</v>
      </c>
      <c r="AQ11" s="368">
        <f>B11*0.75</f>
        <v>1823.4075</v>
      </c>
      <c r="AR11" s="368">
        <f>B11*0.75</f>
        <v>1823.4075</v>
      </c>
      <c r="AS11" s="368">
        <f>B11*1.15</f>
        <v>2795.8914999999997</v>
      </c>
      <c r="AT11" s="368">
        <f>0.45*524</f>
        <v>235.8</v>
      </c>
      <c r="AU11" s="381">
        <v>1321</v>
      </c>
      <c r="AV11" s="371"/>
      <c r="AW11" s="370"/>
      <c r="AX11" s="381">
        <f>22.56+8</f>
        <v>30.56</v>
      </c>
      <c r="AY11" s="381"/>
      <c r="AZ11" s="369"/>
      <c r="BA11" s="180"/>
      <c r="BB11" s="372">
        <f>BA11*0.18</f>
        <v>0</v>
      </c>
      <c r="BC11" s="372">
        <f>SUM(AK11:BB11)</f>
        <v>20502.173799999997</v>
      </c>
      <c r="BD11" s="373">
        <f>'[6]Т02'!$S$157</f>
        <v>25</v>
      </c>
      <c r="BE11" s="373">
        <f aca="true" t="shared" si="2" ref="BE11:BE21">BC11+BD11</f>
        <v>20527.173799999997</v>
      </c>
      <c r="BF11" s="373">
        <f aca="true" t="shared" si="3" ref="BF11:BF21">AG11+AJ11-BE11</f>
        <v>-493.30319999999847</v>
      </c>
      <c r="BG11" s="374">
        <f aca="true" t="shared" si="4" ref="BG11:BG21">AF11-U11</f>
        <v>-528.3300000000017</v>
      </c>
      <c r="BH11" s="374"/>
      <c r="BI11" s="374"/>
      <c r="BJ11" s="374"/>
      <c r="BK11" s="374"/>
      <c r="BL11" s="375"/>
      <c r="BM11" s="375"/>
      <c r="BN11" s="372"/>
      <c r="BO11" s="350"/>
      <c r="BP11" s="350"/>
      <c r="BQ11" s="353"/>
      <c r="BR11" s="377"/>
      <c r="BS11" s="382"/>
    </row>
    <row r="12" spans="1:70" ht="12.75">
      <c r="A12" s="354" t="s">
        <v>45</v>
      </c>
      <c r="B12" s="355">
        <v>2431.21</v>
      </c>
      <c r="C12" s="154">
        <f>B12*8.55</f>
        <v>20786.845500000003</v>
      </c>
      <c r="D12" s="171">
        <v>130.1806</v>
      </c>
      <c r="E12" s="356">
        <v>0</v>
      </c>
      <c r="F12" s="356">
        <v>0</v>
      </c>
      <c r="G12" s="357">
        <v>12500.86</v>
      </c>
      <c r="H12" s="357">
        <v>98.22</v>
      </c>
      <c r="I12" s="357">
        <v>0</v>
      </c>
      <c r="J12" s="357">
        <v>0</v>
      </c>
      <c r="K12" s="357">
        <v>0</v>
      </c>
      <c r="L12" s="357">
        <v>0</v>
      </c>
      <c r="M12" s="357">
        <v>6070.68</v>
      </c>
      <c r="N12" s="357">
        <v>47.68</v>
      </c>
      <c r="O12" s="357">
        <v>2122.18</v>
      </c>
      <c r="P12" s="357">
        <v>0</v>
      </c>
      <c r="Q12" s="383">
        <v>0</v>
      </c>
      <c r="R12" s="383">
        <v>0</v>
      </c>
      <c r="S12" s="383">
        <v>0</v>
      </c>
      <c r="T12" s="357">
        <v>0</v>
      </c>
      <c r="U12" s="357">
        <f t="shared" si="0"/>
        <v>20693.72</v>
      </c>
      <c r="V12" s="384">
        <f t="shared" si="0"/>
        <v>145.9</v>
      </c>
      <c r="W12" s="385">
        <v>125.22</v>
      </c>
      <c r="X12" s="356">
        <v>11817.76</v>
      </c>
      <c r="Y12" s="357">
        <v>169.57</v>
      </c>
      <c r="Z12" s="357">
        <v>282.34</v>
      </c>
      <c r="AA12" s="357">
        <v>5701.97</v>
      </c>
      <c r="AB12" s="357">
        <v>1974.21</v>
      </c>
      <c r="AC12" s="357">
        <v>0</v>
      </c>
      <c r="AD12" s="356">
        <v>0</v>
      </c>
      <c r="AE12" s="357">
        <v>0</v>
      </c>
      <c r="AF12" s="386">
        <f>SUM(W12:AE12)</f>
        <v>20071.07</v>
      </c>
      <c r="AG12" s="365">
        <f>AF12+V12+D12</f>
        <v>20347.1506</v>
      </c>
      <c r="AH12" s="366">
        <f t="shared" si="1"/>
        <v>0</v>
      </c>
      <c r="AI12" s="366">
        <f t="shared" si="1"/>
        <v>0</v>
      </c>
      <c r="AJ12" s="367">
        <f>'[6]Т03'!$J$158</f>
        <v>100</v>
      </c>
      <c r="AK12" s="368">
        <f>0.67*B12</f>
        <v>1628.9107000000001</v>
      </c>
      <c r="AL12" s="368">
        <f>B12*0.2</f>
        <v>486.242</v>
      </c>
      <c r="AM12" s="368">
        <f>B12*1</f>
        <v>2431.21</v>
      </c>
      <c r="AN12" s="368">
        <f>B12*0.21</f>
        <v>510.5541</v>
      </c>
      <c r="AO12" s="368">
        <f>2.02*B12</f>
        <v>4911.0442</v>
      </c>
      <c r="AP12" s="368">
        <f>B12*1.03</f>
        <v>2504.1463</v>
      </c>
      <c r="AQ12" s="368">
        <f>B12*0.75</f>
        <v>1823.4075</v>
      </c>
      <c r="AR12" s="368">
        <f>B12*0.75</f>
        <v>1823.4075</v>
      </c>
      <c r="AS12" s="368">
        <f>B12*1.15</f>
        <v>2795.8914999999997</v>
      </c>
      <c r="AT12" s="368">
        <f>0.45*524</f>
        <v>235.8</v>
      </c>
      <c r="AU12" s="370"/>
      <c r="AV12" s="371"/>
      <c r="AW12" s="370"/>
      <c r="AX12" s="370"/>
      <c r="AY12" s="370"/>
      <c r="AZ12" s="369"/>
      <c r="BA12" s="180"/>
      <c r="BB12" s="372">
        <f>BA12*0.18</f>
        <v>0</v>
      </c>
      <c r="BC12" s="372">
        <f>SUM(AK12:BB12)</f>
        <v>19150.613799999996</v>
      </c>
      <c r="BD12" s="373">
        <f>'[6]Т03'!$S$158</f>
        <v>25</v>
      </c>
      <c r="BE12" s="373">
        <f t="shared" si="2"/>
        <v>19175.613799999996</v>
      </c>
      <c r="BF12" s="373">
        <f t="shared" si="3"/>
        <v>1271.5368000000053</v>
      </c>
      <c r="BG12" s="374">
        <f t="shared" si="4"/>
        <v>-622.6500000000015</v>
      </c>
      <c r="BH12" s="374"/>
      <c r="BI12" s="374"/>
      <c r="BJ12" s="374"/>
      <c r="BK12" s="374"/>
      <c r="BL12" s="375"/>
      <c r="BM12" s="375"/>
      <c r="BN12" s="372"/>
      <c r="BO12" s="350"/>
      <c r="BP12" s="350"/>
      <c r="BQ12" s="377"/>
      <c r="BR12" s="382"/>
    </row>
    <row r="13" spans="1:72" ht="12.75">
      <c r="A13" s="354" t="s">
        <v>46</v>
      </c>
      <c r="B13" s="355">
        <v>2431.21</v>
      </c>
      <c r="C13" s="154">
        <f>B13*8.55</f>
        <v>20786.845500000003</v>
      </c>
      <c r="D13" s="387">
        <v>130.1806</v>
      </c>
      <c r="E13" s="360">
        <v>0</v>
      </c>
      <c r="F13" s="356">
        <v>0</v>
      </c>
      <c r="G13" s="385">
        <v>12503.86</v>
      </c>
      <c r="H13" s="357">
        <v>98.22</v>
      </c>
      <c r="I13" s="357">
        <v>0</v>
      </c>
      <c r="J13" s="357">
        <v>0</v>
      </c>
      <c r="K13" s="357">
        <v>0</v>
      </c>
      <c r="L13" s="357">
        <v>0</v>
      </c>
      <c r="M13" s="357">
        <v>6072.16</v>
      </c>
      <c r="N13" s="357">
        <v>47.68</v>
      </c>
      <c r="O13" s="357">
        <v>2122.71</v>
      </c>
      <c r="P13" s="356">
        <v>0</v>
      </c>
      <c r="Q13" s="388">
        <v>0</v>
      </c>
      <c r="R13" s="389">
        <v>0</v>
      </c>
      <c r="S13" s="390">
        <v>0</v>
      </c>
      <c r="T13" s="361">
        <v>0</v>
      </c>
      <c r="U13" s="380">
        <f t="shared" si="0"/>
        <v>20698.73</v>
      </c>
      <c r="V13" s="384">
        <f t="shared" si="0"/>
        <v>145.9</v>
      </c>
      <c r="W13" s="357">
        <v>373.62</v>
      </c>
      <c r="X13" s="356">
        <v>12616.14</v>
      </c>
      <c r="Y13" s="357">
        <v>506.56</v>
      </c>
      <c r="Z13" s="357">
        <v>842.8</v>
      </c>
      <c r="AA13" s="357">
        <v>6739.6</v>
      </c>
      <c r="AB13" s="356">
        <v>2261.36</v>
      </c>
      <c r="AC13" s="357">
        <v>0</v>
      </c>
      <c r="AD13" s="356">
        <v>0</v>
      </c>
      <c r="AE13" s="356">
        <v>0</v>
      </c>
      <c r="AF13" s="364">
        <f>SUM(W13:AD13)</f>
        <v>23340.08</v>
      </c>
      <c r="AG13" s="391">
        <f>AF13+V13+D13</f>
        <v>23616.160600000003</v>
      </c>
      <c r="AH13" s="392">
        <f t="shared" si="1"/>
        <v>0</v>
      </c>
      <c r="AI13" s="392">
        <f t="shared" si="1"/>
        <v>0</v>
      </c>
      <c r="AJ13" s="393">
        <f>'[7]Т04'!$J$160</f>
        <v>100</v>
      </c>
      <c r="AK13" s="368">
        <f>0.67*B13</f>
        <v>1628.9107000000001</v>
      </c>
      <c r="AL13" s="368">
        <f>B13*0.2</f>
        <v>486.242</v>
      </c>
      <c r="AM13" s="368">
        <f>B13*1</f>
        <v>2431.21</v>
      </c>
      <c r="AN13" s="368">
        <f>B13*0.21</f>
        <v>510.5541</v>
      </c>
      <c r="AO13" s="368">
        <f>2.02*B13</f>
        <v>4911.0442</v>
      </c>
      <c r="AP13" s="368">
        <f>B13*1.03</f>
        <v>2504.1463</v>
      </c>
      <c r="AQ13" s="368">
        <f>B13*0.75</f>
        <v>1823.4075</v>
      </c>
      <c r="AR13" s="368">
        <f>B13*0.75</f>
        <v>1823.4075</v>
      </c>
      <c r="AS13" s="368"/>
      <c r="AT13" s="395">
        <f>0.45*524</f>
        <v>235.8</v>
      </c>
      <c r="AU13" s="394"/>
      <c r="AV13" s="394"/>
      <c r="AW13" s="394"/>
      <c r="AX13" s="394">
        <f>42.5+25</f>
        <v>67.5</v>
      </c>
      <c r="AY13" s="394"/>
      <c r="AZ13" s="369"/>
      <c r="BA13" s="395"/>
      <c r="BB13" s="395"/>
      <c r="BC13" s="383">
        <f>SUM(AK13:BB13)</f>
        <v>16422.222299999998</v>
      </c>
      <c r="BD13" s="396">
        <f>'[6]Т04'!$S$160</f>
        <v>25</v>
      </c>
      <c r="BE13" s="373">
        <f t="shared" si="2"/>
        <v>16447.222299999998</v>
      </c>
      <c r="BF13" s="373">
        <f t="shared" si="3"/>
        <v>7268.938300000005</v>
      </c>
      <c r="BG13" s="374">
        <f t="shared" si="4"/>
        <v>2641.350000000002</v>
      </c>
      <c r="BH13" s="374"/>
      <c r="BI13" s="374"/>
      <c r="BJ13" s="374"/>
      <c r="BK13" s="374"/>
      <c r="BL13" s="375"/>
      <c r="BM13" s="375"/>
      <c r="BN13" s="372"/>
      <c r="BO13" s="350"/>
      <c r="BP13" s="350"/>
      <c r="BQ13" s="350"/>
      <c r="BR13" s="353"/>
      <c r="BS13" s="377"/>
      <c r="BT13" s="382"/>
    </row>
    <row r="14" spans="1:71" ht="12.75">
      <c r="A14" s="354" t="s">
        <v>47</v>
      </c>
      <c r="B14" s="397">
        <v>2431.21</v>
      </c>
      <c r="C14" s="154">
        <f aca="true" t="shared" si="5" ref="C14:C19">B14*8.55</f>
        <v>20786.845500000003</v>
      </c>
      <c r="D14" s="387">
        <v>130.1806</v>
      </c>
      <c r="E14" s="398">
        <v>0</v>
      </c>
      <c r="F14" s="356">
        <v>0</v>
      </c>
      <c r="G14" s="357">
        <v>12602.08</v>
      </c>
      <c r="H14" s="357">
        <v>98.22</v>
      </c>
      <c r="I14" s="357">
        <v>0</v>
      </c>
      <c r="J14" s="357">
        <v>0</v>
      </c>
      <c r="K14" s="357">
        <v>0</v>
      </c>
      <c r="L14" s="357">
        <v>0</v>
      </c>
      <c r="M14" s="357">
        <v>6119.84</v>
      </c>
      <c r="N14" s="357">
        <v>47.68</v>
      </c>
      <c r="O14" s="357">
        <v>2122.71</v>
      </c>
      <c r="P14" s="356">
        <v>0</v>
      </c>
      <c r="Q14" s="383">
        <v>0</v>
      </c>
      <c r="R14" s="399">
        <v>0</v>
      </c>
      <c r="S14" s="383">
        <v>0</v>
      </c>
      <c r="T14" s="356">
        <v>0</v>
      </c>
      <c r="U14" s="360">
        <f aca="true" t="shared" si="6" ref="U14:V21">E14+G14+I14+K14+M14+O14+Q14+S14</f>
        <v>20844.629999999997</v>
      </c>
      <c r="V14" s="400">
        <f>F14+H14+J14+L14+N14++R14+T14</f>
        <v>145.9</v>
      </c>
      <c r="W14" s="357">
        <v>52.87</v>
      </c>
      <c r="X14" s="356">
        <v>11469.44</v>
      </c>
      <c r="Y14" s="357">
        <v>71.05</v>
      </c>
      <c r="Z14" s="357">
        <v>118.18</v>
      </c>
      <c r="AA14" s="357">
        <v>5796.2</v>
      </c>
      <c r="AB14" s="357">
        <v>1988.76</v>
      </c>
      <c r="AC14" s="357">
        <v>0</v>
      </c>
      <c r="AD14" s="356">
        <v>0</v>
      </c>
      <c r="AE14" s="364">
        <v>0</v>
      </c>
      <c r="AF14" s="401">
        <f>SUM(W14:AE14)</f>
        <v>19496.5</v>
      </c>
      <c r="AG14" s="391">
        <f>D14+V14+AF14</f>
        <v>19772.5806</v>
      </c>
      <c r="AH14" s="392">
        <f aca="true" t="shared" si="7" ref="AH14:AI21">AC14</f>
        <v>0</v>
      </c>
      <c r="AI14" s="392">
        <f t="shared" si="7"/>
        <v>0</v>
      </c>
      <c r="AJ14" s="393">
        <f>'[6]Т05'!$J$158+'[6]Т05'!$J$200</f>
        <v>214</v>
      </c>
      <c r="AK14" s="368">
        <f aca="true" t="shared" si="8" ref="AK14:AK21">0.67*B14</f>
        <v>1628.9107000000001</v>
      </c>
      <c r="AL14" s="368">
        <f aca="true" t="shared" si="9" ref="AL14:AL21">B14*0.2</f>
        <v>486.242</v>
      </c>
      <c r="AM14" s="368">
        <f aca="true" t="shared" si="10" ref="AM14:AM21">B14*1</f>
        <v>2431.21</v>
      </c>
      <c r="AN14" s="368">
        <f aca="true" t="shared" si="11" ref="AN14:AN21">B14*0.21</f>
        <v>510.5541</v>
      </c>
      <c r="AO14" s="368">
        <f aca="true" t="shared" si="12" ref="AO14:AO21">2.02*B14</f>
        <v>4911.0442</v>
      </c>
      <c r="AP14" s="368">
        <f aca="true" t="shared" si="13" ref="AP14:AP21">B14*1.03</f>
        <v>2504.1463</v>
      </c>
      <c r="AQ14" s="368">
        <f aca="true" t="shared" si="14" ref="AQ14:AQ21">B14*0.75</f>
        <v>1823.4075</v>
      </c>
      <c r="AR14" s="368">
        <f aca="true" t="shared" si="15" ref="AR14:AR21">B14*0.75</f>
        <v>1823.4075</v>
      </c>
      <c r="AS14" s="368"/>
      <c r="AT14" s="395">
        <f>0.45*524</f>
        <v>235.8</v>
      </c>
      <c r="AU14" s="394">
        <v>2857</v>
      </c>
      <c r="AV14" s="394"/>
      <c r="AW14" s="394">
        <v>455</v>
      </c>
      <c r="AX14" s="394">
        <f>13+10+39.83+125+80</f>
        <v>267.83</v>
      </c>
      <c r="AY14" s="394"/>
      <c r="AZ14" s="369"/>
      <c r="BA14" s="395"/>
      <c r="BB14" s="395"/>
      <c r="BC14" s="383">
        <f>SUM(AK14:BB14)</f>
        <v>19934.5523</v>
      </c>
      <c r="BD14" s="396">
        <f>'[6]Т05'!$S$158+'[6]Т05'!$S$200</f>
        <v>53.5</v>
      </c>
      <c r="BE14" s="373">
        <f t="shared" si="2"/>
        <v>19988.0523</v>
      </c>
      <c r="BF14" s="373">
        <f t="shared" si="3"/>
        <v>-1.4716999999982363</v>
      </c>
      <c r="BG14" s="374">
        <f t="shared" si="4"/>
        <v>-1348.1299999999974</v>
      </c>
      <c r="BH14" s="374"/>
      <c r="BI14" s="374"/>
      <c r="BJ14" s="374"/>
      <c r="BK14" s="374"/>
      <c r="BL14" s="375"/>
      <c r="BM14" s="375"/>
      <c r="BN14" s="372"/>
      <c r="BO14" s="350"/>
      <c r="BP14" s="350"/>
      <c r="BQ14" s="353"/>
      <c r="BR14" s="377"/>
      <c r="BS14" s="382"/>
    </row>
    <row r="15" spans="1:71" ht="13.5" thickBot="1">
      <c r="A15" s="354" t="s">
        <v>48</v>
      </c>
      <c r="B15" s="355">
        <v>2431.21</v>
      </c>
      <c r="C15" s="154">
        <f t="shared" si="5"/>
        <v>20786.845500000003</v>
      </c>
      <c r="D15" s="387">
        <v>130.1806</v>
      </c>
      <c r="E15" s="402">
        <v>0</v>
      </c>
      <c r="F15" s="402"/>
      <c r="G15" s="402">
        <v>12602.06</v>
      </c>
      <c r="H15" s="402"/>
      <c r="I15" s="403">
        <v>0</v>
      </c>
      <c r="J15" s="403"/>
      <c r="K15" s="403">
        <v>0</v>
      </c>
      <c r="L15" s="403"/>
      <c r="M15" s="403">
        <v>6119.84</v>
      </c>
      <c r="N15" s="403"/>
      <c r="O15" s="403">
        <v>2122.71</v>
      </c>
      <c r="P15" s="403"/>
      <c r="Q15" s="403">
        <v>0</v>
      </c>
      <c r="R15" s="404"/>
      <c r="S15" s="404">
        <v>0</v>
      </c>
      <c r="T15" s="403"/>
      <c r="U15" s="405">
        <f t="shared" si="6"/>
        <v>20844.61</v>
      </c>
      <c r="V15" s="406">
        <f t="shared" si="6"/>
        <v>0</v>
      </c>
      <c r="W15" s="407">
        <v>0.33</v>
      </c>
      <c r="X15" s="402">
        <v>10545.29</v>
      </c>
      <c r="Y15" s="402">
        <v>0.82</v>
      </c>
      <c r="Z15" s="402">
        <v>1.36</v>
      </c>
      <c r="AA15" s="402">
        <v>5273.86</v>
      </c>
      <c r="AB15" s="402">
        <v>1822.34</v>
      </c>
      <c r="AC15" s="402">
        <v>0</v>
      </c>
      <c r="AD15" s="402">
        <v>0</v>
      </c>
      <c r="AE15" s="408">
        <v>0</v>
      </c>
      <c r="AF15" s="409">
        <f>SUM(W15:AE15)</f>
        <v>17644</v>
      </c>
      <c r="AG15" s="391">
        <f aca="true" t="shared" si="16" ref="AG15:AG21">D15+V15+AF15</f>
        <v>17774.1806</v>
      </c>
      <c r="AH15" s="392">
        <f t="shared" si="7"/>
        <v>0</v>
      </c>
      <c r="AI15" s="392">
        <f t="shared" si="7"/>
        <v>0</v>
      </c>
      <c r="AJ15" s="393">
        <f>'[6]Т06'!$J$158+'[6]Т06'!$J$200</f>
        <v>214</v>
      </c>
      <c r="AK15" s="368">
        <f t="shared" si="8"/>
        <v>1628.9107000000001</v>
      </c>
      <c r="AL15" s="368">
        <f t="shared" si="9"/>
        <v>486.242</v>
      </c>
      <c r="AM15" s="368">
        <f t="shared" si="10"/>
        <v>2431.21</v>
      </c>
      <c r="AN15" s="368">
        <f t="shared" si="11"/>
        <v>510.5541</v>
      </c>
      <c r="AO15" s="368">
        <f t="shared" si="12"/>
        <v>4911.0442</v>
      </c>
      <c r="AP15" s="368">
        <f t="shared" si="13"/>
        <v>2504.1463</v>
      </c>
      <c r="AQ15" s="368">
        <f t="shared" si="14"/>
        <v>1823.4075</v>
      </c>
      <c r="AR15" s="368">
        <f t="shared" si="15"/>
        <v>1823.4075</v>
      </c>
      <c r="AS15" s="368"/>
      <c r="AT15" s="395">
        <f>0.45*524</f>
        <v>235.8</v>
      </c>
      <c r="AU15" s="394"/>
      <c r="AV15" s="394"/>
      <c r="AW15" s="394"/>
      <c r="AX15" s="394"/>
      <c r="AY15" s="394"/>
      <c r="AZ15" s="368"/>
      <c r="BA15" s="395"/>
      <c r="BB15" s="395"/>
      <c r="BC15" s="410">
        <f>SUM(AK15:BB15)</f>
        <v>16354.722299999998</v>
      </c>
      <c r="BD15" s="396">
        <f>'[6]Т06'!$S$158+'[6]Т06'!$S$200</f>
        <v>53.5</v>
      </c>
      <c r="BE15" s="373">
        <f t="shared" si="2"/>
        <v>16408.222299999998</v>
      </c>
      <c r="BF15" s="373">
        <f t="shared" si="3"/>
        <v>1579.958300000002</v>
      </c>
      <c r="BG15" s="374">
        <f t="shared" si="4"/>
        <v>-3200.6100000000006</v>
      </c>
      <c r="BH15" s="374"/>
      <c r="BI15" s="374"/>
      <c r="BJ15" s="374"/>
      <c r="BK15" s="374"/>
      <c r="BL15" s="375"/>
      <c r="BM15" s="375"/>
      <c r="BN15" s="372"/>
      <c r="BO15" s="350"/>
      <c r="BP15" s="350"/>
      <c r="BQ15" s="353"/>
      <c r="BR15" s="411"/>
      <c r="BS15" s="382"/>
    </row>
    <row r="16" spans="1:68" ht="12.75">
      <c r="A16" s="354" t="s">
        <v>49</v>
      </c>
      <c r="B16" s="355">
        <v>2431.21</v>
      </c>
      <c r="C16" s="154">
        <f t="shared" si="5"/>
        <v>20786.845500000003</v>
      </c>
      <c r="D16" s="387">
        <v>130.1806</v>
      </c>
      <c r="E16" s="412"/>
      <c r="F16" s="412"/>
      <c r="G16" s="412">
        <v>12602.07</v>
      </c>
      <c r="H16" s="412"/>
      <c r="I16" s="412"/>
      <c r="J16" s="412"/>
      <c r="K16" s="412"/>
      <c r="L16" s="412"/>
      <c r="M16" s="412">
        <v>6119.84</v>
      </c>
      <c r="N16" s="412"/>
      <c r="O16" s="412">
        <v>2122.71</v>
      </c>
      <c r="P16" s="412"/>
      <c r="Q16" s="412"/>
      <c r="R16" s="412"/>
      <c r="S16" s="413"/>
      <c r="T16" s="407"/>
      <c r="U16" s="414">
        <f t="shared" si="6"/>
        <v>20844.62</v>
      </c>
      <c r="V16" s="415">
        <f t="shared" si="6"/>
        <v>0</v>
      </c>
      <c r="W16" s="416">
        <v>12.65</v>
      </c>
      <c r="X16" s="412">
        <v>10253.05</v>
      </c>
      <c r="Y16" s="412">
        <v>17.11</v>
      </c>
      <c r="Z16" s="412">
        <v>28.5</v>
      </c>
      <c r="AA16" s="412">
        <v>5020.2</v>
      </c>
      <c r="AB16" s="412">
        <v>1735.73</v>
      </c>
      <c r="AC16" s="402"/>
      <c r="AD16" s="412"/>
      <c r="AE16" s="413"/>
      <c r="AF16" s="409">
        <f>SUM(W16:AE16)</f>
        <v>17067.239999999998</v>
      </c>
      <c r="AG16" s="417">
        <f t="shared" si="16"/>
        <v>17197.420599999998</v>
      </c>
      <c r="AH16" s="392">
        <f t="shared" si="7"/>
        <v>0</v>
      </c>
      <c r="AI16" s="392">
        <f t="shared" si="7"/>
        <v>0</v>
      </c>
      <c r="AJ16" s="393">
        <f>'[6]Т07'!$J$162+'[6]Т07'!$J$204</f>
        <v>214</v>
      </c>
      <c r="AK16" s="368">
        <f t="shared" si="8"/>
        <v>1628.9107000000001</v>
      </c>
      <c r="AL16" s="368">
        <f t="shared" si="9"/>
        <v>486.242</v>
      </c>
      <c r="AM16" s="368">
        <f t="shared" si="10"/>
        <v>2431.21</v>
      </c>
      <c r="AN16" s="368">
        <f t="shared" si="11"/>
        <v>510.5541</v>
      </c>
      <c r="AO16" s="368">
        <f t="shared" si="12"/>
        <v>4911.0442</v>
      </c>
      <c r="AP16" s="368">
        <f t="shared" si="13"/>
        <v>2504.1463</v>
      </c>
      <c r="AQ16" s="368">
        <f t="shared" si="14"/>
        <v>1823.4075</v>
      </c>
      <c r="AR16" s="368">
        <f t="shared" si="15"/>
        <v>1823.4075</v>
      </c>
      <c r="AS16" s="368"/>
      <c r="AT16" s="395">
        <f>0.45*524</f>
        <v>235.8</v>
      </c>
      <c r="AU16" s="394">
        <v>9745</v>
      </c>
      <c r="AV16" s="394"/>
      <c r="AW16" s="394"/>
      <c r="AX16" s="394">
        <f>16+248+111.43+9.43+40.7+590</f>
        <v>1015.56</v>
      </c>
      <c r="AY16" s="394"/>
      <c r="AZ16" s="369"/>
      <c r="BA16" s="395">
        <v>4377.45</v>
      </c>
      <c r="BB16" s="395"/>
      <c r="BC16" s="383">
        <f>SUM(AK16:BB16)</f>
        <v>31492.7323</v>
      </c>
      <c r="BD16" s="396">
        <f>'[6]Т07'!$S$162+'[6]Т07'!$S$204</f>
        <v>53.5</v>
      </c>
      <c r="BE16" s="373">
        <f t="shared" si="2"/>
        <v>31546.2323</v>
      </c>
      <c r="BF16" s="373">
        <f t="shared" si="3"/>
        <v>-14134.811700000002</v>
      </c>
      <c r="BG16" s="374">
        <f t="shared" si="4"/>
        <v>-3777.380000000001</v>
      </c>
      <c r="BH16" s="374"/>
      <c r="BI16" s="374"/>
      <c r="BJ16" s="374"/>
      <c r="BK16" s="374"/>
      <c r="BL16" s="375"/>
      <c r="BM16" s="375"/>
      <c r="BN16" s="372"/>
      <c r="BO16" s="350"/>
      <c r="BP16" s="350"/>
    </row>
    <row r="17" spans="1:68" ht="12.75">
      <c r="A17" s="354" t="s">
        <v>50</v>
      </c>
      <c r="B17" s="355">
        <v>2431.21</v>
      </c>
      <c r="C17" s="154">
        <f t="shared" si="5"/>
        <v>20786.845500000003</v>
      </c>
      <c r="D17" s="387">
        <v>130.1806</v>
      </c>
      <c r="E17" s="412"/>
      <c r="F17" s="412"/>
      <c r="G17" s="412">
        <v>12602.08</v>
      </c>
      <c r="H17" s="412"/>
      <c r="I17" s="412"/>
      <c r="J17" s="412"/>
      <c r="K17" s="412"/>
      <c r="L17" s="412"/>
      <c r="M17" s="412">
        <v>6119.84</v>
      </c>
      <c r="N17" s="412"/>
      <c r="O17" s="412">
        <v>2122.71</v>
      </c>
      <c r="P17" s="412"/>
      <c r="Q17" s="412"/>
      <c r="R17" s="412"/>
      <c r="S17" s="413"/>
      <c r="T17" s="408"/>
      <c r="U17" s="418">
        <f t="shared" si="6"/>
        <v>20844.629999999997</v>
      </c>
      <c r="V17" s="419">
        <f t="shared" si="6"/>
        <v>0</v>
      </c>
      <c r="W17" s="412">
        <v>8.23</v>
      </c>
      <c r="X17" s="412">
        <v>12384.47</v>
      </c>
      <c r="Y17" s="412">
        <v>11.16</v>
      </c>
      <c r="Z17" s="412">
        <v>18.57</v>
      </c>
      <c r="AA17" s="412">
        <v>6026.92</v>
      </c>
      <c r="AB17" s="412">
        <v>2107.14</v>
      </c>
      <c r="AC17" s="412"/>
      <c r="AD17" s="412"/>
      <c r="AE17" s="413"/>
      <c r="AF17" s="409">
        <f>SUM(W17:AE17)</f>
        <v>20556.489999999998</v>
      </c>
      <c r="AG17" s="417">
        <f t="shared" si="16"/>
        <v>20686.670599999998</v>
      </c>
      <c r="AH17" s="392">
        <f t="shared" si="7"/>
        <v>0</v>
      </c>
      <c r="AI17" s="392">
        <f t="shared" si="7"/>
        <v>0</v>
      </c>
      <c r="AJ17" s="393">
        <f>'[6]Т08'!$J$166+'[6]Т08'!$J$208</f>
        <v>214</v>
      </c>
      <c r="AK17" s="368">
        <f t="shared" si="8"/>
        <v>1628.9107000000001</v>
      </c>
      <c r="AL17" s="368">
        <f t="shared" si="9"/>
        <v>486.242</v>
      </c>
      <c r="AM17" s="368">
        <f t="shared" si="10"/>
        <v>2431.21</v>
      </c>
      <c r="AN17" s="368">
        <f t="shared" si="11"/>
        <v>510.5541</v>
      </c>
      <c r="AO17" s="368">
        <f t="shared" si="12"/>
        <v>4911.0442</v>
      </c>
      <c r="AP17" s="368">
        <f t="shared" si="13"/>
        <v>2504.1463</v>
      </c>
      <c r="AQ17" s="368">
        <f t="shared" si="14"/>
        <v>1823.4075</v>
      </c>
      <c r="AR17" s="368">
        <f t="shared" si="15"/>
        <v>1823.4075</v>
      </c>
      <c r="AS17" s="368"/>
      <c r="AT17" s="395">
        <f>0.45*524</f>
        <v>235.8</v>
      </c>
      <c r="AU17" s="394"/>
      <c r="AV17" s="394"/>
      <c r="AW17" s="394">
        <v>616</v>
      </c>
      <c r="AX17" s="394">
        <f>16+316+72</f>
        <v>404</v>
      </c>
      <c r="AY17" s="394"/>
      <c r="AZ17" s="369"/>
      <c r="BA17" s="395"/>
      <c r="BB17" s="395"/>
      <c r="BC17" s="383">
        <f>SUM(AK17:BB17)</f>
        <v>17374.722299999998</v>
      </c>
      <c r="BD17" s="396">
        <f>'[6]Т08'!$S$166+'[6]Т08'!$S$208</f>
        <v>53.5</v>
      </c>
      <c r="BE17" s="373">
        <f t="shared" si="2"/>
        <v>17428.222299999998</v>
      </c>
      <c r="BF17" s="373">
        <f t="shared" si="3"/>
        <v>3472.4483</v>
      </c>
      <c r="BG17" s="374">
        <f t="shared" si="4"/>
        <v>-288.1399999999994</v>
      </c>
      <c r="BH17" s="374"/>
      <c r="BI17" s="374"/>
      <c r="BJ17" s="374"/>
      <c r="BK17" s="374"/>
      <c r="BL17" s="375"/>
      <c r="BM17" s="375"/>
      <c r="BN17" s="372"/>
      <c r="BO17" s="350"/>
      <c r="BP17" s="350"/>
    </row>
    <row r="18" spans="1:68" ht="12.75">
      <c r="A18" s="354" t="s">
        <v>51</v>
      </c>
      <c r="B18" s="355">
        <v>2431.21</v>
      </c>
      <c r="C18" s="154">
        <f t="shared" si="5"/>
        <v>20786.845500000003</v>
      </c>
      <c r="D18" s="387">
        <v>130.1806</v>
      </c>
      <c r="E18" s="412"/>
      <c r="F18" s="412"/>
      <c r="G18" s="412">
        <v>12858.62</v>
      </c>
      <c r="H18" s="412"/>
      <c r="I18" s="412"/>
      <c r="J18" s="412"/>
      <c r="K18" s="412"/>
      <c r="L18" s="412"/>
      <c r="M18" s="412">
        <v>6244.41</v>
      </c>
      <c r="N18" s="412"/>
      <c r="O18" s="412">
        <v>2165.92</v>
      </c>
      <c r="P18" s="412"/>
      <c r="Q18" s="412"/>
      <c r="R18" s="412"/>
      <c r="S18" s="413"/>
      <c r="T18" s="420"/>
      <c r="U18" s="420">
        <f t="shared" si="6"/>
        <v>21268.949999999997</v>
      </c>
      <c r="V18" s="421">
        <f t="shared" si="6"/>
        <v>0</v>
      </c>
      <c r="W18" s="412">
        <v>18.59</v>
      </c>
      <c r="X18" s="412">
        <v>10319.24</v>
      </c>
      <c r="Y18" s="412">
        <v>25.4</v>
      </c>
      <c r="Z18" s="412">
        <v>42.27</v>
      </c>
      <c r="AA18" s="412">
        <v>5029.13</v>
      </c>
      <c r="AB18" s="412">
        <v>1745.69</v>
      </c>
      <c r="AC18" s="412"/>
      <c r="AD18" s="412"/>
      <c r="AE18" s="413"/>
      <c r="AF18" s="409">
        <f>SUM(W18:AE18)</f>
        <v>17180.32</v>
      </c>
      <c r="AG18" s="417">
        <f t="shared" si="16"/>
        <v>17310.5006</v>
      </c>
      <c r="AH18" s="392">
        <f t="shared" si="7"/>
        <v>0</v>
      </c>
      <c r="AI18" s="392">
        <f t="shared" si="7"/>
        <v>0</v>
      </c>
      <c r="AJ18" s="393">
        <f>'[6]Т09'!$J$166+'[6]Т09'!$J$208</f>
        <v>214</v>
      </c>
      <c r="AK18" s="368">
        <f t="shared" si="8"/>
        <v>1628.9107000000001</v>
      </c>
      <c r="AL18" s="368">
        <f t="shared" si="9"/>
        <v>486.242</v>
      </c>
      <c r="AM18" s="368">
        <f t="shared" si="10"/>
        <v>2431.21</v>
      </c>
      <c r="AN18" s="368">
        <f t="shared" si="11"/>
        <v>510.5541</v>
      </c>
      <c r="AO18" s="368">
        <f t="shared" si="12"/>
        <v>4911.0442</v>
      </c>
      <c r="AP18" s="368">
        <f t="shared" si="13"/>
        <v>2504.1463</v>
      </c>
      <c r="AQ18" s="368">
        <f t="shared" si="14"/>
        <v>1823.4075</v>
      </c>
      <c r="AR18" s="368">
        <f t="shared" si="15"/>
        <v>1823.4075</v>
      </c>
      <c r="AS18" s="368"/>
      <c r="AT18" s="395">
        <f>0.45*524</f>
        <v>235.8</v>
      </c>
      <c r="AU18" s="394">
        <v>931</v>
      </c>
      <c r="AV18" s="394"/>
      <c r="AW18" s="394"/>
      <c r="AX18" s="394">
        <f>2124+213.34+112</f>
        <v>2449.34</v>
      </c>
      <c r="AY18" s="394"/>
      <c r="AZ18" s="369"/>
      <c r="BA18" s="395"/>
      <c r="BB18" s="395"/>
      <c r="BC18" s="383">
        <f>SUM(AK18:BB18)</f>
        <v>19735.062299999998</v>
      </c>
      <c r="BD18" s="396">
        <f>'[6]Т08'!$S$166+'[6]Т08'!$S$208</f>
        <v>53.5</v>
      </c>
      <c r="BE18" s="373">
        <f t="shared" si="2"/>
        <v>19788.562299999998</v>
      </c>
      <c r="BF18" s="373">
        <f t="shared" si="3"/>
        <v>-2264.0616999999984</v>
      </c>
      <c r="BG18" s="374">
        <f t="shared" si="4"/>
        <v>-4088.6299999999974</v>
      </c>
      <c r="BH18" s="374"/>
      <c r="BI18" s="374"/>
      <c r="BJ18" s="374"/>
      <c r="BK18" s="374"/>
      <c r="BL18" s="375"/>
      <c r="BM18" s="375"/>
      <c r="BN18" s="372"/>
      <c r="BO18" s="349"/>
      <c r="BP18" s="71"/>
    </row>
    <row r="19" spans="1:65" ht="12.75">
      <c r="A19" s="354" t="s">
        <v>39</v>
      </c>
      <c r="B19" s="355">
        <v>2431.21</v>
      </c>
      <c r="C19" s="154">
        <f t="shared" si="5"/>
        <v>20786.845500000003</v>
      </c>
      <c r="D19" s="422">
        <v>130.1806</v>
      </c>
      <c r="E19" s="402"/>
      <c r="F19" s="402"/>
      <c r="G19" s="402">
        <v>12865.34</v>
      </c>
      <c r="H19" s="402"/>
      <c r="I19" s="402"/>
      <c r="J19" s="402"/>
      <c r="K19" s="402"/>
      <c r="L19" s="402"/>
      <c r="M19" s="402">
        <v>6247.71</v>
      </c>
      <c r="N19" s="402"/>
      <c r="O19" s="402">
        <v>2167.1</v>
      </c>
      <c r="P19" s="402"/>
      <c r="Q19" s="402"/>
      <c r="R19" s="402"/>
      <c r="S19" s="408"/>
      <c r="T19" s="423"/>
      <c r="U19" s="424">
        <f t="shared" si="6"/>
        <v>21280.149999999998</v>
      </c>
      <c r="V19" s="425">
        <f t="shared" si="6"/>
        <v>0</v>
      </c>
      <c r="W19" s="402">
        <v>0</v>
      </c>
      <c r="X19" s="402">
        <v>11395.49</v>
      </c>
      <c r="Y19" s="402">
        <v>0</v>
      </c>
      <c r="Z19" s="402">
        <v>0</v>
      </c>
      <c r="AA19" s="402">
        <v>7033.47</v>
      </c>
      <c r="AB19" s="402">
        <v>1919.18</v>
      </c>
      <c r="AC19" s="402"/>
      <c r="AD19" s="402"/>
      <c r="AE19" s="408"/>
      <c r="AF19" s="409">
        <f>SUM(W19:AE19)</f>
        <v>20348.14</v>
      </c>
      <c r="AG19" s="417">
        <f t="shared" si="16"/>
        <v>20478.3206</v>
      </c>
      <c r="AH19" s="392">
        <f t="shared" si="7"/>
        <v>0</v>
      </c>
      <c r="AI19" s="392">
        <f t="shared" si="7"/>
        <v>0</v>
      </c>
      <c r="AJ19" s="393">
        <f>'[8]Т10'!$J$166+'[8]Т10'!$J$208</f>
        <v>214</v>
      </c>
      <c r="AK19" s="368">
        <f t="shared" si="8"/>
        <v>1628.9107000000001</v>
      </c>
      <c r="AL19" s="368">
        <f t="shared" si="9"/>
        <v>486.242</v>
      </c>
      <c r="AM19" s="368">
        <f t="shared" si="10"/>
        <v>2431.21</v>
      </c>
      <c r="AN19" s="368">
        <f t="shared" si="11"/>
        <v>510.5541</v>
      </c>
      <c r="AO19" s="368">
        <f t="shared" si="12"/>
        <v>4911.0442</v>
      </c>
      <c r="AP19" s="368">
        <f t="shared" si="13"/>
        <v>2504.1463</v>
      </c>
      <c r="AQ19" s="368">
        <f t="shared" si="14"/>
        <v>1823.4075</v>
      </c>
      <c r="AR19" s="368">
        <f t="shared" si="15"/>
        <v>1823.4075</v>
      </c>
      <c r="AS19" s="426">
        <f>B19*1.15</f>
        <v>2795.8914999999997</v>
      </c>
      <c r="AT19" s="395">
        <f>0.45*524</f>
        <v>235.8</v>
      </c>
      <c r="AU19" s="394">
        <v>3084</v>
      </c>
      <c r="AV19" s="394"/>
      <c r="AW19" s="394"/>
      <c r="AX19" s="394"/>
      <c r="AY19" s="394"/>
      <c r="AZ19" s="369"/>
      <c r="BA19" s="395"/>
      <c r="BB19" s="395"/>
      <c r="BC19" s="383">
        <f>SUM(AK19:BB19)</f>
        <v>22234.613799999996</v>
      </c>
      <c r="BD19" s="396">
        <f>'[6]Т10'!$S$166+'[6]Т10'!$S$208</f>
        <v>53.5</v>
      </c>
      <c r="BE19" s="373">
        <f t="shared" si="2"/>
        <v>22288.113799999996</v>
      </c>
      <c r="BF19" s="373">
        <f t="shared" si="3"/>
        <v>-1595.7931999999964</v>
      </c>
      <c r="BG19" s="374">
        <f t="shared" si="4"/>
        <v>-932.0099999999984</v>
      </c>
      <c r="BH19" s="374"/>
      <c r="BI19" s="374"/>
      <c r="BJ19" s="374"/>
      <c r="BK19" s="374"/>
      <c r="BL19" s="375"/>
      <c r="BM19" s="427"/>
    </row>
    <row r="20" spans="1:65" ht="12.75">
      <c r="A20" s="354" t="s">
        <v>40</v>
      </c>
      <c r="B20" s="355">
        <v>2431.21</v>
      </c>
      <c r="C20" s="154">
        <f>B20*8.55</f>
        <v>20786.845500000003</v>
      </c>
      <c r="D20" s="428">
        <v>130.1806</v>
      </c>
      <c r="E20" s="402"/>
      <c r="F20" s="402"/>
      <c r="G20" s="402">
        <v>12865.34</v>
      </c>
      <c r="H20" s="402"/>
      <c r="I20" s="402"/>
      <c r="J20" s="402"/>
      <c r="K20" s="402"/>
      <c r="L20" s="402"/>
      <c r="M20" s="402">
        <v>6247.72</v>
      </c>
      <c r="N20" s="402"/>
      <c r="O20" s="402">
        <v>2167.11</v>
      </c>
      <c r="P20" s="402"/>
      <c r="Q20" s="402"/>
      <c r="R20" s="402"/>
      <c r="S20" s="408"/>
      <c r="T20" s="423"/>
      <c r="U20" s="424">
        <f t="shared" si="6"/>
        <v>21280.170000000002</v>
      </c>
      <c r="V20" s="425">
        <f t="shared" si="6"/>
        <v>0</v>
      </c>
      <c r="W20" s="402">
        <v>0</v>
      </c>
      <c r="X20" s="402">
        <v>12819.67</v>
      </c>
      <c r="Y20" s="402">
        <v>0</v>
      </c>
      <c r="Z20" s="402">
        <v>0</v>
      </c>
      <c r="AA20" s="402">
        <v>6014.55</v>
      </c>
      <c r="AB20" s="402">
        <v>2159.6</v>
      </c>
      <c r="AC20" s="402"/>
      <c r="AD20" s="402"/>
      <c r="AE20" s="408"/>
      <c r="AF20" s="409">
        <f>SUM(W20:AE20)</f>
        <v>20993.82</v>
      </c>
      <c r="AG20" s="417">
        <f t="shared" si="16"/>
        <v>21124.0006</v>
      </c>
      <c r="AH20" s="392">
        <f t="shared" si="7"/>
        <v>0</v>
      </c>
      <c r="AI20" s="392">
        <f t="shared" si="7"/>
        <v>0</v>
      </c>
      <c r="AJ20" s="393">
        <f>'[6]Т11'!$J$166+'[6]Т11'!$J$208</f>
        <v>214</v>
      </c>
      <c r="AK20" s="368">
        <f t="shared" si="8"/>
        <v>1628.9107000000001</v>
      </c>
      <c r="AL20" s="368">
        <f t="shared" si="9"/>
        <v>486.242</v>
      </c>
      <c r="AM20" s="368">
        <f t="shared" si="10"/>
        <v>2431.21</v>
      </c>
      <c r="AN20" s="368">
        <f t="shared" si="11"/>
        <v>510.5541</v>
      </c>
      <c r="AO20" s="368">
        <f t="shared" si="12"/>
        <v>4911.0442</v>
      </c>
      <c r="AP20" s="368">
        <f t="shared" si="13"/>
        <v>2504.1463</v>
      </c>
      <c r="AQ20" s="368">
        <f t="shared" si="14"/>
        <v>1823.4075</v>
      </c>
      <c r="AR20" s="368">
        <f t="shared" si="15"/>
        <v>1823.4075</v>
      </c>
      <c r="AS20" s="426">
        <f>B20*1.15</f>
        <v>2795.8914999999997</v>
      </c>
      <c r="AT20" s="395">
        <f>0.45*524</f>
        <v>235.8</v>
      </c>
      <c r="AU20" s="394"/>
      <c r="AV20" s="394"/>
      <c r="AW20" s="394"/>
      <c r="AX20" s="394"/>
      <c r="AY20" s="394"/>
      <c r="AZ20" s="369"/>
      <c r="BA20" s="395"/>
      <c r="BB20" s="395"/>
      <c r="BC20" s="383">
        <f>SUM(AK20:BB20)</f>
        <v>19150.613799999996</v>
      </c>
      <c r="BD20" s="396">
        <f>'[6]Т11'!$S$166+'[6]Т11'!$S$208</f>
        <v>53.5</v>
      </c>
      <c r="BE20" s="373">
        <f t="shared" si="2"/>
        <v>19204.113799999996</v>
      </c>
      <c r="BF20" s="373">
        <f t="shared" si="3"/>
        <v>2133.886800000004</v>
      </c>
      <c r="BG20" s="374">
        <f t="shared" si="4"/>
        <v>-286.3500000000022</v>
      </c>
      <c r="BH20" s="374"/>
      <c r="BI20" s="374"/>
      <c r="BJ20" s="374"/>
      <c r="BK20" s="374"/>
      <c r="BL20" s="429"/>
      <c r="BM20" s="427"/>
    </row>
    <row r="21" spans="1:65" ht="13.5" thickBot="1">
      <c r="A21" s="354" t="s">
        <v>41</v>
      </c>
      <c r="B21" s="355">
        <v>2431.21</v>
      </c>
      <c r="C21" s="154">
        <f>B21*8.55</f>
        <v>20786.845500000003</v>
      </c>
      <c r="D21" s="428">
        <v>130.1806</v>
      </c>
      <c r="E21" s="430"/>
      <c r="F21" s="430"/>
      <c r="G21" s="430">
        <v>12865.33</v>
      </c>
      <c r="H21" s="430"/>
      <c r="I21" s="430"/>
      <c r="J21" s="430"/>
      <c r="K21" s="430"/>
      <c r="L21" s="430"/>
      <c r="M21" s="430">
        <v>6247.73</v>
      </c>
      <c r="N21" s="430"/>
      <c r="O21" s="430">
        <v>2167.1</v>
      </c>
      <c r="P21" s="430"/>
      <c r="Q21" s="430"/>
      <c r="R21" s="430"/>
      <c r="S21" s="431"/>
      <c r="T21" s="432"/>
      <c r="U21" s="424">
        <f t="shared" si="6"/>
        <v>21280.159999999996</v>
      </c>
      <c r="V21" s="425">
        <f t="shared" si="6"/>
        <v>0</v>
      </c>
      <c r="W21" s="402">
        <v>0</v>
      </c>
      <c r="X21" s="402">
        <v>15986.62</v>
      </c>
      <c r="Y21" s="402">
        <v>0</v>
      </c>
      <c r="Z21" s="402">
        <v>0</v>
      </c>
      <c r="AA21" s="402">
        <v>7627.2</v>
      </c>
      <c r="AB21" s="402">
        <v>2693.03</v>
      </c>
      <c r="AC21" s="402"/>
      <c r="AD21" s="402"/>
      <c r="AE21" s="408"/>
      <c r="AF21" s="409">
        <f>SUM(W21:AE21)</f>
        <v>26306.85</v>
      </c>
      <c r="AG21" s="417">
        <f t="shared" si="16"/>
        <v>26437.0306</v>
      </c>
      <c r="AH21" s="392">
        <f t="shared" si="7"/>
        <v>0</v>
      </c>
      <c r="AI21" s="392">
        <f t="shared" si="7"/>
        <v>0</v>
      </c>
      <c r="AJ21" s="393">
        <f>'[6]Т12'!$J$190+'[6]Т12'!$J$232</f>
        <v>214</v>
      </c>
      <c r="AK21" s="368">
        <f t="shared" si="8"/>
        <v>1628.9107000000001</v>
      </c>
      <c r="AL21" s="368">
        <f t="shared" si="9"/>
        <v>486.242</v>
      </c>
      <c r="AM21" s="368">
        <f t="shared" si="10"/>
        <v>2431.21</v>
      </c>
      <c r="AN21" s="368">
        <f t="shared" si="11"/>
        <v>510.5541</v>
      </c>
      <c r="AO21" s="368">
        <f t="shared" si="12"/>
        <v>4911.0442</v>
      </c>
      <c r="AP21" s="368">
        <f t="shared" si="13"/>
        <v>2504.1463</v>
      </c>
      <c r="AQ21" s="368">
        <f t="shared" si="14"/>
        <v>1823.4075</v>
      </c>
      <c r="AR21" s="368">
        <f t="shared" si="15"/>
        <v>1823.4075</v>
      </c>
      <c r="AS21" s="426">
        <f>B21*1.15</f>
        <v>2795.8914999999997</v>
      </c>
      <c r="AT21" s="395">
        <f>0.45*524</f>
        <v>235.8</v>
      </c>
      <c r="AU21" s="394"/>
      <c r="AV21" s="394">
        <v>152</v>
      </c>
      <c r="AW21" s="394"/>
      <c r="AX21" s="394">
        <f>105+365+85+55</f>
        <v>610</v>
      </c>
      <c r="AY21" s="394"/>
      <c r="AZ21" s="369"/>
      <c r="BA21" s="395"/>
      <c r="BB21" s="395"/>
      <c r="BC21" s="383">
        <f>SUM(AK21:BB21)</f>
        <v>19912.613799999996</v>
      </c>
      <c r="BD21" s="396">
        <f>'[6]Т12'!$S$190+'[6]Т12'!$S$232</f>
        <v>53.5</v>
      </c>
      <c r="BE21" s="373">
        <f t="shared" si="2"/>
        <v>19966.113799999996</v>
      </c>
      <c r="BF21" s="373">
        <f t="shared" si="3"/>
        <v>6684.916800000003</v>
      </c>
      <c r="BG21" s="374">
        <f t="shared" si="4"/>
        <v>5026.690000000002</v>
      </c>
      <c r="BH21" s="374"/>
      <c r="BI21" s="374"/>
      <c r="BJ21" s="374"/>
      <c r="BK21" s="374"/>
      <c r="BL21" s="429"/>
      <c r="BM21" s="427"/>
    </row>
    <row r="22" spans="1:61" s="24" customFormat="1" ht="13.5" thickBot="1">
      <c r="A22" s="433" t="s">
        <v>3</v>
      </c>
      <c r="B22" s="434"/>
      <c r="C22" s="435">
        <f aca="true" t="shared" si="17" ref="C22:BF22">SUM(C10:C21)</f>
        <v>249442.14599999998</v>
      </c>
      <c r="D22" s="435">
        <f t="shared" si="17"/>
        <v>1562.1671999999996</v>
      </c>
      <c r="E22" s="435">
        <f t="shared" si="17"/>
        <v>0</v>
      </c>
      <c r="F22" s="435">
        <f t="shared" si="17"/>
        <v>0</v>
      </c>
      <c r="G22" s="435">
        <f t="shared" si="17"/>
        <v>151861</v>
      </c>
      <c r="H22" s="435">
        <f t="shared" si="17"/>
        <v>294.65999999999997</v>
      </c>
      <c r="I22" s="435">
        <f t="shared" si="17"/>
        <v>0</v>
      </c>
      <c r="J22" s="435">
        <f t="shared" si="17"/>
        <v>0</v>
      </c>
      <c r="K22" s="435">
        <f t="shared" si="17"/>
        <v>0</v>
      </c>
      <c r="L22" s="435">
        <f t="shared" si="17"/>
        <v>0</v>
      </c>
      <c r="M22" s="435">
        <f t="shared" si="17"/>
        <v>73747.04999999999</v>
      </c>
      <c r="N22" s="435">
        <f t="shared" si="17"/>
        <v>190.72</v>
      </c>
      <c r="O22" s="435">
        <f t="shared" si="17"/>
        <v>25645.859999999993</v>
      </c>
      <c r="P22" s="435">
        <f t="shared" si="17"/>
        <v>0</v>
      </c>
      <c r="Q22" s="435">
        <f t="shared" si="17"/>
        <v>0</v>
      </c>
      <c r="R22" s="435">
        <f t="shared" si="17"/>
        <v>0</v>
      </c>
      <c r="S22" s="435">
        <f t="shared" si="17"/>
        <v>0</v>
      </c>
      <c r="T22" s="435">
        <f t="shared" si="17"/>
        <v>0</v>
      </c>
      <c r="U22" s="435">
        <f t="shared" si="17"/>
        <v>251253.91</v>
      </c>
      <c r="V22" s="435">
        <f t="shared" si="17"/>
        <v>485.38</v>
      </c>
      <c r="W22" s="435">
        <f t="shared" si="17"/>
        <v>3221.4399999999996</v>
      </c>
      <c r="X22" s="435">
        <f t="shared" si="17"/>
        <v>129239.71</v>
      </c>
      <c r="Y22" s="435">
        <f t="shared" si="17"/>
        <v>4364.87</v>
      </c>
      <c r="Z22" s="435">
        <f t="shared" si="17"/>
        <v>7264.2300000000005</v>
      </c>
      <c r="AA22" s="435">
        <f t="shared" si="17"/>
        <v>72759.34</v>
      </c>
      <c r="AB22" s="435">
        <f t="shared" si="17"/>
        <v>23998.029999999995</v>
      </c>
      <c r="AC22" s="435">
        <f t="shared" si="17"/>
        <v>0</v>
      </c>
      <c r="AD22" s="435">
        <f t="shared" si="17"/>
        <v>0</v>
      </c>
      <c r="AE22" s="435">
        <f t="shared" si="17"/>
        <v>0</v>
      </c>
      <c r="AF22" s="435">
        <f t="shared" si="17"/>
        <v>240847.62000000002</v>
      </c>
      <c r="AG22" s="435">
        <f t="shared" si="17"/>
        <v>242895.1672</v>
      </c>
      <c r="AH22" s="435">
        <f t="shared" si="17"/>
        <v>0</v>
      </c>
      <c r="AI22" s="435">
        <f t="shared" si="17"/>
        <v>0</v>
      </c>
      <c r="AJ22" s="435">
        <f t="shared" si="17"/>
        <v>2112</v>
      </c>
      <c r="AK22" s="435">
        <f t="shared" si="17"/>
        <v>19546.9284</v>
      </c>
      <c r="AL22" s="435">
        <f t="shared" si="17"/>
        <v>5834.904000000001</v>
      </c>
      <c r="AM22" s="435">
        <f t="shared" si="17"/>
        <v>29174.519999999993</v>
      </c>
      <c r="AN22" s="435">
        <f t="shared" si="17"/>
        <v>6126.649200000001</v>
      </c>
      <c r="AO22" s="435">
        <f t="shared" si="17"/>
        <v>58932.53040000002</v>
      </c>
      <c r="AP22" s="435">
        <f t="shared" si="17"/>
        <v>30049.7556</v>
      </c>
      <c r="AQ22" s="435">
        <f t="shared" si="17"/>
        <v>21880.890000000003</v>
      </c>
      <c r="AR22" s="435">
        <f t="shared" si="17"/>
        <v>21880.890000000003</v>
      </c>
      <c r="AS22" s="435">
        <f t="shared" si="17"/>
        <v>16775.349</v>
      </c>
      <c r="AT22" s="435">
        <f t="shared" si="17"/>
        <v>2593.8</v>
      </c>
      <c r="AU22" s="435">
        <f t="shared" si="17"/>
        <v>17938</v>
      </c>
      <c r="AV22" s="435">
        <f t="shared" si="17"/>
        <v>152</v>
      </c>
      <c r="AW22" s="435">
        <f t="shared" si="17"/>
        <v>1071</v>
      </c>
      <c r="AX22" s="435">
        <f t="shared" si="17"/>
        <v>4874.79</v>
      </c>
      <c r="AY22" s="435">
        <f t="shared" si="17"/>
        <v>0</v>
      </c>
      <c r="AZ22" s="435">
        <f t="shared" si="17"/>
        <v>0</v>
      </c>
      <c r="BA22" s="435">
        <f t="shared" si="17"/>
        <v>4377.45</v>
      </c>
      <c r="BB22" s="435">
        <f t="shared" si="17"/>
        <v>0</v>
      </c>
      <c r="BC22" s="435">
        <f t="shared" si="17"/>
        <v>241209.45659999992</v>
      </c>
      <c r="BD22" s="435">
        <f t="shared" si="17"/>
        <v>528</v>
      </c>
      <c r="BE22" s="435">
        <f t="shared" si="17"/>
        <v>241737.45659999992</v>
      </c>
      <c r="BF22" s="435">
        <f>SUM(BF10:BF21)</f>
        <v>3269.7106000000276</v>
      </c>
      <c r="BG22" s="435">
        <f>SUM(BG10:BG21)</f>
        <v>-10406.289999999997</v>
      </c>
      <c r="BI22" s="58"/>
    </row>
    <row r="23" spans="1:61" s="24" customFormat="1" ht="13.5" thickBot="1">
      <c r="A23" s="436"/>
      <c r="B23" s="437"/>
      <c r="C23" s="437"/>
      <c r="D23" s="437"/>
      <c r="E23" s="437"/>
      <c r="F23" s="437"/>
      <c r="G23" s="437"/>
      <c r="H23" s="437"/>
      <c r="I23" s="437"/>
      <c r="J23" s="437"/>
      <c r="K23" s="437"/>
      <c r="L23" s="437"/>
      <c r="M23" s="437"/>
      <c r="N23" s="437"/>
      <c r="O23" s="437"/>
      <c r="P23" s="437"/>
      <c r="Q23" s="437"/>
      <c r="R23" s="437"/>
      <c r="S23" s="437"/>
      <c r="T23" s="437"/>
      <c r="U23" s="437"/>
      <c r="V23" s="437"/>
      <c r="W23" s="437"/>
      <c r="X23" s="437"/>
      <c r="Y23" s="437"/>
      <c r="Z23" s="437"/>
      <c r="AA23" s="437"/>
      <c r="AB23" s="437"/>
      <c r="AC23" s="437"/>
      <c r="AD23" s="437"/>
      <c r="AE23" s="437"/>
      <c r="AF23" s="437"/>
      <c r="AG23" s="437"/>
      <c r="AH23" s="437"/>
      <c r="AI23" s="437"/>
      <c r="AJ23" s="437"/>
      <c r="AK23" s="437"/>
      <c r="AL23" s="437"/>
      <c r="AM23" s="437"/>
      <c r="AN23" s="437"/>
      <c r="AO23" s="437"/>
      <c r="AP23" s="437"/>
      <c r="AQ23" s="437"/>
      <c r="AR23" s="437"/>
      <c r="AS23" s="437"/>
      <c r="AT23" s="437"/>
      <c r="AU23" s="437"/>
      <c r="AV23" s="437"/>
      <c r="AW23" s="437"/>
      <c r="AX23" s="437"/>
      <c r="AY23" s="437"/>
      <c r="AZ23" s="437"/>
      <c r="BA23" s="437"/>
      <c r="BB23" s="437"/>
      <c r="BC23" s="437"/>
      <c r="BD23" s="437"/>
      <c r="BE23" s="438"/>
      <c r="BF23" s="437"/>
      <c r="BG23" s="439"/>
      <c r="BI23" s="58"/>
    </row>
    <row r="24" spans="1:59" s="24" customFormat="1" ht="13.5" thickBot="1">
      <c r="A24" s="27" t="s">
        <v>52</v>
      </c>
      <c r="B24" s="437"/>
      <c r="C24" s="440">
        <f aca="true" t="shared" si="18" ref="C24:L24">C22+C8</f>
        <v>816786.304</v>
      </c>
      <c r="D24" s="440">
        <f t="shared" si="18"/>
        <v>68492.86634245003</v>
      </c>
      <c r="E24" s="440">
        <f t="shared" si="18"/>
        <v>48870.149999999994</v>
      </c>
      <c r="F24" s="440">
        <f t="shared" si="18"/>
        <v>8438.09</v>
      </c>
      <c r="G24" s="440">
        <f t="shared" si="18"/>
        <v>151861</v>
      </c>
      <c r="H24" s="440">
        <f t="shared" si="18"/>
        <v>294.65999999999997</v>
      </c>
      <c r="I24" s="440">
        <f t="shared" si="18"/>
        <v>66132.14</v>
      </c>
      <c r="J24" s="440">
        <f t="shared" si="18"/>
        <v>11423.609999999997</v>
      </c>
      <c r="K24" s="440">
        <f t="shared" si="18"/>
        <v>110111.40999999999</v>
      </c>
      <c r="L24" s="440">
        <f t="shared" si="18"/>
        <v>19018.839999999997</v>
      </c>
      <c r="M24" s="440" t="e">
        <f>#REF!</f>
        <v>#REF!</v>
      </c>
      <c r="N24" s="440">
        <f aca="true" t="shared" si="19" ref="N24:BG24">N22+N8</f>
        <v>27925.850000000002</v>
      </c>
      <c r="O24" s="440">
        <f t="shared" si="19"/>
        <v>64739.69999999999</v>
      </c>
      <c r="P24" s="440">
        <f t="shared" si="19"/>
        <v>6750.6900000000005</v>
      </c>
      <c r="Q24" s="440">
        <f t="shared" si="19"/>
        <v>0</v>
      </c>
      <c r="R24" s="440">
        <f t="shared" si="19"/>
        <v>0</v>
      </c>
      <c r="S24" s="440">
        <f t="shared" si="19"/>
        <v>0</v>
      </c>
      <c r="T24" s="440">
        <f t="shared" si="19"/>
        <v>0</v>
      </c>
      <c r="U24" s="440">
        <f t="shared" si="19"/>
        <v>674395.03</v>
      </c>
      <c r="V24" s="440">
        <f t="shared" si="19"/>
        <v>73851.73999999999</v>
      </c>
      <c r="W24" s="440">
        <f t="shared" si="19"/>
        <v>48964.25</v>
      </c>
      <c r="X24" s="440">
        <f t="shared" si="19"/>
        <v>129239.71</v>
      </c>
      <c r="Y24" s="440">
        <f t="shared" si="19"/>
        <v>66261.21</v>
      </c>
      <c r="Z24" s="440">
        <f t="shared" si="19"/>
        <v>110329.12000000001</v>
      </c>
      <c r="AA24" s="440">
        <f t="shared" si="19"/>
        <v>221633.72</v>
      </c>
      <c r="AB24" s="440">
        <f t="shared" si="19"/>
        <v>60593.53</v>
      </c>
      <c r="AC24" s="440">
        <f t="shared" si="19"/>
        <v>0</v>
      </c>
      <c r="AD24" s="440">
        <f t="shared" si="19"/>
        <v>0</v>
      </c>
      <c r="AE24" s="440">
        <f t="shared" si="19"/>
        <v>0</v>
      </c>
      <c r="AF24" s="440">
        <f t="shared" si="19"/>
        <v>637021.5399999999</v>
      </c>
      <c r="AG24" s="440">
        <f t="shared" si="19"/>
        <v>779366.14634245</v>
      </c>
      <c r="AH24" s="440">
        <f t="shared" si="19"/>
        <v>0</v>
      </c>
      <c r="AI24" s="440">
        <f t="shared" si="19"/>
        <v>0</v>
      </c>
      <c r="AJ24" s="440">
        <f t="shared" si="19"/>
        <v>2412</v>
      </c>
      <c r="AK24" s="440">
        <f t="shared" si="19"/>
        <v>58317.4152</v>
      </c>
      <c r="AL24" s="440">
        <f t="shared" si="19"/>
        <v>18826.181412120004</v>
      </c>
      <c r="AM24" s="440">
        <f t="shared" si="19"/>
        <v>93535.04566379149</v>
      </c>
      <c r="AN24" s="440">
        <f t="shared" si="19"/>
        <v>6126.649200000001</v>
      </c>
      <c r="AO24" s="440">
        <f t="shared" si="19"/>
        <v>123126.45661965598</v>
      </c>
      <c r="AP24" s="440">
        <f t="shared" si="19"/>
        <v>173657.85389192784</v>
      </c>
      <c r="AQ24" s="440">
        <f t="shared" si="19"/>
        <v>21880.890000000003</v>
      </c>
      <c r="AR24" s="440">
        <f t="shared" si="19"/>
        <v>21880.890000000003</v>
      </c>
      <c r="AS24" s="440">
        <f t="shared" si="19"/>
        <v>16775.349</v>
      </c>
      <c r="AT24" s="440">
        <f t="shared" si="19"/>
        <v>5423.400000000001</v>
      </c>
      <c r="AU24" s="440">
        <f t="shared" si="19"/>
        <v>79736.5192</v>
      </c>
      <c r="AV24" s="440">
        <f t="shared" si="19"/>
        <v>152</v>
      </c>
      <c r="AW24" s="441">
        <f t="shared" si="19"/>
        <v>37913.51</v>
      </c>
      <c r="AX24" s="441">
        <f t="shared" si="19"/>
        <v>28078.4162</v>
      </c>
      <c r="AY24" s="441">
        <f t="shared" si="19"/>
        <v>13471.916000000001</v>
      </c>
      <c r="AZ24" s="441">
        <f t="shared" si="19"/>
        <v>0</v>
      </c>
      <c r="BA24" s="441">
        <f t="shared" si="19"/>
        <v>4377.45</v>
      </c>
      <c r="BB24" s="441">
        <f t="shared" si="19"/>
        <v>0</v>
      </c>
      <c r="BC24" s="441">
        <f t="shared" si="19"/>
        <v>703279.9423874952</v>
      </c>
      <c r="BD24" s="441">
        <f t="shared" si="19"/>
        <v>603</v>
      </c>
      <c r="BE24" s="441">
        <f t="shared" si="19"/>
        <v>703882.9423874952</v>
      </c>
      <c r="BF24" s="441">
        <f t="shared" si="19"/>
        <v>77895.20395495478</v>
      </c>
      <c r="BG24" s="441">
        <f t="shared" si="19"/>
        <v>-37373.490000000005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PageLayoutView="0" workbookViewId="0" topLeftCell="A1">
      <selection activeCell="B35" sqref="B35"/>
    </sheetView>
  </sheetViews>
  <sheetFormatPr defaultColWidth="9.00390625" defaultRowHeight="12.75"/>
  <cols>
    <col min="1" max="1" width="10.00390625" style="301" customWidth="1"/>
    <col min="2" max="2" width="10.625" style="301" customWidth="1"/>
    <col min="3" max="3" width="11.875" style="301" customWidth="1"/>
    <col min="4" max="4" width="10.125" style="301" customWidth="1"/>
    <col min="5" max="5" width="11.625" style="301" customWidth="1"/>
    <col min="6" max="6" width="9.875" style="301" customWidth="1"/>
    <col min="7" max="7" width="11.875" style="301" customWidth="1"/>
    <col min="8" max="9" width="11.375" style="301" customWidth="1"/>
    <col min="10" max="10" width="10.00390625" style="301" customWidth="1"/>
    <col min="11" max="11" width="9.875" style="301" customWidth="1"/>
    <col min="12" max="12" width="11.875" style="301" customWidth="1"/>
    <col min="13" max="13" width="10.125" style="301" customWidth="1"/>
    <col min="14" max="14" width="11.375" style="301" customWidth="1"/>
    <col min="15" max="15" width="12.625" style="301" customWidth="1"/>
    <col min="16" max="16" width="10.375" style="301" customWidth="1"/>
    <col min="17" max="17" width="10.75390625" style="301" customWidth="1"/>
    <col min="18" max="16384" width="9.125" style="301" customWidth="1"/>
  </cols>
  <sheetData>
    <row r="1" spans="2:9" ht="20.25" customHeight="1">
      <c r="B1" s="442" t="s">
        <v>53</v>
      </c>
      <c r="C1" s="442"/>
      <c r="D1" s="442"/>
      <c r="E1" s="442"/>
      <c r="F1" s="442"/>
      <c r="G1" s="442"/>
      <c r="H1" s="442"/>
      <c r="I1" s="29"/>
    </row>
    <row r="2" spans="2:12" ht="21" customHeight="1">
      <c r="B2" s="442" t="s">
        <v>54</v>
      </c>
      <c r="C2" s="442"/>
      <c r="D2" s="442"/>
      <c r="E2" s="442"/>
      <c r="F2" s="442"/>
      <c r="G2" s="442"/>
      <c r="H2" s="442"/>
      <c r="I2" s="29"/>
      <c r="K2" s="300"/>
      <c r="L2" s="300"/>
    </row>
    <row r="5" spans="1:14" ht="12.75">
      <c r="A5" s="274" t="s">
        <v>127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</row>
    <row r="6" spans="1:14" ht="12.75">
      <c r="A6" s="443" t="s">
        <v>119</v>
      </c>
      <c r="B6" s="443"/>
      <c r="C6" s="443"/>
      <c r="D6" s="443"/>
      <c r="E6" s="443"/>
      <c r="F6" s="443"/>
      <c r="G6" s="443"/>
      <c r="H6" s="104"/>
      <c r="I6" s="104"/>
      <c r="J6" s="104"/>
      <c r="K6" s="104"/>
      <c r="L6" s="104"/>
      <c r="M6" s="104"/>
      <c r="N6" s="104"/>
    </row>
    <row r="7" spans="1:15" ht="13.5" thickBot="1">
      <c r="A7" s="444" t="s">
        <v>55</v>
      </c>
      <c r="B7" s="444"/>
      <c r="C7" s="444"/>
      <c r="D7" s="444"/>
      <c r="E7" s="444">
        <v>8.55</v>
      </c>
      <c r="F7" s="444"/>
      <c r="I7" s="445"/>
      <c r="J7" s="445"/>
      <c r="K7" s="445"/>
      <c r="L7" s="445"/>
      <c r="M7" s="445"/>
      <c r="N7" s="445"/>
      <c r="O7" s="445"/>
    </row>
    <row r="8" spans="1:17" ht="12.75" customHeight="1">
      <c r="A8" s="275" t="s">
        <v>56</v>
      </c>
      <c r="B8" s="278" t="s">
        <v>0</v>
      </c>
      <c r="C8" s="281" t="s">
        <v>57</v>
      </c>
      <c r="D8" s="284" t="s">
        <v>2</v>
      </c>
      <c r="E8" s="287" t="s">
        <v>58</v>
      </c>
      <c r="F8" s="213"/>
      <c r="G8" s="446" t="s">
        <v>120</v>
      </c>
      <c r="H8" s="447"/>
      <c r="I8" s="448"/>
      <c r="J8" s="449" t="s">
        <v>8</v>
      </c>
      <c r="K8" s="450"/>
      <c r="L8" s="450"/>
      <c r="M8" s="450"/>
      <c r="N8" s="450"/>
      <c r="O8" s="451"/>
      <c r="P8" s="452" t="s">
        <v>59</v>
      </c>
      <c r="Q8" s="452" t="s">
        <v>10</v>
      </c>
    </row>
    <row r="9" spans="1:17" ht="12.75">
      <c r="A9" s="276"/>
      <c r="B9" s="279"/>
      <c r="C9" s="282"/>
      <c r="D9" s="285"/>
      <c r="E9" s="288"/>
      <c r="F9" s="289"/>
      <c r="G9" s="453"/>
      <c r="H9" s="454"/>
      <c r="I9" s="455"/>
      <c r="J9" s="456"/>
      <c r="K9" s="457"/>
      <c r="L9" s="457"/>
      <c r="M9" s="457"/>
      <c r="N9" s="457"/>
      <c r="O9" s="230"/>
      <c r="P9" s="458"/>
      <c r="Q9" s="458"/>
    </row>
    <row r="10" spans="1:17" ht="26.25" customHeight="1">
      <c r="A10" s="276"/>
      <c r="B10" s="279"/>
      <c r="C10" s="282"/>
      <c r="D10" s="285"/>
      <c r="E10" s="260" t="s">
        <v>60</v>
      </c>
      <c r="F10" s="227"/>
      <c r="G10" s="459" t="s">
        <v>61</v>
      </c>
      <c r="H10" s="460" t="s">
        <v>5</v>
      </c>
      <c r="I10" s="461" t="s">
        <v>121</v>
      </c>
      <c r="J10" s="263" t="s">
        <v>62</v>
      </c>
      <c r="K10" s="265" t="s">
        <v>122</v>
      </c>
      <c r="L10" s="265" t="s">
        <v>63</v>
      </c>
      <c r="M10" s="265" t="s">
        <v>35</v>
      </c>
      <c r="N10" s="266" t="s">
        <v>123</v>
      </c>
      <c r="O10" s="462" t="s">
        <v>37</v>
      </c>
      <c r="P10" s="458"/>
      <c r="Q10" s="458"/>
    </row>
    <row r="11" spans="1:17" ht="66.75" customHeight="1" thickBot="1">
      <c r="A11" s="277"/>
      <c r="B11" s="280"/>
      <c r="C11" s="283"/>
      <c r="D11" s="286"/>
      <c r="E11" s="34" t="s">
        <v>65</v>
      </c>
      <c r="F11" s="35" t="s">
        <v>19</v>
      </c>
      <c r="G11" s="185" t="s">
        <v>124</v>
      </c>
      <c r="H11" s="462"/>
      <c r="I11" s="463"/>
      <c r="J11" s="264"/>
      <c r="K11" s="266"/>
      <c r="L11" s="266"/>
      <c r="M11" s="266"/>
      <c r="N11" s="464"/>
      <c r="O11" s="465"/>
      <c r="P11" s="466"/>
      <c r="Q11" s="466"/>
    </row>
    <row r="12" spans="1:17" ht="13.5" thickBot="1">
      <c r="A12" s="37">
        <v>1</v>
      </c>
      <c r="B12" s="38">
        <v>2</v>
      </c>
      <c r="C12" s="37">
        <v>3</v>
      </c>
      <c r="D12" s="38">
        <v>4</v>
      </c>
      <c r="E12" s="37">
        <v>5</v>
      </c>
      <c r="F12" s="38">
        <v>6</v>
      </c>
      <c r="G12" s="37">
        <v>7</v>
      </c>
      <c r="H12" s="38">
        <v>8</v>
      </c>
      <c r="I12" s="37">
        <v>9</v>
      </c>
      <c r="J12" s="38">
        <v>10</v>
      </c>
      <c r="K12" s="37">
        <v>11</v>
      </c>
      <c r="L12" s="38">
        <v>12</v>
      </c>
      <c r="M12" s="37">
        <v>13</v>
      </c>
      <c r="N12" s="38">
        <v>14</v>
      </c>
      <c r="O12" s="37">
        <v>15</v>
      </c>
      <c r="P12" s="38">
        <v>16</v>
      </c>
      <c r="Q12" s="37">
        <v>17</v>
      </c>
    </row>
    <row r="13" spans="1:17" ht="13.5" thickBot="1">
      <c r="A13" s="467" t="s">
        <v>94</v>
      </c>
      <c r="B13" s="468"/>
      <c r="C13" s="468"/>
      <c r="D13" s="468"/>
      <c r="E13" s="468"/>
      <c r="F13" s="468"/>
      <c r="G13" s="468"/>
      <c r="H13" s="468"/>
      <c r="I13" s="468"/>
      <c r="J13" s="468"/>
      <c r="K13" s="468"/>
      <c r="L13" s="468"/>
      <c r="M13" s="468"/>
      <c r="N13" s="468"/>
      <c r="O13" s="469"/>
      <c r="P13" s="470"/>
      <c r="Q13" s="470"/>
    </row>
    <row r="14" spans="1:19" s="24" customFormat="1" ht="13.5" thickBot="1">
      <c r="A14" s="66" t="s">
        <v>52</v>
      </c>
      <c r="B14" s="67"/>
      <c r="C14" s="68">
        <f>'2011 полн'!C8</f>
        <v>567344.158</v>
      </c>
      <c r="D14" s="68">
        <f>'2011 полн'!D8</f>
        <v>66930.69914245003</v>
      </c>
      <c r="E14" s="68">
        <f>'2011 полн'!U8</f>
        <v>423141.12</v>
      </c>
      <c r="F14" s="68">
        <f>'2011 полн'!V8</f>
        <v>73366.35999999999</v>
      </c>
      <c r="G14" s="68">
        <f>'2011 полн'!AF8</f>
        <v>396173.9199999999</v>
      </c>
      <c r="H14" s="68">
        <f>'2011 полн'!AG8</f>
        <v>536470.97914245</v>
      </c>
      <c r="I14" s="68">
        <f>'2011 полн'!AJ8</f>
        <v>300</v>
      </c>
      <c r="J14" s="68">
        <f>'2011 полн'!AK8</f>
        <v>38770.4868</v>
      </c>
      <c r="K14" s="68">
        <f>'2011 полн'!AL8</f>
        <v>12991.277412120002</v>
      </c>
      <c r="L14" s="68">
        <f>'2011 полн'!AM8+'2011 полн'!AO8+'2011 полн'!AP8+'2011 полн'!AT8+'2011 полн'!AX8+'2011 полн'!AY8+4377.45</f>
        <v>316045.1423753753</v>
      </c>
      <c r="M14" s="68">
        <f>'2011 полн'!AU8+'2011 полн'!AV8+'2011 полн'!AW8</f>
        <v>98641.02919999999</v>
      </c>
      <c r="N14" s="68">
        <f>'[1]2011 полн'!BD8</f>
        <v>75</v>
      </c>
      <c r="O14" s="68">
        <f>SUM(J14:N14)</f>
        <v>466522.93578749534</v>
      </c>
      <c r="P14" s="68">
        <f>H14+I14-O14</f>
        <v>70248.04335495469</v>
      </c>
      <c r="Q14" s="68">
        <f>'2011 полн'!BG8</f>
        <v>-26967.200000000008</v>
      </c>
      <c r="R14" s="71"/>
      <c r="S14" s="58"/>
    </row>
    <row r="15" spans="1:19" ht="12.75">
      <c r="A15" s="8" t="s">
        <v>118</v>
      </c>
      <c r="B15" s="471"/>
      <c r="C15" s="59"/>
      <c r="D15" s="60"/>
      <c r="E15" s="472"/>
      <c r="F15" s="473"/>
      <c r="G15" s="474"/>
      <c r="H15" s="473"/>
      <c r="I15" s="475"/>
      <c r="J15" s="474"/>
      <c r="K15" s="476"/>
      <c r="L15" s="476"/>
      <c r="M15" s="477"/>
      <c r="N15" s="478"/>
      <c r="O15" s="479"/>
      <c r="P15" s="480"/>
      <c r="Q15" s="480"/>
      <c r="R15" s="300"/>
      <c r="S15" s="300"/>
    </row>
    <row r="16" spans="1:19" ht="12.75">
      <c r="A16" s="354" t="s">
        <v>43</v>
      </c>
      <c r="B16" s="481">
        <f>'2011 полн'!B10</f>
        <v>2431.21</v>
      </c>
      <c r="C16" s="481">
        <f>'2011 полн'!C10</f>
        <v>20786.845500000003</v>
      </c>
      <c r="D16" s="46">
        <f>'2011 полн'!D10</f>
        <v>130.1806</v>
      </c>
      <c r="E16" s="476">
        <f>'2011 полн'!U10</f>
        <v>21041.52</v>
      </c>
      <c r="F16" s="476">
        <f>'2011 полн'!V10</f>
        <v>47.68</v>
      </c>
      <c r="G16" s="482">
        <f>'2011 полн'!AF10</f>
        <v>18039.42</v>
      </c>
      <c r="H16" s="482">
        <f>'2011 полн'!AG10</f>
        <v>18217.2806</v>
      </c>
      <c r="I16" s="482">
        <f>'2011 полн'!AJ10</f>
        <v>100</v>
      </c>
      <c r="J16" s="482">
        <f>'2011 полн'!AK10</f>
        <v>1628.9107000000001</v>
      </c>
      <c r="K16" s="482">
        <f>'2011 полн'!AL10</f>
        <v>486.242</v>
      </c>
      <c r="L16" s="476">
        <f>'2011 полн'!AM10+'2011 полн'!AN10+'2011 полн'!AO10+'2011 полн'!AP10+'2011 полн'!AQ10+'2011 полн'!AR10+'2011 полн'!AS10+'2011 полн'!AT10+'2011 полн'!AX10</f>
        <v>16829.661099999998</v>
      </c>
      <c r="M16" s="477">
        <f>'2011 полн'!AU10+'2011 полн'!AV10+'2011 полн'!AW10</f>
        <v>0</v>
      </c>
      <c r="N16" s="483">
        <f>'2011 полн'!BD10</f>
        <v>25</v>
      </c>
      <c r="O16" s="479">
        <f>SUM(J16:N16)</f>
        <v>18969.813799999996</v>
      </c>
      <c r="P16" s="480">
        <f>H16+I16-O16</f>
        <v>-652.533199999998</v>
      </c>
      <c r="Q16" s="480">
        <f>'2011 полн'!BG10</f>
        <v>-3002.100000000002</v>
      </c>
      <c r="R16" s="300"/>
      <c r="S16" s="300"/>
    </row>
    <row r="17" spans="1:19" ht="12.75">
      <c r="A17" s="354" t="s">
        <v>44</v>
      </c>
      <c r="B17" s="481">
        <f>'2011 полн'!B11</f>
        <v>2431.21</v>
      </c>
      <c r="C17" s="481">
        <f>'2011 полн'!C11</f>
        <v>20786.845500000003</v>
      </c>
      <c r="D17" s="46">
        <f>'2011 полн'!D11</f>
        <v>130.1806</v>
      </c>
      <c r="E17" s="476">
        <f>'2011 полн'!U11</f>
        <v>20332.02</v>
      </c>
      <c r="F17" s="476">
        <f>'2011 полн'!V11</f>
        <v>0</v>
      </c>
      <c r="G17" s="482">
        <f>'2011 полн'!AF11</f>
        <v>19803.69</v>
      </c>
      <c r="H17" s="482">
        <f>'2011 полн'!AG11</f>
        <v>19933.8706</v>
      </c>
      <c r="I17" s="482">
        <f>'2011 полн'!AJ11</f>
        <v>100</v>
      </c>
      <c r="J17" s="482">
        <f>'2011 полн'!AK11</f>
        <v>1628.9107000000001</v>
      </c>
      <c r="K17" s="482">
        <f>'2011 полн'!AL11</f>
        <v>486.242</v>
      </c>
      <c r="L17" s="476">
        <f>'2011 полн'!AM11+'2011 полн'!AN11+'2011 полн'!AO11+'2011 полн'!AP11+'2011 полн'!AQ11+'2011 полн'!AR11+'2011 полн'!AS11+'2011 полн'!AT11+'2011 полн'!AX11</f>
        <v>17066.021099999998</v>
      </c>
      <c r="M17" s="477">
        <f>'2011 полн'!AU11+'2011 полн'!AV11+'2011 полн'!AW11</f>
        <v>1321</v>
      </c>
      <c r="N17" s="483">
        <f>'2011 полн'!BD11</f>
        <v>25</v>
      </c>
      <c r="O17" s="479">
        <f aca="true" t="shared" si="0" ref="O17:O27">SUM(J17:N17)</f>
        <v>20527.173799999997</v>
      </c>
      <c r="P17" s="480">
        <f aca="true" t="shared" si="1" ref="P17:P27">H17+I17-O17</f>
        <v>-493.30319999999847</v>
      </c>
      <c r="Q17" s="480">
        <f>'2011 полн'!BG11</f>
        <v>-528.3300000000017</v>
      </c>
      <c r="R17" s="300"/>
      <c r="S17" s="300"/>
    </row>
    <row r="18" spans="1:19" ht="12.75">
      <c r="A18" s="354" t="s">
        <v>45</v>
      </c>
      <c r="B18" s="481">
        <f>'2011 полн'!B12</f>
        <v>2431.21</v>
      </c>
      <c r="C18" s="481">
        <f>'2011 полн'!C12</f>
        <v>20786.845500000003</v>
      </c>
      <c r="D18" s="46">
        <f>'2011 полн'!D12</f>
        <v>130.1806</v>
      </c>
      <c r="E18" s="476">
        <f>'2011 полн'!U12</f>
        <v>20693.72</v>
      </c>
      <c r="F18" s="476">
        <f>'2011 полн'!V12</f>
        <v>145.9</v>
      </c>
      <c r="G18" s="482">
        <f>'2011 полн'!AF12</f>
        <v>20071.07</v>
      </c>
      <c r="H18" s="482">
        <f>'2011 полн'!AG12</f>
        <v>20347.1506</v>
      </c>
      <c r="I18" s="482">
        <f>'2011 полн'!AJ12</f>
        <v>100</v>
      </c>
      <c r="J18" s="482">
        <f>'2011 полн'!AK12</f>
        <v>1628.9107000000001</v>
      </c>
      <c r="K18" s="482">
        <f>'2011 полн'!AL12</f>
        <v>486.242</v>
      </c>
      <c r="L18" s="476">
        <f>'2011 полн'!AM12+'2011 полн'!AN12+'2011 полн'!AO12+'2011 полн'!AP12+'2011 полн'!AQ12+'2011 полн'!AR12+'2011 полн'!AS12+'2011 полн'!AT12+'2011 полн'!AX12</f>
        <v>17035.461099999997</v>
      </c>
      <c r="M18" s="477">
        <f>'2011 полн'!AU12+'2011 полн'!AV12+'2011 полн'!AW12</f>
        <v>0</v>
      </c>
      <c r="N18" s="483">
        <f>'2011 полн'!BD12</f>
        <v>25</v>
      </c>
      <c r="O18" s="479">
        <f t="shared" si="0"/>
        <v>19175.613799999996</v>
      </c>
      <c r="P18" s="480">
        <f t="shared" si="1"/>
        <v>1271.5368000000053</v>
      </c>
      <c r="Q18" s="480">
        <f>'2011 полн'!BG12</f>
        <v>-622.6500000000015</v>
      </c>
      <c r="R18" s="300"/>
      <c r="S18" s="300"/>
    </row>
    <row r="19" spans="1:19" ht="12.75">
      <c r="A19" s="354" t="s">
        <v>46</v>
      </c>
      <c r="B19" s="481">
        <f>'2011 полн'!B13</f>
        <v>2431.21</v>
      </c>
      <c r="C19" s="481">
        <f>'2011 полн'!C13</f>
        <v>20786.845500000003</v>
      </c>
      <c r="D19" s="46">
        <f>'2011 полн'!D13</f>
        <v>130.1806</v>
      </c>
      <c r="E19" s="476">
        <f>'2011 полн'!U13</f>
        <v>20698.73</v>
      </c>
      <c r="F19" s="476">
        <f>'2011 полн'!V13</f>
        <v>145.9</v>
      </c>
      <c r="G19" s="482">
        <f>'2011 полн'!AF13</f>
        <v>23340.08</v>
      </c>
      <c r="H19" s="482">
        <f>'2011 полн'!AG13</f>
        <v>23616.160600000003</v>
      </c>
      <c r="I19" s="482">
        <f>'2011 полн'!AJ13</f>
        <v>100</v>
      </c>
      <c r="J19" s="482">
        <f>'2011 полн'!AK13</f>
        <v>1628.9107000000001</v>
      </c>
      <c r="K19" s="482">
        <f>'2011 полн'!AL13</f>
        <v>486.242</v>
      </c>
      <c r="L19" s="476">
        <f>'2011 полн'!AM13+'2011 полн'!AN13+'2011 полн'!AO13+'2011 полн'!AP13+'2011 полн'!AQ13+'2011 полн'!AR13+'2011 полн'!AS13+'2011 полн'!AT13+'2011 полн'!AX13</f>
        <v>14307.069599999999</v>
      </c>
      <c r="M19" s="477">
        <f>'2011 полн'!AU13+'2011 полн'!AV13+'2011 полн'!AW13</f>
        <v>0</v>
      </c>
      <c r="N19" s="483">
        <f>'2011 полн'!BD13</f>
        <v>25</v>
      </c>
      <c r="O19" s="479">
        <f t="shared" si="0"/>
        <v>16447.222299999998</v>
      </c>
      <c r="P19" s="480">
        <f t="shared" si="1"/>
        <v>7268.938300000005</v>
      </c>
      <c r="Q19" s="480">
        <f>'2011 полн'!BG13</f>
        <v>2641.350000000002</v>
      </c>
      <c r="R19" s="300"/>
      <c r="S19" s="300"/>
    </row>
    <row r="20" spans="1:19" ht="12.75">
      <c r="A20" s="354" t="s">
        <v>47</v>
      </c>
      <c r="B20" s="481">
        <f>'2011 полн'!B14</f>
        <v>2431.21</v>
      </c>
      <c r="C20" s="481">
        <f>'2011 полн'!C14</f>
        <v>20786.845500000003</v>
      </c>
      <c r="D20" s="46">
        <f>'2011 полн'!D14</f>
        <v>130.1806</v>
      </c>
      <c r="E20" s="476">
        <f>'2011 полн'!U14</f>
        <v>20844.629999999997</v>
      </c>
      <c r="F20" s="476">
        <f>'2011 полн'!V14</f>
        <v>145.9</v>
      </c>
      <c r="G20" s="482">
        <f>'2011 полн'!AF14</f>
        <v>19496.5</v>
      </c>
      <c r="H20" s="482">
        <f>'2011 полн'!AG14</f>
        <v>19772.5806</v>
      </c>
      <c r="I20" s="482">
        <f>'2011 полн'!AJ14</f>
        <v>214</v>
      </c>
      <c r="J20" s="482">
        <f>'2011 полн'!AK14</f>
        <v>1628.9107000000001</v>
      </c>
      <c r="K20" s="482">
        <f>'2011 полн'!AL14</f>
        <v>486.242</v>
      </c>
      <c r="L20" s="476">
        <f>'2011 полн'!AM14+'2011 полн'!AN14+'2011 полн'!AO14+'2011 полн'!AP14+'2011 полн'!AQ14+'2011 полн'!AR14+'2011 полн'!AS14+'2011 полн'!AT14+'2011 полн'!AX14</f>
        <v>14507.399599999999</v>
      </c>
      <c r="M20" s="477">
        <f>'2011 полн'!AU14+'2011 полн'!AV14+'2011 полн'!AW14</f>
        <v>3312</v>
      </c>
      <c r="N20" s="483">
        <f>'2011 полн'!BD14</f>
        <v>53.5</v>
      </c>
      <c r="O20" s="479">
        <f t="shared" si="0"/>
        <v>19988.0523</v>
      </c>
      <c r="P20" s="480">
        <f t="shared" si="1"/>
        <v>-1.4716999999982363</v>
      </c>
      <c r="Q20" s="480">
        <f>'2011 полн'!BG14</f>
        <v>-1348.1299999999974</v>
      </c>
      <c r="R20" s="300"/>
      <c r="S20" s="300"/>
    </row>
    <row r="21" spans="1:19" ht="12.75">
      <c r="A21" s="354" t="s">
        <v>48</v>
      </c>
      <c r="B21" s="481">
        <f>'2011 полн'!B15</f>
        <v>2431.21</v>
      </c>
      <c r="C21" s="481">
        <f>'2011 полн'!C15</f>
        <v>20786.845500000003</v>
      </c>
      <c r="D21" s="46">
        <f>'2011 полн'!D15</f>
        <v>130.1806</v>
      </c>
      <c r="E21" s="476">
        <f>'2011 полн'!U15</f>
        <v>20844.61</v>
      </c>
      <c r="F21" s="476">
        <f>'2011 полн'!V15</f>
        <v>0</v>
      </c>
      <c r="G21" s="482">
        <f>'2011 полн'!AF15</f>
        <v>17644</v>
      </c>
      <c r="H21" s="482">
        <f>'2011 полн'!AG15</f>
        <v>17774.1806</v>
      </c>
      <c r="I21" s="482">
        <f>'2011 полн'!AJ15</f>
        <v>214</v>
      </c>
      <c r="J21" s="482">
        <f>'2011 полн'!AK15</f>
        <v>1628.9107000000001</v>
      </c>
      <c r="K21" s="482">
        <f>'2011 полн'!AL15</f>
        <v>486.242</v>
      </c>
      <c r="L21" s="476">
        <f>'2011 полн'!AM15+'2011 полн'!AN15+'2011 полн'!AO15+'2011 полн'!AP15+'2011 полн'!AQ15+'2011 полн'!AR15+'2011 полн'!AS15+'2011 полн'!AT15+'2011 полн'!AX15</f>
        <v>14239.569599999999</v>
      </c>
      <c r="M21" s="477">
        <f>'2011 полн'!AU15+'2011 полн'!AV15+'2011 полн'!AW15</f>
        <v>0</v>
      </c>
      <c r="N21" s="483">
        <f>'2011 полн'!BD15</f>
        <v>53.5</v>
      </c>
      <c r="O21" s="479">
        <f t="shared" si="0"/>
        <v>16408.2223</v>
      </c>
      <c r="P21" s="480">
        <f t="shared" si="1"/>
        <v>1579.9582999999984</v>
      </c>
      <c r="Q21" s="480">
        <f>'2011 полн'!BG15</f>
        <v>-3200.6100000000006</v>
      </c>
      <c r="R21" s="300"/>
      <c r="S21" s="300"/>
    </row>
    <row r="22" spans="1:17" ht="12.75">
      <c r="A22" s="354" t="s">
        <v>49</v>
      </c>
      <c r="B22" s="481">
        <f>'2011 полн'!B16</f>
        <v>2431.21</v>
      </c>
      <c r="C22" s="481">
        <f>'2011 полн'!C16</f>
        <v>20786.845500000003</v>
      </c>
      <c r="D22" s="46">
        <f>'2011 полн'!D16</f>
        <v>130.1806</v>
      </c>
      <c r="E22" s="476">
        <f>'2011 полн'!U16</f>
        <v>20844.62</v>
      </c>
      <c r="F22" s="476">
        <f>'2011 полн'!V16</f>
        <v>0</v>
      </c>
      <c r="G22" s="482">
        <f>'2011 полн'!AF16</f>
        <v>17067.239999999998</v>
      </c>
      <c r="H22" s="482">
        <f>'2011 полн'!AG16</f>
        <v>17197.420599999998</v>
      </c>
      <c r="I22" s="482">
        <f>'2011 полн'!AJ16</f>
        <v>214</v>
      </c>
      <c r="J22" s="482">
        <f>'2011 полн'!AK16</f>
        <v>1628.9107000000001</v>
      </c>
      <c r="K22" s="482">
        <f>'2011 полн'!AL16</f>
        <v>486.242</v>
      </c>
      <c r="L22" s="476">
        <f>'2011 полн'!AM16+'2011 полн'!AN16+'2011 полн'!AO16+'2011 полн'!AP16+'2011 полн'!AQ16+'2011 полн'!AR16+'2011 полн'!AS16+'2011 полн'!AT16+'2011 полн'!AX16</f>
        <v>15255.129599999998</v>
      </c>
      <c r="M22" s="477">
        <f>'2011 полн'!AU16+'2011 полн'!AV16+'2011 полн'!AW16</f>
        <v>9745</v>
      </c>
      <c r="N22" s="483">
        <f>'2011 полн'!BD16</f>
        <v>53.5</v>
      </c>
      <c r="O22" s="479">
        <f t="shared" si="0"/>
        <v>27168.7823</v>
      </c>
      <c r="P22" s="480">
        <f t="shared" si="1"/>
        <v>-9757.361700000001</v>
      </c>
      <c r="Q22" s="480">
        <f>'2011 полн'!BG16</f>
        <v>-3777.380000000001</v>
      </c>
    </row>
    <row r="23" spans="1:17" ht="12.75">
      <c r="A23" s="354" t="s">
        <v>50</v>
      </c>
      <c r="B23" s="481">
        <f>'2011 полн'!B17</f>
        <v>2431.21</v>
      </c>
      <c r="C23" s="481">
        <f>'2011 полн'!C17</f>
        <v>20786.845500000003</v>
      </c>
      <c r="D23" s="46">
        <f>'2011 полн'!D17</f>
        <v>130.1806</v>
      </c>
      <c r="E23" s="476">
        <f>'2011 полн'!U17</f>
        <v>20844.629999999997</v>
      </c>
      <c r="F23" s="476">
        <f>'2011 полн'!V17</f>
        <v>0</v>
      </c>
      <c r="G23" s="482">
        <f>'2011 полн'!AF17</f>
        <v>20556.489999999998</v>
      </c>
      <c r="H23" s="482">
        <f>'2011 полн'!AG17</f>
        <v>20686.670599999998</v>
      </c>
      <c r="I23" s="482">
        <f>'2011 полн'!AJ17</f>
        <v>214</v>
      </c>
      <c r="J23" s="482">
        <f>'2011 полн'!AK17</f>
        <v>1628.9107000000001</v>
      </c>
      <c r="K23" s="482">
        <f>'2011 полн'!AL17</f>
        <v>486.242</v>
      </c>
      <c r="L23" s="476">
        <f>'2011 полн'!AM17+'2011 полн'!AN17+'2011 полн'!AO17+'2011 полн'!AP17+'2011 полн'!AQ17+'2011 полн'!AR17+'2011 полн'!AS17+'2011 полн'!AT17+'2011 полн'!AX17</f>
        <v>14643.569599999999</v>
      </c>
      <c r="M23" s="477">
        <f>'2011 полн'!AU17+'2011 полн'!AV17+'2011 полн'!AW17</f>
        <v>616</v>
      </c>
      <c r="N23" s="483">
        <f>'2011 полн'!BD17</f>
        <v>53.5</v>
      </c>
      <c r="O23" s="479">
        <f t="shared" si="0"/>
        <v>17428.222299999998</v>
      </c>
      <c r="P23" s="480">
        <f t="shared" si="1"/>
        <v>3472.4483</v>
      </c>
      <c r="Q23" s="480">
        <f>'2011 полн'!BG17</f>
        <v>-288.1399999999994</v>
      </c>
    </row>
    <row r="24" spans="1:17" ht="12.75">
      <c r="A24" s="354" t="s">
        <v>51</v>
      </c>
      <c r="B24" s="481">
        <f>'2011 полн'!B18</f>
        <v>2431.21</v>
      </c>
      <c r="C24" s="481">
        <f>'2011 полн'!C18</f>
        <v>20786.845500000003</v>
      </c>
      <c r="D24" s="46">
        <f>'2011 полн'!D18</f>
        <v>130.1806</v>
      </c>
      <c r="E24" s="476">
        <f>'2011 полн'!U18</f>
        <v>21268.949999999997</v>
      </c>
      <c r="F24" s="476">
        <f>'2011 полн'!V18</f>
        <v>0</v>
      </c>
      <c r="G24" s="482">
        <f>'2011 полн'!AF18</f>
        <v>17180.32</v>
      </c>
      <c r="H24" s="482">
        <f>'2011 полн'!AG18</f>
        <v>17310.5006</v>
      </c>
      <c r="I24" s="482">
        <f>'2011 полн'!AJ18</f>
        <v>214</v>
      </c>
      <c r="J24" s="482">
        <f>'2011 полн'!AK18</f>
        <v>1628.9107000000001</v>
      </c>
      <c r="K24" s="482">
        <f>'2011 полн'!AL18</f>
        <v>486.242</v>
      </c>
      <c r="L24" s="476">
        <f>'2011 полн'!AM18+'2011 полн'!AN18+'2011 полн'!AO18+'2011 полн'!AP18+'2011 полн'!AQ18+'2011 полн'!AR18+'2011 полн'!AS18+'2011 полн'!AT18+'2011 полн'!AX18</f>
        <v>16688.9096</v>
      </c>
      <c r="M24" s="477">
        <f>'2011 полн'!AU18+'2011 полн'!AV18+'2011 полн'!AW18</f>
        <v>931</v>
      </c>
      <c r="N24" s="483">
        <f>'2011 полн'!BD18</f>
        <v>53.5</v>
      </c>
      <c r="O24" s="479">
        <f t="shared" si="0"/>
        <v>19788.562299999998</v>
      </c>
      <c r="P24" s="480">
        <f t="shared" si="1"/>
        <v>-2264.0616999999984</v>
      </c>
      <c r="Q24" s="480">
        <f>'2011 полн'!BG18</f>
        <v>-4088.6299999999974</v>
      </c>
    </row>
    <row r="25" spans="1:17" ht="12.75">
      <c r="A25" s="354" t="s">
        <v>39</v>
      </c>
      <c r="B25" s="481">
        <f>'2011 полн'!B19</f>
        <v>2431.21</v>
      </c>
      <c r="C25" s="481">
        <f>'2011 полн'!C19</f>
        <v>20786.845500000003</v>
      </c>
      <c r="D25" s="46">
        <f>'2011 полн'!D19</f>
        <v>130.1806</v>
      </c>
      <c r="E25" s="476">
        <f>'2011 полн'!U19</f>
        <v>21280.149999999998</v>
      </c>
      <c r="F25" s="476">
        <f>'2011 полн'!V19</f>
        <v>0</v>
      </c>
      <c r="G25" s="482">
        <f>'2011 полн'!AF19</f>
        <v>20348.14</v>
      </c>
      <c r="H25" s="482">
        <f>'2011 полн'!AG19</f>
        <v>20478.3206</v>
      </c>
      <c r="I25" s="482">
        <f>'2011 полн'!AJ19</f>
        <v>214</v>
      </c>
      <c r="J25" s="482">
        <f>'2011 полн'!AK19</f>
        <v>1628.9107000000001</v>
      </c>
      <c r="K25" s="482">
        <f>'2011 полн'!AL19</f>
        <v>486.242</v>
      </c>
      <c r="L25" s="476">
        <f>'2011 полн'!AM19+'2011 полн'!AN19+'2011 полн'!AO19+'2011 полн'!AP19+'2011 полн'!AQ19+'2011 полн'!AR19+'2011 полн'!AS19+'2011 полн'!AT19+'2011 полн'!AX19</f>
        <v>17035.461099999997</v>
      </c>
      <c r="M25" s="477">
        <f>'2011 полн'!AU19+'2011 полн'!AV19+'2011 полн'!AW19</f>
        <v>3084</v>
      </c>
      <c r="N25" s="483">
        <f>'2011 полн'!BD19</f>
        <v>53.5</v>
      </c>
      <c r="O25" s="479">
        <f t="shared" si="0"/>
        <v>22288.113799999996</v>
      </c>
      <c r="P25" s="480">
        <f t="shared" si="1"/>
        <v>-1595.7931999999964</v>
      </c>
      <c r="Q25" s="480">
        <f>'2011 полн'!BG19</f>
        <v>-932.0099999999984</v>
      </c>
    </row>
    <row r="26" spans="1:17" ht="12.75">
      <c r="A26" s="354" t="s">
        <v>40</v>
      </c>
      <c r="B26" s="481">
        <f>'2011 полн'!B20</f>
        <v>2431.21</v>
      </c>
      <c r="C26" s="481">
        <f>'2011 полн'!C20</f>
        <v>20786.845500000003</v>
      </c>
      <c r="D26" s="46">
        <f>'2011 полн'!D20</f>
        <v>130.1806</v>
      </c>
      <c r="E26" s="476">
        <f>'2011 полн'!U20</f>
        <v>21280.170000000002</v>
      </c>
      <c r="F26" s="476">
        <f>'2011 полн'!V20</f>
        <v>0</v>
      </c>
      <c r="G26" s="482">
        <f>'2011 полн'!AF20</f>
        <v>20993.82</v>
      </c>
      <c r="H26" s="482">
        <f>'2011 полн'!AG20</f>
        <v>21124.0006</v>
      </c>
      <c r="I26" s="482">
        <f>'2011 полн'!AJ20</f>
        <v>214</v>
      </c>
      <c r="J26" s="482">
        <f>'2011 полн'!AK20</f>
        <v>1628.9107000000001</v>
      </c>
      <c r="K26" s="482">
        <f>'2011 полн'!AL20</f>
        <v>486.242</v>
      </c>
      <c r="L26" s="476">
        <f>'2011 полн'!AM20+'2011 полн'!AN20+'2011 полн'!AO20+'2011 полн'!AP20+'2011 полн'!AQ20+'2011 полн'!AR20+'2011 полн'!AS20+'2011 полн'!AT20+'2011 полн'!AX20</f>
        <v>17035.461099999997</v>
      </c>
      <c r="M26" s="477">
        <f>'2011 полн'!AU20+'2011 полн'!AV20+'2011 полн'!AW20</f>
        <v>0</v>
      </c>
      <c r="N26" s="483">
        <f>'2011 полн'!BD20</f>
        <v>53.5</v>
      </c>
      <c r="O26" s="479">
        <f t="shared" si="0"/>
        <v>19204.113799999996</v>
      </c>
      <c r="P26" s="480">
        <f t="shared" si="1"/>
        <v>2133.886800000004</v>
      </c>
      <c r="Q26" s="480">
        <f>'2011 полн'!BG20</f>
        <v>-286.3500000000022</v>
      </c>
    </row>
    <row r="27" spans="1:17" ht="13.5" thickBot="1">
      <c r="A27" s="484" t="s">
        <v>41</v>
      </c>
      <c r="B27" s="481">
        <f>'2011 полн'!B21</f>
        <v>2431.21</v>
      </c>
      <c r="C27" s="481">
        <f>'2011 полн'!C21</f>
        <v>20786.845500000003</v>
      </c>
      <c r="D27" s="46">
        <f>'2011 полн'!D21</f>
        <v>130.1806</v>
      </c>
      <c r="E27" s="476">
        <f>'2011 полн'!U21</f>
        <v>21280.159999999996</v>
      </c>
      <c r="F27" s="476">
        <f>'2011 полн'!V21</f>
        <v>0</v>
      </c>
      <c r="G27" s="482">
        <f>'2011 полн'!AF21</f>
        <v>26306.85</v>
      </c>
      <c r="H27" s="482">
        <f>'2011 полн'!AG21</f>
        <v>26437.0306</v>
      </c>
      <c r="I27" s="482">
        <f>'2011 полн'!AJ21</f>
        <v>214</v>
      </c>
      <c r="J27" s="482">
        <f>'2011 полн'!AK21</f>
        <v>1628.9107000000001</v>
      </c>
      <c r="K27" s="482">
        <f>'2011 полн'!AL21</f>
        <v>486.242</v>
      </c>
      <c r="L27" s="476">
        <f>'2011 полн'!AM21+'2011 полн'!AN21+'2011 полн'!AO21+'2011 полн'!AP21+'2011 полн'!AQ21+'2011 полн'!AR21+'2011 полн'!AS21+'2011 полн'!AT21+'2011 полн'!AX21</f>
        <v>17645.461099999997</v>
      </c>
      <c r="M27" s="477">
        <f>'2011 полн'!AU21+'2011 полн'!AV21+'2011 полн'!AW21</f>
        <v>152</v>
      </c>
      <c r="N27" s="483">
        <f>'2011 полн'!BD21</f>
        <v>53.5</v>
      </c>
      <c r="O27" s="479">
        <f t="shared" si="0"/>
        <v>19966.113799999996</v>
      </c>
      <c r="P27" s="480">
        <f t="shared" si="1"/>
        <v>6684.916800000003</v>
      </c>
      <c r="Q27" s="480">
        <f>'2011 полн'!BG21</f>
        <v>5026.690000000002</v>
      </c>
    </row>
    <row r="28" spans="1:19" s="24" customFormat="1" ht="13.5" thickBot="1">
      <c r="A28" s="51" t="s">
        <v>3</v>
      </c>
      <c r="B28" s="52"/>
      <c r="C28" s="57">
        <f aca="true" t="shared" si="2" ref="C28:Q28">SUM(C16:C27)</f>
        <v>249442.14599999998</v>
      </c>
      <c r="D28" s="57">
        <f t="shared" si="2"/>
        <v>1562.1671999999996</v>
      </c>
      <c r="E28" s="57">
        <f t="shared" si="2"/>
        <v>251253.91</v>
      </c>
      <c r="F28" s="57">
        <f t="shared" si="2"/>
        <v>485.38</v>
      </c>
      <c r="G28" s="57">
        <f t="shared" si="2"/>
        <v>240847.62000000002</v>
      </c>
      <c r="H28" s="57">
        <f t="shared" si="2"/>
        <v>242895.1672</v>
      </c>
      <c r="I28" s="57">
        <f t="shared" si="2"/>
        <v>2112</v>
      </c>
      <c r="J28" s="57">
        <f t="shared" si="2"/>
        <v>19546.9284</v>
      </c>
      <c r="K28" s="57">
        <f t="shared" si="2"/>
        <v>5834.904000000001</v>
      </c>
      <c r="L28" s="57">
        <f t="shared" si="2"/>
        <v>192289.17419999998</v>
      </c>
      <c r="M28" s="57">
        <f t="shared" si="2"/>
        <v>19161</v>
      </c>
      <c r="N28" s="57">
        <f t="shared" si="2"/>
        <v>528</v>
      </c>
      <c r="O28" s="57">
        <f t="shared" si="2"/>
        <v>237360.00659999994</v>
      </c>
      <c r="P28" s="57">
        <f t="shared" si="2"/>
        <v>7647.160600000025</v>
      </c>
      <c r="Q28" s="57">
        <f t="shared" si="2"/>
        <v>-10406.289999999997</v>
      </c>
      <c r="R28" s="58"/>
      <c r="S28" s="58"/>
    </row>
    <row r="29" spans="1:17" ht="13.5" thickBot="1">
      <c r="A29" s="467" t="s">
        <v>66</v>
      </c>
      <c r="B29" s="468"/>
      <c r="C29" s="468"/>
      <c r="D29" s="468"/>
      <c r="E29" s="468"/>
      <c r="F29" s="468"/>
      <c r="G29" s="468"/>
      <c r="H29" s="468"/>
      <c r="I29" s="468"/>
      <c r="J29" s="468"/>
      <c r="K29" s="468"/>
      <c r="L29" s="468"/>
      <c r="M29" s="468"/>
      <c r="N29" s="468"/>
      <c r="O29" s="469"/>
      <c r="P29" s="470"/>
      <c r="Q29" s="470"/>
    </row>
    <row r="30" spans="1:19" s="24" customFormat="1" ht="13.5" thickBot="1">
      <c r="A30" s="66" t="s">
        <v>52</v>
      </c>
      <c r="B30" s="67"/>
      <c r="C30" s="68">
        <f aca="true" t="shared" si="3" ref="C30:Q30">C28+C14</f>
        <v>816786.304</v>
      </c>
      <c r="D30" s="68">
        <f t="shared" si="3"/>
        <v>68492.86634245003</v>
      </c>
      <c r="E30" s="68">
        <f t="shared" si="3"/>
        <v>674395.03</v>
      </c>
      <c r="F30" s="68">
        <f t="shared" si="3"/>
        <v>73851.73999999999</v>
      </c>
      <c r="G30" s="68">
        <f t="shared" si="3"/>
        <v>637021.5399999999</v>
      </c>
      <c r="H30" s="68">
        <f t="shared" si="3"/>
        <v>779366.14634245</v>
      </c>
      <c r="I30" s="68">
        <f t="shared" si="3"/>
        <v>2412</v>
      </c>
      <c r="J30" s="68">
        <f t="shared" si="3"/>
        <v>58317.4152</v>
      </c>
      <c r="K30" s="68">
        <f t="shared" si="3"/>
        <v>18826.181412120004</v>
      </c>
      <c r="L30" s="68">
        <f t="shared" si="3"/>
        <v>508334.31657537527</v>
      </c>
      <c r="M30" s="68">
        <f t="shared" si="3"/>
        <v>117802.02919999999</v>
      </c>
      <c r="N30" s="68">
        <f t="shared" si="3"/>
        <v>603</v>
      </c>
      <c r="O30" s="68">
        <f t="shared" si="3"/>
        <v>703882.9423874953</v>
      </c>
      <c r="P30" s="68">
        <f t="shared" si="3"/>
        <v>77895.20395495472</v>
      </c>
      <c r="Q30" s="68">
        <f t="shared" si="3"/>
        <v>-37373.490000000005</v>
      </c>
      <c r="R30" s="71"/>
      <c r="S30" s="58"/>
    </row>
    <row r="32" spans="1:18" ht="12.75">
      <c r="A32" s="24" t="s">
        <v>67</v>
      </c>
      <c r="D32" s="485" t="s">
        <v>125</v>
      </c>
      <c r="Q32" s="300"/>
      <c r="R32" s="300"/>
    </row>
    <row r="33" spans="1:18" ht="12.75">
      <c r="A33" s="351" t="s">
        <v>68</v>
      </c>
      <c r="B33" s="351" t="s">
        <v>69</v>
      </c>
      <c r="C33" s="486" t="s">
        <v>70</v>
      </c>
      <c r="D33" s="486"/>
      <c r="Q33" s="300"/>
      <c r="R33" s="300"/>
    </row>
    <row r="34" spans="1:18" ht="12.75">
      <c r="A34" s="487">
        <v>213941.2</v>
      </c>
      <c r="B34" s="487">
        <v>92471.58</v>
      </c>
      <c r="C34" s="488">
        <f>A34-B34</f>
        <v>121469.62000000001</v>
      </c>
      <c r="D34" s="489"/>
      <c r="Q34" s="300"/>
      <c r="R34" s="300"/>
    </row>
    <row r="35" spans="1:18" ht="12.75">
      <c r="A35" s="72"/>
      <c r="Q35" s="300"/>
      <c r="R35" s="300"/>
    </row>
    <row r="36" spans="1:18" ht="12.75">
      <c r="A36" s="301" t="s">
        <v>71</v>
      </c>
      <c r="G36" s="301" t="s">
        <v>72</v>
      </c>
      <c r="Q36" s="300"/>
      <c r="R36" s="300"/>
    </row>
    <row r="37" ht="12.75">
      <c r="A37" s="300"/>
    </row>
    <row r="38" ht="12.75">
      <c r="A38" s="485" t="s">
        <v>126</v>
      </c>
    </row>
    <row r="39" ht="12.75">
      <c r="A39" s="301" t="s">
        <v>73</v>
      </c>
    </row>
  </sheetData>
  <sheetProtection/>
  <mergeCells count="28">
    <mergeCell ref="N10:N11"/>
    <mergeCell ref="O10:O11"/>
    <mergeCell ref="A13:N13"/>
    <mergeCell ref="A29:N29"/>
    <mergeCell ref="C33:D33"/>
    <mergeCell ref="C34:D34"/>
    <mergeCell ref="J8:O9"/>
    <mergeCell ref="P8:P11"/>
    <mergeCell ref="Q8:Q11"/>
    <mergeCell ref="E10:F10"/>
    <mergeCell ref="H10:H11"/>
    <mergeCell ref="I10:I11"/>
    <mergeCell ref="J10:J11"/>
    <mergeCell ref="K10:K11"/>
    <mergeCell ref="L10:L11"/>
    <mergeCell ref="M10:M11"/>
    <mergeCell ref="A8:A11"/>
    <mergeCell ref="B8:B11"/>
    <mergeCell ref="C8:C11"/>
    <mergeCell ref="D8:D11"/>
    <mergeCell ref="E8:F9"/>
    <mergeCell ref="G8:H9"/>
    <mergeCell ref="B1:H1"/>
    <mergeCell ref="B2:H2"/>
    <mergeCell ref="A5:N5"/>
    <mergeCell ref="A6:G6"/>
    <mergeCell ref="A7:D7"/>
    <mergeCell ref="E7:F7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2010-05-14T09:33:35Z</cp:lastPrinted>
  <dcterms:created xsi:type="dcterms:W3CDTF">2010-04-03T04:08:20Z</dcterms:created>
  <dcterms:modified xsi:type="dcterms:W3CDTF">2012-05-14T05:02:18Z</dcterms:modified>
  <cp:category/>
  <cp:version/>
  <cp:contentType/>
  <cp:contentStatus/>
</cp:coreProperties>
</file>