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<sst xmlns="http://schemas.openxmlformats.org/spreadsheetml/2006/main" count="304" uniqueCount="129">
  <si>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</si>
  <si>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</si>
  <si>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</si>
  <si>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</si>
  <si>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</si>
  <si>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</si>
  <si>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</si>
  <si>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</si>
  <si>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</si>
  <si>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</si>
  <si>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</si>
  <si>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</si>
  <si>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</si>
  <si>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</si>
  <si>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</si>
  <si>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</si>
  <si>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</si>
  <si>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</si>
  <si>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</si>
  <si>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</si>
  <si>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</si>
  <si>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</si>
  <si>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</si>
  <si>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</si>
  <si>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</si>
  <si>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</si>
  <si>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</si>
  <si>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</si>
  <si>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</si>
  <si>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</si>
  <si>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</si>
  <si>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</si>
  <si>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</si>
  <si>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</si>
  <si>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</si>
  <si>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</si>
  <si>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</si>
  <si>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</si>
  <si>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</si>
  <si>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</si>
  <si>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</si>
  <si>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</si>
  <si>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</si>
  <si>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</si>
  <si>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</si>
  <si>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</si>
  <si>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</si>
  <si>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</si>
  <si>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</si>
  <si>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</si>
  <si>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</si>
  <si>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</si>
  <si>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</si>
  <si>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</si>
  <si>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</si>
  <si>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</si>
  <si>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</si>
  <si>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</si>
  <si>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</si>
  <si>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</si>
  <si>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</si>
  <si>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</si>
  <si>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</si>
  <si>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</si>
  <si>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</si>
  <si>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</si>
  <si>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</si>
  <si>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</si>
  <si>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</si>
  <si>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Ленина, д. 68</t>
  </si>
  <si>
    <t>Выписка по лицевому счету по адресу г. Таштагол, ул. Ленина, д. 68</t>
  </si>
  <si>
    <t>2010 год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</si>
  <si>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</si>
  <si>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</si>
  <si>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</si>
  <si>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</si>
  <si>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</si>
  <si>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</si>
  <si>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</si>
  <si>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</si>
  <si>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</si>
  <si>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</si>
  <si>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</si>
  <si>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</si>
  <si>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</si>
  <si>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на начало отчетного периода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</si>
  <si>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</si>
  <si>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</si>
  <si>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</si>
  <si>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</si>
  <si>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</si>
  <si>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</si>
  <si>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</si>
  <si>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Ю.С. Дмитриева</t>
  </si>
  <si>
    <t>тел. 3-48-80</t>
  </si>
  <si>
    <t>на 01.01.2011г.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</si>
  <si>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</si>
  <si>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</si>
  <si>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</si>
  <si>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</si>
  <si>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</si>
  <si>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</si>
  <si>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</si>
  <si>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</si>
  <si>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</si>
  <si>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</si>
  <si>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</si>
  <si>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</si>
  <si>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</si>
  <si>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</si>
  <si>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</si>
  <si>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</si>
  <si>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</si>
  <si>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</si>
  <si>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</si>
  <si>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</si>
  <si>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</si>
  <si>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</si>
  <si>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</si>
  <si>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</si>
  <si>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Тариф по содержанию и тек.ремонту 100 % (14,05руб.*площадь)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</si>
  <si>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</si>
  <si>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</si>
  <si>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</si>
  <si>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</si>
  <si>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</si>
  <si>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*по состоянию на 01.01.2012 г.</t>
  </si>
  <si>
    <t>Исп. В.В. Колмогорова</t>
  </si>
  <si>
    <t>Выписка по лицевому счету по адресу г. Таштагол ул. Ленина, д. 68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</si>
</sst>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7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39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0" fillId="36" borderId="20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4" fontId="0" fillId="36" borderId="32" xfId="0" applyNumberFormat="1" applyFont="1" applyFill="1" applyBorder="1" applyAlignment="1">
      <alignment horizontal="center"/>
    </xf>
    <xf numFmtId="2" fontId="1" fillId="33" borderId="4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4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" fillId="38" borderId="45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7" borderId="45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7" fillId="0" borderId="45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37" xfId="0" applyNumberFormat="1" applyFont="1" applyFill="1" applyBorder="1" applyAlignment="1">
      <alignment horizontal="center" vertical="center" wrapText="1"/>
    </xf>
    <xf numFmtId="2" fontId="6" fillId="34" borderId="38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textRotation="90"/>
    </xf>
    <xf numFmtId="0" fontId="1" fillId="36" borderId="37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 textRotation="90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5" borderId="45" xfId="0" applyNumberFormat="1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32" xfId="6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4" fontId="0" fillId="0" borderId="11" xfId="0" applyNumberFormat="1" applyFill="1" applyBorder="1" applyAlignment="1">
      <alignment/>
    </xf>
    <xf numFmtId="4" fontId="1" fillId="0" borderId="48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4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textRotation="90"/>
    </xf>
    <xf numFmtId="0" fontId="1" fillId="36" borderId="38" xfId="0" applyFont="1" applyFill="1" applyBorder="1" applyAlignment="1">
      <alignment horizontal="center" textRotation="90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0" fontId="1" fillId="38" borderId="49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6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9" fillId="37" borderId="32" xfId="0" applyNumberFormat="1" applyFont="1" applyFill="1" applyBorder="1" applyAlignment="1">
      <alignment/>
    </xf>
    <xf numFmtId="4" fontId="0" fillId="37" borderId="32" xfId="0" applyNumberFormat="1" applyFont="1" applyFill="1" applyBorder="1" applyAlignment="1">
      <alignment/>
    </xf>
    <xf numFmtId="4" fontId="0" fillId="39" borderId="3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4" fontId="0" fillId="0" borderId="5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1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36" borderId="33" xfId="0" applyNumberFormat="1" applyFont="1" applyFill="1" applyBorder="1" applyAlignment="1">
      <alignment horizontal="center"/>
    </xf>
    <xf numFmtId="4" fontId="0" fillId="0" borderId="7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36" borderId="33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40" xfId="0" applyNumberFormat="1" applyFont="1" applyFill="1" applyBorder="1" applyAlignment="1">
      <alignment/>
    </xf>
    <xf numFmtId="0" fontId="28" fillId="0" borderId="11" xfId="0" applyFont="1" applyBorder="1" applyAlignment="1">
      <alignment wrapText="1"/>
    </xf>
    <xf numFmtId="0" fontId="28" fillId="0" borderId="32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4" fontId="1" fillId="0" borderId="58" xfId="0" applyNumberFormat="1" applyFont="1" applyFill="1" applyBorder="1" applyAlignment="1">
      <alignment horizontal="right"/>
    </xf>
    <xf numFmtId="4" fontId="0" fillId="34" borderId="72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4" fontId="2" fillId="34" borderId="72" xfId="0" applyNumberFormat="1" applyFont="1" applyFill="1" applyBorder="1" applyAlignment="1">
      <alignment horizontal="right" wrapText="1"/>
    </xf>
    <xf numFmtId="4" fontId="0" fillId="39" borderId="58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32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1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64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4" fontId="1" fillId="0" borderId="64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4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44" xfId="0" applyNumberFormat="1" applyFont="1" applyFill="1" applyBorder="1" applyAlignment="1">
      <alignment horizontal="center" vertical="center" textRotation="90" wrapText="1"/>
    </xf>
    <xf numFmtId="2" fontId="1" fillId="0" borderId="38" xfId="0" applyNumberFormat="1" applyFont="1" applyFill="1" applyBorder="1" applyAlignment="1">
      <alignment horizontal="center" vertical="center" textRotation="90" wrapText="1"/>
    </xf>
    <xf numFmtId="2" fontId="1" fillId="0" borderId="64" xfId="0" applyNumberFormat="1" applyFont="1" applyFill="1" applyBorder="1" applyAlignment="1">
      <alignment horizontal="center" vertical="center" textRotation="90" wrapText="1"/>
    </xf>
    <xf numFmtId="2" fontId="1" fillId="0" borderId="73" xfId="0" applyNumberFormat="1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4" fontId="0" fillId="0" borderId="44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36" borderId="33" xfId="0" applyFont="1" applyFill="1" applyBorder="1" applyAlignment="1">
      <alignment/>
    </xf>
    <xf numFmtId="0" fontId="2" fillId="0" borderId="41" xfId="0" applyFont="1" applyBorder="1" applyAlignment="1">
      <alignment wrapText="1"/>
    </xf>
    <xf numFmtId="0" fontId="2" fillId="36" borderId="1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70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84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74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  <sheetDataSet>
      <sheetData sheetId="1">
        <row r="44">
          <cell r="AD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Z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51">
          <cell r="I151">
            <v>100</v>
          </cell>
          <cell r="R151">
            <v>25</v>
          </cell>
        </row>
      </sheetData>
      <sheetData sheetId="1">
        <row r="152">
          <cell r="S152">
            <v>25</v>
          </cell>
        </row>
        <row r="153">
          <cell r="J153">
            <v>100</v>
          </cell>
        </row>
      </sheetData>
      <sheetData sheetId="2">
        <row r="153">
          <cell r="S153">
            <v>25</v>
          </cell>
        </row>
      </sheetData>
      <sheetData sheetId="3">
        <row r="155">
          <cell r="S155">
            <v>25</v>
          </cell>
        </row>
      </sheetData>
      <sheetData sheetId="4">
        <row r="153">
          <cell r="J153">
            <v>100</v>
          </cell>
          <cell r="S153">
            <v>25</v>
          </cell>
        </row>
      </sheetData>
      <sheetData sheetId="5">
        <row r="153">
          <cell r="J153">
            <v>100</v>
          </cell>
          <cell r="S153">
            <v>25</v>
          </cell>
        </row>
      </sheetData>
      <sheetData sheetId="6">
        <row r="157">
          <cell r="J157">
            <v>100</v>
          </cell>
          <cell r="S157">
            <v>25</v>
          </cell>
        </row>
      </sheetData>
      <sheetData sheetId="7">
        <row r="161">
          <cell r="J161">
            <v>100</v>
          </cell>
          <cell r="S161">
            <v>25</v>
          </cell>
        </row>
      </sheetData>
      <sheetData sheetId="8">
        <row r="161">
          <cell r="J161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55">
          <cell r="J155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60">
          <cell r="S160">
            <v>25</v>
          </cell>
        </row>
        <row r="161">
          <cell r="J161">
            <v>100</v>
          </cell>
        </row>
      </sheetData>
      <sheetData sheetId="10">
        <row r="161">
          <cell r="J161">
            <v>100</v>
          </cell>
          <cell r="S161">
            <v>25</v>
          </cell>
        </row>
      </sheetData>
      <sheetData sheetId="11">
        <row r="185">
          <cell r="J185">
            <v>100</v>
          </cell>
          <cell r="S185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22">
          <cell r="AF22">
            <v>119347.64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">
      <selection activeCell="A8" sqref="A8:IV43"/>
    </sheetView>
  </sheetViews>
  <sheetFormatPr defaultColWidth="9.00390625" defaultRowHeight="12.75"/>
  <cols>
    <col min="1" max="1" width="8.75390625" style="74" bestFit="1" customWidth="1"/>
    <col min="2" max="2" width="9.375" style="74" bestFit="1" customWidth="1"/>
    <col min="3" max="3" width="10.125" style="74" customWidth="1"/>
    <col min="4" max="4" width="10.375" style="74" customWidth="1"/>
    <col min="5" max="5" width="8.875" style="74" customWidth="1"/>
    <col min="6" max="7" width="9.00390625" style="74" customWidth="1"/>
    <col min="8" max="8" width="9.125" style="74" customWidth="1"/>
    <col min="9" max="9" width="9.875" style="74" customWidth="1"/>
    <col min="10" max="10" width="9.125" style="74" customWidth="1"/>
    <col min="11" max="11" width="10.00390625" style="74" customWidth="1"/>
    <col min="12" max="12" width="9.125" style="74" bestFit="1" customWidth="1"/>
    <col min="13" max="13" width="9.75390625" style="74" customWidth="1"/>
    <col min="14" max="14" width="9.375" style="74" customWidth="1"/>
    <col min="15" max="18" width="4.625" style="74" bestFit="1" customWidth="1"/>
    <col min="19" max="19" width="10.125" style="74" bestFit="1" customWidth="1"/>
    <col min="20" max="20" width="10.125" style="74" customWidth="1"/>
    <col min="21" max="22" width="9.125" style="74" customWidth="1"/>
    <col min="23" max="23" width="10.00390625" style="74" customWidth="1"/>
    <col min="24" max="24" width="10.125" style="74" customWidth="1"/>
    <col min="25" max="27" width="9.125" style="74" customWidth="1"/>
    <col min="28" max="28" width="10.125" style="74" bestFit="1" customWidth="1"/>
    <col min="29" max="29" width="11.375" style="74" customWidth="1"/>
    <col min="30" max="31" width="9.25390625" style="74" bestFit="1" customWidth="1"/>
    <col min="32" max="32" width="10.25390625" style="74" customWidth="1"/>
    <col min="33" max="37" width="9.25390625" style="74" bestFit="1" customWidth="1"/>
    <col min="38" max="38" width="10.125" style="74" bestFit="1" customWidth="1"/>
    <col min="39" max="41" width="9.25390625" style="74" bestFit="1" customWidth="1"/>
    <col min="42" max="42" width="10.125" style="74" bestFit="1" customWidth="1"/>
    <col min="43" max="43" width="9.25390625" style="74" customWidth="1"/>
    <col min="44" max="44" width="10.625" style="74" customWidth="1"/>
    <col min="45" max="45" width="9.25390625" style="74" bestFit="1" customWidth="1"/>
    <col min="46" max="47" width="10.125" style="74" bestFit="1" customWidth="1"/>
    <col min="48" max="48" width="10.375" style="74" customWidth="1"/>
    <col min="49" max="49" width="10.75390625" style="74" customWidth="1"/>
    <col min="50" max="50" width="14.00390625" style="74" customWidth="1"/>
    <col min="51" max="53" width="9.125" style="74" customWidth="1"/>
    <col min="54" max="54" width="10.125" style="74" customWidth="1"/>
    <col min="55" max="55" width="9.125" style="74" customWidth="1"/>
    <col min="56" max="56" width="11.00390625" style="74" customWidth="1"/>
    <col min="57" max="57" width="9.125" style="74" customWidth="1"/>
    <col min="58" max="58" width="11.375" style="74" customWidth="1"/>
    <col min="59" max="16384" width="9.125" style="74" customWidth="1"/>
  </cols>
  <sheetData>
    <row r="1" spans="1:18" ht="12.75">
      <c r="A1" s="222" t="s">
        <v>69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73"/>
      <c r="P1" s="73"/>
      <c r="Q1" s="73"/>
      <c r="R1" s="73"/>
    </row>
    <row r="2" spans="1:18" ht="13.5" thickBot="1">
      <c r="A2" s="73"/>
      <c r="B2" s="75"/>
      <c r="C2" s="76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58" s="2" customFormat="1" ht="13.5" customHeight="1" thickBot="1">
      <c r="A3" s="223" t="s">
        <v>72</v>
      </c>
      <c r="B3" s="225" t="s">
        <v>0</v>
      </c>
      <c r="C3" s="225" t="s">
        <v>1</v>
      </c>
      <c r="D3" s="227" t="s">
        <v>2</v>
      </c>
      <c r="E3" s="202" t="s">
        <v>11</v>
      </c>
      <c r="F3" s="203"/>
      <c r="G3" s="202" t="s">
        <v>12</v>
      </c>
      <c r="H3" s="203"/>
      <c r="I3" s="202" t="s">
        <v>13</v>
      </c>
      <c r="J3" s="203"/>
      <c r="K3" s="202" t="s">
        <v>14</v>
      </c>
      <c r="L3" s="203"/>
      <c r="M3" s="202" t="s">
        <v>15</v>
      </c>
      <c r="N3" s="203"/>
      <c r="O3" s="202" t="s">
        <v>16</v>
      </c>
      <c r="P3" s="203"/>
      <c r="Q3" s="202" t="s">
        <v>17</v>
      </c>
      <c r="R3" s="203"/>
      <c r="S3" s="202" t="s">
        <v>3</v>
      </c>
      <c r="T3" s="203"/>
      <c r="U3" s="209" t="s">
        <v>4</v>
      </c>
      <c r="V3" s="210"/>
      <c r="W3" s="210"/>
      <c r="X3" s="210"/>
      <c r="Y3" s="210"/>
      <c r="Z3" s="210"/>
      <c r="AA3" s="210"/>
      <c r="AB3" s="211"/>
      <c r="AC3" s="215" t="s">
        <v>73</v>
      </c>
      <c r="AD3" s="215" t="s">
        <v>6</v>
      </c>
      <c r="AE3" s="215" t="s">
        <v>7</v>
      </c>
      <c r="AF3" s="206" t="s">
        <v>74</v>
      </c>
      <c r="AG3" s="196" t="s">
        <v>8</v>
      </c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8"/>
      <c r="BC3" s="191" t="s">
        <v>75</v>
      </c>
      <c r="BD3" s="193"/>
      <c r="BE3" s="182" t="s">
        <v>9</v>
      </c>
      <c r="BF3" s="182" t="s">
        <v>10</v>
      </c>
    </row>
    <row r="4" spans="1:58" s="2" customFormat="1" ht="36" customHeight="1" thickBot="1">
      <c r="A4" s="224"/>
      <c r="B4" s="226"/>
      <c r="C4" s="226"/>
      <c r="D4" s="228"/>
      <c r="E4" s="204"/>
      <c r="F4" s="205"/>
      <c r="G4" s="204"/>
      <c r="H4" s="205"/>
      <c r="I4" s="204"/>
      <c r="J4" s="205"/>
      <c r="K4" s="204"/>
      <c r="L4" s="205"/>
      <c r="M4" s="204"/>
      <c r="N4" s="205"/>
      <c r="O4" s="204"/>
      <c r="P4" s="205"/>
      <c r="Q4" s="204"/>
      <c r="R4" s="205"/>
      <c r="S4" s="204"/>
      <c r="T4" s="205"/>
      <c r="U4" s="212"/>
      <c r="V4" s="213"/>
      <c r="W4" s="213"/>
      <c r="X4" s="213"/>
      <c r="Y4" s="213"/>
      <c r="Z4" s="213"/>
      <c r="AA4" s="213"/>
      <c r="AB4" s="214"/>
      <c r="AC4" s="216"/>
      <c r="AD4" s="216"/>
      <c r="AE4" s="216"/>
      <c r="AF4" s="207"/>
      <c r="AG4" s="199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1"/>
      <c r="BC4" s="187" t="s">
        <v>76</v>
      </c>
      <c r="BD4" s="185" t="s">
        <v>77</v>
      </c>
      <c r="BE4" s="183"/>
      <c r="BF4" s="183"/>
    </row>
    <row r="5" spans="1:58" s="2" customFormat="1" ht="29.25" customHeight="1" thickBot="1">
      <c r="A5" s="224"/>
      <c r="B5" s="226"/>
      <c r="C5" s="226"/>
      <c r="D5" s="228"/>
      <c r="E5" s="229" t="s">
        <v>18</v>
      </c>
      <c r="F5" s="229" t="s">
        <v>19</v>
      </c>
      <c r="G5" s="229" t="s">
        <v>18</v>
      </c>
      <c r="H5" s="229" t="s">
        <v>19</v>
      </c>
      <c r="I5" s="229" t="s">
        <v>18</v>
      </c>
      <c r="J5" s="229" t="s">
        <v>19</v>
      </c>
      <c r="K5" s="229" t="s">
        <v>18</v>
      </c>
      <c r="L5" s="229" t="s">
        <v>19</v>
      </c>
      <c r="M5" s="229" t="s">
        <v>18</v>
      </c>
      <c r="N5" s="229" t="s">
        <v>19</v>
      </c>
      <c r="O5" s="229" t="s">
        <v>18</v>
      </c>
      <c r="P5" s="229" t="s">
        <v>19</v>
      </c>
      <c r="Q5" s="229" t="s">
        <v>18</v>
      </c>
      <c r="R5" s="229" t="s">
        <v>19</v>
      </c>
      <c r="S5" s="229" t="s">
        <v>18</v>
      </c>
      <c r="T5" s="218" t="s">
        <v>19</v>
      </c>
      <c r="U5" s="220" t="s">
        <v>20</v>
      </c>
      <c r="V5" s="220" t="s">
        <v>21</v>
      </c>
      <c r="W5" s="220" t="s">
        <v>22</v>
      </c>
      <c r="X5" s="220" t="s">
        <v>23</v>
      </c>
      <c r="Y5" s="220" t="s">
        <v>24</v>
      </c>
      <c r="Z5" s="220" t="s">
        <v>25</v>
      </c>
      <c r="AA5" s="220" t="s">
        <v>26</v>
      </c>
      <c r="AB5" s="220" t="s">
        <v>27</v>
      </c>
      <c r="AC5" s="216"/>
      <c r="AD5" s="216"/>
      <c r="AE5" s="216"/>
      <c r="AF5" s="207"/>
      <c r="AG5" s="185" t="s">
        <v>28</v>
      </c>
      <c r="AH5" s="185" t="s">
        <v>29</v>
      </c>
      <c r="AI5" s="185" t="s">
        <v>30</v>
      </c>
      <c r="AJ5" s="185" t="s">
        <v>31</v>
      </c>
      <c r="AK5" s="185" t="s">
        <v>32</v>
      </c>
      <c r="AL5" s="185" t="s">
        <v>31</v>
      </c>
      <c r="AM5" s="185" t="s">
        <v>33</v>
      </c>
      <c r="AN5" s="185" t="s">
        <v>31</v>
      </c>
      <c r="AO5" s="185" t="s">
        <v>34</v>
      </c>
      <c r="AP5" s="185" t="s">
        <v>31</v>
      </c>
      <c r="AQ5" s="233" t="s">
        <v>78</v>
      </c>
      <c r="AR5" s="233" t="s">
        <v>31</v>
      </c>
      <c r="AS5" s="231" t="s">
        <v>79</v>
      </c>
      <c r="AT5" s="231" t="s">
        <v>80</v>
      </c>
      <c r="AU5" s="80" t="s">
        <v>31</v>
      </c>
      <c r="AV5" s="191" t="s">
        <v>81</v>
      </c>
      <c r="AW5" s="192"/>
      <c r="AX5" s="193"/>
      <c r="AY5" s="194" t="s">
        <v>17</v>
      </c>
      <c r="AZ5" s="185" t="s">
        <v>36</v>
      </c>
      <c r="BA5" s="185" t="s">
        <v>31</v>
      </c>
      <c r="BB5" s="185" t="s">
        <v>37</v>
      </c>
      <c r="BC5" s="188"/>
      <c r="BD5" s="190"/>
      <c r="BE5" s="183"/>
      <c r="BF5" s="183"/>
    </row>
    <row r="6" spans="1:58" s="2" customFormat="1" ht="54" customHeight="1" thickBot="1">
      <c r="A6" s="224"/>
      <c r="B6" s="226"/>
      <c r="C6" s="226"/>
      <c r="D6" s="228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19"/>
      <c r="U6" s="221"/>
      <c r="V6" s="221"/>
      <c r="W6" s="221"/>
      <c r="X6" s="221"/>
      <c r="Y6" s="221"/>
      <c r="Z6" s="221"/>
      <c r="AA6" s="221"/>
      <c r="AB6" s="221"/>
      <c r="AC6" s="217"/>
      <c r="AD6" s="217"/>
      <c r="AE6" s="217"/>
      <c r="AF6" s="208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234"/>
      <c r="AR6" s="234"/>
      <c r="AS6" s="232"/>
      <c r="AT6" s="232"/>
      <c r="AU6" s="82"/>
      <c r="AV6" s="81" t="s">
        <v>82</v>
      </c>
      <c r="AW6" s="81" t="s">
        <v>83</v>
      </c>
      <c r="AX6" s="81" t="s">
        <v>84</v>
      </c>
      <c r="AY6" s="195"/>
      <c r="AZ6" s="186"/>
      <c r="BA6" s="186"/>
      <c r="BB6" s="186"/>
      <c r="BC6" s="189"/>
      <c r="BD6" s="186"/>
      <c r="BE6" s="184"/>
      <c r="BF6" s="184"/>
    </row>
    <row r="7" spans="1:58" s="2" customFormat="1" ht="13.5" thickBo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83">
        <v>43</v>
      </c>
      <c r="AR7" s="84">
        <v>44</v>
      </c>
      <c r="AS7" s="85">
        <v>45</v>
      </c>
      <c r="AT7" s="9">
        <v>46</v>
      </c>
      <c r="AU7" s="85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10">
        <v>56</v>
      </c>
      <c r="BE7" s="1"/>
      <c r="BF7" s="86"/>
    </row>
    <row r="8" spans="1:58" s="2" customFormat="1" ht="12.75" hidden="1">
      <c r="A8" s="4" t="s">
        <v>38</v>
      </c>
      <c r="B8" s="6"/>
      <c r="C8" s="6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6"/>
      <c r="AG8" s="6"/>
      <c r="AH8" s="6"/>
      <c r="AI8" s="6"/>
      <c r="AJ8" s="6"/>
      <c r="AK8" s="6"/>
      <c r="AL8" s="6"/>
      <c r="AM8" s="6"/>
      <c r="AN8" s="6"/>
      <c r="AO8" s="6"/>
      <c r="AP8" s="5"/>
      <c r="AQ8" s="87"/>
      <c r="AR8" s="87"/>
      <c r="AS8" s="5"/>
      <c r="AT8" s="5"/>
      <c r="AU8" s="5"/>
      <c r="AV8" s="6"/>
      <c r="AW8" s="6"/>
      <c r="AX8" s="6"/>
      <c r="AY8" s="6"/>
      <c r="AZ8" s="88"/>
      <c r="BA8" s="1"/>
      <c r="BB8" s="1"/>
      <c r="BC8" s="1"/>
      <c r="BD8" s="1"/>
      <c r="BE8" s="1"/>
      <c r="BF8" s="86"/>
    </row>
    <row r="9" spans="1:58" s="109" customFormat="1" ht="12.75" hidden="1">
      <c r="A9" s="89" t="s">
        <v>39</v>
      </c>
      <c r="B9" s="90">
        <v>1244.5</v>
      </c>
      <c r="C9" s="91">
        <f>B9*8.65</f>
        <v>10764.925000000001</v>
      </c>
      <c r="D9" s="92">
        <f>C9*0.24088</f>
        <v>2593.055134</v>
      </c>
      <c r="E9" s="93">
        <v>804.76</v>
      </c>
      <c r="F9" s="93">
        <v>229.24</v>
      </c>
      <c r="G9" s="93">
        <v>1086.47</v>
      </c>
      <c r="H9" s="93">
        <v>309.49</v>
      </c>
      <c r="I9" s="93">
        <v>2615.52</v>
      </c>
      <c r="J9" s="93">
        <v>745.03</v>
      </c>
      <c r="K9" s="93">
        <v>1810.76</v>
      </c>
      <c r="L9" s="93">
        <v>515.79</v>
      </c>
      <c r="M9" s="79">
        <v>643.82</v>
      </c>
      <c r="N9" s="79">
        <v>183.39</v>
      </c>
      <c r="O9" s="93">
        <v>0</v>
      </c>
      <c r="P9" s="93">
        <v>0</v>
      </c>
      <c r="Q9" s="93">
        <v>0</v>
      </c>
      <c r="R9" s="93">
        <v>0</v>
      </c>
      <c r="S9" s="93">
        <f>E9+G9+I9+K9+M9+O9+Q9</f>
        <v>6961.33</v>
      </c>
      <c r="T9" s="94">
        <f>P9+N9+L9+J9+H9+F9+R9</f>
        <v>1982.94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5">
        <v>0</v>
      </c>
      <c r="AA9" s="95">
        <v>0</v>
      </c>
      <c r="AB9" s="95">
        <f>SUM(U9:AA9)</f>
        <v>0</v>
      </c>
      <c r="AC9" s="96">
        <f>D9+T9+AB9</f>
        <v>4575.995134000001</v>
      </c>
      <c r="AD9" s="97">
        <f>P9+Z9</f>
        <v>0</v>
      </c>
      <c r="AE9" s="98">
        <f>R9+AA9</f>
        <v>0</v>
      </c>
      <c r="AF9" s="98"/>
      <c r="AG9" s="99">
        <f>0.6*B9</f>
        <v>746.6999999999999</v>
      </c>
      <c r="AH9" s="99">
        <f>B9*0.2*1.05826</f>
        <v>263.400914</v>
      </c>
      <c r="AI9" s="99">
        <f>0.8518*B9</f>
        <v>1060.0651</v>
      </c>
      <c r="AJ9" s="99">
        <f>AI9*0.18</f>
        <v>190.81171799999998</v>
      </c>
      <c r="AK9" s="99">
        <f>1.04*B9*0.9531</f>
        <v>1233.578268</v>
      </c>
      <c r="AL9" s="99">
        <f>AK9*0.18</f>
        <v>222.04408823999998</v>
      </c>
      <c r="AM9" s="99">
        <f>(1.91)*B9*0.9531</f>
        <v>2265.5139345</v>
      </c>
      <c r="AN9" s="99">
        <f>AM9*0.18</f>
        <v>407.79250820999994</v>
      </c>
      <c r="AO9" s="99"/>
      <c r="AP9" s="99">
        <f>AO9*0.18</f>
        <v>0</v>
      </c>
      <c r="AQ9" s="100"/>
      <c r="AR9" s="100"/>
      <c r="AS9" s="101"/>
      <c r="AT9" s="101"/>
      <c r="AU9" s="101">
        <f>(AS9+AT9)*0.18</f>
        <v>0</v>
      </c>
      <c r="AV9" s="102"/>
      <c r="AW9" s="103"/>
      <c r="AX9" s="99">
        <f>AV9*AW9*1.12*1.18</f>
        <v>0</v>
      </c>
      <c r="AY9" s="104"/>
      <c r="AZ9" s="105"/>
      <c r="BA9" s="105">
        <f>AZ9*0.18</f>
        <v>0</v>
      </c>
      <c r="BB9" s="105">
        <f>SUM(AG9:BA9)-AV9-AW9</f>
        <v>6389.906530949999</v>
      </c>
      <c r="BC9" s="106"/>
      <c r="BD9" s="16">
        <f>BB9-(AF9-BC9)</f>
        <v>6389.906530949999</v>
      </c>
      <c r="BE9" s="107">
        <f>AC9-BB9</f>
        <v>-1813.9113969499986</v>
      </c>
      <c r="BF9" s="108">
        <f>AB9-S9</f>
        <v>-6961.33</v>
      </c>
    </row>
    <row r="10" spans="1:58" s="2" customFormat="1" ht="12.75" hidden="1">
      <c r="A10" s="12" t="s">
        <v>40</v>
      </c>
      <c r="B10" s="90">
        <v>1244.5</v>
      </c>
      <c r="C10" s="91">
        <f>B10*8.65</f>
        <v>10764.925000000001</v>
      </c>
      <c r="D10" s="92">
        <f>C10*0.24088</f>
        <v>2593.055134</v>
      </c>
      <c r="E10" s="93">
        <v>780.16</v>
      </c>
      <c r="F10" s="93">
        <v>223.32</v>
      </c>
      <c r="G10" s="93">
        <v>1053.25</v>
      </c>
      <c r="H10" s="93">
        <v>301.51</v>
      </c>
      <c r="I10" s="93">
        <v>2535.56</v>
      </c>
      <c r="J10" s="93">
        <v>725.77</v>
      </c>
      <c r="K10" s="93">
        <v>1755.44</v>
      </c>
      <c r="L10" s="93">
        <v>502.45</v>
      </c>
      <c r="M10" s="79">
        <v>624.16</v>
      </c>
      <c r="N10" s="79">
        <v>178.65</v>
      </c>
      <c r="O10" s="93">
        <v>0</v>
      </c>
      <c r="P10" s="93">
        <v>0</v>
      </c>
      <c r="Q10" s="93">
        <v>0</v>
      </c>
      <c r="R10" s="93">
        <v>0</v>
      </c>
      <c r="S10" s="93">
        <f>E10+G10+I10+K10+M10+O10+Q10</f>
        <v>6748.57</v>
      </c>
      <c r="T10" s="94">
        <f>P10+N10+L10+J10+H10+F10+R10</f>
        <v>1931.6999999999998</v>
      </c>
      <c r="U10" s="93">
        <v>479.95</v>
      </c>
      <c r="V10" s="93">
        <v>647.95</v>
      </c>
      <c r="W10" s="93">
        <v>1621.48</v>
      </c>
      <c r="X10" s="93">
        <v>1079.92</v>
      </c>
      <c r="Y10" s="93">
        <v>383.95</v>
      </c>
      <c r="Z10" s="93">
        <v>0</v>
      </c>
      <c r="AA10" s="95">
        <v>0</v>
      </c>
      <c r="AB10" s="110">
        <f>SUM(U10:AA10)</f>
        <v>4213.25</v>
      </c>
      <c r="AC10" s="111">
        <f>D10+T10+AB10</f>
        <v>8738.005133999999</v>
      </c>
      <c r="AD10" s="98">
        <f>P10+Z10</f>
        <v>0</v>
      </c>
      <c r="AE10" s="98">
        <f>R10+AA10</f>
        <v>0</v>
      </c>
      <c r="AF10" s="98"/>
      <c r="AG10" s="99">
        <f>0.6*B10</f>
        <v>746.6999999999999</v>
      </c>
      <c r="AH10" s="99">
        <f>B10*0.201</f>
        <v>250.14450000000002</v>
      </c>
      <c r="AI10" s="99">
        <f>0.8518*B10</f>
        <v>1060.0651</v>
      </c>
      <c r="AJ10" s="99">
        <f>AI10*0.18</f>
        <v>190.81171799999998</v>
      </c>
      <c r="AK10" s="99">
        <f>1.04*B10*0.9531</f>
        <v>1233.578268</v>
      </c>
      <c r="AL10" s="99">
        <f>AK10*0.18</f>
        <v>222.04408823999998</v>
      </c>
      <c r="AM10" s="99">
        <f>(1.91)*B10*0.9531</f>
        <v>2265.5139345</v>
      </c>
      <c r="AN10" s="99">
        <f>AM10*0.18</f>
        <v>407.79250820999994</v>
      </c>
      <c r="AO10" s="99"/>
      <c r="AP10" s="99">
        <f>AO10*0.18</f>
        <v>0</v>
      </c>
      <c r="AQ10" s="100"/>
      <c r="AR10" s="100"/>
      <c r="AS10" s="101">
        <v>2721</v>
      </c>
      <c r="AT10" s="101"/>
      <c r="AU10" s="101">
        <f>(AS10+AT10)*0.18</f>
        <v>489.78</v>
      </c>
      <c r="AV10" s="102"/>
      <c r="AW10" s="103"/>
      <c r="AX10" s="99">
        <f>AV10*AW10*1.12*1.18</f>
        <v>0</v>
      </c>
      <c r="AY10" s="104"/>
      <c r="AZ10" s="105"/>
      <c r="BA10" s="105">
        <f>AZ10*0.18</f>
        <v>0</v>
      </c>
      <c r="BB10" s="105">
        <f>SUM(AG10:BA10)-AV10-AW10</f>
        <v>9587.430116950001</v>
      </c>
      <c r="BC10" s="106"/>
      <c r="BD10" s="16">
        <f>BB10-(AF10-BC10)</f>
        <v>9587.430116950001</v>
      </c>
      <c r="BE10" s="107">
        <f>AC10-BB10</f>
        <v>-849.4249829500022</v>
      </c>
      <c r="BF10" s="107">
        <f>AB10-S10</f>
        <v>-2535.3199999999997</v>
      </c>
    </row>
    <row r="11" spans="1:58" s="2" customFormat="1" ht="13.5" hidden="1" thickBot="1">
      <c r="A11" s="47" t="s">
        <v>41</v>
      </c>
      <c r="B11" s="90">
        <v>1244.5</v>
      </c>
      <c r="C11" s="91">
        <f>B11*8.65</f>
        <v>10764.925000000001</v>
      </c>
      <c r="D11" s="92">
        <f>C11*0.24035</f>
        <v>2587.3497237500005</v>
      </c>
      <c r="E11" s="93">
        <v>796.73</v>
      </c>
      <c r="F11" s="93">
        <v>223.63</v>
      </c>
      <c r="G11" s="93">
        <v>1075.61</v>
      </c>
      <c r="H11" s="93">
        <v>301.93</v>
      </c>
      <c r="I11" s="93">
        <v>2589.43</v>
      </c>
      <c r="J11" s="93">
        <v>726.79</v>
      </c>
      <c r="K11" s="93">
        <v>1792.72</v>
      </c>
      <c r="L11" s="93">
        <v>503.16</v>
      </c>
      <c r="M11" s="79">
        <v>637.41</v>
      </c>
      <c r="N11" s="112">
        <v>178.9</v>
      </c>
      <c r="O11" s="95">
        <v>0</v>
      </c>
      <c r="P11" s="95">
        <v>0</v>
      </c>
      <c r="Q11" s="95">
        <v>0</v>
      </c>
      <c r="R11" s="95">
        <v>0</v>
      </c>
      <c r="S11" s="93">
        <f>E11+G11+I11+K11+M11+O11+Q11</f>
        <v>6891.9</v>
      </c>
      <c r="T11" s="94">
        <f>P11+N11+L11+J11+H11+F11+R11</f>
        <v>1934.4099999999999</v>
      </c>
      <c r="U11" s="93">
        <v>971.37</v>
      </c>
      <c r="V11" s="93">
        <v>1311.32</v>
      </c>
      <c r="W11" s="93">
        <v>3287.97</v>
      </c>
      <c r="X11" s="93">
        <v>2185.63</v>
      </c>
      <c r="Y11" s="93">
        <v>777.16</v>
      </c>
      <c r="Z11" s="93">
        <v>0</v>
      </c>
      <c r="AA11" s="95">
        <v>0</v>
      </c>
      <c r="AB11" s="110">
        <f>SUM(U11:AA11)</f>
        <v>8533.45</v>
      </c>
      <c r="AC11" s="111">
        <f>D11+T11+AB11</f>
        <v>13055.209723750002</v>
      </c>
      <c r="AD11" s="98">
        <f>P11+Z11</f>
        <v>0</v>
      </c>
      <c r="AE11" s="98">
        <f>R11+AA11</f>
        <v>0</v>
      </c>
      <c r="AF11" s="98"/>
      <c r="AG11" s="99">
        <f>0.6*B11</f>
        <v>746.6999999999999</v>
      </c>
      <c r="AH11" s="99">
        <f>B11*0.2*1.02524</f>
        <v>255.182236</v>
      </c>
      <c r="AI11" s="99">
        <f>0.84932*B11</f>
        <v>1056.97874</v>
      </c>
      <c r="AJ11" s="99">
        <f>AI11*0.18</f>
        <v>190.2561732</v>
      </c>
      <c r="AK11" s="99">
        <f>1.04*B11*0.95033</f>
        <v>1229.9931124</v>
      </c>
      <c r="AL11" s="99">
        <f>AK11*0.18</f>
        <v>221.398760232</v>
      </c>
      <c r="AM11" s="99">
        <f>(1.91)*B11*0.95033</f>
        <v>2258.92965835</v>
      </c>
      <c r="AN11" s="99">
        <f>AM11*0.18</f>
        <v>406.607338503</v>
      </c>
      <c r="AO11" s="99"/>
      <c r="AP11" s="99">
        <f>AO11*0.18</f>
        <v>0</v>
      </c>
      <c r="AQ11" s="100"/>
      <c r="AR11" s="100"/>
      <c r="AS11" s="101"/>
      <c r="AT11" s="101"/>
      <c r="AU11" s="101">
        <f>(AS11+AT11)*0.18</f>
        <v>0</v>
      </c>
      <c r="AV11" s="102"/>
      <c r="AW11" s="103"/>
      <c r="AX11" s="99">
        <f>AV11*AW11*1.12*1.18</f>
        <v>0</v>
      </c>
      <c r="AY11" s="104"/>
      <c r="AZ11" s="105"/>
      <c r="BA11" s="105">
        <f>AZ11*0.18</f>
        <v>0</v>
      </c>
      <c r="BB11" s="105">
        <f>SUM(AG11:BA11)-AV11-AW11</f>
        <v>6366.0460186850005</v>
      </c>
      <c r="BC11" s="106"/>
      <c r="BD11" s="16">
        <f>BB11-(AF11-BC11)</f>
        <v>6366.0460186850005</v>
      </c>
      <c r="BE11" s="107">
        <f>AC11-BB11</f>
        <v>6689.1637050650015</v>
      </c>
      <c r="BF11" s="107">
        <f>AB11-S11</f>
        <v>1641.550000000001</v>
      </c>
    </row>
    <row r="12" spans="1:58" s="22" customFormat="1" ht="15" customHeight="1" hidden="1" thickBot="1">
      <c r="A12" s="48" t="s">
        <v>3</v>
      </c>
      <c r="B12" s="69"/>
      <c r="C12" s="69">
        <f>SUM(C9:C11)</f>
        <v>32294.775</v>
      </c>
      <c r="D12" s="69">
        <f aca="true" t="shared" si="0" ref="D12:BD12">SUM(D9:D11)</f>
        <v>7773.459991750001</v>
      </c>
      <c r="E12" s="69">
        <f t="shared" si="0"/>
        <v>2381.65</v>
      </c>
      <c r="F12" s="69">
        <f t="shared" si="0"/>
        <v>676.19</v>
      </c>
      <c r="G12" s="69">
        <f t="shared" si="0"/>
        <v>3215.33</v>
      </c>
      <c r="H12" s="69">
        <f t="shared" si="0"/>
        <v>912.9300000000001</v>
      </c>
      <c r="I12" s="69">
        <f t="shared" si="0"/>
        <v>7740.51</v>
      </c>
      <c r="J12" s="69">
        <f t="shared" si="0"/>
        <v>2197.59</v>
      </c>
      <c r="K12" s="69">
        <f t="shared" si="0"/>
        <v>5358.92</v>
      </c>
      <c r="L12" s="69">
        <f t="shared" si="0"/>
        <v>1521.4</v>
      </c>
      <c r="M12" s="69">
        <f t="shared" si="0"/>
        <v>1905.3899999999999</v>
      </c>
      <c r="N12" s="69">
        <f t="shared" si="0"/>
        <v>540.9399999999999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>
        <f t="shared" si="0"/>
        <v>20601.8</v>
      </c>
      <c r="T12" s="69">
        <f t="shared" si="0"/>
        <v>5849.049999999999</v>
      </c>
      <c r="U12" s="69">
        <f t="shared" si="0"/>
        <v>1451.32</v>
      </c>
      <c r="V12" s="69">
        <f t="shared" si="0"/>
        <v>1959.27</v>
      </c>
      <c r="W12" s="69">
        <f t="shared" si="0"/>
        <v>4909.45</v>
      </c>
      <c r="X12" s="69">
        <f t="shared" si="0"/>
        <v>3265.55</v>
      </c>
      <c r="Y12" s="69">
        <f t="shared" si="0"/>
        <v>1161.11</v>
      </c>
      <c r="Z12" s="69">
        <f t="shared" si="0"/>
        <v>0</v>
      </c>
      <c r="AA12" s="69">
        <f t="shared" si="0"/>
        <v>0</v>
      </c>
      <c r="AB12" s="69">
        <f t="shared" si="0"/>
        <v>12746.7</v>
      </c>
      <c r="AC12" s="69">
        <f t="shared" si="0"/>
        <v>26369.20999175</v>
      </c>
      <c r="AD12" s="69">
        <f t="shared" si="0"/>
        <v>0</v>
      </c>
      <c r="AE12" s="69">
        <f t="shared" si="0"/>
        <v>0</v>
      </c>
      <c r="AF12" s="69">
        <f t="shared" si="0"/>
        <v>0</v>
      </c>
      <c r="AG12" s="69">
        <f t="shared" si="0"/>
        <v>2240.1</v>
      </c>
      <c r="AH12" s="69">
        <f t="shared" si="0"/>
        <v>768.72765</v>
      </c>
      <c r="AI12" s="69">
        <f t="shared" si="0"/>
        <v>3177.10894</v>
      </c>
      <c r="AJ12" s="69">
        <f t="shared" si="0"/>
        <v>571.8796092</v>
      </c>
      <c r="AK12" s="69">
        <f t="shared" si="0"/>
        <v>3697.1496484</v>
      </c>
      <c r="AL12" s="69">
        <f t="shared" si="0"/>
        <v>665.486936712</v>
      </c>
      <c r="AM12" s="69">
        <f t="shared" si="0"/>
        <v>6789.9575273499995</v>
      </c>
      <c r="AN12" s="69">
        <f t="shared" si="0"/>
        <v>1222.1923549229998</v>
      </c>
      <c r="AO12" s="69">
        <f t="shared" si="0"/>
        <v>0</v>
      </c>
      <c r="AP12" s="69">
        <f t="shared" si="0"/>
        <v>0</v>
      </c>
      <c r="AQ12" s="113">
        <f t="shared" si="0"/>
        <v>0</v>
      </c>
      <c r="AR12" s="113">
        <f t="shared" si="0"/>
        <v>0</v>
      </c>
      <c r="AS12" s="114">
        <f t="shared" si="0"/>
        <v>2721</v>
      </c>
      <c r="AT12" s="114">
        <f t="shared" si="0"/>
        <v>0</v>
      </c>
      <c r="AU12" s="114">
        <f t="shared" si="0"/>
        <v>489.78</v>
      </c>
      <c r="AV12" s="69">
        <f t="shared" si="0"/>
        <v>0</v>
      </c>
      <c r="AW12" s="69">
        <f t="shared" si="0"/>
        <v>0</v>
      </c>
      <c r="AX12" s="69">
        <f t="shared" si="0"/>
        <v>0</v>
      </c>
      <c r="AY12" s="69">
        <f t="shared" si="0"/>
        <v>0</v>
      </c>
      <c r="AZ12" s="69">
        <f t="shared" si="0"/>
        <v>0</v>
      </c>
      <c r="BA12" s="69">
        <f t="shared" si="0"/>
        <v>0</v>
      </c>
      <c r="BB12" s="69">
        <f t="shared" si="0"/>
        <v>22343.382666585</v>
      </c>
      <c r="BC12" s="69">
        <f t="shared" si="0"/>
        <v>0</v>
      </c>
      <c r="BD12" s="69">
        <f t="shared" si="0"/>
        <v>22343.382666585</v>
      </c>
      <c r="BE12" s="69">
        <f>SUM(BE9:BE11)</f>
        <v>4025.8273251650007</v>
      </c>
      <c r="BF12" s="115">
        <f>SUM(BF9:BF11)</f>
        <v>-7855.0999999999985</v>
      </c>
    </row>
    <row r="13" spans="1:58" s="2" customFormat="1" ht="15" customHeight="1" hidden="1">
      <c r="A13" s="7" t="s">
        <v>42</v>
      </c>
      <c r="B13" s="66"/>
      <c r="C13" s="116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120"/>
      <c r="T13" s="120"/>
      <c r="U13" s="121"/>
      <c r="V13" s="121"/>
      <c r="W13" s="121"/>
      <c r="X13" s="121"/>
      <c r="Y13" s="121"/>
      <c r="Z13" s="121"/>
      <c r="AA13" s="122"/>
      <c r="AB13" s="122"/>
      <c r="AC13" s="123"/>
      <c r="AD13" s="124"/>
      <c r="AE13" s="124"/>
      <c r="AF13" s="58"/>
      <c r="AG13" s="58"/>
      <c r="AH13" s="58"/>
      <c r="AI13" s="58"/>
      <c r="AJ13" s="58"/>
      <c r="AK13" s="58"/>
      <c r="AL13" s="58"/>
      <c r="AM13" s="58"/>
      <c r="AN13" s="67"/>
      <c r="AO13" s="67"/>
      <c r="AP13" s="67"/>
      <c r="AQ13" s="125"/>
      <c r="AR13" s="126"/>
      <c r="AS13" s="127"/>
      <c r="AT13" s="127"/>
      <c r="AU13" s="128"/>
      <c r="AV13" s="58"/>
      <c r="AW13" s="58"/>
      <c r="AX13" s="59"/>
      <c r="AY13" s="1"/>
      <c r="AZ13" s="1"/>
      <c r="BA13" s="1"/>
      <c r="BB13" s="1"/>
      <c r="BC13" s="1"/>
      <c r="BD13" s="1"/>
      <c r="BE13" s="1"/>
      <c r="BF13" s="86"/>
    </row>
    <row r="14" spans="1:58" s="2" customFormat="1" ht="12.75" hidden="1">
      <c r="A14" s="12" t="s">
        <v>43</v>
      </c>
      <c r="B14" s="129">
        <v>1244.5</v>
      </c>
      <c r="C14" s="91">
        <f>B14*8.65</f>
        <v>10764.925000000001</v>
      </c>
      <c r="D14" s="92">
        <f>C14*0.125</f>
        <v>1345.6156250000001</v>
      </c>
      <c r="E14" s="93">
        <v>755.9</v>
      </c>
      <c r="F14" s="93">
        <v>222.86</v>
      </c>
      <c r="G14" s="93">
        <v>1020.5</v>
      </c>
      <c r="H14" s="93">
        <v>300.88</v>
      </c>
      <c r="I14" s="93">
        <v>2456.73</v>
      </c>
      <c r="J14" s="93">
        <v>724.28</v>
      </c>
      <c r="K14" s="93">
        <v>1700.83</v>
      </c>
      <c r="L14" s="93">
        <v>501.42</v>
      </c>
      <c r="M14" s="79">
        <v>604.74</v>
      </c>
      <c r="N14" s="112">
        <v>178.28</v>
      </c>
      <c r="O14" s="95">
        <v>0</v>
      </c>
      <c r="P14" s="95">
        <v>0</v>
      </c>
      <c r="Q14" s="95">
        <v>0</v>
      </c>
      <c r="R14" s="95">
        <v>0</v>
      </c>
      <c r="S14" s="93">
        <f aca="true" t="shared" si="1" ref="S14:S25">E14+G14+I14+K14+M14+O14+Q14</f>
        <v>6538.7</v>
      </c>
      <c r="T14" s="94">
        <f aca="true" t="shared" si="2" ref="T14:T25">P14+N14+L14+J14+H14+F14+R14</f>
        <v>1927.7200000000003</v>
      </c>
      <c r="U14" s="93">
        <v>380.13</v>
      </c>
      <c r="V14" s="93">
        <v>513.19</v>
      </c>
      <c r="W14" s="93">
        <v>1124.36</v>
      </c>
      <c r="X14" s="93">
        <v>855.29</v>
      </c>
      <c r="Y14" s="93">
        <v>304.11</v>
      </c>
      <c r="Z14" s="93">
        <v>0</v>
      </c>
      <c r="AA14" s="95">
        <v>0</v>
      </c>
      <c r="AB14" s="130">
        <f aca="true" t="shared" si="3" ref="AB14:AB22">SUM(U14:AA14)</f>
        <v>3177.08</v>
      </c>
      <c r="AC14" s="111">
        <f aca="true" t="shared" si="4" ref="AC14:AC22">D14+T14+AB14</f>
        <v>6450.415625000001</v>
      </c>
      <c r="AD14" s="98">
        <f aca="true" t="shared" si="5" ref="AD14:AD25">P14+Z14</f>
        <v>0</v>
      </c>
      <c r="AE14" s="98">
        <f aca="true" t="shared" si="6" ref="AE14:AE25">R14+AA14</f>
        <v>0</v>
      </c>
      <c r="AF14" s="98"/>
      <c r="AG14" s="99">
        <f>0.6*B14*0.9</f>
        <v>672.03</v>
      </c>
      <c r="AH14" s="99">
        <f>B14*0.2*0.891</f>
        <v>221.7699</v>
      </c>
      <c r="AI14" s="99">
        <f>0.85*B14*0.867-0.02</f>
        <v>917.114275</v>
      </c>
      <c r="AJ14" s="99">
        <f aca="true" t="shared" si="7" ref="AJ14:AJ25">AI14*0.18</f>
        <v>165.0805695</v>
      </c>
      <c r="AK14" s="99">
        <f>0.83*B14*0.8685</f>
        <v>897.1040475</v>
      </c>
      <c r="AL14" s="99">
        <f aca="true" t="shared" si="8" ref="AL14:AL25">AK14*0.18</f>
        <v>161.47872855</v>
      </c>
      <c r="AM14" s="99">
        <f>1.91*B14*0.8686</f>
        <v>2064.657857</v>
      </c>
      <c r="AN14" s="99">
        <f aca="true" t="shared" si="9" ref="AN14:AN25">AM14*0.18</f>
        <v>371.63841426</v>
      </c>
      <c r="AO14" s="99"/>
      <c r="AP14" s="99">
        <f aca="true" t="shared" si="10" ref="AP14:AR25">AO14*0.18</f>
        <v>0</v>
      </c>
      <c r="AQ14" s="100"/>
      <c r="AR14" s="100">
        <f>AQ14*0.18</f>
        <v>0</v>
      </c>
      <c r="AS14" s="101"/>
      <c r="AT14" s="101"/>
      <c r="AU14" s="101">
        <f aca="true" t="shared" si="11" ref="AU14:AU25">(AS14+AT14)*0.18</f>
        <v>0</v>
      </c>
      <c r="AV14" s="102">
        <v>508</v>
      </c>
      <c r="AW14" s="103">
        <v>0.6</v>
      </c>
      <c r="AX14" s="99"/>
      <c r="AY14" s="104"/>
      <c r="AZ14" s="105"/>
      <c r="BA14" s="105">
        <f>AZ14*0.18</f>
        <v>0</v>
      </c>
      <c r="BB14" s="105">
        <f>SUM(AG14:AU14)+AX14</f>
        <v>5470.87379181</v>
      </c>
      <c r="BC14" s="106"/>
      <c r="BD14" s="131">
        <f>BB14-(AF14-BC14)</f>
        <v>5470.87379181</v>
      </c>
      <c r="BE14" s="107">
        <f>(AC14-BB14)+(AF14-BC14)</f>
        <v>979.541833190001</v>
      </c>
      <c r="BF14" s="107">
        <f>AB14-S14</f>
        <v>-3361.62</v>
      </c>
    </row>
    <row r="15" spans="1:58" s="2" customFormat="1" ht="12.75" hidden="1">
      <c r="A15" s="12" t="s">
        <v>44</v>
      </c>
      <c r="B15" s="129">
        <v>1244.5</v>
      </c>
      <c r="C15" s="91">
        <f>B15*8.65</f>
        <v>10764.925000000001</v>
      </c>
      <c r="D15" s="92">
        <f>C15*0.125</f>
        <v>1345.6156250000001</v>
      </c>
      <c r="E15" s="93">
        <v>797.21</v>
      </c>
      <c r="F15" s="93">
        <v>222.86</v>
      </c>
      <c r="G15" s="93">
        <v>1076.27</v>
      </c>
      <c r="H15" s="93">
        <v>300.88</v>
      </c>
      <c r="I15" s="93">
        <v>2591</v>
      </c>
      <c r="J15" s="93">
        <v>724.28</v>
      </c>
      <c r="K15" s="93">
        <v>1793.78</v>
      </c>
      <c r="L15" s="93">
        <v>501.42</v>
      </c>
      <c r="M15" s="79">
        <v>637.8</v>
      </c>
      <c r="N15" s="112">
        <v>178.28</v>
      </c>
      <c r="O15" s="95">
        <v>0</v>
      </c>
      <c r="P15" s="95">
        <v>0</v>
      </c>
      <c r="Q15" s="95">
        <v>0</v>
      </c>
      <c r="R15" s="95">
        <v>0</v>
      </c>
      <c r="S15" s="93">
        <f t="shared" si="1"/>
        <v>6896.0599999999995</v>
      </c>
      <c r="T15" s="94">
        <f t="shared" si="2"/>
        <v>1927.7200000000003</v>
      </c>
      <c r="U15" s="93">
        <v>590.28</v>
      </c>
      <c r="V15" s="93">
        <v>796.91</v>
      </c>
      <c r="W15" s="93">
        <v>1918.5</v>
      </c>
      <c r="X15" s="93">
        <v>1328.23</v>
      </c>
      <c r="Y15" s="93">
        <v>472.25</v>
      </c>
      <c r="Z15" s="93">
        <v>0</v>
      </c>
      <c r="AA15" s="95">
        <v>0</v>
      </c>
      <c r="AB15" s="110">
        <f t="shared" si="3"/>
        <v>5106.17</v>
      </c>
      <c r="AC15" s="111">
        <f t="shared" si="4"/>
        <v>8379.505625000002</v>
      </c>
      <c r="AD15" s="98">
        <f t="shared" si="5"/>
        <v>0</v>
      </c>
      <c r="AE15" s="98">
        <f t="shared" si="6"/>
        <v>0</v>
      </c>
      <c r="AF15" s="98"/>
      <c r="AG15" s="99">
        <f>0.6*B15*0.9</f>
        <v>672.03</v>
      </c>
      <c r="AH15" s="99">
        <f>B15*0.2*0.9153</f>
        <v>227.81817</v>
      </c>
      <c r="AI15" s="99">
        <f>0.85*B15*0.867</f>
        <v>917.134275</v>
      </c>
      <c r="AJ15" s="99">
        <f t="shared" si="7"/>
        <v>165.0841695</v>
      </c>
      <c r="AK15" s="99">
        <f>0.83*B15*0.8684</f>
        <v>897.0007539999999</v>
      </c>
      <c r="AL15" s="99">
        <f t="shared" si="8"/>
        <v>161.46013571999998</v>
      </c>
      <c r="AM15" s="99">
        <f>(1.91)*B15*0.8684</f>
        <v>2064.1824579999998</v>
      </c>
      <c r="AN15" s="99">
        <f t="shared" si="9"/>
        <v>371.55284243999995</v>
      </c>
      <c r="AO15" s="99"/>
      <c r="AP15" s="99">
        <f t="shared" si="10"/>
        <v>0</v>
      </c>
      <c r="AQ15" s="100"/>
      <c r="AR15" s="100">
        <f>AQ15*0.18</f>
        <v>0</v>
      </c>
      <c r="AS15" s="101">
        <v>2575</v>
      </c>
      <c r="AT15" s="101"/>
      <c r="AU15" s="101">
        <f t="shared" si="11"/>
        <v>463.5</v>
      </c>
      <c r="AV15" s="102">
        <v>407</v>
      </c>
      <c r="AW15" s="103">
        <v>0.6</v>
      </c>
      <c r="AX15" s="99"/>
      <c r="AY15" s="104"/>
      <c r="AZ15" s="105"/>
      <c r="BA15" s="105">
        <f>AZ15*0.18</f>
        <v>0</v>
      </c>
      <c r="BB15" s="105">
        <f aca="true" t="shared" si="12" ref="BB15:BB25">SUM(AG15:AU15)+AX15</f>
        <v>8514.76280466</v>
      </c>
      <c r="BC15" s="132"/>
      <c r="BD15" s="131">
        <f aca="true" t="shared" si="13" ref="BD15:BD25">BB15-(AF15-BC15)</f>
        <v>8514.76280466</v>
      </c>
      <c r="BE15" s="107">
        <f aca="true" t="shared" si="14" ref="BE15:BE25">(AC15-BB15)+(AF15-BC15)</f>
        <v>-135.25717965999866</v>
      </c>
      <c r="BF15" s="107">
        <f aca="true" t="shared" si="15" ref="BF15:BF25">AB15-S15</f>
        <v>-1789.8899999999994</v>
      </c>
    </row>
    <row r="16" spans="1:58" s="2" customFormat="1" ht="13.5" hidden="1" thickBot="1">
      <c r="A16" s="133" t="s">
        <v>45</v>
      </c>
      <c r="B16" s="134">
        <v>1244.5</v>
      </c>
      <c r="C16" s="91">
        <f>B16*8.65</f>
        <v>10764.925000000001</v>
      </c>
      <c r="D16" s="92">
        <f>C16*0.125</f>
        <v>1345.6156250000001</v>
      </c>
      <c r="E16" s="93">
        <v>862.29</v>
      </c>
      <c r="F16" s="93">
        <v>167.16</v>
      </c>
      <c r="G16" s="93">
        <v>1164.14</v>
      </c>
      <c r="H16" s="93">
        <v>225.69</v>
      </c>
      <c r="I16" s="93">
        <v>2802.49</v>
      </c>
      <c r="J16" s="93">
        <v>543.27</v>
      </c>
      <c r="K16" s="93">
        <v>1940.16</v>
      </c>
      <c r="L16" s="93">
        <v>376.1</v>
      </c>
      <c r="M16" s="79">
        <v>689.88</v>
      </c>
      <c r="N16" s="112">
        <v>133.72</v>
      </c>
      <c r="O16" s="95">
        <v>0</v>
      </c>
      <c r="P16" s="95">
        <v>0</v>
      </c>
      <c r="Q16" s="95">
        <v>0</v>
      </c>
      <c r="R16" s="95">
        <v>0</v>
      </c>
      <c r="S16" s="93">
        <f t="shared" si="1"/>
        <v>7458.96</v>
      </c>
      <c r="T16" s="94">
        <f t="shared" si="2"/>
        <v>1445.9400000000003</v>
      </c>
      <c r="U16" s="135">
        <v>869.77</v>
      </c>
      <c r="V16" s="135">
        <v>1174.26</v>
      </c>
      <c r="W16" s="135">
        <v>2756.34</v>
      </c>
      <c r="X16" s="135">
        <v>1957.04</v>
      </c>
      <c r="Y16" s="135">
        <v>695.84</v>
      </c>
      <c r="Z16" s="135">
        <v>0</v>
      </c>
      <c r="AA16" s="136">
        <v>0</v>
      </c>
      <c r="AB16" s="130">
        <f t="shared" si="3"/>
        <v>7453.25</v>
      </c>
      <c r="AC16" s="111">
        <f t="shared" si="4"/>
        <v>10244.805625</v>
      </c>
      <c r="AD16" s="98">
        <f t="shared" si="5"/>
        <v>0</v>
      </c>
      <c r="AE16" s="98">
        <f t="shared" si="6"/>
        <v>0</v>
      </c>
      <c r="AF16" s="98"/>
      <c r="AG16" s="99">
        <f>0.6*B16*0.9</f>
        <v>672.03</v>
      </c>
      <c r="AH16" s="137">
        <f>B16*0.2*0.9082</f>
        <v>226.05098</v>
      </c>
      <c r="AI16" s="99">
        <f>0.85*B16*0.8675</f>
        <v>917.6631875</v>
      </c>
      <c r="AJ16" s="99">
        <f t="shared" si="7"/>
        <v>165.17937375</v>
      </c>
      <c r="AK16" s="137">
        <f>0.83*B16*0.838</f>
        <v>865.59953</v>
      </c>
      <c r="AL16" s="99">
        <f t="shared" si="8"/>
        <v>155.80791539999998</v>
      </c>
      <c r="AM16" s="99">
        <f>1.91*B16*0.8381</f>
        <v>1992.1595094999998</v>
      </c>
      <c r="AN16" s="99">
        <f t="shared" si="9"/>
        <v>358.5887117099999</v>
      </c>
      <c r="AO16" s="99"/>
      <c r="AP16" s="99">
        <f t="shared" si="10"/>
        <v>0</v>
      </c>
      <c r="AQ16" s="100"/>
      <c r="AR16" s="100">
        <f>AQ16*0.18</f>
        <v>0</v>
      </c>
      <c r="AS16" s="101">
        <v>5082</v>
      </c>
      <c r="AT16" s="101"/>
      <c r="AU16" s="101">
        <f t="shared" si="11"/>
        <v>914.76</v>
      </c>
      <c r="AV16" s="102">
        <v>383</v>
      </c>
      <c r="AW16" s="103">
        <v>0.6</v>
      </c>
      <c r="AX16" s="99"/>
      <c r="AY16" s="104"/>
      <c r="AZ16" s="105"/>
      <c r="BA16" s="105">
        <f>AZ16*0.18</f>
        <v>0</v>
      </c>
      <c r="BB16" s="105">
        <f t="shared" si="12"/>
        <v>11349.839207859999</v>
      </c>
      <c r="BC16" s="132"/>
      <c r="BD16" s="131">
        <f t="shared" si="13"/>
        <v>11349.839207859999</v>
      </c>
      <c r="BE16" s="107">
        <f t="shared" si="14"/>
        <v>-1105.0335828599982</v>
      </c>
      <c r="BF16" s="107">
        <f t="shared" si="15"/>
        <v>-5.710000000000036</v>
      </c>
    </row>
    <row r="17" spans="1:58" s="2" customFormat="1" ht="12.75" hidden="1">
      <c r="A17" s="139" t="s">
        <v>46</v>
      </c>
      <c r="B17" s="140">
        <v>1244.5</v>
      </c>
      <c r="C17" s="91">
        <f>B17*8.65</f>
        <v>10764.925000000001</v>
      </c>
      <c r="D17" s="92">
        <f>C17*0.125</f>
        <v>1345.6156250000001</v>
      </c>
      <c r="E17" s="135">
        <v>816.12</v>
      </c>
      <c r="F17" s="135">
        <v>205.06</v>
      </c>
      <c r="G17" s="135">
        <v>1101.8</v>
      </c>
      <c r="H17" s="135">
        <v>276.85</v>
      </c>
      <c r="I17" s="135">
        <v>2652.43</v>
      </c>
      <c r="J17" s="135">
        <v>666.43</v>
      </c>
      <c r="K17" s="135">
        <v>1836.31</v>
      </c>
      <c r="L17" s="135">
        <v>461.37</v>
      </c>
      <c r="M17" s="142">
        <v>652.92</v>
      </c>
      <c r="N17" s="143">
        <v>164.04</v>
      </c>
      <c r="O17" s="136">
        <v>0</v>
      </c>
      <c r="P17" s="136">
        <v>0</v>
      </c>
      <c r="Q17" s="136">
        <v>0</v>
      </c>
      <c r="R17" s="136">
        <v>0</v>
      </c>
      <c r="S17" s="93">
        <f t="shared" si="1"/>
        <v>7059.58</v>
      </c>
      <c r="T17" s="94">
        <f t="shared" si="2"/>
        <v>1773.75</v>
      </c>
      <c r="U17" s="93">
        <v>666.63</v>
      </c>
      <c r="V17" s="93">
        <v>899.99</v>
      </c>
      <c r="W17" s="93">
        <v>2166.59</v>
      </c>
      <c r="X17" s="93">
        <v>1499.94</v>
      </c>
      <c r="Y17" s="93">
        <v>533.3</v>
      </c>
      <c r="Z17" s="93">
        <v>0</v>
      </c>
      <c r="AA17" s="93">
        <v>0</v>
      </c>
      <c r="AB17" s="130">
        <f t="shared" si="3"/>
        <v>5766.45</v>
      </c>
      <c r="AC17" s="111">
        <f t="shared" si="4"/>
        <v>8885.815625</v>
      </c>
      <c r="AD17" s="98">
        <f t="shared" si="5"/>
        <v>0</v>
      </c>
      <c r="AE17" s="98">
        <f t="shared" si="6"/>
        <v>0</v>
      </c>
      <c r="AF17" s="98"/>
      <c r="AG17" s="99">
        <f>0.6*B17*0.9</f>
        <v>672.03</v>
      </c>
      <c r="AH17" s="137">
        <f>B17*0.2*0.9234</f>
        <v>229.83426</v>
      </c>
      <c r="AI17" s="99">
        <f>0.85*B17*0.8934</f>
        <v>945.0608550000001</v>
      </c>
      <c r="AJ17" s="99">
        <f t="shared" si="7"/>
        <v>170.1109539</v>
      </c>
      <c r="AK17" s="99">
        <f>0.83*B17*0.8498</f>
        <v>877.7881629999999</v>
      </c>
      <c r="AL17" s="99">
        <f t="shared" si="8"/>
        <v>158.00186933999998</v>
      </c>
      <c r="AM17" s="99">
        <f>(1.91)*B17*0.8498</f>
        <v>2019.970351</v>
      </c>
      <c r="AN17" s="99">
        <f t="shared" si="9"/>
        <v>363.59466318</v>
      </c>
      <c r="AO17" s="99"/>
      <c r="AP17" s="99">
        <f t="shared" si="10"/>
        <v>0</v>
      </c>
      <c r="AQ17" s="100"/>
      <c r="AR17" s="100">
        <f t="shared" si="10"/>
        <v>0</v>
      </c>
      <c r="AS17" s="101">
        <v>310</v>
      </c>
      <c r="AT17" s="101"/>
      <c r="AU17" s="101">
        <f t="shared" si="11"/>
        <v>55.8</v>
      </c>
      <c r="AV17" s="102">
        <v>307</v>
      </c>
      <c r="AW17" s="103">
        <v>0.6</v>
      </c>
      <c r="AX17" s="275">
        <v>1272.7</v>
      </c>
      <c r="AY17" s="104"/>
      <c r="AZ17" s="105"/>
      <c r="BA17" s="105">
        <f>AZ17*0.18</f>
        <v>0</v>
      </c>
      <c r="BB17" s="105">
        <f t="shared" si="12"/>
        <v>7074.89111542</v>
      </c>
      <c r="BC17" s="132"/>
      <c r="BD17" s="131">
        <f t="shared" si="13"/>
        <v>7074.89111542</v>
      </c>
      <c r="BE17" s="107">
        <f t="shared" si="14"/>
        <v>1810.9245095799997</v>
      </c>
      <c r="BF17" s="107">
        <f t="shared" si="15"/>
        <v>-1293.13</v>
      </c>
    </row>
    <row r="18" spans="1:58" s="2" customFormat="1" ht="12.75" hidden="1">
      <c r="A18" s="12" t="s">
        <v>47</v>
      </c>
      <c r="B18" s="134">
        <v>1244.5</v>
      </c>
      <c r="C18" s="91">
        <f>B18*8.65</f>
        <v>10764.925000000001</v>
      </c>
      <c r="D18" s="141">
        <f aca="true" t="shared" si="16" ref="D18:D25">C18-E18-F18-G18-H18-I18-J18-K18-L18-M18-N18</f>
        <v>1027.2150000000026</v>
      </c>
      <c r="E18" s="135">
        <v>893.23</v>
      </c>
      <c r="F18" s="135">
        <v>230.73</v>
      </c>
      <c r="G18" s="135">
        <v>1209.77</v>
      </c>
      <c r="H18" s="135">
        <v>312.73</v>
      </c>
      <c r="I18" s="135">
        <v>2906.96</v>
      </c>
      <c r="J18" s="135">
        <v>751.07</v>
      </c>
      <c r="K18" s="135">
        <v>2013.7</v>
      </c>
      <c r="L18" s="135">
        <v>520.37</v>
      </c>
      <c r="M18" s="142">
        <v>714.6</v>
      </c>
      <c r="N18" s="142">
        <v>184.55</v>
      </c>
      <c r="O18" s="136">
        <v>0</v>
      </c>
      <c r="P18" s="136">
        <v>0</v>
      </c>
      <c r="Q18" s="136">
        <v>0</v>
      </c>
      <c r="R18" s="136">
        <v>0</v>
      </c>
      <c r="S18" s="93">
        <f t="shared" si="1"/>
        <v>7738.26</v>
      </c>
      <c r="T18" s="94">
        <f t="shared" si="2"/>
        <v>1999.4500000000003</v>
      </c>
      <c r="U18" s="135">
        <v>812.92</v>
      </c>
      <c r="V18" s="135">
        <v>1097.49</v>
      </c>
      <c r="W18" s="135">
        <v>2631.65</v>
      </c>
      <c r="X18" s="135">
        <v>1829.15</v>
      </c>
      <c r="Y18" s="135">
        <v>650.39</v>
      </c>
      <c r="Z18" s="135">
        <v>0</v>
      </c>
      <c r="AA18" s="136">
        <v>0</v>
      </c>
      <c r="AB18" s="130">
        <f t="shared" si="3"/>
        <v>7021.599999999999</v>
      </c>
      <c r="AC18" s="111">
        <f t="shared" si="4"/>
        <v>10048.265000000003</v>
      </c>
      <c r="AD18" s="98">
        <f t="shared" si="5"/>
        <v>0</v>
      </c>
      <c r="AE18" s="98">
        <f t="shared" si="6"/>
        <v>0</v>
      </c>
      <c r="AF18" s="98"/>
      <c r="AG18" s="99">
        <f>0.6*B18</f>
        <v>746.6999999999999</v>
      </c>
      <c r="AH18" s="99">
        <f>B18*0.2*1.01</f>
        <v>251.389</v>
      </c>
      <c r="AI18" s="99">
        <f>0.85*B18</f>
        <v>1057.825</v>
      </c>
      <c r="AJ18" s="99">
        <f t="shared" si="7"/>
        <v>190.4085</v>
      </c>
      <c r="AK18" s="99">
        <f>0.83*B18</f>
        <v>1032.935</v>
      </c>
      <c r="AL18" s="99">
        <f t="shared" si="8"/>
        <v>185.92829999999998</v>
      </c>
      <c r="AM18" s="99">
        <f>(1.91)*B18</f>
        <v>2376.995</v>
      </c>
      <c r="AN18" s="99">
        <f t="shared" si="9"/>
        <v>427.85909999999996</v>
      </c>
      <c r="AO18" s="99"/>
      <c r="AP18" s="99">
        <f t="shared" si="10"/>
        <v>0</v>
      </c>
      <c r="AQ18" s="100"/>
      <c r="AR18" s="100">
        <f t="shared" si="10"/>
        <v>0</v>
      </c>
      <c r="AS18" s="101"/>
      <c r="AT18" s="101"/>
      <c r="AU18" s="101">
        <f t="shared" si="11"/>
        <v>0</v>
      </c>
      <c r="AV18" s="102">
        <v>263</v>
      </c>
      <c r="AW18" s="103">
        <v>0.6</v>
      </c>
      <c r="AX18" s="99">
        <f aca="true" t="shared" si="17" ref="AX18:AX25">AV18*AW18*1.12*1.18</f>
        <v>208.54847999999998</v>
      </c>
      <c r="AY18" s="104"/>
      <c r="AZ18" s="105"/>
      <c r="BA18" s="105">
        <f aca="true" t="shared" si="18" ref="BA18:BA25">AZ18*0.18</f>
        <v>0</v>
      </c>
      <c r="BB18" s="105">
        <f t="shared" si="12"/>
        <v>6478.58838</v>
      </c>
      <c r="BC18" s="132"/>
      <c r="BD18" s="131">
        <f t="shared" si="13"/>
        <v>6478.58838</v>
      </c>
      <c r="BE18" s="107">
        <f t="shared" si="14"/>
        <v>3569.676620000003</v>
      </c>
      <c r="BF18" s="107">
        <f t="shared" si="15"/>
        <v>-716.6600000000008</v>
      </c>
    </row>
    <row r="19" spans="1:58" s="2" customFormat="1" ht="13.5" hidden="1" thickBot="1">
      <c r="A19" s="133" t="s">
        <v>48</v>
      </c>
      <c r="B19" s="134">
        <v>1244.5</v>
      </c>
      <c r="C19" s="91">
        <f aca="true" t="shared" si="19" ref="C19:C25">B19*8.65</f>
        <v>10764.925000000001</v>
      </c>
      <c r="D19" s="141">
        <f t="shared" si="16"/>
        <v>1027.2150000000026</v>
      </c>
      <c r="E19" s="135">
        <v>893.23</v>
      </c>
      <c r="F19" s="135">
        <v>230.73</v>
      </c>
      <c r="G19" s="135">
        <v>1209.77</v>
      </c>
      <c r="H19" s="135">
        <v>312.73</v>
      </c>
      <c r="I19" s="135">
        <v>2906.96</v>
      </c>
      <c r="J19" s="135">
        <v>751.07</v>
      </c>
      <c r="K19" s="135">
        <v>2013.7</v>
      </c>
      <c r="L19" s="135">
        <v>520.37</v>
      </c>
      <c r="M19" s="142">
        <v>714.6</v>
      </c>
      <c r="N19" s="143">
        <v>184.55</v>
      </c>
      <c r="O19" s="136">
        <v>0</v>
      </c>
      <c r="P19" s="136">
        <v>0</v>
      </c>
      <c r="Q19" s="136">
        <v>0</v>
      </c>
      <c r="R19" s="136">
        <v>0</v>
      </c>
      <c r="S19" s="93">
        <f t="shared" si="1"/>
        <v>7738.26</v>
      </c>
      <c r="T19" s="94">
        <f t="shared" si="2"/>
        <v>1999.4500000000003</v>
      </c>
      <c r="U19" s="135">
        <v>934.89</v>
      </c>
      <c r="V19" s="135">
        <v>1264.81</v>
      </c>
      <c r="W19" s="135">
        <v>3041.07</v>
      </c>
      <c r="X19" s="135">
        <v>2106.09</v>
      </c>
      <c r="Y19" s="135">
        <v>747.93</v>
      </c>
      <c r="Z19" s="135">
        <v>0</v>
      </c>
      <c r="AA19" s="136">
        <v>0</v>
      </c>
      <c r="AB19" s="130">
        <f t="shared" si="3"/>
        <v>8094.790000000001</v>
      </c>
      <c r="AC19" s="111">
        <f t="shared" si="4"/>
        <v>11121.455000000004</v>
      </c>
      <c r="AD19" s="98">
        <f t="shared" si="5"/>
        <v>0</v>
      </c>
      <c r="AE19" s="98">
        <f t="shared" si="6"/>
        <v>0</v>
      </c>
      <c r="AF19" s="98"/>
      <c r="AG19" s="99">
        <f aca="true" t="shared" si="20" ref="AG19:AG25">0.6*B19</f>
        <v>746.6999999999999</v>
      </c>
      <c r="AH19" s="99">
        <f>B19*0.2*1.01045</f>
        <v>251.50100500000002</v>
      </c>
      <c r="AI19" s="99">
        <f>0.85*B19</f>
        <v>1057.825</v>
      </c>
      <c r="AJ19" s="99">
        <f t="shared" si="7"/>
        <v>190.4085</v>
      </c>
      <c r="AK19" s="99">
        <f>0.83*B19</f>
        <v>1032.935</v>
      </c>
      <c r="AL19" s="99">
        <f t="shared" si="8"/>
        <v>185.92829999999998</v>
      </c>
      <c r="AM19" s="99">
        <f>(1.91)*B19</f>
        <v>2376.995</v>
      </c>
      <c r="AN19" s="99">
        <f t="shared" si="9"/>
        <v>427.85909999999996</v>
      </c>
      <c r="AO19" s="99"/>
      <c r="AP19" s="99">
        <f t="shared" si="10"/>
        <v>0</v>
      </c>
      <c r="AQ19" s="100"/>
      <c r="AR19" s="100">
        <f t="shared" si="10"/>
        <v>0</v>
      </c>
      <c r="AS19" s="101"/>
      <c r="AT19" s="101"/>
      <c r="AU19" s="101">
        <f t="shared" si="11"/>
        <v>0</v>
      </c>
      <c r="AV19" s="102">
        <v>233</v>
      </c>
      <c r="AW19" s="103">
        <v>0.6</v>
      </c>
      <c r="AX19" s="99">
        <f t="shared" si="17"/>
        <v>184.75967999999997</v>
      </c>
      <c r="AY19" s="104"/>
      <c r="AZ19" s="105"/>
      <c r="BA19" s="105">
        <f t="shared" si="18"/>
        <v>0</v>
      </c>
      <c r="BB19" s="105">
        <f t="shared" si="12"/>
        <v>6454.911584999999</v>
      </c>
      <c r="BC19" s="132"/>
      <c r="BD19" s="131">
        <f t="shared" si="13"/>
        <v>6454.911584999999</v>
      </c>
      <c r="BE19" s="107">
        <f t="shared" si="14"/>
        <v>4666.543415000005</v>
      </c>
      <c r="BF19" s="107">
        <f t="shared" si="15"/>
        <v>356.53000000000065</v>
      </c>
    </row>
    <row r="20" spans="1:58" s="2" customFormat="1" ht="12.75" hidden="1">
      <c r="A20" s="139" t="s">
        <v>49</v>
      </c>
      <c r="B20" s="129">
        <v>1244.5</v>
      </c>
      <c r="C20" s="91">
        <f t="shared" si="19"/>
        <v>10764.925000000001</v>
      </c>
      <c r="D20" s="141">
        <f t="shared" si="16"/>
        <v>1019.0650000000022</v>
      </c>
      <c r="E20" s="135">
        <v>898.5</v>
      </c>
      <c r="F20" s="135">
        <v>226.41</v>
      </c>
      <c r="G20" s="135">
        <v>1216.88</v>
      </c>
      <c r="H20" s="135">
        <v>306.87</v>
      </c>
      <c r="I20" s="135">
        <v>2924.1</v>
      </c>
      <c r="J20" s="135">
        <v>737.01</v>
      </c>
      <c r="K20" s="135">
        <v>2025.55</v>
      </c>
      <c r="L20" s="135">
        <v>510.63</v>
      </c>
      <c r="M20" s="142">
        <v>718.81</v>
      </c>
      <c r="N20" s="143">
        <v>181.1</v>
      </c>
      <c r="O20" s="136">
        <v>0</v>
      </c>
      <c r="P20" s="136">
        <v>0</v>
      </c>
      <c r="Q20" s="136">
        <v>0</v>
      </c>
      <c r="R20" s="136">
        <v>0</v>
      </c>
      <c r="S20" s="93">
        <f t="shared" si="1"/>
        <v>7783.84</v>
      </c>
      <c r="T20" s="94">
        <f t="shared" si="2"/>
        <v>1962.0200000000002</v>
      </c>
      <c r="U20" s="135">
        <v>745.71</v>
      </c>
      <c r="V20" s="135">
        <v>1009.54</v>
      </c>
      <c r="W20" s="135">
        <v>2425.83</v>
      </c>
      <c r="X20" s="135">
        <v>1680.72</v>
      </c>
      <c r="Y20" s="135">
        <v>596.6</v>
      </c>
      <c r="Z20" s="135">
        <v>0</v>
      </c>
      <c r="AA20" s="136">
        <v>0</v>
      </c>
      <c r="AB20" s="130">
        <f t="shared" si="3"/>
        <v>6458.400000000001</v>
      </c>
      <c r="AC20" s="111">
        <f t="shared" si="4"/>
        <v>9439.485000000002</v>
      </c>
      <c r="AD20" s="98">
        <f t="shared" si="5"/>
        <v>0</v>
      </c>
      <c r="AE20" s="98">
        <f t="shared" si="6"/>
        <v>0</v>
      </c>
      <c r="AF20" s="98"/>
      <c r="AG20" s="99">
        <f t="shared" si="20"/>
        <v>746.6999999999999</v>
      </c>
      <c r="AH20" s="99">
        <f>B20*0.2*0.99426</f>
        <v>247.471314</v>
      </c>
      <c r="AI20" s="99">
        <f>0.85*B20*0.9857</f>
        <v>1042.6981025</v>
      </c>
      <c r="AJ20" s="99">
        <f t="shared" si="7"/>
        <v>187.68565845</v>
      </c>
      <c r="AK20" s="99">
        <f>0.83*B20*0.9905</f>
        <v>1023.1221175</v>
      </c>
      <c r="AL20" s="99">
        <f t="shared" si="8"/>
        <v>184.16198114999997</v>
      </c>
      <c r="AM20" s="99">
        <f>(1.91)*B20*0.9905-0.01</f>
        <v>2354.4035474999996</v>
      </c>
      <c r="AN20" s="99">
        <f t="shared" si="9"/>
        <v>423.79263854999994</v>
      </c>
      <c r="AO20" s="99"/>
      <c r="AP20" s="99">
        <f t="shared" si="10"/>
        <v>0</v>
      </c>
      <c r="AQ20" s="100"/>
      <c r="AR20" s="100">
        <f t="shared" si="10"/>
        <v>0</v>
      </c>
      <c r="AS20" s="101"/>
      <c r="AT20" s="101"/>
      <c r="AU20" s="101">
        <f t="shared" si="11"/>
        <v>0</v>
      </c>
      <c r="AV20" s="102">
        <v>248</v>
      </c>
      <c r="AW20" s="103">
        <v>0.6</v>
      </c>
      <c r="AX20" s="99">
        <f t="shared" si="17"/>
        <v>196.65408</v>
      </c>
      <c r="AY20" s="104"/>
      <c r="AZ20" s="105"/>
      <c r="BA20" s="105">
        <f t="shared" si="18"/>
        <v>0</v>
      </c>
      <c r="BB20" s="105">
        <f t="shared" si="12"/>
        <v>6406.689439649999</v>
      </c>
      <c r="BC20" s="132"/>
      <c r="BD20" s="131">
        <f t="shared" si="13"/>
        <v>6406.689439649999</v>
      </c>
      <c r="BE20" s="107">
        <f t="shared" si="14"/>
        <v>3032.795560350003</v>
      </c>
      <c r="BF20" s="107">
        <f t="shared" si="15"/>
        <v>-1325.4399999999996</v>
      </c>
    </row>
    <row r="21" spans="1:58" s="2" customFormat="1" ht="12.75" hidden="1">
      <c r="A21" s="12" t="s">
        <v>50</v>
      </c>
      <c r="B21" s="129">
        <v>1244.5</v>
      </c>
      <c r="C21" s="91">
        <f t="shared" si="19"/>
        <v>10764.925000000001</v>
      </c>
      <c r="D21" s="141">
        <f t="shared" si="16"/>
        <v>1019.055000000002</v>
      </c>
      <c r="E21" s="135">
        <v>898.5</v>
      </c>
      <c r="F21" s="135">
        <v>226.41</v>
      </c>
      <c r="G21" s="135">
        <v>1216.89</v>
      </c>
      <c r="H21" s="135">
        <v>306.87</v>
      </c>
      <c r="I21" s="135">
        <v>2924.1</v>
      </c>
      <c r="J21" s="135">
        <v>737.01</v>
      </c>
      <c r="K21" s="135">
        <v>2025.55</v>
      </c>
      <c r="L21" s="135">
        <v>510.63</v>
      </c>
      <c r="M21" s="142">
        <v>718.81</v>
      </c>
      <c r="N21" s="143">
        <v>181.1</v>
      </c>
      <c r="O21" s="136">
        <v>0</v>
      </c>
      <c r="P21" s="136">
        <v>0</v>
      </c>
      <c r="Q21" s="135">
        <v>0</v>
      </c>
      <c r="R21" s="135">
        <v>0</v>
      </c>
      <c r="S21" s="93">
        <f t="shared" si="1"/>
        <v>7783.85</v>
      </c>
      <c r="T21" s="94">
        <f t="shared" si="2"/>
        <v>1962.0200000000002</v>
      </c>
      <c r="U21" s="135">
        <v>547.23</v>
      </c>
      <c r="V21" s="135">
        <v>741.36</v>
      </c>
      <c r="W21" s="135">
        <v>1781.21</v>
      </c>
      <c r="X21" s="135">
        <v>1233.9</v>
      </c>
      <c r="Y21" s="135">
        <v>112.59</v>
      </c>
      <c r="Z21" s="135">
        <v>0</v>
      </c>
      <c r="AA21" s="136">
        <v>0</v>
      </c>
      <c r="AB21" s="130">
        <f t="shared" si="3"/>
        <v>4416.290000000001</v>
      </c>
      <c r="AC21" s="111">
        <f t="shared" si="4"/>
        <v>7397.365000000003</v>
      </c>
      <c r="AD21" s="98">
        <f t="shared" si="5"/>
        <v>0</v>
      </c>
      <c r="AE21" s="98">
        <f t="shared" si="6"/>
        <v>0</v>
      </c>
      <c r="AF21" s="98"/>
      <c r="AG21" s="99">
        <f t="shared" si="20"/>
        <v>746.6999999999999</v>
      </c>
      <c r="AH21" s="99">
        <f>B21*0.2*0.99875</f>
        <v>248.588875</v>
      </c>
      <c r="AI21" s="99">
        <f>0.85*B21*0.98526</f>
        <v>1042.2326595000002</v>
      </c>
      <c r="AJ21" s="99">
        <f t="shared" si="7"/>
        <v>187.60187871000002</v>
      </c>
      <c r="AK21" s="99">
        <f>0.83*B21*0.99</f>
        <v>1022.60565</v>
      </c>
      <c r="AL21" s="99">
        <f t="shared" si="8"/>
        <v>184.06901699999997</v>
      </c>
      <c r="AM21" s="99">
        <f>(1.91)*B21*0.99</f>
        <v>2353.22505</v>
      </c>
      <c r="AN21" s="99">
        <f t="shared" si="9"/>
        <v>423.580509</v>
      </c>
      <c r="AO21" s="99"/>
      <c r="AP21" s="99">
        <f t="shared" si="10"/>
        <v>0</v>
      </c>
      <c r="AQ21" s="100"/>
      <c r="AR21" s="100">
        <f t="shared" si="10"/>
        <v>0</v>
      </c>
      <c r="AS21" s="101">
        <v>152</v>
      </c>
      <c r="AT21" s="101"/>
      <c r="AU21" s="101">
        <f t="shared" si="11"/>
        <v>27.36</v>
      </c>
      <c r="AV21" s="102">
        <v>293</v>
      </c>
      <c r="AW21" s="103">
        <v>0.6</v>
      </c>
      <c r="AX21" s="99">
        <f t="shared" si="17"/>
        <v>232.33727999999996</v>
      </c>
      <c r="AY21" s="104"/>
      <c r="AZ21" s="105"/>
      <c r="BA21" s="105">
        <f t="shared" si="18"/>
        <v>0</v>
      </c>
      <c r="BB21" s="105">
        <f t="shared" si="12"/>
        <v>6620.30091921</v>
      </c>
      <c r="BC21" s="132"/>
      <c r="BD21" s="131">
        <f t="shared" si="13"/>
        <v>6620.30091921</v>
      </c>
      <c r="BE21" s="107">
        <f t="shared" si="14"/>
        <v>777.0640807900036</v>
      </c>
      <c r="BF21" s="107">
        <f t="shared" si="15"/>
        <v>-3367.5599999999995</v>
      </c>
    </row>
    <row r="22" spans="1:58" s="2" customFormat="1" ht="13.5" hidden="1" thickBot="1">
      <c r="A22" s="133" t="s">
        <v>51</v>
      </c>
      <c r="B22" s="90">
        <v>1244.5</v>
      </c>
      <c r="C22" s="91">
        <f t="shared" si="19"/>
        <v>10764.925000000001</v>
      </c>
      <c r="D22" s="141">
        <f t="shared" si="16"/>
        <v>1019.0650000000022</v>
      </c>
      <c r="E22" s="93">
        <v>898.5</v>
      </c>
      <c r="F22" s="93">
        <v>226.41</v>
      </c>
      <c r="G22" s="93">
        <v>1216.88</v>
      </c>
      <c r="H22" s="93">
        <v>306.87</v>
      </c>
      <c r="I22" s="93">
        <v>2924.1</v>
      </c>
      <c r="J22" s="93">
        <v>737.01</v>
      </c>
      <c r="K22" s="93">
        <v>2025.55</v>
      </c>
      <c r="L22" s="93">
        <v>510.63</v>
      </c>
      <c r="M22" s="79">
        <v>718.81</v>
      </c>
      <c r="N22" s="112">
        <v>181.1</v>
      </c>
      <c r="O22" s="95">
        <v>0</v>
      </c>
      <c r="P22" s="95">
        <v>0</v>
      </c>
      <c r="Q22" s="95">
        <v>0</v>
      </c>
      <c r="R22" s="95">
        <v>0</v>
      </c>
      <c r="S22" s="93">
        <f t="shared" si="1"/>
        <v>7783.84</v>
      </c>
      <c r="T22" s="94">
        <f t="shared" si="2"/>
        <v>1962.0200000000002</v>
      </c>
      <c r="U22" s="93">
        <v>1029.05</v>
      </c>
      <c r="V22" s="93">
        <v>1393.68</v>
      </c>
      <c r="W22" s="93">
        <v>3348.99</v>
      </c>
      <c r="X22" s="93">
        <v>2319.89</v>
      </c>
      <c r="Y22" s="93">
        <v>823.23</v>
      </c>
      <c r="Z22" s="93">
        <v>0</v>
      </c>
      <c r="AA22" s="95">
        <v>0</v>
      </c>
      <c r="AB22" s="130">
        <f t="shared" si="3"/>
        <v>8914.839999999998</v>
      </c>
      <c r="AC22" s="111">
        <f t="shared" si="4"/>
        <v>11895.925000000001</v>
      </c>
      <c r="AD22" s="98">
        <f t="shared" si="5"/>
        <v>0</v>
      </c>
      <c r="AE22" s="98">
        <f t="shared" si="6"/>
        <v>0</v>
      </c>
      <c r="AF22" s="98"/>
      <c r="AG22" s="99">
        <f t="shared" si="20"/>
        <v>746.6999999999999</v>
      </c>
      <c r="AH22" s="99">
        <f>B22*0.2*0.9997</f>
        <v>248.82533</v>
      </c>
      <c r="AI22" s="99">
        <f>0.85*B22*0.98509</f>
        <v>1042.05282925</v>
      </c>
      <c r="AJ22" s="99">
        <f t="shared" si="7"/>
        <v>187.569509265</v>
      </c>
      <c r="AK22" s="99">
        <f>0.83*B22*0.98981</f>
        <v>1022.40939235</v>
      </c>
      <c r="AL22" s="99">
        <f t="shared" si="8"/>
        <v>184.03369062299998</v>
      </c>
      <c r="AM22" s="99">
        <f>(1.91)*B22*0.9898</f>
        <v>2352.749651</v>
      </c>
      <c r="AN22" s="99">
        <f t="shared" si="9"/>
        <v>423.49493718</v>
      </c>
      <c r="AO22" s="99"/>
      <c r="AP22" s="99">
        <f t="shared" si="10"/>
        <v>0</v>
      </c>
      <c r="AQ22" s="100"/>
      <c r="AR22" s="100">
        <f t="shared" si="10"/>
        <v>0</v>
      </c>
      <c r="AS22" s="101"/>
      <c r="AT22" s="101"/>
      <c r="AU22" s="101">
        <f t="shared" si="11"/>
        <v>0</v>
      </c>
      <c r="AV22" s="102">
        <v>349</v>
      </c>
      <c r="AW22" s="103">
        <v>0.6</v>
      </c>
      <c r="AX22" s="99">
        <f t="shared" si="17"/>
        <v>276.74304</v>
      </c>
      <c r="AY22" s="104"/>
      <c r="AZ22" s="105"/>
      <c r="BA22" s="105">
        <f t="shared" si="18"/>
        <v>0</v>
      </c>
      <c r="BB22" s="105">
        <f t="shared" si="12"/>
        <v>6484.578379668001</v>
      </c>
      <c r="BC22" s="132"/>
      <c r="BD22" s="131">
        <f t="shared" si="13"/>
        <v>6484.578379668001</v>
      </c>
      <c r="BE22" s="107">
        <f t="shared" si="14"/>
        <v>5411.346620332</v>
      </c>
      <c r="BF22" s="107">
        <f t="shared" si="15"/>
        <v>1130.9999999999982</v>
      </c>
    </row>
    <row r="23" spans="1:58" s="2" customFormat="1" ht="12.75" hidden="1">
      <c r="A23" s="145" t="s">
        <v>39</v>
      </c>
      <c r="B23" s="90">
        <v>1244.5</v>
      </c>
      <c r="C23" s="146">
        <f t="shared" si="19"/>
        <v>10764.925000000001</v>
      </c>
      <c r="D23" s="141">
        <f t="shared" si="16"/>
        <v>1019.0650000000022</v>
      </c>
      <c r="E23" s="147">
        <v>898.5</v>
      </c>
      <c r="F23" s="93">
        <v>226.41</v>
      </c>
      <c r="G23" s="93">
        <v>1216.88</v>
      </c>
      <c r="H23" s="93">
        <v>306.87</v>
      </c>
      <c r="I23" s="93">
        <v>2924.1</v>
      </c>
      <c r="J23" s="93">
        <v>737.01</v>
      </c>
      <c r="K23" s="93">
        <v>2025.55</v>
      </c>
      <c r="L23" s="93">
        <v>510.63</v>
      </c>
      <c r="M23" s="93">
        <v>718.81</v>
      </c>
      <c r="N23" s="95">
        <v>181.1</v>
      </c>
      <c r="O23" s="95">
        <v>0</v>
      </c>
      <c r="P23" s="95">
        <v>0</v>
      </c>
      <c r="Q23" s="93">
        <v>0</v>
      </c>
      <c r="R23" s="93">
        <v>0</v>
      </c>
      <c r="S23" s="93">
        <f t="shared" si="1"/>
        <v>7783.84</v>
      </c>
      <c r="T23" s="94">
        <f t="shared" si="2"/>
        <v>1962.0200000000002</v>
      </c>
      <c r="U23" s="148">
        <f>634.77+334.44</f>
        <v>969.21</v>
      </c>
      <c r="V23" s="93">
        <f>859.57+452.79</f>
        <v>1312.3600000000001</v>
      </c>
      <c r="W23" s="93">
        <f>2065.59+1088.27</f>
        <v>3153.86</v>
      </c>
      <c r="X23" s="93">
        <f>1430.85+753.78</f>
        <v>2184.63</v>
      </c>
      <c r="Y23" s="93">
        <f>507.81+267.57</f>
        <v>775.38</v>
      </c>
      <c r="Z23" s="93">
        <v>0</v>
      </c>
      <c r="AA23" s="95">
        <v>0</v>
      </c>
      <c r="AB23" s="95">
        <f>SUM(U23:AA23)</f>
        <v>8395.44</v>
      </c>
      <c r="AC23" s="111">
        <f>AB23+T23+D23</f>
        <v>11376.525000000003</v>
      </c>
      <c r="AD23" s="98">
        <f t="shared" si="5"/>
        <v>0</v>
      </c>
      <c r="AE23" s="98">
        <f t="shared" si="6"/>
        <v>0</v>
      </c>
      <c r="AF23" s="98"/>
      <c r="AG23" s="99">
        <f t="shared" si="20"/>
        <v>746.6999999999999</v>
      </c>
      <c r="AH23" s="99">
        <f>B23*0.2</f>
        <v>248.9</v>
      </c>
      <c r="AI23" s="99">
        <f>0.847*B23</f>
        <v>1054.0915</v>
      </c>
      <c r="AJ23" s="99">
        <f t="shared" si="7"/>
        <v>189.73647</v>
      </c>
      <c r="AK23" s="99">
        <f>0.83*B23</f>
        <v>1032.935</v>
      </c>
      <c r="AL23" s="99">
        <f t="shared" si="8"/>
        <v>185.92829999999998</v>
      </c>
      <c r="AM23" s="99">
        <f>(2.25/1.18)*B23</f>
        <v>2372.987288135593</v>
      </c>
      <c r="AN23" s="99">
        <f t="shared" si="9"/>
        <v>427.13771186440675</v>
      </c>
      <c r="AO23" s="99"/>
      <c r="AP23" s="99">
        <f t="shared" si="10"/>
        <v>0</v>
      </c>
      <c r="AQ23" s="100"/>
      <c r="AR23" s="100">
        <f t="shared" si="10"/>
        <v>0</v>
      </c>
      <c r="AS23" s="101">
        <v>0</v>
      </c>
      <c r="AT23" s="101"/>
      <c r="AU23" s="101">
        <f t="shared" si="11"/>
        <v>0</v>
      </c>
      <c r="AV23" s="102">
        <v>425</v>
      </c>
      <c r="AW23" s="103">
        <v>0.6</v>
      </c>
      <c r="AX23" s="99">
        <f t="shared" si="17"/>
        <v>337.008</v>
      </c>
      <c r="AY23" s="104"/>
      <c r="AZ23" s="149"/>
      <c r="BA23" s="105">
        <f t="shared" si="18"/>
        <v>0</v>
      </c>
      <c r="BB23" s="105">
        <f t="shared" si="12"/>
        <v>6595.4242699999995</v>
      </c>
      <c r="BC23" s="132"/>
      <c r="BD23" s="131">
        <f t="shared" si="13"/>
        <v>6595.4242699999995</v>
      </c>
      <c r="BE23" s="107">
        <f t="shared" si="14"/>
        <v>4781.100730000004</v>
      </c>
      <c r="BF23" s="107">
        <f t="shared" si="15"/>
        <v>611.6000000000004</v>
      </c>
    </row>
    <row r="24" spans="1:58" s="2" customFormat="1" ht="12.75" hidden="1">
      <c r="A24" s="12" t="s">
        <v>40</v>
      </c>
      <c r="B24" s="129">
        <v>1244.5</v>
      </c>
      <c r="C24" s="146">
        <f t="shared" si="19"/>
        <v>10764.925000000001</v>
      </c>
      <c r="D24" s="141">
        <f t="shared" si="16"/>
        <v>1019.0650000000022</v>
      </c>
      <c r="E24" s="93">
        <v>898.5</v>
      </c>
      <c r="F24" s="93">
        <v>226.41</v>
      </c>
      <c r="G24" s="93">
        <v>1216.88</v>
      </c>
      <c r="H24" s="93">
        <v>306.87</v>
      </c>
      <c r="I24" s="93">
        <v>2924.1</v>
      </c>
      <c r="J24" s="93">
        <v>737.01</v>
      </c>
      <c r="K24" s="93">
        <v>2025.55</v>
      </c>
      <c r="L24" s="93">
        <v>510.63</v>
      </c>
      <c r="M24" s="79">
        <v>718.81</v>
      </c>
      <c r="N24" s="112">
        <v>181.1</v>
      </c>
      <c r="O24" s="95">
        <v>0</v>
      </c>
      <c r="P24" s="95">
        <v>0</v>
      </c>
      <c r="Q24" s="95">
        <v>0</v>
      </c>
      <c r="R24" s="95">
        <v>0</v>
      </c>
      <c r="S24" s="93">
        <f t="shared" si="1"/>
        <v>7783.84</v>
      </c>
      <c r="T24" s="94">
        <f t="shared" si="2"/>
        <v>1962.0200000000002</v>
      </c>
      <c r="U24" s="93">
        <v>1063.37</v>
      </c>
      <c r="V24" s="93">
        <v>1439.76</v>
      </c>
      <c r="W24" s="93">
        <v>3460.27</v>
      </c>
      <c r="X24" s="93">
        <v>2396.79</v>
      </c>
      <c r="Y24" s="93">
        <v>850.75</v>
      </c>
      <c r="Z24" s="93">
        <v>0</v>
      </c>
      <c r="AA24" s="95">
        <v>0</v>
      </c>
      <c r="AB24" s="95">
        <f>SUM(U24:AA24)</f>
        <v>9210.939999999999</v>
      </c>
      <c r="AC24" s="111">
        <f>D24+T24+AB24</f>
        <v>12192.025000000001</v>
      </c>
      <c r="AD24" s="98">
        <f t="shared" si="5"/>
        <v>0</v>
      </c>
      <c r="AE24" s="98">
        <f t="shared" si="6"/>
        <v>0</v>
      </c>
      <c r="AF24" s="98"/>
      <c r="AG24" s="99">
        <f t="shared" si="20"/>
        <v>746.6999999999999</v>
      </c>
      <c r="AH24" s="99">
        <f>B24*0.2</f>
        <v>248.9</v>
      </c>
      <c r="AI24" s="99">
        <f>0.85*B24</f>
        <v>1057.825</v>
      </c>
      <c r="AJ24" s="99">
        <f t="shared" si="7"/>
        <v>190.4085</v>
      </c>
      <c r="AK24" s="99">
        <f>0.83*B24</f>
        <v>1032.935</v>
      </c>
      <c r="AL24" s="99">
        <f t="shared" si="8"/>
        <v>185.92829999999998</v>
      </c>
      <c r="AM24" s="99">
        <f>(1.91)*B24</f>
        <v>2376.995</v>
      </c>
      <c r="AN24" s="99">
        <f t="shared" si="9"/>
        <v>427.85909999999996</v>
      </c>
      <c r="AO24" s="99"/>
      <c r="AP24" s="99">
        <f t="shared" si="10"/>
        <v>0</v>
      </c>
      <c r="AQ24" s="100"/>
      <c r="AR24" s="100">
        <f t="shared" si="10"/>
        <v>0</v>
      </c>
      <c r="AS24" s="101">
        <v>1708</v>
      </c>
      <c r="AT24" s="101"/>
      <c r="AU24" s="101">
        <f t="shared" si="11"/>
        <v>307.44</v>
      </c>
      <c r="AV24" s="102">
        <v>470</v>
      </c>
      <c r="AW24" s="103">
        <v>0.6</v>
      </c>
      <c r="AX24" s="99">
        <f t="shared" si="17"/>
        <v>372.69120000000004</v>
      </c>
      <c r="AY24" s="104"/>
      <c r="AZ24" s="105"/>
      <c r="BA24" s="105">
        <f t="shared" si="18"/>
        <v>0</v>
      </c>
      <c r="BB24" s="105">
        <f t="shared" si="12"/>
        <v>8655.6821</v>
      </c>
      <c r="BC24" s="106"/>
      <c r="BD24" s="131">
        <f t="shared" si="13"/>
        <v>8655.6821</v>
      </c>
      <c r="BE24" s="107">
        <f t="shared" si="14"/>
        <v>3536.3429000000015</v>
      </c>
      <c r="BF24" s="107">
        <f t="shared" si="15"/>
        <v>1427.0999999999985</v>
      </c>
    </row>
    <row r="25" spans="1:58" s="109" customFormat="1" ht="12.75" hidden="1">
      <c r="A25" s="89" t="s">
        <v>41</v>
      </c>
      <c r="B25" s="90">
        <v>1244.5</v>
      </c>
      <c r="C25" s="146">
        <f t="shared" si="19"/>
        <v>10764.925000000001</v>
      </c>
      <c r="D25" s="141">
        <f t="shared" si="16"/>
        <v>1019.0650000000022</v>
      </c>
      <c r="E25" s="93">
        <v>898.5</v>
      </c>
      <c r="F25" s="93">
        <v>226.41</v>
      </c>
      <c r="G25" s="93">
        <v>1216.88</v>
      </c>
      <c r="H25" s="93">
        <v>306.87</v>
      </c>
      <c r="I25" s="93">
        <v>2924.1</v>
      </c>
      <c r="J25" s="93">
        <v>737.01</v>
      </c>
      <c r="K25" s="93">
        <v>2025.55</v>
      </c>
      <c r="L25" s="93">
        <v>510.63</v>
      </c>
      <c r="M25" s="79">
        <v>718.81</v>
      </c>
      <c r="N25" s="112">
        <v>181.1</v>
      </c>
      <c r="O25" s="95">
        <v>0</v>
      </c>
      <c r="P25" s="95">
        <v>0</v>
      </c>
      <c r="Q25" s="95"/>
      <c r="R25" s="95"/>
      <c r="S25" s="93">
        <f t="shared" si="1"/>
        <v>7783.84</v>
      </c>
      <c r="T25" s="94">
        <f t="shared" si="2"/>
        <v>1962.0200000000002</v>
      </c>
      <c r="U25" s="93">
        <v>1147.28</v>
      </c>
      <c r="V25" s="93">
        <v>1552.16</v>
      </c>
      <c r="W25" s="93">
        <v>3732.11</v>
      </c>
      <c r="X25" s="93">
        <v>2584.79</v>
      </c>
      <c r="Y25" s="93">
        <v>917.85</v>
      </c>
      <c r="Z25" s="93">
        <v>0</v>
      </c>
      <c r="AA25" s="95">
        <v>0</v>
      </c>
      <c r="AB25" s="95">
        <f>SUM(U25:AA25)</f>
        <v>9934.19</v>
      </c>
      <c r="AC25" s="111">
        <f>D25+T25+AB25</f>
        <v>12915.275000000003</v>
      </c>
      <c r="AD25" s="98">
        <f t="shared" si="5"/>
        <v>0</v>
      </c>
      <c r="AE25" s="98">
        <f t="shared" si="6"/>
        <v>0</v>
      </c>
      <c r="AF25" s="98"/>
      <c r="AG25" s="99">
        <f t="shared" si="20"/>
        <v>746.6999999999999</v>
      </c>
      <c r="AH25" s="99">
        <f>B25*0.2</f>
        <v>248.9</v>
      </c>
      <c r="AI25" s="99">
        <f>0.85*B25</f>
        <v>1057.825</v>
      </c>
      <c r="AJ25" s="99">
        <f t="shared" si="7"/>
        <v>190.4085</v>
      </c>
      <c r="AK25" s="99">
        <f>0.83*B25</f>
        <v>1032.935</v>
      </c>
      <c r="AL25" s="99">
        <f t="shared" si="8"/>
        <v>185.92829999999998</v>
      </c>
      <c r="AM25" s="99">
        <f>(1.91)*B25</f>
        <v>2376.995</v>
      </c>
      <c r="AN25" s="99">
        <f t="shared" si="9"/>
        <v>427.85909999999996</v>
      </c>
      <c r="AO25" s="99"/>
      <c r="AP25" s="99">
        <f t="shared" si="10"/>
        <v>0</v>
      </c>
      <c r="AQ25" s="100"/>
      <c r="AR25" s="100">
        <f t="shared" si="10"/>
        <v>0</v>
      </c>
      <c r="AS25" s="101">
        <v>0</v>
      </c>
      <c r="AT25" s="101"/>
      <c r="AU25" s="101">
        <f t="shared" si="11"/>
        <v>0</v>
      </c>
      <c r="AV25" s="102">
        <v>514</v>
      </c>
      <c r="AW25" s="103">
        <v>0.6</v>
      </c>
      <c r="AX25" s="99">
        <f t="shared" si="17"/>
        <v>407.58144</v>
      </c>
      <c r="AY25" s="104"/>
      <c r="AZ25" s="105"/>
      <c r="BA25" s="105">
        <f t="shared" si="18"/>
        <v>0</v>
      </c>
      <c r="BB25" s="105">
        <f t="shared" si="12"/>
        <v>6675.13234</v>
      </c>
      <c r="BC25" s="106"/>
      <c r="BD25" s="131">
        <f t="shared" si="13"/>
        <v>6675.13234</v>
      </c>
      <c r="BE25" s="107">
        <f t="shared" si="14"/>
        <v>6240.142660000003</v>
      </c>
      <c r="BF25" s="107">
        <f t="shared" si="15"/>
        <v>2150.3500000000004</v>
      </c>
    </row>
    <row r="26" spans="1:58" s="22" customFormat="1" ht="12.75" hidden="1">
      <c r="A26" s="17" t="s">
        <v>3</v>
      </c>
      <c r="B26" s="18"/>
      <c r="C26" s="18">
        <f>SUM(C14:C25)</f>
        <v>129179.10000000002</v>
      </c>
      <c r="D26" s="18">
        <f aca="true" t="shared" si="21" ref="D26:BF26">SUM(D14:D25)</f>
        <v>13551.27250000002</v>
      </c>
      <c r="E26" s="18">
        <f t="shared" si="21"/>
        <v>10408.98</v>
      </c>
      <c r="F26" s="18">
        <f t="shared" si="21"/>
        <v>2637.86</v>
      </c>
      <c r="G26" s="18">
        <f t="shared" si="21"/>
        <v>14083.540000000005</v>
      </c>
      <c r="H26" s="18">
        <f t="shared" si="21"/>
        <v>3570.9799999999996</v>
      </c>
      <c r="I26" s="18">
        <f t="shared" si="21"/>
        <v>33861.16999999999</v>
      </c>
      <c r="J26" s="18">
        <f t="shared" si="21"/>
        <v>8582.460000000001</v>
      </c>
      <c r="K26" s="18">
        <f t="shared" si="21"/>
        <v>23451.78</v>
      </c>
      <c r="L26" s="18">
        <f t="shared" si="21"/>
        <v>5944.83</v>
      </c>
      <c r="M26" s="18">
        <f t="shared" si="21"/>
        <v>8327.399999999998</v>
      </c>
      <c r="N26" s="18">
        <f t="shared" si="21"/>
        <v>2110.0199999999995</v>
      </c>
      <c r="O26" s="18">
        <f t="shared" si="21"/>
        <v>0</v>
      </c>
      <c r="P26" s="18">
        <f t="shared" si="21"/>
        <v>0</v>
      </c>
      <c r="Q26" s="18">
        <f t="shared" si="21"/>
        <v>0</v>
      </c>
      <c r="R26" s="18">
        <f t="shared" si="21"/>
        <v>0</v>
      </c>
      <c r="S26" s="18">
        <f t="shared" si="21"/>
        <v>90132.87</v>
      </c>
      <c r="T26" s="18">
        <f t="shared" si="21"/>
        <v>22846.150000000005</v>
      </c>
      <c r="U26" s="18">
        <f t="shared" si="21"/>
        <v>9756.47</v>
      </c>
      <c r="V26" s="18">
        <f t="shared" si="21"/>
        <v>13195.51</v>
      </c>
      <c r="W26" s="18">
        <f t="shared" si="21"/>
        <v>31540.780000000002</v>
      </c>
      <c r="X26" s="18">
        <f t="shared" si="21"/>
        <v>21976.46</v>
      </c>
      <c r="Y26" s="18">
        <f t="shared" si="21"/>
        <v>7480.22</v>
      </c>
      <c r="Z26" s="18">
        <f t="shared" si="21"/>
        <v>0</v>
      </c>
      <c r="AA26" s="18">
        <f t="shared" si="21"/>
        <v>0</v>
      </c>
      <c r="AB26" s="18">
        <f t="shared" si="21"/>
        <v>83949.44</v>
      </c>
      <c r="AC26" s="18">
        <f t="shared" si="21"/>
        <v>120346.86250000003</v>
      </c>
      <c r="AD26" s="18">
        <f t="shared" si="21"/>
        <v>0</v>
      </c>
      <c r="AE26" s="18">
        <f t="shared" si="21"/>
        <v>0</v>
      </c>
      <c r="AF26" s="18">
        <f t="shared" si="21"/>
        <v>0</v>
      </c>
      <c r="AG26" s="18">
        <f t="shared" si="21"/>
        <v>8661.72</v>
      </c>
      <c r="AH26" s="18">
        <f t="shared" si="21"/>
        <v>2899.9488340000003</v>
      </c>
      <c r="AI26" s="18">
        <f t="shared" si="21"/>
        <v>12109.347683750002</v>
      </c>
      <c r="AJ26" s="18">
        <f t="shared" si="21"/>
        <v>2179.6825830750004</v>
      </c>
      <c r="AK26" s="18">
        <f t="shared" si="21"/>
        <v>11770.304654349999</v>
      </c>
      <c r="AL26" s="18">
        <f t="shared" si="21"/>
        <v>2118.654837783</v>
      </c>
      <c r="AM26" s="18">
        <f t="shared" si="21"/>
        <v>27082.315712135583</v>
      </c>
      <c r="AN26" s="18">
        <f t="shared" si="21"/>
        <v>4874.8168281844055</v>
      </c>
      <c r="AO26" s="18">
        <f t="shared" si="21"/>
        <v>0</v>
      </c>
      <c r="AP26" s="18">
        <f t="shared" si="21"/>
        <v>0</v>
      </c>
      <c r="AQ26" s="152">
        <f t="shared" si="21"/>
        <v>0</v>
      </c>
      <c r="AR26" s="152">
        <f t="shared" si="21"/>
        <v>0</v>
      </c>
      <c r="AS26" s="19">
        <f t="shared" si="21"/>
        <v>9827</v>
      </c>
      <c r="AT26" s="19">
        <f t="shared" si="21"/>
        <v>0</v>
      </c>
      <c r="AU26" s="19">
        <f t="shared" si="21"/>
        <v>1768.86</v>
      </c>
      <c r="AV26" s="18">
        <f t="shared" si="21"/>
        <v>4400</v>
      </c>
      <c r="AW26" s="18">
        <f t="shared" si="21"/>
        <v>7.199999999999998</v>
      </c>
      <c r="AX26" s="18">
        <f t="shared" si="21"/>
        <v>3489.0231999999996</v>
      </c>
      <c r="AY26" s="18">
        <f t="shared" si="21"/>
        <v>0</v>
      </c>
      <c r="AZ26" s="18">
        <f t="shared" si="21"/>
        <v>0</v>
      </c>
      <c r="BA26" s="18">
        <f t="shared" si="21"/>
        <v>0</v>
      </c>
      <c r="BB26" s="18">
        <f t="shared" si="21"/>
        <v>86781.674333278</v>
      </c>
      <c r="BC26" s="18">
        <f t="shared" si="21"/>
        <v>0</v>
      </c>
      <c r="BD26" s="18">
        <f t="shared" si="21"/>
        <v>86781.674333278</v>
      </c>
      <c r="BE26" s="18">
        <f t="shared" si="21"/>
        <v>33565.18816672203</v>
      </c>
      <c r="BF26" s="153">
        <f t="shared" si="21"/>
        <v>-6183.430000000002</v>
      </c>
    </row>
    <row r="27" spans="1:58" s="22" customFormat="1" ht="12.75" hidden="1">
      <c r="A27" s="17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20"/>
      <c r="Z27" s="20"/>
      <c r="AA27" s="20"/>
      <c r="AB27" s="20"/>
      <c r="AC27" s="20"/>
      <c r="AD27" s="72"/>
      <c r="AE27" s="72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70"/>
      <c r="AQ27" s="154"/>
      <c r="AR27" s="154"/>
      <c r="AS27" s="70"/>
      <c r="AT27" s="70"/>
      <c r="AU27" s="70"/>
      <c r="AV27" s="21"/>
      <c r="AW27" s="21"/>
      <c r="AX27" s="71"/>
      <c r="AY27" s="55"/>
      <c r="AZ27" s="55"/>
      <c r="BA27" s="55"/>
      <c r="BB27" s="55"/>
      <c r="BC27" s="55"/>
      <c r="BD27" s="55"/>
      <c r="BE27" s="55"/>
      <c r="BF27" s="155"/>
    </row>
    <row r="28" spans="1:58" s="22" customFormat="1" ht="13.5" hidden="1" thickBot="1">
      <c r="A28" s="23" t="s">
        <v>52</v>
      </c>
      <c r="B28" s="24"/>
      <c r="C28" s="24">
        <f>C12+C26</f>
        <v>161473.87500000003</v>
      </c>
      <c r="D28" s="24">
        <f aca="true" t="shared" si="22" ref="D28:BF28">D12+D26</f>
        <v>21324.73249175002</v>
      </c>
      <c r="E28" s="24">
        <f t="shared" si="22"/>
        <v>12790.63</v>
      </c>
      <c r="F28" s="24">
        <f t="shared" si="22"/>
        <v>3314.05</v>
      </c>
      <c r="G28" s="24">
        <f t="shared" si="22"/>
        <v>17298.870000000003</v>
      </c>
      <c r="H28" s="24">
        <f t="shared" si="22"/>
        <v>4483.91</v>
      </c>
      <c r="I28" s="24">
        <f t="shared" si="22"/>
        <v>41601.67999999999</v>
      </c>
      <c r="J28" s="24">
        <f t="shared" si="22"/>
        <v>10780.050000000001</v>
      </c>
      <c r="K28" s="24">
        <f t="shared" si="22"/>
        <v>28810.699999999997</v>
      </c>
      <c r="L28" s="24">
        <f t="shared" si="22"/>
        <v>7466.23</v>
      </c>
      <c r="M28" s="24">
        <f t="shared" si="22"/>
        <v>10232.789999999997</v>
      </c>
      <c r="N28" s="24">
        <f t="shared" si="22"/>
        <v>2650.9599999999996</v>
      </c>
      <c r="O28" s="24">
        <f t="shared" si="22"/>
        <v>0</v>
      </c>
      <c r="P28" s="24">
        <f t="shared" si="22"/>
        <v>0</v>
      </c>
      <c r="Q28" s="24">
        <f t="shared" si="22"/>
        <v>0</v>
      </c>
      <c r="R28" s="24">
        <f t="shared" si="22"/>
        <v>0</v>
      </c>
      <c r="S28" s="24">
        <f t="shared" si="22"/>
        <v>110734.67</v>
      </c>
      <c r="T28" s="24">
        <f t="shared" si="22"/>
        <v>28695.200000000004</v>
      </c>
      <c r="U28" s="24">
        <f t="shared" si="22"/>
        <v>11207.789999999999</v>
      </c>
      <c r="V28" s="24">
        <f t="shared" si="22"/>
        <v>15154.78</v>
      </c>
      <c r="W28" s="24">
        <f t="shared" si="22"/>
        <v>36450.23</v>
      </c>
      <c r="X28" s="24">
        <f t="shared" si="22"/>
        <v>25242.01</v>
      </c>
      <c r="Y28" s="24">
        <f t="shared" si="22"/>
        <v>8641.33</v>
      </c>
      <c r="Z28" s="24">
        <f t="shared" si="22"/>
        <v>0</v>
      </c>
      <c r="AA28" s="24">
        <f t="shared" si="22"/>
        <v>0</v>
      </c>
      <c r="AB28" s="24">
        <f t="shared" si="22"/>
        <v>96696.14</v>
      </c>
      <c r="AC28" s="24">
        <f t="shared" si="22"/>
        <v>146716.07249175003</v>
      </c>
      <c r="AD28" s="24">
        <f t="shared" si="22"/>
        <v>0</v>
      </c>
      <c r="AE28" s="24">
        <f t="shared" si="22"/>
        <v>0</v>
      </c>
      <c r="AF28" s="24">
        <f t="shared" si="22"/>
        <v>0</v>
      </c>
      <c r="AG28" s="24">
        <f t="shared" si="22"/>
        <v>10901.82</v>
      </c>
      <c r="AH28" s="24">
        <f t="shared" si="22"/>
        <v>3668.6764840000005</v>
      </c>
      <c r="AI28" s="24">
        <f t="shared" si="22"/>
        <v>15286.456623750002</v>
      </c>
      <c r="AJ28" s="24">
        <f>AJ12+AJ26</f>
        <v>2751.5621922750006</v>
      </c>
      <c r="AK28" s="24">
        <f t="shared" si="22"/>
        <v>15467.454302749999</v>
      </c>
      <c r="AL28" s="24">
        <f t="shared" si="22"/>
        <v>2784.141774495</v>
      </c>
      <c r="AM28" s="24">
        <f t="shared" si="22"/>
        <v>33872.273239485585</v>
      </c>
      <c r="AN28" s="24">
        <f t="shared" si="22"/>
        <v>6097.009183107405</v>
      </c>
      <c r="AO28" s="24">
        <f t="shared" si="22"/>
        <v>0</v>
      </c>
      <c r="AP28" s="24">
        <f t="shared" si="22"/>
        <v>0</v>
      </c>
      <c r="AQ28" s="156">
        <f t="shared" si="22"/>
        <v>0</v>
      </c>
      <c r="AR28" s="156">
        <f t="shared" si="22"/>
        <v>0</v>
      </c>
      <c r="AS28" s="157">
        <f t="shared" si="22"/>
        <v>12548</v>
      </c>
      <c r="AT28" s="157">
        <f t="shared" si="22"/>
        <v>0</v>
      </c>
      <c r="AU28" s="157">
        <f t="shared" si="22"/>
        <v>2258.64</v>
      </c>
      <c r="AV28" s="24"/>
      <c r="AW28" s="24"/>
      <c r="AX28" s="24">
        <f t="shared" si="22"/>
        <v>3489.0231999999996</v>
      </c>
      <c r="AY28" s="24">
        <f t="shared" si="22"/>
        <v>0</v>
      </c>
      <c r="AZ28" s="24">
        <f t="shared" si="22"/>
        <v>0</v>
      </c>
      <c r="BA28" s="24">
        <f t="shared" si="22"/>
        <v>0</v>
      </c>
      <c r="BB28" s="24">
        <f t="shared" si="22"/>
        <v>109125.05699986301</v>
      </c>
      <c r="BC28" s="24">
        <f t="shared" si="22"/>
        <v>0</v>
      </c>
      <c r="BD28" s="24">
        <f t="shared" si="22"/>
        <v>109125.05699986301</v>
      </c>
      <c r="BE28" s="24">
        <f t="shared" si="22"/>
        <v>37591.01549188703</v>
      </c>
      <c r="BF28" s="24">
        <f t="shared" si="22"/>
        <v>-14038.53</v>
      </c>
    </row>
    <row r="29" spans="1:58" s="2" customFormat="1" ht="15" customHeight="1" hidden="1">
      <c r="A29" s="7" t="s">
        <v>71</v>
      </c>
      <c r="B29" s="66"/>
      <c r="C29" s="116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119"/>
      <c r="Q29" s="120"/>
      <c r="R29" s="120"/>
      <c r="S29" s="120"/>
      <c r="T29" s="120"/>
      <c r="U29" s="121"/>
      <c r="V29" s="121"/>
      <c r="W29" s="121"/>
      <c r="X29" s="121"/>
      <c r="Y29" s="121"/>
      <c r="Z29" s="121"/>
      <c r="AA29" s="122"/>
      <c r="AB29" s="122"/>
      <c r="AC29" s="123"/>
      <c r="AD29" s="124"/>
      <c r="AE29" s="124"/>
      <c r="AF29" s="58"/>
      <c r="AG29" s="58"/>
      <c r="AH29" s="58"/>
      <c r="AI29" s="58"/>
      <c r="AJ29" s="58"/>
      <c r="AK29" s="58"/>
      <c r="AL29" s="58"/>
      <c r="AM29" s="58"/>
      <c r="AN29" s="67"/>
      <c r="AO29" s="67"/>
      <c r="AP29" s="67"/>
      <c r="AQ29" s="125"/>
      <c r="AR29" s="126"/>
      <c r="AS29" s="127"/>
      <c r="AT29" s="127"/>
      <c r="AU29" s="128"/>
      <c r="AV29" s="58"/>
      <c r="AW29" s="58"/>
      <c r="AX29" s="59"/>
      <c r="AY29" s="1"/>
      <c r="AZ29" s="1"/>
      <c r="BA29" s="1"/>
      <c r="BB29" s="1"/>
      <c r="BC29" s="1"/>
      <c r="BD29" s="1"/>
      <c r="BE29" s="1"/>
      <c r="BF29" s="86"/>
    </row>
    <row r="30" spans="1:58" s="2" customFormat="1" ht="12.75" hidden="1">
      <c r="A30" s="12" t="s">
        <v>43</v>
      </c>
      <c r="B30" s="90">
        <v>1244.5</v>
      </c>
      <c r="C30" s="146">
        <f aca="true" t="shared" si="23" ref="C30:C35">B30*8.65</f>
        <v>10764.925000000001</v>
      </c>
      <c r="D30" s="141">
        <f aca="true" t="shared" si="24" ref="D30:D35">C30-E30-F30-G30-H30-I30-J30-K30-L30-M30-N30</f>
        <v>1019.0650000000022</v>
      </c>
      <c r="E30" s="93">
        <v>898.5</v>
      </c>
      <c r="F30" s="93">
        <v>226.41</v>
      </c>
      <c r="G30" s="93">
        <v>1216.88</v>
      </c>
      <c r="H30" s="93">
        <v>306.87</v>
      </c>
      <c r="I30" s="93">
        <v>2924.1</v>
      </c>
      <c r="J30" s="93">
        <v>737.01</v>
      </c>
      <c r="K30" s="93">
        <v>2025.55</v>
      </c>
      <c r="L30" s="93">
        <v>510.63</v>
      </c>
      <c r="M30" s="79">
        <v>718.81</v>
      </c>
      <c r="N30" s="112">
        <v>181.1</v>
      </c>
      <c r="O30" s="95">
        <v>0</v>
      </c>
      <c r="P30" s="95">
        <v>0</v>
      </c>
      <c r="Q30" s="95"/>
      <c r="R30" s="95"/>
      <c r="S30" s="93">
        <f aca="true" t="shared" si="25" ref="S30:S35">E30+G30+I30+K30+M30+O30+Q30</f>
        <v>7783.84</v>
      </c>
      <c r="T30" s="94">
        <f aca="true" t="shared" si="26" ref="T30:T35">P30+N30+L30+J30+H30+F30+R30</f>
        <v>1962.0200000000002</v>
      </c>
      <c r="U30" s="93">
        <v>701.66</v>
      </c>
      <c r="V30" s="93">
        <v>950.56</v>
      </c>
      <c r="W30" s="93">
        <v>2283.78</v>
      </c>
      <c r="X30" s="93">
        <v>1582.12</v>
      </c>
      <c r="Y30" s="93">
        <v>561.33</v>
      </c>
      <c r="Z30" s="93">
        <v>0</v>
      </c>
      <c r="AA30" s="95">
        <v>0</v>
      </c>
      <c r="AB30" s="95">
        <f>SUM(U30:AA30)</f>
        <v>6079.45</v>
      </c>
      <c r="AC30" s="111">
        <f aca="true" t="shared" si="27" ref="AC30:AC35">D30+T30+AB30</f>
        <v>9060.535000000002</v>
      </c>
      <c r="AD30" s="98">
        <f aca="true" t="shared" si="28" ref="AD30:AD35">P30+Z30</f>
        <v>0</v>
      </c>
      <c r="AE30" s="98">
        <f aca="true" t="shared" si="29" ref="AE30:AE35">R30+AA30</f>
        <v>0</v>
      </c>
      <c r="AF30" s="98"/>
      <c r="AG30" s="99">
        <f aca="true" t="shared" si="30" ref="AG30:AG35">0.6*B30</f>
        <v>746.6999999999999</v>
      </c>
      <c r="AH30" s="99">
        <f aca="true" t="shared" si="31" ref="AH30:AH35">B30*0.2</f>
        <v>248.9</v>
      </c>
      <c r="AI30" s="99">
        <f aca="true" t="shared" si="32" ref="AI30:AI35">1*B30</f>
        <v>1244.5</v>
      </c>
      <c r="AJ30" s="99">
        <v>0</v>
      </c>
      <c r="AK30" s="99">
        <f aca="true" t="shared" si="33" ref="AK30:AK35">0.98*B30</f>
        <v>1219.61</v>
      </c>
      <c r="AL30" s="99">
        <v>0</v>
      </c>
      <c r="AM30" s="99">
        <f aca="true" t="shared" si="34" ref="AM30:AM35">2.25*B30</f>
        <v>2800.125</v>
      </c>
      <c r="AN30" s="99">
        <v>0</v>
      </c>
      <c r="AO30" s="99"/>
      <c r="AP30" s="99">
        <v>0</v>
      </c>
      <c r="AQ30" s="100"/>
      <c r="AR30" s="100"/>
      <c r="AS30" s="101">
        <v>152</v>
      </c>
      <c r="AT30" s="101"/>
      <c r="AU30" s="101">
        <f aca="true" t="shared" si="35" ref="AU30:AU35">AT30*0.18</f>
        <v>0</v>
      </c>
      <c r="AV30" s="102">
        <v>508</v>
      </c>
      <c r="AW30" s="103">
        <v>0.6</v>
      </c>
      <c r="AX30" s="99">
        <f aca="true" t="shared" si="36" ref="AX30:AX35">AV30*AW30*1.4</f>
        <v>426.71999999999997</v>
      </c>
      <c r="AY30" s="104"/>
      <c r="AZ30" s="105"/>
      <c r="BA30" s="105">
        <f aca="true" t="shared" si="37" ref="BA30:BA35">AZ30*0.18</f>
        <v>0</v>
      </c>
      <c r="BB30" s="105">
        <f aca="true" t="shared" si="38" ref="BB30:BB41">SUM(AG30:BA30)-AV30-AW30</f>
        <v>6838.555</v>
      </c>
      <c r="BC30" s="106"/>
      <c r="BD30" s="131"/>
      <c r="BE30" s="107">
        <f>(AC30-BB30)+(AF30-BC30)</f>
        <v>2221.9800000000014</v>
      </c>
      <c r="BF30" s="107">
        <f>AB30-S30</f>
        <v>-1704.3900000000003</v>
      </c>
    </row>
    <row r="31" spans="1:58" s="2" customFormat="1" ht="12.75" hidden="1">
      <c r="A31" s="12" t="s">
        <v>44</v>
      </c>
      <c r="B31" s="129">
        <v>1244.5</v>
      </c>
      <c r="C31" s="146">
        <f t="shared" si="23"/>
        <v>10764.925000000001</v>
      </c>
      <c r="D31" s="141">
        <f t="shared" si="24"/>
        <v>1019.0650000000022</v>
      </c>
      <c r="E31" s="170">
        <v>898.5</v>
      </c>
      <c r="F31" s="171">
        <v>226.41</v>
      </c>
      <c r="G31" s="171">
        <v>1216.88</v>
      </c>
      <c r="H31" s="171">
        <v>306.87</v>
      </c>
      <c r="I31" s="171">
        <v>2924.1</v>
      </c>
      <c r="J31" s="171">
        <v>737.01</v>
      </c>
      <c r="K31" s="171">
        <v>2025.55</v>
      </c>
      <c r="L31" s="171">
        <v>510.63</v>
      </c>
      <c r="M31" s="172">
        <v>718.81</v>
      </c>
      <c r="N31" s="173">
        <v>181.1</v>
      </c>
      <c r="O31" s="174">
        <v>0</v>
      </c>
      <c r="P31" s="174">
        <v>0</v>
      </c>
      <c r="Q31" s="171">
        <v>0</v>
      </c>
      <c r="R31" s="174">
        <v>0</v>
      </c>
      <c r="S31" s="93">
        <f t="shared" si="25"/>
        <v>7783.84</v>
      </c>
      <c r="T31" s="94">
        <f t="shared" si="26"/>
        <v>1962.0200000000002</v>
      </c>
      <c r="U31" s="93">
        <v>570.37</v>
      </c>
      <c r="V31" s="93">
        <v>772.58</v>
      </c>
      <c r="W31" s="93">
        <v>1856.36</v>
      </c>
      <c r="X31" s="93">
        <v>1285.87</v>
      </c>
      <c r="Y31" s="93">
        <v>456.35</v>
      </c>
      <c r="Z31" s="93">
        <v>0</v>
      </c>
      <c r="AA31" s="95">
        <v>0</v>
      </c>
      <c r="AB31" s="95">
        <f>SUM(U31:AA31)</f>
        <v>4941.530000000001</v>
      </c>
      <c r="AC31" s="111">
        <f t="shared" si="27"/>
        <v>7922.615000000003</v>
      </c>
      <c r="AD31" s="98">
        <f t="shared" si="28"/>
        <v>0</v>
      </c>
      <c r="AE31" s="98">
        <f t="shared" si="29"/>
        <v>0</v>
      </c>
      <c r="AF31" s="98"/>
      <c r="AG31" s="99">
        <f t="shared" si="30"/>
        <v>746.6999999999999</v>
      </c>
      <c r="AH31" s="99">
        <f t="shared" si="31"/>
        <v>248.9</v>
      </c>
      <c r="AI31" s="99">
        <f t="shared" si="32"/>
        <v>1244.5</v>
      </c>
      <c r="AJ31" s="99">
        <v>0</v>
      </c>
      <c r="AK31" s="99">
        <f t="shared" si="33"/>
        <v>1219.61</v>
      </c>
      <c r="AL31" s="99">
        <v>0</v>
      </c>
      <c r="AM31" s="99">
        <f t="shared" si="34"/>
        <v>2800.125</v>
      </c>
      <c r="AN31" s="99">
        <v>0</v>
      </c>
      <c r="AO31" s="99">
        <f>336*5.4</f>
        <v>1814.4</v>
      </c>
      <c r="AP31" s="99"/>
      <c r="AQ31" s="100"/>
      <c r="AR31" s="100"/>
      <c r="AS31" s="101">
        <v>800</v>
      </c>
      <c r="AT31" s="101"/>
      <c r="AU31" s="101">
        <f t="shared" si="35"/>
        <v>0</v>
      </c>
      <c r="AV31" s="102">
        <v>407</v>
      </c>
      <c r="AW31" s="103">
        <v>0.6</v>
      </c>
      <c r="AX31" s="99">
        <f t="shared" si="36"/>
        <v>341.87999999999994</v>
      </c>
      <c r="AY31" s="104"/>
      <c r="AZ31" s="105"/>
      <c r="BA31" s="105">
        <f t="shared" si="37"/>
        <v>0</v>
      </c>
      <c r="BB31" s="105">
        <f t="shared" si="38"/>
        <v>9216.115</v>
      </c>
      <c r="BC31" s="106"/>
      <c r="BD31" s="131"/>
      <c r="BE31" s="107">
        <f aca="true" t="shared" si="39" ref="BE31:BE41">(AC31-BB31)+(AF31-BC31)</f>
        <v>-1293.4999999999964</v>
      </c>
      <c r="BF31" s="107">
        <f aca="true" t="shared" si="40" ref="BF31:BF41">AB31-S31</f>
        <v>-2842.3099999999995</v>
      </c>
    </row>
    <row r="32" spans="1:58" s="2" customFormat="1" ht="13.5" hidden="1" thickBot="1">
      <c r="A32" s="133" t="s">
        <v>45</v>
      </c>
      <c r="B32" s="90">
        <v>1244.5</v>
      </c>
      <c r="C32" s="146">
        <f t="shared" si="23"/>
        <v>10764.925000000001</v>
      </c>
      <c r="D32" s="141">
        <f t="shared" si="24"/>
        <v>1028.9750000000006</v>
      </c>
      <c r="E32" s="93">
        <v>897.76</v>
      </c>
      <c r="F32" s="93">
        <v>225.99</v>
      </c>
      <c r="G32" s="93">
        <v>1215.9</v>
      </c>
      <c r="H32" s="93">
        <v>306.3</v>
      </c>
      <c r="I32" s="93">
        <v>2921.73</v>
      </c>
      <c r="J32" s="93">
        <v>735.66</v>
      </c>
      <c r="K32" s="93">
        <v>2023.93</v>
      </c>
      <c r="L32" s="93">
        <v>509.69</v>
      </c>
      <c r="M32" s="79">
        <v>718.22</v>
      </c>
      <c r="N32" s="112">
        <v>180.77</v>
      </c>
      <c r="O32" s="95">
        <v>0</v>
      </c>
      <c r="P32" s="95">
        <v>0</v>
      </c>
      <c r="Q32" s="95">
        <v>0</v>
      </c>
      <c r="R32" s="95">
        <v>0</v>
      </c>
      <c r="S32" s="93">
        <f t="shared" si="25"/>
        <v>7777.54</v>
      </c>
      <c r="T32" s="94">
        <f t="shared" si="26"/>
        <v>1958.4099999999999</v>
      </c>
      <c r="U32" s="93">
        <v>960.43</v>
      </c>
      <c r="V32" s="93">
        <v>1300.07</v>
      </c>
      <c r="W32" s="93">
        <v>2517.92</v>
      </c>
      <c r="X32" s="93">
        <v>1819.65</v>
      </c>
      <c r="Y32" s="93">
        <v>768.3</v>
      </c>
      <c r="Z32" s="93">
        <v>0</v>
      </c>
      <c r="AA32" s="95">
        <v>0</v>
      </c>
      <c r="AB32" s="95">
        <f>SUM(U32:AA32)</f>
        <v>7366.37</v>
      </c>
      <c r="AC32" s="111">
        <f t="shared" si="27"/>
        <v>10353.755000000001</v>
      </c>
      <c r="AD32" s="98">
        <f t="shared" si="28"/>
        <v>0</v>
      </c>
      <c r="AE32" s="98">
        <f t="shared" si="29"/>
        <v>0</v>
      </c>
      <c r="AF32" s="98"/>
      <c r="AG32" s="99">
        <f t="shared" si="30"/>
        <v>746.6999999999999</v>
      </c>
      <c r="AH32" s="99">
        <f t="shared" si="31"/>
        <v>248.9</v>
      </c>
      <c r="AI32" s="99">
        <f t="shared" si="32"/>
        <v>1244.5</v>
      </c>
      <c r="AJ32" s="99">
        <v>0</v>
      </c>
      <c r="AK32" s="99">
        <f t="shared" si="33"/>
        <v>1219.61</v>
      </c>
      <c r="AL32" s="99">
        <v>0</v>
      </c>
      <c r="AM32" s="99">
        <f t="shared" si="34"/>
        <v>2800.125</v>
      </c>
      <c r="AN32" s="99">
        <v>0</v>
      </c>
      <c r="AO32" s="99"/>
      <c r="AP32" s="99"/>
      <c r="AQ32" s="100">
        <v>6984</v>
      </c>
      <c r="AR32" s="100"/>
      <c r="AS32" s="101"/>
      <c r="AT32" s="101"/>
      <c r="AU32" s="101">
        <f t="shared" si="35"/>
        <v>0</v>
      </c>
      <c r="AV32" s="102">
        <v>383</v>
      </c>
      <c r="AW32" s="103">
        <v>0.6</v>
      </c>
      <c r="AX32" s="99">
        <f t="shared" si="36"/>
        <v>321.71999999999997</v>
      </c>
      <c r="AY32" s="104"/>
      <c r="AZ32" s="105"/>
      <c r="BA32" s="105">
        <f t="shared" si="37"/>
        <v>0</v>
      </c>
      <c r="BB32" s="105">
        <f t="shared" si="38"/>
        <v>13565.554999999998</v>
      </c>
      <c r="BC32" s="106"/>
      <c r="BD32" s="138"/>
      <c r="BE32" s="107">
        <f t="shared" si="39"/>
        <v>-3211.7999999999975</v>
      </c>
      <c r="BF32" s="107">
        <f t="shared" si="40"/>
        <v>-411.1700000000001</v>
      </c>
    </row>
    <row r="33" spans="1:58" s="2" customFormat="1" ht="12.75" hidden="1">
      <c r="A33" s="139" t="s">
        <v>46</v>
      </c>
      <c r="B33" s="90">
        <v>1244.5</v>
      </c>
      <c r="C33" s="146">
        <f t="shared" si="23"/>
        <v>10764.925000000001</v>
      </c>
      <c r="D33" s="141">
        <f t="shared" si="24"/>
        <v>957.9450000000022</v>
      </c>
      <c r="E33" s="93">
        <v>938.04</v>
      </c>
      <c r="F33" s="93">
        <v>194.06</v>
      </c>
      <c r="G33" s="93">
        <v>1270.08</v>
      </c>
      <c r="H33" s="93">
        <v>263.02</v>
      </c>
      <c r="I33" s="93">
        <v>3052.45</v>
      </c>
      <c r="J33" s="93">
        <v>631.67</v>
      </c>
      <c r="K33" s="93">
        <v>2114.36</v>
      </c>
      <c r="L33" s="93">
        <v>437.64</v>
      </c>
      <c r="M33" s="79">
        <v>750.44</v>
      </c>
      <c r="N33" s="112">
        <v>155.22</v>
      </c>
      <c r="O33" s="95">
        <v>0</v>
      </c>
      <c r="P33" s="95">
        <v>0</v>
      </c>
      <c r="Q33" s="95"/>
      <c r="R33" s="95"/>
      <c r="S33" s="93">
        <f t="shared" si="25"/>
        <v>8125.370000000001</v>
      </c>
      <c r="T33" s="94">
        <f t="shared" si="26"/>
        <v>1681.61</v>
      </c>
      <c r="U33" s="93">
        <v>666.63</v>
      </c>
      <c r="V33" s="93">
        <v>899.99</v>
      </c>
      <c r="W33" s="93">
        <v>2166.59</v>
      </c>
      <c r="X33" s="93">
        <v>1499.94</v>
      </c>
      <c r="Y33" s="93">
        <v>533.3</v>
      </c>
      <c r="Z33" s="93">
        <v>0</v>
      </c>
      <c r="AA33" s="95">
        <v>0</v>
      </c>
      <c r="AB33" s="95">
        <f>SUM(U33:AA33)</f>
        <v>5766.45</v>
      </c>
      <c r="AC33" s="111">
        <f t="shared" si="27"/>
        <v>8406.005000000001</v>
      </c>
      <c r="AD33" s="98">
        <f t="shared" si="28"/>
        <v>0</v>
      </c>
      <c r="AE33" s="98">
        <f t="shared" si="29"/>
        <v>0</v>
      </c>
      <c r="AF33" s="98"/>
      <c r="AG33" s="99">
        <f t="shared" si="30"/>
        <v>746.6999999999999</v>
      </c>
      <c r="AH33" s="99">
        <f t="shared" si="31"/>
        <v>248.9</v>
      </c>
      <c r="AI33" s="99">
        <f t="shared" si="32"/>
        <v>1244.5</v>
      </c>
      <c r="AJ33" s="99">
        <v>0</v>
      </c>
      <c r="AK33" s="99">
        <f t="shared" si="33"/>
        <v>1219.61</v>
      </c>
      <c r="AL33" s="99">
        <v>0</v>
      </c>
      <c r="AM33" s="99">
        <f t="shared" si="34"/>
        <v>2800.125</v>
      </c>
      <c r="AN33" s="99">
        <v>0</v>
      </c>
      <c r="AO33" s="99"/>
      <c r="AP33" s="99"/>
      <c r="AQ33" s="100"/>
      <c r="AR33" s="100"/>
      <c r="AS33" s="101">
        <v>195</v>
      </c>
      <c r="AT33" s="101"/>
      <c r="AU33" s="101">
        <f t="shared" si="35"/>
        <v>0</v>
      </c>
      <c r="AV33" s="102">
        <v>307</v>
      </c>
      <c r="AW33" s="103">
        <v>0.6</v>
      </c>
      <c r="AX33" s="99">
        <f t="shared" si="36"/>
        <v>257.88</v>
      </c>
      <c r="AY33" s="104"/>
      <c r="AZ33" s="105"/>
      <c r="BA33" s="105">
        <f t="shared" si="37"/>
        <v>0</v>
      </c>
      <c r="BB33" s="105">
        <f t="shared" si="38"/>
        <v>6712.715</v>
      </c>
      <c r="BC33" s="106"/>
      <c r="BE33" s="107">
        <f t="shared" si="39"/>
        <v>1693.2900000000009</v>
      </c>
      <c r="BF33" s="107">
        <f t="shared" si="40"/>
        <v>-2358.920000000001</v>
      </c>
    </row>
    <row r="34" spans="1:58" s="2" customFormat="1" ht="12.75" hidden="1">
      <c r="A34" s="12" t="s">
        <v>47</v>
      </c>
      <c r="B34" s="90">
        <v>1245.9</v>
      </c>
      <c r="C34" s="146">
        <f t="shared" si="23"/>
        <v>10777.035000000002</v>
      </c>
      <c r="D34" s="141">
        <f t="shared" si="24"/>
        <v>964.9050000000027</v>
      </c>
      <c r="E34" s="93">
        <v>948.49</v>
      </c>
      <c r="F34" s="93">
        <v>184.08</v>
      </c>
      <c r="G34" s="93">
        <v>1284.22</v>
      </c>
      <c r="H34" s="93">
        <v>249.5</v>
      </c>
      <c r="I34" s="93">
        <v>3086.48</v>
      </c>
      <c r="J34" s="93">
        <v>599.22</v>
      </c>
      <c r="K34" s="93">
        <v>2137.92</v>
      </c>
      <c r="L34" s="93">
        <v>416.16</v>
      </c>
      <c r="M34" s="79">
        <v>758.82</v>
      </c>
      <c r="N34" s="112">
        <v>147.24</v>
      </c>
      <c r="O34" s="95">
        <v>0</v>
      </c>
      <c r="P34" s="95">
        <v>0</v>
      </c>
      <c r="Q34" s="95"/>
      <c r="R34" s="95"/>
      <c r="S34" s="93">
        <f t="shared" si="25"/>
        <v>8215.93</v>
      </c>
      <c r="T34" s="94">
        <f t="shared" si="26"/>
        <v>1596.2</v>
      </c>
      <c r="U34" s="77">
        <v>751.7</v>
      </c>
      <c r="V34" s="77">
        <v>1017.47</v>
      </c>
      <c r="W34" s="77">
        <v>2445.77</v>
      </c>
      <c r="X34" s="77">
        <v>1694.04</v>
      </c>
      <c r="Y34" s="77">
        <v>601.37</v>
      </c>
      <c r="Z34" s="77">
        <v>0</v>
      </c>
      <c r="AA34" s="158">
        <v>0</v>
      </c>
      <c r="AB34" s="95">
        <f aca="true" t="shared" si="41" ref="AB34:AB41">SUM(U34:AA34)</f>
        <v>6510.35</v>
      </c>
      <c r="AC34" s="111">
        <f t="shared" si="27"/>
        <v>9071.455000000004</v>
      </c>
      <c r="AD34" s="98">
        <f t="shared" si="28"/>
        <v>0</v>
      </c>
      <c r="AE34" s="98">
        <f t="shared" si="29"/>
        <v>0</v>
      </c>
      <c r="AF34" s="98"/>
      <c r="AG34" s="99">
        <f t="shared" si="30"/>
        <v>747.5400000000001</v>
      </c>
      <c r="AH34" s="99">
        <f t="shared" si="31"/>
        <v>249.18000000000004</v>
      </c>
      <c r="AI34" s="99">
        <f t="shared" si="32"/>
        <v>1245.9</v>
      </c>
      <c r="AJ34" s="99">
        <v>0</v>
      </c>
      <c r="AK34" s="99">
        <f t="shared" si="33"/>
        <v>1220.982</v>
      </c>
      <c r="AL34" s="99">
        <v>0</v>
      </c>
      <c r="AM34" s="99">
        <f t="shared" si="34"/>
        <v>2803.275</v>
      </c>
      <c r="AN34" s="99">
        <v>0</v>
      </c>
      <c r="AO34" s="99"/>
      <c r="AP34" s="99"/>
      <c r="AQ34" s="100"/>
      <c r="AR34" s="100"/>
      <c r="AS34" s="101"/>
      <c r="AT34" s="101"/>
      <c r="AU34" s="101">
        <f t="shared" si="35"/>
        <v>0</v>
      </c>
      <c r="AV34" s="102">
        <v>263</v>
      </c>
      <c r="AW34" s="103">
        <v>0.6</v>
      </c>
      <c r="AX34" s="99">
        <f t="shared" si="36"/>
        <v>220.91999999999996</v>
      </c>
      <c r="AY34" s="104"/>
      <c r="AZ34" s="105"/>
      <c r="BA34" s="105">
        <f t="shared" si="37"/>
        <v>0</v>
      </c>
      <c r="BB34" s="105">
        <f t="shared" si="38"/>
        <v>6487.7970000000005</v>
      </c>
      <c r="BC34" s="106"/>
      <c r="BD34" s="151"/>
      <c r="BE34" s="107">
        <f t="shared" si="39"/>
        <v>2583.658000000003</v>
      </c>
      <c r="BF34" s="107">
        <f t="shared" si="40"/>
        <v>-1705.58</v>
      </c>
    </row>
    <row r="35" spans="1:58" s="2" customFormat="1" ht="13.5" hidden="1" thickBot="1">
      <c r="A35" s="133" t="s">
        <v>48</v>
      </c>
      <c r="B35" s="90">
        <v>1245.9</v>
      </c>
      <c r="C35" s="146">
        <f t="shared" si="23"/>
        <v>10777.035000000002</v>
      </c>
      <c r="D35" s="141">
        <f t="shared" si="24"/>
        <v>965.9150000000027</v>
      </c>
      <c r="E35" s="93">
        <v>948.49</v>
      </c>
      <c r="F35" s="93">
        <v>184.08</v>
      </c>
      <c r="G35" s="93">
        <v>1284.22</v>
      </c>
      <c r="H35" s="93">
        <v>249.5</v>
      </c>
      <c r="I35" s="93">
        <v>3086.48</v>
      </c>
      <c r="J35" s="93">
        <v>599.22</v>
      </c>
      <c r="K35" s="93">
        <v>2137.92</v>
      </c>
      <c r="L35" s="93">
        <v>415.16</v>
      </c>
      <c r="M35" s="79">
        <v>758.81</v>
      </c>
      <c r="N35" s="112">
        <v>147.24</v>
      </c>
      <c r="O35" s="95">
        <v>0</v>
      </c>
      <c r="P35" s="95">
        <v>0</v>
      </c>
      <c r="Q35" s="95">
        <v>0</v>
      </c>
      <c r="R35" s="95">
        <v>0</v>
      </c>
      <c r="S35" s="93">
        <f t="shared" si="25"/>
        <v>8215.92</v>
      </c>
      <c r="T35" s="94">
        <f t="shared" si="26"/>
        <v>1595.2</v>
      </c>
      <c r="U35" s="93">
        <v>781.77</v>
      </c>
      <c r="V35" s="93">
        <v>1058.93</v>
      </c>
      <c r="W35" s="93">
        <v>3037.43</v>
      </c>
      <c r="X35" s="93">
        <v>2042.54</v>
      </c>
      <c r="Y35" s="93">
        <v>625.41</v>
      </c>
      <c r="Z35" s="93">
        <v>0</v>
      </c>
      <c r="AA35" s="95">
        <v>0</v>
      </c>
      <c r="AB35" s="95">
        <f t="shared" si="41"/>
        <v>7546.08</v>
      </c>
      <c r="AC35" s="111">
        <f t="shared" si="27"/>
        <v>10107.195000000003</v>
      </c>
      <c r="AD35" s="98">
        <f t="shared" si="28"/>
        <v>0</v>
      </c>
      <c r="AE35" s="98">
        <f t="shared" si="29"/>
        <v>0</v>
      </c>
      <c r="AF35" s="98"/>
      <c r="AG35" s="99">
        <f t="shared" si="30"/>
        <v>747.5400000000001</v>
      </c>
      <c r="AH35" s="99">
        <f t="shared" si="31"/>
        <v>249.18000000000004</v>
      </c>
      <c r="AI35" s="99">
        <f t="shared" si="32"/>
        <v>1245.9</v>
      </c>
      <c r="AJ35" s="99">
        <v>0</v>
      </c>
      <c r="AK35" s="99">
        <f t="shared" si="33"/>
        <v>1220.982</v>
      </c>
      <c r="AL35" s="99">
        <v>0</v>
      </c>
      <c r="AM35" s="99">
        <f t="shared" si="34"/>
        <v>2803.275</v>
      </c>
      <c r="AN35" s="99">
        <v>0</v>
      </c>
      <c r="AO35" s="99"/>
      <c r="AP35" s="99"/>
      <c r="AQ35" s="100"/>
      <c r="AR35" s="100"/>
      <c r="AS35" s="101">
        <v>10623</v>
      </c>
      <c r="AT35" s="101"/>
      <c r="AU35" s="101">
        <f t="shared" si="35"/>
        <v>0</v>
      </c>
      <c r="AV35" s="102">
        <v>233</v>
      </c>
      <c r="AW35" s="103">
        <v>0.6</v>
      </c>
      <c r="AX35" s="99">
        <f t="shared" si="36"/>
        <v>195.71999999999997</v>
      </c>
      <c r="AY35" s="104"/>
      <c r="AZ35" s="105"/>
      <c r="BA35" s="105">
        <f t="shared" si="37"/>
        <v>0</v>
      </c>
      <c r="BB35" s="105">
        <f t="shared" si="38"/>
        <v>17085.597</v>
      </c>
      <c r="BC35" s="106"/>
      <c r="BD35" s="16"/>
      <c r="BE35" s="107">
        <f t="shared" si="39"/>
        <v>-6978.401999999998</v>
      </c>
      <c r="BF35" s="107">
        <f t="shared" si="40"/>
        <v>-669.8400000000001</v>
      </c>
    </row>
    <row r="36" spans="1:58" s="2" customFormat="1" ht="12.75" hidden="1">
      <c r="A36" s="139" t="s">
        <v>49</v>
      </c>
      <c r="B36" s="90">
        <v>1245.9</v>
      </c>
      <c r="C36" s="146">
        <f aca="true" t="shared" si="42" ref="C36:C41">B36*8.65</f>
        <v>10777.035000000002</v>
      </c>
      <c r="D36" s="141">
        <f aca="true" t="shared" si="43" ref="D36:D41">C36-E36-F36-G36-H36-I36-J36-K36-L36-M36-N36</f>
        <v>957.4950000000018</v>
      </c>
      <c r="E36" s="147">
        <v>1133.56</v>
      </c>
      <c r="F36" s="93">
        <v>0</v>
      </c>
      <c r="G36" s="93">
        <v>1535.01</v>
      </c>
      <c r="H36" s="93">
        <v>0</v>
      </c>
      <c r="I36" s="93">
        <v>3688.87</v>
      </c>
      <c r="J36" s="93">
        <v>0</v>
      </c>
      <c r="K36" s="93">
        <v>2555.26</v>
      </c>
      <c r="L36" s="93">
        <v>0</v>
      </c>
      <c r="M36" s="79">
        <v>906.84</v>
      </c>
      <c r="N36" s="112">
        <v>0</v>
      </c>
      <c r="O36" s="95">
        <v>0</v>
      </c>
      <c r="P36" s="95">
        <v>0</v>
      </c>
      <c r="Q36" s="95"/>
      <c r="R36" s="95"/>
      <c r="S36" s="93">
        <f aca="true" t="shared" si="44" ref="S36:S41">E36+G36+I36+K36+M36+O36+Q36</f>
        <v>9819.54</v>
      </c>
      <c r="T36" s="94">
        <f aca="true" t="shared" si="45" ref="T36:T41">P36+N36+L36+J36+H36+F36+R36</f>
        <v>0</v>
      </c>
      <c r="U36" s="147">
        <v>838.2</v>
      </c>
      <c r="V36" s="93">
        <v>1135.37</v>
      </c>
      <c r="W36" s="93">
        <v>2818.47</v>
      </c>
      <c r="X36" s="93">
        <v>1941.11</v>
      </c>
      <c r="Y36" s="93">
        <v>670.6</v>
      </c>
      <c r="Z36" s="93">
        <v>0</v>
      </c>
      <c r="AA36" s="95">
        <v>0</v>
      </c>
      <c r="AB36" s="95">
        <f t="shared" si="41"/>
        <v>7403.75</v>
      </c>
      <c r="AC36" s="111">
        <f aca="true" t="shared" si="46" ref="AC36:AC41">D36+T36+AB36</f>
        <v>8361.245000000003</v>
      </c>
      <c r="AD36" s="98">
        <f aca="true" t="shared" si="47" ref="AD36:AD41">P36+Z36</f>
        <v>0</v>
      </c>
      <c r="AE36" s="98">
        <f aca="true" t="shared" si="48" ref="AE36:AE41">R36+AA36</f>
        <v>0</v>
      </c>
      <c r="AF36" s="98"/>
      <c r="AG36" s="99">
        <f aca="true" t="shared" si="49" ref="AG36:AG41">0.6*B36</f>
        <v>747.5400000000001</v>
      </c>
      <c r="AH36" s="99">
        <f aca="true" t="shared" si="50" ref="AH36:AH41">B36*0.2</f>
        <v>249.18000000000004</v>
      </c>
      <c r="AI36" s="99">
        <f aca="true" t="shared" si="51" ref="AI36:AI41">1*B36</f>
        <v>1245.9</v>
      </c>
      <c r="AJ36" s="99">
        <v>0</v>
      </c>
      <c r="AK36" s="99">
        <f aca="true" t="shared" si="52" ref="AK36:AK41">0.98*B36</f>
        <v>1220.982</v>
      </c>
      <c r="AL36" s="99">
        <v>0</v>
      </c>
      <c r="AM36" s="99">
        <f aca="true" t="shared" si="53" ref="AM36:AM41">2.25*B36</f>
        <v>2803.275</v>
      </c>
      <c r="AN36" s="99">
        <v>0</v>
      </c>
      <c r="AO36" s="99"/>
      <c r="AP36" s="99"/>
      <c r="AQ36" s="100"/>
      <c r="AR36" s="100"/>
      <c r="AS36" s="101"/>
      <c r="AT36" s="101"/>
      <c r="AU36" s="101">
        <f aca="true" t="shared" si="54" ref="AU36:AU41">AT36*0.18</f>
        <v>0</v>
      </c>
      <c r="AV36" s="102">
        <v>248</v>
      </c>
      <c r="AW36" s="103">
        <v>0.6</v>
      </c>
      <c r="AX36" s="99">
        <f aca="true" t="shared" si="55" ref="AX36:AX41">AV36*AW36*1.4</f>
        <v>208.31999999999996</v>
      </c>
      <c r="AY36" s="104"/>
      <c r="AZ36" s="105"/>
      <c r="BA36" s="105">
        <f aca="true" t="shared" si="56" ref="BA36:BA41">AZ36*0.18</f>
        <v>0</v>
      </c>
      <c r="BB36" s="105">
        <f t="shared" si="38"/>
        <v>6475.197</v>
      </c>
      <c r="BC36" s="106"/>
      <c r="BD36" s="16"/>
      <c r="BE36" s="107">
        <f t="shared" si="39"/>
        <v>1886.0480000000025</v>
      </c>
      <c r="BF36" s="107">
        <f t="shared" si="40"/>
        <v>-2415.790000000001</v>
      </c>
    </row>
    <row r="37" spans="1:58" s="2" customFormat="1" ht="12.75" hidden="1">
      <c r="A37" s="12" t="s">
        <v>50</v>
      </c>
      <c r="B37" s="90">
        <v>1245.9</v>
      </c>
      <c r="C37" s="146">
        <f t="shared" si="42"/>
        <v>10777.035000000002</v>
      </c>
      <c r="D37" s="141">
        <f t="shared" si="43"/>
        <v>957.505000000002</v>
      </c>
      <c r="E37" s="147">
        <v>1133.56</v>
      </c>
      <c r="F37" s="93">
        <v>0</v>
      </c>
      <c r="G37" s="93">
        <v>1535</v>
      </c>
      <c r="H37" s="93">
        <v>0</v>
      </c>
      <c r="I37" s="93">
        <v>3688.87</v>
      </c>
      <c r="J37" s="93">
        <v>0</v>
      </c>
      <c r="K37" s="93">
        <v>2555.26</v>
      </c>
      <c r="L37" s="93">
        <v>0</v>
      </c>
      <c r="M37" s="79">
        <v>906.84</v>
      </c>
      <c r="N37" s="112">
        <v>0</v>
      </c>
      <c r="O37" s="95">
        <v>0</v>
      </c>
      <c r="P37" s="95">
        <v>0</v>
      </c>
      <c r="Q37" s="95"/>
      <c r="R37" s="95"/>
      <c r="S37" s="93">
        <f t="shared" si="44"/>
        <v>9819.53</v>
      </c>
      <c r="T37" s="94">
        <f t="shared" si="45"/>
        <v>0</v>
      </c>
      <c r="U37" s="77">
        <v>1135.65</v>
      </c>
      <c r="V37" s="77">
        <v>1537.61</v>
      </c>
      <c r="W37" s="77">
        <v>3715.06</v>
      </c>
      <c r="X37" s="77">
        <v>2570.96</v>
      </c>
      <c r="Y37" s="77">
        <v>908.5</v>
      </c>
      <c r="Z37" s="77">
        <v>0</v>
      </c>
      <c r="AA37" s="158">
        <v>0</v>
      </c>
      <c r="AB37" s="95">
        <f t="shared" si="41"/>
        <v>9867.779999999999</v>
      </c>
      <c r="AC37" s="111">
        <f t="shared" si="46"/>
        <v>10825.285000000002</v>
      </c>
      <c r="AD37" s="98">
        <f t="shared" si="47"/>
        <v>0</v>
      </c>
      <c r="AE37" s="98">
        <f t="shared" si="48"/>
        <v>0</v>
      </c>
      <c r="AF37" s="98"/>
      <c r="AG37" s="99">
        <f t="shared" si="49"/>
        <v>747.5400000000001</v>
      </c>
      <c r="AH37" s="99">
        <f t="shared" si="50"/>
        <v>249.18000000000004</v>
      </c>
      <c r="AI37" s="99">
        <f t="shared" si="51"/>
        <v>1245.9</v>
      </c>
      <c r="AJ37" s="99">
        <v>0</v>
      </c>
      <c r="AK37" s="99">
        <f t="shared" si="52"/>
        <v>1220.982</v>
      </c>
      <c r="AL37" s="99">
        <v>0</v>
      </c>
      <c r="AM37" s="99">
        <f t="shared" si="53"/>
        <v>2803.275</v>
      </c>
      <c r="AN37" s="99">
        <v>0</v>
      </c>
      <c r="AO37" s="99"/>
      <c r="AP37" s="99"/>
      <c r="AQ37" s="100"/>
      <c r="AR37" s="100"/>
      <c r="AS37" s="101"/>
      <c r="AT37" s="101">
        <f>47.8+168</f>
        <v>215.8</v>
      </c>
      <c r="AU37" s="101"/>
      <c r="AV37" s="102">
        <v>293</v>
      </c>
      <c r="AW37" s="103">
        <v>0.6</v>
      </c>
      <c r="AX37" s="99">
        <f t="shared" si="55"/>
        <v>246.11999999999995</v>
      </c>
      <c r="AY37" s="104"/>
      <c r="AZ37" s="105"/>
      <c r="BA37" s="105">
        <f t="shared" si="56"/>
        <v>0</v>
      </c>
      <c r="BB37" s="105">
        <f t="shared" si="38"/>
        <v>6728.7970000000005</v>
      </c>
      <c r="BC37" s="106"/>
      <c r="BD37" s="16"/>
      <c r="BE37" s="107">
        <f t="shared" si="39"/>
        <v>4096.488000000001</v>
      </c>
      <c r="BF37" s="107">
        <f t="shared" si="40"/>
        <v>48.24999999999818</v>
      </c>
    </row>
    <row r="38" spans="1:58" s="2" customFormat="1" ht="13.5" hidden="1" thickBot="1">
      <c r="A38" s="133" t="s">
        <v>51</v>
      </c>
      <c r="B38" s="90">
        <v>1245.9</v>
      </c>
      <c r="C38" s="146">
        <f t="shared" si="42"/>
        <v>10777.035000000002</v>
      </c>
      <c r="D38" s="141">
        <f t="shared" si="43"/>
        <v>957.4950000000018</v>
      </c>
      <c r="E38" s="93">
        <v>1133.56</v>
      </c>
      <c r="F38" s="93">
        <v>0</v>
      </c>
      <c r="G38" s="93">
        <v>1535.01</v>
      </c>
      <c r="H38" s="93">
        <v>0</v>
      </c>
      <c r="I38" s="93">
        <v>3688.87</v>
      </c>
      <c r="J38" s="93">
        <v>0</v>
      </c>
      <c r="K38" s="93">
        <v>2555.26</v>
      </c>
      <c r="L38" s="93">
        <v>0</v>
      </c>
      <c r="M38" s="79">
        <v>906.84</v>
      </c>
      <c r="N38" s="112">
        <v>0</v>
      </c>
      <c r="O38" s="95">
        <v>0</v>
      </c>
      <c r="P38" s="95">
        <v>0</v>
      </c>
      <c r="Q38" s="95"/>
      <c r="R38" s="95"/>
      <c r="S38" s="93">
        <f t="shared" si="44"/>
        <v>9819.54</v>
      </c>
      <c r="T38" s="94">
        <f t="shared" si="45"/>
        <v>0</v>
      </c>
      <c r="U38" s="93">
        <v>1075.49</v>
      </c>
      <c r="V38" s="93">
        <v>1456.66</v>
      </c>
      <c r="W38" s="93">
        <v>3503.96</v>
      </c>
      <c r="X38" s="93">
        <v>2426.75</v>
      </c>
      <c r="Y38" s="93">
        <v>860.4</v>
      </c>
      <c r="Z38" s="93">
        <v>0</v>
      </c>
      <c r="AA38" s="95">
        <v>0</v>
      </c>
      <c r="AB38" s="95">
        <f t="shared" si="41"/>
        <v>9323.26</v>
      </c>
      <c r="AC38" s="111">
        <f t="shared" si="46"/>
        <v>10280.755000000003</v>
      </c>
      <c r="AD38" s="98">
        <f t="shared" si="47"/>
        <v>0</v>
      </c>
      <c r="AE38" s="98">
        <f t="shared" si="48"/>
        <v>0</v>
      </c>
      <c r="AF38" s="98"/>
      <c r="AG38" s="99">
        <f t="shared" si="49"/>
        <v>747.5400000000001</v>
      </c>
      <c r="AH38" s="99">
        <f t="shared" si="50"/>
        <v>249.18000000000004</v>
      </c>
      <c r="AI38" s="99">
        <f t="shared" si="51"/>
        <v>1245.9</v>
      </c>
      <c r="AJ38" s="99">
        <v>0</v>
      </c>
      <c r="AK38" s="99">
        <f t="shared" si="52"/>
        <v>1220.982</v>
      </c>
      <c r="AL38" s="99">
        <v>0</v>
      </c>
      <c r="AM38" s="99">
        <f t="shared" si="53"/>
        <v>2803.275</v>
      </c>
      <c r="AN38" s="99">
        <v>0</v>
      </c>
      <c r="AO38" s="99"/>
      <c r="AP38" s="99"/>
      <c r="AQ38" s="100"/>
      <c r="AR38" s="100"/>
      <c r="AS38" s="101"/>
      <c r="AT38" s="101"/>
      <c r="AU38" s="159">
        <f t="shared" si="54"/>
        <v>0</v>
      </c>
      <c r="AV38" s="102">
        <v>349</v>
      </c>
      <c r="AW38" s="103">
        <v>0.6</v>
      </c>
      <c r="AX38" s="99">
        <f t="shared" si="55"/>
        <v>293.15999999999997</v>
      </c>
      <c r="AY38" s="104"/>
      <c r="AZ38" s="105"/>
      <c r="BA38" s="105">
        <f t="shared" si="56"/>
        <v>0</v>
      </c>
      <c r="BB38" s="105">
        <f t="shared" si="38"/>
        <v>6560.037</v>
      </c>
      <c r="BC38" s="106"/>
      <c r="BD38" s="144"/>
      <c r="BE38" s="107">
        <f t="shared" si="39"/>
        <v>3720.7180000000026</v>
      </c>
      <c r="BF38" s="107">
        <f t="shared" si="40"/>
        <v>-496.28000000000065</v>
      </c>
    </row>
    <row r="39" spans="1:58" s="2" customFormat="1" ht="12.75" hidden="1">
      <c r="A39" s="145" t="s">
        <v>39</v>
      </c>
      <c r="B39" s="90">
        <v>1245.9</v>
      </c>
      <c r="C39" s="146">
        <f t="shared" si="42"/>
        <v>10777.035000000002</v>
      </c>
      <c r="D39" s="141">
        <f t="shared" si="43"/>
        <v>957.4950000000018</v>
      </c>
      <c r="E39" s="135">
        <v>1133.56</v>
      </c>
      <c r="F39" s="135">
        <v>0</v>
      </c>
      <c r="G39" s="135">
        <v>1535.01</v>
      </c>
      <c r="H39" s="135">
        <v>0</v>
      </c>
      <c r="I39" s="135">
        <v>3688.87</v>
      </c>
      <c r="J39" s="135">
        <v>0</v>
      </c>
      <c r="K39" s="135">
        <v>2555.26</v>
      </c>
      <c r="L39" s="135">
        <v>0</v>
      </c>
      <c r="M39" s="142">
        <v>906.84</v>
      </c>
      <c r="N39" s="143">
        <v>0</v>
      </c>
      <c r="O39" s="136">
        <v>0</v>
      </c>
      <c r="P39" s="136">
        <v>0</v>
      </c>
      <c r="Q39" s="136"/>
      <c r="R39" s="136"/>
      <c r="S39" s="93">
        <f t="shared" si="44"/>
        <v>9819.54</v>
      </c>
      <c r="T39" s="94">
        <f t="shared" si="45"/>
        <v>0</v>
      </c>
      <c r="U39" s="93">
        <v>1277.8</v>
      </c>
      <c r="V39" s="93">
        <v>1729.95</v>
      </c>
      <c r="W39" s="93">
        <v>4157.89</v>
      </c>
      <c r="X39" s="93">
        <v>2880.04</v>
      </c>
      <c r="Y39" s="93">
        <v>1022.21</v>
      </c>
      <c r="Z39" s="93">
        <v>0</v>
      </c>
      <c r="AA39" s="95">
        <v>0</v>
      </c>
      <c r="AB39" s="95">
        <f t="shared" si="41"/>
        <v>11067.89</v>
      </c>
      <c r="AC39" s="111">
        <f t="shared" si="46"/>
        <v>12025.385000000002</v>
      </c>
      <c r="AD39" s="98">
        <f t="shared" si="47"/>
        <v>0</v>
      </c>
      <c r="AE39" s="98">
        <f t="shared" si="48"/>
        <v>0</v>
      </c>
      <c r="AF39" s="98">
        <v>100</v>
      </c>
      <c r="AG39" s="99">
        <f t="shared" si="49"/>
        <v>747.5400000000001</v>
      </c>
      <c r="AH39" s="99">
        <f t="shared" si="50"/>
        <v>249.18000000000004</v>
      </c>
      <c r="AI39" s="99">
        <f t="shared" si="51"/>
        <v>1245.9</v>
      </c>
      <c r="AJ39" s="99">
        <v>0</v>
      </c>
      <c r="AK39" s="99">
        <f t="shared" si="52"/>
        <v>1220.982</v>
      </c>
      <c r="AL39" s="99">
        <v>0</v>
      </c>
      <c r="AM39" s="99">
        <f t="shared" si="53"/>
        <v>2803.275</v>
      </c>
      <c r="AN39" s="99">
        <v>0</v>
      </c>
      <c r="AO39" s="99"/>
      <c r="AP39" s="99"/>
      <c r="AQ39" s="100"/>
      <c r="AR39" s="100"/>
      <c r="AS39" s="101">
        <v>299</v>
      </c>
      <c r="AT39" s="101"/>
      <c r="AU39" s="101">
        <f t="shared" si="54"/>
        <v>0</v>
      </c>
      <c r="AV39" s="102">
        <v>425</v>
      </c>
      <c r="AW39" s="103">
        <v>0.6</v>
      </c>
      <c r="AX39" s="99">
        <f t="shared" si="55"/>
        <v>357</v>
      </c>
      <c r="AY39" s="104"/>
      <c r="AZ39" s="105"/>
      <c r="BA39" s="105">
        <f t="shared" si="56"/>
        <v>0</v>
      </c>
      <c r="BB39" s="105">
        <f t="shared" si="38"/>
        <v>6922.877</v>
      </c>
      <c r="BC39" s="106">
        <v>25</v>
      </c>
      <c r="BD39" s="150"/>
      <c r="BE39" s="107">
        <f t="shared" si="39"/>
        <v>5177.508000000002</v>
      </c>
      <c r="BF39" s="107">
        <f t="shared" si="40"/>
        <v>1248.3499999999985</v>
      </c>
    </row>
    <row r="40" spans="1:58" s="2" customFormat="1" ht="12.75" hidden="1">
      <c r="A40" s="12" t="s">
        <v>40</v>
      </c>
      <c r="B40" s="90">
        <v>1245.9</v>
      </c>
      <c r="C40" s="146">
        <f t="shared" si="42"/>
        <v>10777.035000000002</v>
      </c>
      <c r="D40" s="141">
        <f t="shared" si="43"/>
        <v>796.2350000000007</v>
      </c>
      <c r="E40" s="93">
        <v>1152.28</v>
      </c>
      <c r="F40" s="93">
        <v>0</v>
      </c>
      <c r="G40" s="93">
        <v>1559.71</v>
      </c>
      <c r="H40" s="93">
        <v>0</v>
      </c>
      <c r="I40" s="93">
        <v>3749.14</v>
      </c>
      <c r="J40" s="93">
        <v>0</v>
      </c>
      <c r="K40" s="93">
        <v>2596.81</v>
      </c>
      <c r="L40" s="93">
        <v>0</v>
      </c>
      <c r="M40" s="79">
        <v>922.86</v>
      </c>
      <c r="N40" s="112">
        <v>0</v>
      </c>
      <c r="O40" s="95">
        <v>0</v>
      </c>
      <c r="P40" s="95">
        <v>0</v>
      </c>
      <c r="Q40" s="95"/>
      <c r="R40" s="95"/>
      <c r="S40" s="93">
        <f t="shared" si="44"/>
        <v>9980.8</v>
      </c>
      <c r="T40" s="94">
        <f t="shared" si="45"/>
        <v>0</v>
      </c>
      <c r="U40" s="147">
        <v>1282.19</v>
      </c>
      <c r="V40" s="93">
        <v>1736.56</v>
      </c>
      <c r="W40" s="93">
        <v>4172.88</v>
      </c>
      <c r="X40" s="93">
        <v>2890.56</v>
      </c>
      <c r="Y40" s="93">
        <v>1025.74</v>
      </c>
      <c r="Z40" s="93">
        <v>0</v>
      </c>
      <c r="AA40" s="95">
        <v>0</v>
      </c>
      <c r="AB40" s="95">
        <f t="shared" si="41"/>
        <v>11107.93</v>
      </c>
      <c r="AC40" s="111">
        <f t="shared" si="46"/>
        <v>11904.165</v>
      </c>
      <c r="AD40" s="98">
        <f t="shared" si="47"/>
        <v>0</v>
      </c>
      <c r="AE40" s="98">
        <f t="shared" si="48"/>
        <v>0</v>
      </c>
      <c r="AF40" s="98">
        <f>100</f>
        <v>100</v>
      </c>
      <c r="AG40" s="99">
        <f t="shared" si="49"/>
        <v>747.5400000000001</v>
      </c>
      <c r="AH40" s="99">
        <f t="shared" si="50"/>
        <v>249.18000000000004</v>
      </c>
      <c r="AI40" s="99">
        <f t="shared" si="51"/>
        <v>1245.9</v>
      </c>
      <c r="AJ40" s="99">
        <v>0</v>
      </c>
      <c r="AK40" s="99">
        <f t="shared" si="52"/>
        <v>1220.982</v>
      </c>
      <c r="AL40" s="99">
        <v>0</v>
      </c>
      <c r="AM40" s="99">
        <f t="shared" si="53"/>
        <v>2803.275</v>
      </c>
      <c r="AN40" s="99">
        <v>0</v>
      </c>
      <c r="AO40" s="99"/>
      <c r="AP40" s="99"/>
      <c r="AQ40" s="100"/>
      <c r="AR40" s="100"/>
      <c r="AS40" s="101">
        <v>193</v>
      </c>
      <c r="AT40" s="101"/>
      <c r="AU40" s="101">
        <f t="shared" si="54"/>
        <v>0</v>
      </c>
      <c r="AV40" s="102">
        <v>470</v>
      </c>
      <c r="AW40" s="103">
        <v>0.6</v>
      </c>
      <c r="AX40" s="99">
        <f t="shared" si="55"/>
        <v>394.79999999999995</v>
      </c>
      <c r="AY40" s="104"/>
      <c r="AZ40" s="105"/>
      <c r="BA40" s="105">
        <f t="shared" si="56"/>
        <v>0</v>
      </c>
      <c r="BB40" s="105">
        <f t="shared" si="38"/>
        <v>6854.677000000001</v>
      </c>
      <c r="BC40" s="106">
        <f>25</f>
        <v>25</v>
      </c>
      <c r="BD40" s="59"/>
      <c r="BE40" s="107">
        <f t="shared" si="39"/>
        <v>5124.488</v>
      </c>
      <c r="BF40" s="107">
        <f t="shared" si="40"/>
        <v>1127.130000000001</v>
      </c>
    </row>
    <row r="41" spans="1:58" s="109" customFormat="1" ht="12.75" hidden="1">
      <c r="A41" s="89" t="s">
        <v>41</v>
      </c>
      <c r="B41" s="90">
        <v>1245.9</v>
      </c>
      <c r="C41" s="146">
        <f t="shared" si="42"/>
        <v>10777.035000000002</v>
      </c>
      <c r="D41" s="141">
        <f t="shared" si="43"/>
        <v>952.3950000000019</v>
      </c>
      <c r="E41" s="93">
        <v>1134.16</v>
      </c>
      <c r="F41" s="93">
        <v>0</v>
      </c>
      <c r="G41" s="93">
        <v>1535.79</v>
      </c>
      <c r="H41" s="93">
        <v>0</v>
      </c>
      <c r="I41" s="93">
        <v>3690.79</v>
      </c>
      <c r="J41" s="93">
        <v>0</v>
      </c>
      <c r="K41" s="93">
        <v>2556.58</v>
      </c>
      <c r="L41" s="93">
        <v>0</v>
      </c>
      <c r="M41" s="79">
        <v>907.32</v>
      </c>
      <c r="N41" s="112">
        <v>0</v>
      </c>
      <c r="O41" s="95">
        <v>0</v>
      </c>
      <c r="P41" s="95">
        <v>0</v>
      </c>
      <c r="Q41" s="95"/>
      <c r="R41" s="95"/>
      <c r="S41" s="93">
        <f t="shared" si="44"/>
        <v>9824.64</v>
      </c>
      <c r="T41" s="94">
        <f t="shared" si="45"/>
        <v>0</v>
      </c>
      <c r="U41" s="93">
        <v>1154.42</v>
      </c>
      <c r="V41" s="93">
        <v>1563.81</v>
      </c>
      <c r="W41" s="93">
        <v>3758.5</v>
      </c>
      <c r="X41" s="93">
        <v>2603</v>
      </c>
      <c r="Y41" s="93">
        <v>905.94</v>
      </c>
      <c r="Z41" s="93">
        <v>0</v>
      </c>
      <c r="AA41" s="95">
        <v>0</v>
      </c>
      <c r="AB41" s="95">
        <f t="shared" si="41"/>
        <v>9985.67</v>
      </c>
      <c r="AC41" s="111">
        <f t="shared" si="46"/>
        <v>10938.065000000002</v>
      </c>
      <c r="AD41" s="98">
        <f t="shared" si="47"/>
        <v>0</v>
      </c>
      <c r="AE41" s="98">
        <f t="shared" si="48"/>
        <v>0</v>
      </c>
      <c r="AF41" s="98">
        <f>100</f>
        <v>100</v>
      </c>
      <c r="AG41" s="99">
        <f t="shared" si="49"/>
        <v>747.5400000000001</v>
      </c>
      <c r="AH41" s="99">
        <f t="shared" si="50"/>
        <v>249.18000000000004</v>
      </c>
      <c r="AI41" s="99">
        <f t="shared" si="51"/>
        <v>1245.9</v>
      </c>
      <c r="AJ41" s="99">
        <v>0</v>
      </c>
      <c r="AK41" s="99">
        <f t="shared" si="52"/>
        <v>1220.982</v>
      </c>
      <c r="AL41" s="99">
        <v>0</v>
      </c>
      <c r="AM41" s="99">
        <f t="shared" si="53"/>
        <v>2803.275</v>
      </c>
      <c r="AN41" s="99">
        <v>0</v>
      </c>
      <c r="AO41" s="99"/>
      <c r="AP41" s="99"/>
      <c r="AQ41" s="100"/>
      <c r="AR41" s="100"/>
      <c r="AS41" s="101"/>
      <c r="AT41" s="101">
        <f>1283.05+28140.8+9008.3</f>
        <v>38432.149999999994</v>
      </c>
      <c r="AU41" s="101">
        <f t="shared" si="54"/>
        <v>6917.786999999998</v>
      </c>
      <c r="AV41" s="102">
        <v>514</v>
      </c>
      <c r="AW41" s="103">
        <v>0.6</v>
      </c>
      <c r="AX41" s="99">
        <f t="shared" si="55"/>
        <v>431.75999999999993</v>
      </c>
      <c r="AY41" s="104"/>
      <c r="AZ41" s="105"/>
      <c r="BA41" s="105">
        <f t="shared" si="56"/>
        <v>0</v>
      </c>
      <c r="BB41" s="105">
        <f t="shared" si="38"/>
        <v>52048.57399999999</v>
      </c>
      <c r="BC41" s="106">
        <f>25</f>
        <v>25</v>
      </c>
      <c r="BD41" s="151"/>
      <c r="BE41" s="107">
        <f t="shared" si="39"/>
        <v>-41035.50899999999</v>
      </c>
      <c r="BF41" s="107">
        <f t="shared" si="40"/>
        <v>161.03000000000065</v>
      </c>
    </row>
    <row r="42" spans="1:58" s="22" customFormat="1" ht="12.75" hidden="1">
      <c r="A42" s="17" t="s">
        <v>3</v>
      </c>
      <c r="B42" s="18"/>
      <c r="C42" s="18">
        <f>SUM(C30:C41)</f>
        <v>129275.98000000003</v>
      </c>
      <c r="D42" s="18">
        <f aca="true" t="shared" si="57" ref="D42:BF42">SUM(D30:D41)</f>
        <v>11534.490000000023</v>
      </c>
      <c r="E42" s="18">
        <f t="shared" si="57"/>
        <v>12350.46</v>
      </c>
      <c r="F42" s="18">
        <f t="shared" si="57"/>
        <v>1241.0299999999997</v>
      </c>
      <c r="G42" s="18">
        <f t="shared" si="57"/>
        <v>16723.710000000003</v>
      </c>
      <c r="H42" s="18">
        <f t="shared" si="57"/>
        <v>1682.06</v>
      </c>
      <c r="I42" s="18">
        <f t="shared" si="57"/>
        <v>40190.75</v>
      </c>
      <c r="J42" s="18">
        <f t="shared" si="57"/>
        <v>4039.79</v>
      </c>
      <c r="K42" s="18">
        <f t="shared" si="57"/>
        <v>27839.660000000003</v>
      </c>
      <c r="L42" s="18">
        <f t="shared" si="57"/>
        <v>2799.91</v>
      </c>
      <c r="M42" s="18">
        <f t="shared" si="57"/>
        <v>9881.45</v>
      </c>
      <c r="N42" s="18">
        <f t="shared" si="57"/>
        <v>992.6700000000001</v>
      </c>
      <c r="O42" s="18">
        <f t="shared" si="57"/>
        <v>0</v>
      </c>
      <c r="P42" s="18">
        <f t="shared" si="57"/>
        <v>0</v>
      </c>
      <c r="Q42" s="18">
        <f t="shared" si="57"/>
        <v>0</v>
      </c>
      <c r="R42" s="18">
        <f t="shared" si="57"/>
        <v>0</v>
      </c>
      <c r="S42" s="18">
        <f t="shared" si="57"/>
        <v>106986.03000000003</v>
      </c>
      <c r="T42" s="18">
        <f t="shared" si="57"/>
        <v>10755.460000000001</v>
      </c>
      <c r="U42" s="18">
        <f t="shared" si="57"/>
        <v>11196.31</v>
      </c>
      <c r="V42" s="18">
        <f t="shared" si="57"/>
        <v>15159.56</v>
      </c>
      <c r="W42" s="18">
        <f t="shared" si="57"/>
        <v>36434.61</v>
      </c>
      <c r="X42" s="18">
        <f t="shared" si="57"/>
        <v>25236.58</v>
      </c>
      <c r="Y42" s="18">
        <f t="shared" si="57"/>
        <v>8939.449999999999</v>
      </c>
      <c r="Z42" s="18">
        <f t="shared" si="57"/>
        <v>0</v>
      </c>
      <c r="AA42" s="18">
        <f t="shared" si="57"/>
        <v>0</v>
      </c>
      <c r="AB42" s="18">
        <f t="shared" si="57"/>
        <v>96966.51</v>
      </c>
      <c r="AC42" s="18">
        <f t="shared" si="57"/>
        <v>119256.46000000002</v>
      </c>
      <c r="AD42" s="18">
        <f t="shared" si="57"/>
        <v>0</v>
      </c>
      <c r="AE42" s="18">
        <f t="shared" si="57"/>
        <v>0</v>
      </c>
      <c r="AF42" s="18">
        <f t="shared" si="57"/>
        <v>300</v>
      </c>
      <c r="AG42" s="18">
        <f t="shared" si="57"/>
        <v>8967.12</v>
      </c>
      <c r="AH42" s="18">
        <f t="shared" si="57"/>
        <v>2989.0399999999995</v>
      </c>
      <c r="AI42" s="18">
        <f t="shared" si="57"/>
        <v>14945.199999999997</v>
      </c>
      <c r="AJ42" s="18">
        <f t="shared" si="57"/>
        <v>0</v>
      </c>
      <c r="AK42" s="18">
        <f t="shared" si="57"/>
        <v>14646.295999999998</v>
      </c>
      <c r="AL42" s="18">
        <f t="shared" si="57"/>
        <v>0</v>
      </c>
      <c r="AM42" s="18">
        <f t="shared" si="57"/>
        <v>33626.700000000004</v>
      </c>
      <c r="AN42" s="18">
        <f t="shared" si="57"/>
        <v>0</v>
      </c>
      <c r="AO42" s="18">
        <f t="shared" si="57"/>
        <v>1814.4</v>
      </c>
      <c r="AP42" s="18">
        <f t="shared" si="57"/>
        <v>0</v>
      </c>
      <c r="AQ42" s="152">
        <f t="shared" si="57"/>
        <v>6984</v>
      </c>
      <c r="AR42" s="152">
        <f t="shared" si="57"/>
        <v>0</v>
      </c>
      <c r="AS42" s="19">
        <f t="shared" si="57"/>
        <v>12262</v>
      </c>
      <c r="AT42" s="19">
        <f t="shared" si="57"/>
        <v>38647.95</v>
      </c>
      <c r="AU42" s="19">
        <f t="shared" si="57"/>
        <v>6917.786999999998</v>
      </c>
      <c r="AV42" s="18">
        <f t="shared" si="57"/>
        <v>4400</v>
      </c>
      <c r="AW42" s="18">
        <f t="shared" si="57"/>
        <v>7.199999999999998</v>
      </c>
      <c r="AX42" s="18">
        <f t="shared" si="57"/>
        <v>3695.9999999999995</v>
      </c>
      <c r="AY42" s="18">
        <f t="shared" si="57"/>
        <v>0</v>
      </c>
      <c r="AZ42" s="18">
        <f t="shared" si="57"/>
        <v>0</v>
      </c>
      <c r="BA42" s="18">
        <f t="shared" si="57"/>
        <v>0</v>
      </c>
      <c r="BB42" s="18">
        <f t="shared" si="57"/>
        <v>145496.493</v>
      </c>
      <c r="BC42" s="18">
        <f t="shared" si="57"/>
        <v>75</v>
      </c>
      <c r="BD42" s="18">
        <f t="shared" si="57"/>
        <v>0</v>
      </c>
      <c r="BE42" s="18">
        <f t="shared" si="57"/>
        <v>-26015.03299999997</v>
      </c>
      <c r="BF42" s="153">
        <f t="shared" si="57"/>
        <v>-10019.520000000004</v>
      </c>
    </row>
    <row r="43" spans="1:58" s="22" customFormat="1" ht="12.75" hidden="1">
      <c r="A43" s="17"/>
      <c r="B43" s="18"/>
      <c r="C43" s="1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20"/>
      <c r="W43" s="20"/>
      <c r="X43" s="20"/>
      <c r="Y43" s="20"/>
      <c r="Z43" s="20"/>
      <c r="AA43" s="20"/>
      <c r="AB43" s="20"/>
      <c r="AC43" s="20"/>
      <c r="AD43" s="72"/>
      <c r="AE43" s="72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70"/>
      <c r="AQ43" s="154"/>
      <c r="AR43" s="154"/>
      <c r="AS43" s="70"/>
      <c r="AT43" s="70"/>
      <c r="AU43" s="70"/>
      <c r="AV43" s="21"/>
      <c r="AW43" s="21"/>
      <c r="AX43" s="71"/>
      <c r="AY43" s="55"/>
      <c r="AZ43" s="55"/>
      <c r="BA43" s="55"/>
      <c r="BB43" s="55"/>
      <c r="BC43" s="55"/>
      <c r="BD43" s="55"/>
      <c r="BE43" s="55"/>
      <c r="BF43" s="155"/>
    </row>
    <row r="44" spans="1:58" s="22" customFormat="1" ht="13.5" thickBot="1">
      <c r="A44" s="23" t="s">
        <v>52</v>
      </c>
      <c r="B44" s="24"/>
      <c r="C44" s="24">
        <f>C28+C42</f>
        <v>290749.85500000004</v>
      </c>
      <c r="D44" s="24">
        <f aca="true" t="shared" si="58" ref="D44:BF44">D28+D42</f>
        <v>32859.22249175004</v>
      </c>
      <c r="E44" s="24">
        <f t="shared" si="58"/>
        <v>25141.089999999997</v>
      </c>
      <c r="F44" s="24">
        <f t="shared" si="58"/>
        <v>4555.08</v>
      </c>
      <c r="G44" s="24">
        <f t="shared" si="58"/>
        <v>34022.58</v>
      </c>
      <c r="H44" s="24">
        <f t="shared" si="58"/>
        <v>6165.969999999999</v>
      </c>
      <c r="I44" s="24">
        <f t="shared" si="58"/>
        <v>81792.43</v>
      </c>
      <c r="J44" s="24">
        <f t="shared" si="58"/>
        <v>14819.84</v>
      </c>
      <c r="K44" s="24">
        <f t="shared" si="58"/>
        <v>56650.36</v>
      </c>
      <c r="L44" s="24">
        <f t="shared" si="58"/>
        <v>10266.14</v>
      </c>
      <c r="M44" s="24">
        <f t="shared" si="58"/>
        <v>20114.239999999998</v>
      </c>
      <c r="N44" s="24">
        <f t="shared" si="58"/>
        <v>3643.6299999999997</v>
      </c>
      <c r="O44" s="24">
        <f t="shared" si="58"/>
        <v>0</v>
      </c>
      <c r="P44" s="24">
        <f t="shared" si="58"/>
        <v>0</v>
      </c>
      <c r="Q44" s="24">
        <f t="shared" si="58"/>
        <v>0</v>
      </c>
      <c r="R44" s="24">
        <f t="shared" si="58"/>
        <v>0</v>
      </c>
      <c r="S44" s="24">
        <f t="shared" si="58"/>
        <v>217720.7</v>
      </c>
      <c r="T44" s="24">
        <f t="shared" si="58"/>
        <v>39450.66</v>
      </c>
      <c r="U44" s="24">
        <f t="shared" si="58"/>
        <v>22404.1</v>
      </c>
      <c r="V44" s="24">
        <f t="shared" si="58"/>
        <v>30314.34</v>
      </c>
      <c r="W44" s="24">
        <f t="shared" si="58"/>
        <v>72884.84</v>
      </c>
      <c r="X44" s="24">
        <f t="shared" si="58"/>
        <v>50478.59</v>
      </c>
      <c r="Y44" s="24">
        <f t="shared" si="58"/>
        <v>17580.78</v>
      </c>
      <c r="Z44" s="24">
        <f t="shared" si="58"/>
        <v>0</v>
      </c>
      <c r="AA44" s="24">
        <f t="shared" si="58"/>
        <v>0</v>
      </c>
      <c r="AB44" s="24">
        <f t="shared" si="58"/>
        <v>193662.65</v>
      </c>
      <c r="AC44" s="24">
        <f t="shared" si="58"/>
        <v>265972.5324917501</v>
      </c>
      <c r="AD44" s="24">
        <f t="shared" si="58"/>
        <v>0</v>
      </c>
      <c r="AE44" s="24">
        <f t="shared" si="58"/>
        <v>0</v>
      </c>
      <c r="AF44" s="24">
        <f t="shared" si="58"/>
        <v>300</v>
      </c>
      <c r="AG44" s="24">
        <f t="shared" si="58"/>
        <v>19868.940000000002</v>
      </c>
      <c r="AH44" s="24">
        <f t="shared" si="58"/>
        <v>6657.7164840000005</v>
      </c>
      <c r="AI44" s="24">
        <f t="shared" si="58"/>
        <v>30231.65662375</v>
      </c>
      <c r="AJ44" s="24">
        <f t="shared" si="58"/>
        <v>2751.5621922750006</v>
      </c>
      <c r="AK44" s="24">
        <f t="shared" si="58"/>
        <v>30113.75030275</v>
      </c>
      <c r="AL44" s="24">
        <f t="shared" si="58"/>
        <v>2784.141774495</v>
      </c>
      <c r="AM44" s="24">
        <f t="shared" si="58"/>
        <v>67498.97323948558</v>
      </c>
      <c r="AN44" s="24">
        <f t="shared" si="58"/>
        <v>6097.009183107405</v>
      </c>
      <c r="AO44" s="24">
        <f t="shared" si="58"/>
        <v>1814.4</v>
      </c>
      <c r="AP44" s="24">
        <f t="shared" si="58"/>
        <v>0</v>
      </c>
      <c r="AQ44" s="156">
        <f t="shared" si="58"/>
        <v>6984</v>
      </c>
      <c r="AR44" s="156">
        <f t="shared" si="58"/>
        <v>0</v>
      </c>
      <c r="AS44" s="157">
        <f t="shared" si="58"/>
        <v>24810</v>
      </c>
      <c r="AT44" s="157">
        <f t="shared" si="58"/>
        <v>38647.95</v>
      </c>
      <c r="AU44" s="157">
        <f t="shared" si="58"/>
        <v>9176.426999999998</v>
      </c>
      <c r="AV44" s="24"/>
      <c r="AW44" s="24"/>
      <c r="AX44" s="24">
        <f t="shared" si="58"/>
        <v>7185.0232</v>
      </c>
      <c r="AY44" s="24">
        <f t="shared" si="58"/>
        <v>0</v>
      </c>
      <c r="AZ44" s="24">
        <f t="shared" si="58"/>
        <v>0</v>
      </c>
      <c r="BA44" s="24">
        <f t="shared" si="58"/>
        <v>0</v>
      </c>
      <c r="BB44" s="24">
        <f t="shared" si="58"/>
        <v>254621.549999863</v>
      </c>
      <c r="BC44" s="24">
        <f t="shared" si="58"/>
        <v>75</v>
      </c>
      <c r="BD44" s="24">
        <f t="shared" si="58"/>
        <v>109125.05699986301</v>
      </c>
      <c r="BE44" s="24">
        <f t="shared" si="58"/>
        <v>11575.982491887062</v>
      </c>
      <c r="BF44" s="24">
        <f t="shared" si="58"/>
        <v>-24058.050000000003</v>
      </c>
    </row>
  </sheetData>
  <sheetProtection/>
  <mergeCells count="67">
    <mergeCell ref="AB5:AB6"/>
    <mergeCell ref="AE3:AE6"/>
    <mergeCell ref="AM5:AM6"/>
    <mergeCell ref="AN5:AN6"/>
    <mergeCell ref="AS5:AS6"/>
    <mergeCell ref="AT5:AT6"/>
    <mergeCell ref="AO5:AO6"/>
    <mergeCell ref="AP5:AP6"/>
    <mergeCell ref="AQ5:AQ6"/>
    <mergeCell ref="AR5:AR6"/>
    <mergeCell ref="R5:R6"/>
    <mergeCell ref="S5:S6"/>
    <mergeCell ref="Z5:Z6"/>
    <mergeCell ref="AA5:AA6"/>
    <mergeCell ref="V5:V6"/>
    <mergeCell ref="W5:W6"/>
    <mergeCell ref="X5:X6"/>
    <mergeCell ref="Y5:Y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E3:F4"/>
    <mergeCell ref="G3:H4"/>
    <mergeCell ref="I3:J4"/>
    <mergeCell ref="K3:L4"/>
    <mergeCell ref="A1:N1"/>
    <mergeCell ref="A3:A6"/>
    <mergeCell ref="B3:B6"/>
    <mergeCell ref="C3:C6"/>
    <mergeCell ref="D3:D6"/>
    <mergeCell ref="E5:E6"/>
    <mergeCell ref="M3:N4"/>
    <mergeCell ref="O3:P4"/>
    <mergeCell ref="Q3:R4"/>
    <mergeCell ref="AF3:AF6"/>
    <mergeCell ref="S3:T4"/>
    <mergeCell ref="U3:AB4"/>
    <mergeCell ref="AC3:AC6"/>
    <mergeCell ref="AD3:AD6"/>
    <mergeCell ref="T5:T6"/>
    <mergeCell ref="U5:U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BE3:BE6"/>
    <mergeCell ref="AG5:AG6"/>
    <mergeCell ref="AH5:AH6"/>
    <mergeCell ref="AI5:AI6"/>
    <mergeCell ref="AJ5:AJ6"/>
    <mergeCell ref="AK5:AK6"/>
    <mergeCell ref="AL5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3">
      <selection activeCell="E52" sqref="E52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5" t="s">
        <v>53</v>
      </c>
    </row>
    <row r="2" ht="18.75">
      <c r="E2" s="25" t="s">
        <v>54</v>
      </c>
    </row>
    <row r="5" spans="1:16" ht="12.75">
      <c r="A5" s="238" t="s">
        <v>70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12.75">
      <c r="A6" s="238" t="s">
        <v>95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</row>
    <row r="7" spans="1:16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5" ht="13.5" thickBot="1">
      <c r="A8" s="27" t="s">
        <v>55</v>
      </c>
      <c r="D8" s="3"/>
      <c r="E8" s="27">
        <v>8.65</v>
      </c>
    </row>
    <row r="9" spans="1:16" ht="12.75" customHeight="1">
      <c r="A9" s="239" t="s">
        <v>56</v>
      </c>
      <c r="B9" s="242" t="s">
        <v>0</v>
      </c>
      <c r="C9" s="245" t="s">
        <v>57</v>
      </c>
      <c r="D9" s="248" t="s">
        <v>2</v>
      </c>
      <c r="E9" s="251" t="s">
        <v>58</v>
      </c>
      <c r="F9" s="203"/>
      <c r="G9" s="273" t="s">
        <v>67</v>
      </c>
      <c r="H9" s="273"/>
      <c r="I9" s="254" t="s">
        <v>8</v>
      </c>
      <c r="J9" s="255"/>
      <c r="K9" s="255"/>
      <c r="L9" s="255"/>
      <c r="M9" s="255"/>
      <c r="N9" s="256"/>
      <c r="O9" s="260" t="s">
        <v>59</v>
      </c>
      <c r="P9" s="260" t="s">
        <v>10</v>
      </c>
    </row>
    <row r="10" spans="1:16" ht="12.75">
      <c r="A10" s="240"/>
      <c r="B10" s="243"/>
      <c r="C10" s="246"/>
      <c r="D10" s="249"/>
      <c r="E10" s="252"/>
      <c r="F10" s="253"/>
      <c r="G10" s="274"/>
      <c r="H10" s="274"/>
      <c r="I10" s="257"/>
      <c r="J10" s="258"/>
      <c r="K10" s="258"/>
      <c r="L10" s="258"/>
      <c r="M10" s="258"/>
      <c r="N10" s="259"/>
      <c r="O10" s="261"/>
      <c r="P10" s="261"/>
    </row>
    <row r="11" spans="1:16" ht="26.25" customHeight="1">
      <c r="A11" s="240"/>
      <c r="B11" s="243"/>
      <c r="C11" s="246"/>
      <c r="D11" s="249"/>
      <c r="E11" s="265" t="s">
        <v>60</v>
      </c>
      <c r="F11" s="266"/>
      <c r="G11" s="29" t="s">
        <v>61</v>
      </c>
      <c r="H11" s="267" t="s">
        <v>5</v>
      </c>
      <c r="I11" s="269" t="s">
        <v>62</v>
      </c>
      <c r="J11" s="271" t="s">
        <v>30</v>
      </c>
      <c r="K11" s="271" t="s">
        <v>63</v>
      </c>
      <c r="L11" s="271" t="s">
        <v>35</v>
      </c>
      <c r="M11" s="271" t="s">
        <v>64</v>
      </c>
      <c r="N11" s="263" t="s">
        <v>37</v>
      </c>
      <c r="O11" s="261"/>
      <c r="P11" s="261"/>
    </row>
    <row r="12" spans="1:16" ht="66.75" customHeight="1" thickBot="1">
      <c r="A12" s="241"/>
      <c r="B12" s="244"/>
      <c r="C12" s="247"/>
      <c r="D12" s="250"/>
      <c r="E12" s="30" t="s">
        <v>65</v>
      </c>
      <c r="F12" s="31" t="s">
        <v>19</v>
      </c>
      <c r="G12" s="32" t="s">
        <v>68</v>
      </c>
      <c r="H12" s="268"/>
      <c r="I12" s="270"/>
      <c r="J12" s="272"/>
      <c r="K12" s="272"/>
      <c r="L12" s="272"/>
      <c r="M12" s="272"/>
      <c r="N12" s="264"/>
      <c r="O12" s="262"/>
      <c r="P12" s="262"/>
    </row>
    <row r="13" spans="1:16" ht="13.5" thickBot="1">
      <c r="A13" s="33">
        <v>1</v>
      </c>
      <c r="B13" s="34">
        <v>2</v>
      </c>
      <c r="C13" s="35">
        <v>3</v>
      </c>
      <c r="D13" s="33">
        <v>4</v>
      </c>
      <c r="E13" s="34">
        <v>5</v>
      </c>
      <c r="F13" s="36">
        <v>6</v>
      </c>
      <c r="G13" s="37">
        <v>7</v>
      </c>
      <c r="H13" s="35">
        <v>8</v>
      </c>
      <c r="I13" s="33">
        <v>9</v>
      </c>
      <c r="J13" s="34">
        <v>10</v>
      </c>
      <c r="K13" s="34">
        <v>11</v>
      </c>
      <c r="L13" s="34">
        <v>12</v>
      </c>
      <c r="M13" s="34">
        <v>13</v>
      </c>
      <c r="N13" s="36">
        <v>14</v>
      </c>
      <c r="O13" s="38">
        <v>15</v>
      </c>
      <c r="P13" s="38">
        <v>16</v>
      </c>
    </row>
    <row r="14" spans="1:16" ht="12.75" hidden="1">
      <c r="A14" s="7" t="s">
        <v>38</v>
      </c>
      <c r="B14" s="8"/>
      <c r="C14" s="28"/>
      <c r="D14" s="7"/>
      <c r="E14" s="8"/>
      <c r="F14" s="10"/>
      <c r="G14" s="39"/>
      <c r="H14" s="28"/>
      <c r="I14" s="7"/>
      <c r="J14" s="8"/>
      <c r="K14" s="8"/>
      <c r="L14" s="8"/>
      <c r="M14" s="8"/>
      <c r="N14" s="10"/>
      <c r="O14" s="40"/>
      <c r="P14" s="41"/>
    </row>
    <row r="15" spans="1:18" ht="12.75" hidden="1">
      <c r="A15" s="12" t="s">
        <v>39</v>
      </c>
      <c r="B15" s="13">
        <f>Лист1!B9</f>
        <v>1244.5</v>
      </c>
      <c r="C15" s="42">
        <f>Лист1!C9</f>
        <v>10764.925000000001</v>
      </c>
      <c r="D15" s="43">
        <f>Лист1!D9</f>
        <v>2593.055134</v>
      </c>
      <c r="E15" s="14">
        <f>Лист1!S9</f>
        <v>6961.33</v>
      </c>
      <c r="F15" s="16">
        <f>Лист1!T9</f>
        <v>1982.94</v>
      </c>
      <c r="G15" s="44">
        <f>Лист1!AB9</f>
        <v>0</v>
      </c>
      <c r="H15" s="160">
        <f>Лист1!AC9</f>
        <v>4575.995134000001</v>
      </c>
      <c r="I15" s="45">
        <f>Лист1!AG9</f>
        <v>746.6999999999999</v>
      </c>
      <c r="J15" s="14">
        <f>Лист1!AI9+Лист1!AJ9</f>
        <v>1250.876818</v>
      </c>
      <c r="K15" s="14">
        <f>Лист1!AH9+Лист1!AK9+Лист1!AL9+Лист1!AM9+Лист1!AN9+Лист1!AO9+Лист1!AP9+Лист1!AQ9+Лист1!AR9</f>
        <v>4392.32971295</v>
      </c>
      <c r="L15" s="15">
        <f>Лист1!AS9+Лист1!AT9+Лист1!AU9</f>
        <v>0</v>
      </c>
      <c r="M15" s="15">
        <f>Лист1!AX9</f>
        <v>0</v>
      </c>
      <c r="N15" s="161">
        <f>Лист1!BB9</f>
        <v>6389.906530949999</v>
      </c>
      <c r="O15" s="46">
        <f>Лист1!BE9</f>
        <v>-1813.9113969499986</v>
      </c>
      <c r="P15" s="46">
        <f>Лист1!BF9</f>
        <v>-6961.33</v>
      </c>
      <c r="Q15" s="1"/>
      <c r="R15" s="1"/>
    </row>
    <row r="16" spans="1:18" ht="12.75" hidden="1">
      <c r="A16" s="12" t="s">
        <v>40</v>
      </c>
      <c r="B16" s="13">
        <f>Лист1!B10</f>
        <v>1244.5</v>
      </c>
      <c r="C16" s="42">
        <f>Лист1!C10</f>
        <v>10764.925000000001</v>
      </c>
      <c r="D16" s="43">
        <f>Лист1!D10</f>
        <v>2593.055134</v>
      </c>
      <c r="E16" s="14">
        <f>Лист1!S10</f>
        <v>6748.57</v>
      </c>
      <c r="F16" s="16">
        <f>Лист1!T10</f>
        <v>1931.6999999999998</v>
      </c>
      <c r="G16" s="44">
        <f>Лист1!AB10</f>
        <v>4213.25</v>
      </c>
      <c r="H16" s="160">
        <f>Лист1!AC10</f>
        <v>8738.005133999999</v>
      </c>
      <c r="I16" s="45">
        <f>Лист1!AG10</f>
        <v>746.6999999999999</v>
      </c>
      <c r="J16" s="14">
        <f>Лист1!AI10+Лист1!AJ10</f>
        <v>1250.876818</v>
      </c>
      <c r="K16" s="14">
        <f>Лист1!AH10+Лист1!AK10+Лист1!AL10+Лист1!AM10+Лист1!AN10+Лист1!AO10+Лист1!AP10+Лист1!AQ10+Лист1!AR10</f>
        <v>4379.07329895</v>
      </c>
      <c r="L16" s="15">
        <f>Лист1!AS10+Лист1!AT10+Лист1!AU10</f>
        <v>3210.7799999999997</v>
      </c>
      <c r="M16" s="15">
        <f>Лист1!AX10</f>
        <v>0</v>
      </c>
      <c r="N16" s="161">
        <f>Лист1!BB10</f>
        <v>9587.430116950001</v>
      </c>
      <c r="O16" s="46">
        <f>Лист1!BE10</f>
        <v>-849.4249829500022</v>
      </c>
      <c r="P16" s="46">
        <f>Лист1!BF10</f>
        <v>-2535.3199999999997</v>
      </c>
      <c r="Q16" s="1"/>
      <c r="R16" s="1"/>
    </row>
    <row r="17" spans="1:18" ht="13.5" hidden="1" thickBot="1">
      <c r="A17" s="47" t="s">
        <v>41</v>
      </c>
      <c r="B17" s="13">
        <f>Лист1!B11</f>
        <v>1244.5</v>
      </c>
      <c r="C17" s="42">
        <f>Лист1!C11</f>
        <v>10764.925000000001</v>
      </c>
      <c r="D17" s="43">
        <f>Лист1!D11</f>
        <v>2587.3497237500005</v>
      </c>
      <c r="E17" s="14">
        <f>Лист1!S11</f>
        <v>6891.9</v>
      </c>
      <c r="F17" s="16">
        <f>Лист1!T11</f>
        <v>1934.4099999999999</v>
      </c>
      <c r="G17" s="44">
        <f>Лист1!AB11</f>
        <v>8533.45</v>
      </c>
      <c r="H17" s="160">
        <f>Лист1!AC11</f>
        <v>13055.209723750002</v>
      </c>
      <c r="I17" s="45">
        <f>Лист1!AG11</f>
        <v>746.6999999999999</v>
      </c>
      <c r="J17" s="14">
        <f>Лист1!AI11+Лист1!AJ11</f>
        <v>1247.2349132</v>
      </c>
      <c r="K17" s="14">
        <f>Лист1!AH11+Лист1!AK11+Лист1!AL11+Лист1!AM11+Лист1!AN11+Лист1!AO11+Лист1!AP11+Лист1!AQ11+Лист1!AR11</f>
        <v>4372.111105485001</v>
      </c>
      <c r="L17" s="15">
        <f>Лист1!AS11+Лист1!AT11+Лист1!AU11</f>
        <v>0</v>
      </c>
      <c r="M17" s="15">
        <f>Лист1!AX11</f>
        <v>0</v>
      </c>
      <c r="N17" s="161">
        <f>Лист1!BB11</f>
        <v>6366.0460186850005</v>
      </c>
      <c r="O17" s="46">
        <f>Лист1!BE11</f>
        <v>6689.1637050650015</v>
      </c>
      <c r="P17" s="46">
        <f>Лист1!BF11</f>
        <v>1641.550000000001</v>
      </c>
      <c r="Q17" s="1"/>
      <c r="R17" s="1"/>
    </row>
    <row r="18" spans="1:18" s="22" customFormat="1" ht="13.5" hidden="1" thickBot="1">
      <c r="A18" s="48" t="s">
        <v>3</v>
      </c>
      <c r="B18" s="49"/>
      <c r="C18" s="54">
        <f aca="true" t="shared" si="0" ref="C18:O18">SUM(C15:C17)</f>
        <v>32294.775</v>
      </c>
      <c r="D18" s="54">
        <f t="shared" si="0"/>
        <v>7773.459991750001</v>
      </c>
      <c r="E18" s="54">
        <f t="shared" si="0"/>
        <v>20601.8</v>
      </c>
      <c r="F18" s="54">
        <f t="shared" si="0"/>
        <v>5849.049999999999</v>
      </c>
      <c r="G18" s="54">
        <f t="shared" si="0"/>
        <v>12746.7</v>
      </c>
      <c r="H18" s="54">
        <f t="shared" si="0"/>
        <v>26369.20999175</v>
      </c>
      <c r="I18" s="54">
        <f t="shared" si="0"/>
        <v>2240.1</v>
      </c>
      <c r="J18" s="54">
        <f t="shared" si="0"/>
        <v>3748.9885492</v>
      </c>
      <c r="K18" s="54">
        <f t="shared" si="0"/>
        <v>13143.514117385</v>
      </c>
      <c r="L18" s="54">
        <f t="shared" si="0"/>
        <v>3210.7799999999997</v>
      </c>
      <c r="M18" s="54">
        <f t="shared" si="0"/>
        <v>0</v>
      </c>
      <c r="N18" s="54">
        <f t="shared" si="0"/>
        <v>22343.382666585</v>
      </c>
      <c r="O18" s="54">
        <f t="shared" si="0"/>
        <v>4025.8273251650007</v>
      </c>
      <c r="P18" s="54">
        <f>SUM(P15:P17)</f>
        <v>-7855.0999999999985</v>
      </c>
      <c r="Q18" s="55"/>
      <c r="R18" s="55"/>
    </row>
    <row r="19" spans="1:18" ht="12.75" hidden="1">
      <c r="A19" s="7" t="s">
        <v>42</v>
      </c>
      <c r="B19" s="66"/>
      <c r="C19" s="56"/>
      <c r="D19" s="57"/>
      <c r="E19" s="58"/>
      <c r="F19" s="59"/>
      <c r="G19" s="60"/>
      <c r="H19" s="162"/>
      <c r="I19" s="61"/>
      <c r="J19" s="58"/>
      <c r="K19" s="58"/>
      <c r="L19" s="67"/>
      <c r="M19" s="67"/>
      <c r="N19" s="163"/>
      <c r="O19" s="68"/>
      <c r="P19" s="68"/>
      <c r="Q19" s="1"/>
      <c r="R19" s="1"/>
    </row>
    <row r="20" spans="1:18" ht="12.75" hidden="1">
      <c r="A20" s="12" t="s">
        <v>43</v>
      </c>
      <c r="B20" s="13">
        <f>Лист1!B14</f>
        <v>1244.5</v>
      </c>
      <c r="C20" s="42">
        <f>Лист1!C14</f>
        <v>10764.925000000001</v>
      </c>
      <c r="D20" s="43">
        <f>Лист1!D14</f>
        <v>1345.6156250000001</v>
      </c>
      <c r="E20" s="14">
        <f>Лист1!S14</f>
        <v>6538.7</v>
      </c>
      <c r="F20" s="16">
        <f>Лист1!T14</f>
        <v>1927.7200000000003</v>
      </c>
      <c r="G20" s="44">
        <f>Лист1!AB14</f>
        <v>3177.08</v>
      </c>
      <c r="H20" s="160">
        <f>Лист1!AC14</f>
        <v>6450.415625000001</v>
      </c>
      <c r="I20" s="45">
        <f>Лист1!AG14</f>
        <v>672.03</v>
      </c>
      <c r="J20" s="14">
        <f>Лист1!AI14+Лист1!AJ14</f>
        <v>1082.1948445</v>
      </c>
      <c r="K20" s="14">
        <f>Лист1!AH14+Лист1!AK14+Лист1!AL14+Лист1!AM14+Лист1!AN14+Лист1!AO14+Лист1!AP14+Лист1!AQ14+Лист1!AR14</f>
        <v>3716.64894731</v>
      </c>
      <c r="L20" s="15">
        <f>Лист1!AS14+Лист1!AT14+Лист1!AU14</f>
        <v>0</v>
      </c>
      <c r="M20" s="15">
        <f>Лист1!AX14</f>
        <v>0</v>
      </c>
      <c r="N20" s="161">
        <f>Лист1!BB14</f>
        <v>5470.87379181</v>
      </c>
      <c r="O20" s="46">
        <f>Лист1!BE14</f>
        <v>979.541833190001</v>
      </c>
      <c r="P20" s="46">
        <f>Лист1!BF14</f>
        <v>-3361.62</v>
      </c>
      <c r="Q20" s="1"/>
      <c r="R20" s="1"/>
    </row>
    <row r="21" spans="1:18" ht="12.75" hidden="1">
      <c r="A21" s="12" t="s">
        <v>44</v>
      </c>
      <c r="B21" s="13">
        <f>Лист1!B15</f>
        <v>1244.5</v>
      </c>
      <c r="C21" s="42">
        <f>Лист1!C15</f>
        <v>10764.925000000001</v>
      </c>
      <c r="D21" s="43">
        <f>Лист1!D15</f>
        <v>1345.6156250000001</v>
      </c>
      <c r="E21" s="14">
        <f>Лист1!S15</f>
        <v>6896.0599999999995</v>
      </c>
      <c r="F21" s="16">
        <f>Лист1!T15</f>
        <v>1927.7200000000003</v>
      </c>
      <c r="G21" s="44">
        <f>Лист1!AB15</f>
        <v>5106.17</v>
      </c>
      <c r="H21" s="160">
        <f>Лист1!AC15</f>
        <v>8379.505625000002</v>
      </c>
      <c r="I21" s="45">
        <f>Лист1!AG15</f>
        <v>672.03</v>
      </c>
      <c r="J21" s="14">
        <f>Лист1!AI15+Лист1!AJ15</f>
        <v>1082.2184445</v>
      </c>
      <c r="K21" s="14">
        <f>Лист1!AH15+Лист1!AK15+Лист1!AL15+Лист1!AM15+Лист1!AN15+Лист1!AO15+Лист1!AP15+Лист1!AQ15+Лист1!AR15</f>
        <v>3722.0143601599993</v>
      </c>
      <c r="L21" s="15">
        <f>Лист1!AS15+Лист1!AT15+Лист1!AU15</f>
        <v>3038.5</v>
      </c>
      <c r="M21" s="15">
        <f>Лист1!AX15</f>
        <v>0</v>
      </c>
      <c r="N21" s="161">
        <f>Лист1!BB15</f>
        <v>8514.76280466</v>
      </c>
      <c r="O21" s="46">
        <f>Лист1!BE15</f>
        <v>-135.25717965999866</v>
      </c>
      <c r="P21" s="46">
        <f>Лист1!BF15</f>
        <v>-1789.8899999999994</v>
      </c>
      <c r="Q21" s="1"/>
      <c r="R21" s="1"/>
    </row>
    <row r="22" spans="1:18" ht="12.75" hidden="1">
      <c r="A22" s="12" t="s">
        <v>45</v>
      </c>
      <c r="B22" s="13">
        <f>Лист1!B16</f>
        <v>1244.5</v>
      </c>
      <c r="C22" s="42">
        <f>Лист1!C16</f>
        <v>10764.925000000001</v>
      </c>
      <c r="D22" s="43">
        <f>Лист1!D16</f>
        <v>1345.6156250000001</v>
      </c>
      <c r="E22" s="14">
        <f>Лист1!S16</f>
        <v>7458.96</v>
      </c>
      <c r="F22" s="16">
        <f>Лист1!T16</f>
        <v>1445.9400000000003</v>
      </c>
      <c r="G22" s="44">
        <f>Лист1!AB16</f>
        <v>7453.25</v>
      </c>
      <c r="H22" s="160">
        <f>Лист1!AC16</f>
        <v>10244.805625</v>
      </c>
      <c r="I22" s="45">
        <f>Лист1!AG16</f>
        <v>672.03</v>
      </c>
      <c r="J22" s="14">
        <f>Лист1!AI16+Лист1!AJ16</f>
        <v>1082.84256125</v>
      </c>
      <c r="K22" s="14">
        <f>Лист1!AH16+Лист1!AK16+Лист1!AL16+Лист1!AM16+Лист1!AN16+Лист1!AO16+Лист1!AP16+Лист1!AQ16+Лист1!AR16</f>
        <v>3598.2066466099996</v>
      </c>
      <c r="L22" s="15">
        <f>Лист1!AS16+Лист1!AT16+Лист1!AU16</f>
        <v>5996.76</v>
      </c>
      <c r="M22" s="15">
        <f>Лист1!AX16</f>
        <v>0</v>
      </c>
      <c r="N22" s="161">
        <f>Лист1!BB16</f>
        <v>11349.839207859999</v>
      </c>
      <c r="O22" s="46">
        <f>Лист1!BE16</f>
        <v>-1105.0335828599982</v>
      </c>
      <c r="P22" s="46">
        <f>Лист1!BF16</f>
        <v>-5.710000000000036</v>
      </c>
      <c r="Q22" s="1"/>
      <c r="R22" s="1"/>
    </row>
    <row r="23" spans="1:18" ht="12.75" hidden="1">
      <c r="A23" s="12" t="s">
        <v>46</v>
      </c>
      <c r="B23" s="13">
        <f>Лист1!B17</f>
        <v>1244.5</v>
      </c>
      <c r="C23" s="42">
        <f>Лист1!C17</f>
        <v>10764.925000000001</v>
      </c>
      <c r="D23" s="43">
        <f>Лист1!D17</f>
        <v>1345.6156250000001</v>
      </c>
      <c r="E23" s="14">
        <f>Лист1!S17</f>
        <v>7059.58</v>
      </c>
      <c r="F23" s="16">
        <f>Лист1!T17</f>
        <v>1773.75</v>
      </c>
      <c r="G23" s="44">
        <f>Лист1!AB17</f>
        <v>5766.45</v>
      </c>
      <c r="H23" s="160">
        <f>Лист1!AC17</f>
        <v>8885.815625</v>
      </c>
      <c r="I23" s="45">
        <f>Лист1!AG17</f>
        <v>672.03</v>
      </c>
      <c r="J23" s="14">
        <f>Лист1!AI17+Лист1!AJ17</f>
        <v>1115.1718089</v>
      </c>
      <c r="K23" s="14">
        <f>Лист1!AH17+Лист1!AK17+Лист1!AL17+Лист1!AM17+Лист1!AN17+Лист1!AO17+Лист1!AP17+Лист1!AQ17+Лист1!AR17</f>
        <v>3649.18930652</v>
      </c>
      <c r="L23" s="15">
        <f>Лист1!AS17+Лист1!AT17+Лист1!AU17</f>
        <v>365.8</v>
      </c>
      <c r="M23" s="15">
        <f>Лист1!AX17</f>
        <v>1272.7</v>
      </c>
      <c r="N23" s="161">
        <f>Лист1!BB17</f>
        <v>7074.89111542</v>
      </c>
      <c r="O23" s="46">
        <f>Лист1!BE17</f>
        <v>1810.9245095799997</v>
      </c>
      <c r="P23" s="46">
        <f>Лист1!BF17</f>
        <v>-1293.13</v>
      </c>
      <c r="Q23" s="1"/>
      <c r="R23" s="1"/>
    </row>
    <row r="24" spans="1:18" ht="12.75" hidden="1">
      <c r="A24" s="12" t="s">
        <v>47</v>
      </c>
      <c r="B24" s="13">
        <f>Лист1!B18</f>
        <v>1244.5</v>
      </c>
      <c r="C24" s="42">
        <f>Лист1!C18</f>
        <v>10764.925000000001</v>
      </c>
      <c r="D24" s="43">
        <f>Лист1!D18</f>
        <v>1027.2150000000026</v>
      </c>
      <c r="E24" s="14">
        <f>Лист1!S18</f>
        <v>7738.26</v>
      </c>
      <c r="F24" s="16">
        <f>Лист1!T18</f>
        <v>1999.4500000000003</v>
      </c>
      <c r="G24" s="44">
        <f>Лист1!AB18</f>
        <v>7021.599999999999</v>
      </c>
      <c r="H24" s="160">
        <f>Лист1!AC18</f>
        <v>10048.265000000003</v>
      </c>
      <c r="I24" s="45">
        <f>Лист1!AG18</f>
        <v>746.6999999999999</v>
      </c>
      <c r="J24" s="14">
        <f>Лист1!AI18+Лист1!AJ18</f>
        <v>1248.2335</v>
      </c>
      <c r="K24" s="14">
        <f>Лист1!AH18+Лист1!AK18+Лист1!AL18+Лист1!AM18+Лист1!AN18+Лист1!AO18+Лист1!AP18+Лист1!AQ18+Лист1!AR18</f>
        <v>4275.1064</v>
      </c>
      <c r="L24" s="15">
        <f>Лист1!AS18+Лист1!AT18+Лист1!AU18</f>
        <v>0</v>
      </c>
      <c r="M24" s="15">
        <f>Лист1!AX18</f>
        <v>208.54847999999998</v>
      </c>
      <c r="N24" s="161">
        <f>Лист1!BB18</f>
        <v>6478.58838</v>
      </c>
      <c r="O24" s="46">
        <f>Лист1!BE18</f>
        <v>3569.676620000003</v>
      </c>
      <c r="P24" s="46">
        <f>Лист1!BF18</f>
        <v>-716.6600000000008</v>
      </c>
      <c r="Q24" s="1"/>
      <c r="R24" s="1"/>
    </row>
    <row r="25" spans="1:18" ht="12.75" hidden="1">
      <c r="A25" s="12" t="s">
        <v>48</v>
      </c>
      <c r="B25" s="13">
        <f>Лист1!B19</f>
        <v>1244.5</v>
      </c>
      <c r="C25" s="42">
        <f>Лист1!C19</f>
        <v>10764.925000000001</v>
      </c>
      <c r="D25" s="43">
        <f>Лист1!D19</f>
        <v>1027.2150000000026</v>
      </c>
      <c r="E25" s="14">
        <f>Лист1!S19</f>
        <v>7738.26</v>
      </c>
      <c r="F25" s="16">
        <f>Лист1!T19</f>
        <v>1999.4500000000003</v>
      </c>
      <c r="G25" s="44">
        <f>Лист1!AB19</f>
        <v>8094.790000000001</v>
      </c>
      <c r="H25" s="160">
        <f>Лист1!AC19</f>
        <v>11121.455000000004</v>
      </c>
      <c r="I25" s="45">
        <f>Лист1!AG19</f>
        <v>746.6999999999999</v>
      </c>
      <c r="J25" s="14">
        <f>Лист1!AI19+Лист1!AJ19</f>
        <v>1248.2335</v>
      </c>
      <c r="K25" s="14">
        <f>Лист1!AH19+Лист1!AK19+Лист1!AL19+Лист1!AM19+Лист1!AN19+Лист1!AO19+Лист1!AP19+Лист1!AQ19+Лист1!AR19</f>
        <v>4275.218405</v>
      </c>
      <c r="L25" s="15">
        <f>Лист1!AS19+Лист1!AT19+Лист1!AU19</f>
        <v>0</v>
      </c>
      <c r="M25" s="15">
        <f>Лист1!AX19</f>
        <v>184.75967999999997</v>
      </c>
      <c r="N25" s="161">
        <f>Лист1!BB19</f>
        <v>6454.911584999999</v>
      </c>
      <c r="O25" s="46">
        <f>Лист1!BE19</f>
        <v>4666.543415000005</v>
      </c>
      <c r="P25" s="46">
        <f>Лист1!BF19</f>
        <v>356.53000000000065</v>
      </c>
      <c r="Q25" s="1"/>
      <c r="R25" s="1"/>
    </row>
    <row r="26" spans="1:18" ht="12.75" hidden="1">
      <c r="A26" s="12" t="s">
        <v>49</v>
      </c>
      <c r="B26" s="13">
        <f>Лист1!B20</f>
        <v>1244.5</v>
      </c>
      <c r="C26" s="42">
        <f>Лист1!C20</f>
        <v>10764.925000000001</v>
      </c>
      <c r="D26" s="43">
        <f>Лист1!D20</f>
        <v>1019.0650000000022</v>
      </c>
      <c r="E26" s="14">
        <f>Лист1!S20</f>
        <v>7783.84</v>
      </c>
      <c r="F26" s="16">
        <f>Лист1!T20</f>
        <v>1962.0200000000002</v>
      </c>
      <c r="G26" s="44">
        <f>Лист1!AB20</f>
        <v>6458.400000000001</v>
      </c>
      <c r="H26" s="160">
        <f>Лист1!AC20</f>
        <v>9439.485000000002</v>
      </c>
      <c r="I26" s="45">
        <f>Лист1!AG20</f>
        <v>746.6999999999999</v>
      </c>
      <c r="J26" s="14">
        <f>Лист1!AI20+Лист1!AJ20</f>
        <v>1230.3837609500001</v>
      </c>
      <c r="K26" s="14">
        <f>Лист1!AH20+Лист1!AK20+Лист1!AL20+Лист1!AM20+Лист1!AN20+Лист1!AO20+Лист1!AP20+Лист1!AQ20+Лист1!AR20</f>
        <v>4232.9515986999995</v>
      </c>
      <c r="L26" s="15">
        <f>Лист1!AS20+Лист1!AT20+Лист1!AU20</f>
        <v>0</v>
      </c>
      <c r="M26" s="15">
        <f>Лист1!AX20</f>
        <v>196.65408</v>
      </c>
      <c r="N26" s="161">
        <f>Лист1!BB20</f>
        <v>6406.689439649999</v>
      </c>
      <c r="O26" s="46">
        <f>Лист1!BE20</f>
        <v>3032.795560350003</v>
      </c>
      <c r="P26" s="46">
        <f>Лист1!BF20</f>
        <v>-1325.4399999999996</v>
      </c>
      <c r="Q26" s="1"/>
      <c r="R26" s="1"/>
    </row>
    <row r="27" spans="1:18" ht="12.75" hidden="1">
      <c r="A27" s="12" t="s">
        <v>50</v>
      </c>
      <c r="B27" s="13">
        <f>Лист1!B21</f>
        <v>1244.5</v>
      </c>
      <c r="C27" s="42">
        <f>Лист1!C21</f>
        <v>10764.925000000001</v>
      </c>
      <c r="D27" s="43">
        <f>Лист1!D21</f>
        <v>1019.055000000002</v>
      </c>
      <c r="E27" s="14">
        <f>Лист1!S21</f>
        <v>7783.85</v>
      </c>
      <c r="F27" s="16">
        <f>Лист1!T21</f>
        <v>1962.0200000000002</v>
      </c>
      <c r="G27" s="44">
        <f>Лист1!AB21</f>
        <v>4416.290000000001</v>
      </c>
      <c r="H27" s="160">
        <f>Лист1!AC21</f>
        <v>7397.365000000003</v>
      </c>
      <c r="I27" s="45">
        <f>Лист1!AG21</f>
        <v>746.6999999999999</v>
      </c>
      <c r="J27" s="14">
        <f>Лист1!AI21+Лист1!AJ21</f>
        <v>1229.8345382100001</v>
      </c>
      <c r="K27" s="14">
        <f>Лист1!AH21+Лист1!AK21+Лист1!AL21+Лист1!AM21+Лист1!AN21+Лист1!AO21+Лист1!AP21+Лист1!AQ21+Лист1!AR21</f>
        <v>4232.069101</v>
      </c>
      <c r="L27" s="15">
        <f>Лист1!AS21+Лист1!AT21+Лист1!AU21</f>
        <v>179.36</v>
      </c>
      <c r="M27" s="15">
        <f>Лист1!AX21</f>
        <v>232.33727999999996</v>
      </c>
      <c r="N27" s="161">
        <f>Лист1!BB21</f>
        <v>6620.30091921</v>
      </c>
      <c r="O27" s="46">
        <f>Лист1!BE21</f>
        <v>777.0640807900036</v>
      </c>
      <c r="P27" s="46">
        <f>Лист1!BF21</f>
        <v>-3367.5599999999995</v>
      </c>
      <c r="Q27" s="1"/>
      <c r="R27" s="1"/>
    </row>
    <row r="28" spans="1:18" ht="12.75" hidden="1">
      <c r="A28" s="12" t="s">
        <v>51</v>
      </c>
      <c r="B28" s="13">
        <f>Лист1!B22</f>
        <v>1244.5</v>
      </c>
      <c r="C28" s="42">
        <f>Лист1!C22</f>
        <v>10764.925000000001</v>
      </c>
      <c r="D28" s="43">
        <f>Лист1!D22</f>
        <v>1019.0650000000022</v>
      </c>
      <c r="E28" s="14">
        <f>Лист1!S22</f>
        <v>7783.84</v>
      </c>
      <c r="F28" s="16">
        <f>Лист1!T22</f>
        <v>1962.0200000000002</v>
      </c>
      <c r="G28" s="44">
        <f>Лист1!AB22</f>
        <v>8914.839999999998</v>
      </c>
      <c r="H28" s="160">
        <f>Лист1!AC22</f>
        <v>11895.925000000001</v>
      </c>
      <c r="I28" s="45">
        <f>Лист1!AG22</f>
        <v>746.6999999999999</v>
      </c>
      <c r="J28" s="14">
        <f>Лист1!AI22+Лист1!AJ22</f>
        <v>1229.6223385150001</v>
      </c>
      <c r="K28" s="14">
        <f>Лист1!AH22+Лист1!AK22+Лист1!AL22+Лист1!AM22+Лист1!AN22+Лист1!AO22+Лист1!AP22+Лист1!AQ22+Лист1!AR22</f>
        <v>4231.513001153</v>
      </c>
      <c r="L28" s="15">
        <f>Лист1!AS22+Лист1!AT22+Лист1!AU22</f>
        <v>0</v>
      </c>
      <c r="M28" s="15">
        <f>Лист1!AX22</f>
        <v>276.74304</v>
      </c>
      <c r="N28" s="161">
        <f>Лист1!BB22</f>
        <v>6484.578379668001</v>
      </c>
      <c r="O28" s="46">
        <f>Лист1!BE22</f>
        <v>5411.346620332</v>
      </c>
      <c r="P28" s="46">
        <f>Лист1!BF22</f>
        <v>1130.9999999999982</v>
      </c>
      <c r="Q28" s="1"/>
      <c r="R28" s="1"/>
    </row>
    <row r="29" spans="1:18" ht="12.75" hidden="1">
      <c r="A29" s="12" t="s">
        <v>39</v>
      </c>
      <c r="B29" s="13">
        <f>Лист1!B23</f>
        <v>1244.5</v>
      </c>
      <c r="C29" s="42">
        <f>Лист1!C23</f>
        <v>10764.925000000001</v>
      </c>
      <c r="D29" s="43">
        <f>Лист1!D23</f>
        <v>1019.0650000000022</v>
      </c>
      <c r="E29" s="14">
        <f>Лист1!S23</f>
        <v>7783.84</v>
      </c>
      <c r="F29" s="16">
        <f>Лист1!T23</f>
        <v>1962.0200000000002</v>
      </c>
      <c r="G29" s="44">
        <f>Лист1!AB23</f>
        <v>8395.44</v>
      </c>
      <c r="H29" s="160">
        <f>Лист1!AC23</f>
        <v>11376.525000000003</v>
      </c>
      <c r="I29" s="45">
        <f>Лист1!AG23</f>
        <v>746.6999999999999</v>
      </c>
      <c r="J29" s="14">
        <f>Лист1!AI23+Лист1!AJ23</f>
        <v>1243.82797</v>
      </c>
      <c r="K29" s="14">
        <f>Лист1!AH23+Лист1!AK23+Лист1!AL23+Лист1!AM23+Лист1!AN23+Лист1!AO23+Лист1!AP23+Лист1!AQ23+Лист1!AR23</f>
        <v>4267.8883</v>
      </c>
      <c r="L29" s="15">
        <f>Лист1!AS23+Лист1!AT23+Лист1!AU23</f>
        <v>0</v>
      </c>
      <c r="M29" s="15">
        <f>Лист1!AX23</f>
        <v>337.008</v>
      </c>
      <c r="N29" s="161">
        <f>Лист1!BB23</f>
        <v>6595.4242699999995</v>
      </c>
      <c r="O29" s="46">
        <f>Лист1!BE23</f>
        <v>4781.100730000004</v>
      </c>
      <c r="P29" s="46">
        <f>Лист1!BF23</f>
        <v>611.6000000000004</v>
      </c>
      <c r="Q29" s="1"/>
      <c r="R29" s="1"/>
    </row>
    <row r="30" spans="1:18" ht="12.75" hidden="1">
      <c r="A30" s="12" t="s">
        <v>40</v>
      </c>
      <c r="B30" s="13">
        <f>Лист1!B24</f>
        <v>1244.5</v>
      </c>
      <c r="C30" s="42">
        <f>Лист1!C24</f>
        <v>10764.925000000001</v>
      </c>
      <c r="D30" s="43">
        <f>Лист1!D24</f>
        <v>1019.0650000000022</v>
      </c>
      <c r="E30" s="14">
        <f>Лист1!S24</f>
        <v>7783.84</v>
      </c>
      <c r="F30" s="16">
        <f>Лист1!T24</f>
        <v>1962.0200000000002</v>
      </c>
      <c r="G30" s="44">
        <f>Лист1!AB24</f>
        <v>9210.939999999999</v>
      </c>
      <c r="H30" s="160">
        <f>Лист1!AC24</f>
        <v>12192.025000000001</v>
      </c>
      <c r="I30" s="45">
        <f>Лист1!AG24</f>
        <v>746.6999999999999</v>
      </c>
      <c r="J30" s="14">
        <f>Лист1!AI24+Лист1!AJ24</f>
        <v>1248.2335</v>
      </c>
      <c r="K30" s="14">
        <f>Лист1!AH24+Лист1!AK24+Лист1!AL24+Лист1!AM24+Лист1!AN24+Лист1!AO24+Лист1!AP24+Лист1!AQ24+Лист1!AR24</f>
        <v>4272.6174</v>
      </c>
      <c r="L30" s="15">
        <f>Лист1!AS24+Лист1!AT24+Лист1!AU24</f>
        <v>2015.44</v>
      </c>
      <c r="M30" s="15">
        <f>Лист1!AX24</f>
        <v>372.69120000000004</v>
      </c>
      <c r="N30" s="161">
        <f>Лист1!BB24</f>
        <v>8655.6821</v>
      </c>
      <c r="O30" s="46">
        <f>Лист1!BE24</f>
        <v>3536.3429000000015</v>
      </c>
      <c r="P30" s="46">
        <f>Лист1!BF24</f>
        <v>1427.0999999999985</v>
      </c>
      <c r="Q30" s="1"/>
      <c r="R30" s="1"/>
    </row>
    <row r="31" spans="1:18" ht="13.5" hidden="1" thickBot="1">
      <c r="A31" s="47" t="s">
        <v>41</v>
      </c>
      <c r="B31" s="13">
        <f>Лист1!B25</f>
        <v>1244.5</v>
      </c>
      <c r="C31" s="42">
        <f>Лист1!C25</f>
        <v>10764.925000000001</v>
      </c>
      <c r="D31" s="43">
        <f>Лист1!D25</f>
        <v>1019.0650000000022</v>
      </c>
      <c r="E31" s="14">
        <f>Лист1!S25</f>
        <v>7783.84</v>
      </c>
      <c r="F31" s="16">
        <f>Лист1!T25</f>
        <v>1962.0200000000002</v>
      </c>
      <c r="G31" s="44">
        <f>Лист1!AB25</f>
        <v>9934.19</v>
      </c>
      <c r="H31" s="160">
        <f>Лист1!AC25</f>
        <v>12915.275000000003</v>
      </c>
      <c r="I31" s="45">
        <f>Лист1!AG25</f>
        <v>746.6999999999999</v>
      </c>
      <c r="J31" s="14">
        <f>Лист1!AI25+Лист1!AJ25</f>
        <v>1248.2335</v>
      </c>
      <c r="K31" s="14">
        <f>Лист1!AH25+Лист1!AK25+Лист1!AL25+Лист1!AM25+Лист1!AN25+Лист1!AO25+Лист1!AP25+Лист1!AQ25+Лист1!AR25</f>
        <v>4272.6174</v>
      </c>
      <c r="L31" s="15">
        <f>Лист1!AS25+Лист1!AT25+Лист1!AU25</f>
        <v>0</v>
      </c>
      <c r="M31" s="15">
        <f>Лист1!AX25</f>
        <v>407.58144</v>
      </c>
      <c r="N31" s="161">
        <f>Лист1!BB25</f>
        <v>6675.13234</v>
      </c>
      <c r="O31" s="46">
        <f>Лист1!BE25</f>
        <v>6240.142660000003</v>
      </c>
      <c r="P31" s="46">
        <f>Лист1!BF25</f>
        <v>2150.3500000000004</v>
      </c>
      <c r="Q31" s="1"/>
      <c r="R31" s="1"/>
    </row>
    <row r="32" spans="1:18" s="22" customFormat="1" ht="13.5" hidden="1" thickBot="1">
      <c r="A32" s="48" t="s">
        <v>3</v>
      </c>
      <c r="B32" s="49"/>
      <c r="C32" s="50">
        <f aca="true" t="shared" si="1" ref="C32:P32">SUM(C20:C31)</f>
        <v>129179.10000000002</v>
      </c>
      <c r="D32" s="51">
        <f t="shared" si="1"/>
        <v>13551.27250000002</v>
      </c>
      <c r="E32" s="50">
        <f t="shared" si="1"/>
        <v>90132.87</v>
      </c>
      <c r="F32" s="52">
        <f t="shared" si="1"/>
        <v>22846.150000000005</v>
      </c>
      <c r="G32" s="53">
        <f t="shared" si="1"/>
        <v>83949.44</v>
      </c>
      <c r="H32" s="50">
        <f t="shared" si="1"/>
        <v>120346.86250000003</v>
      </c>
      <c r="I32" s="51">
        <f t="shared" si="1"/>
        <v>8661.72</v>
      </c>
      <c r="J32" s="50">
        <f t="shared" si="1"/>
        <v>14289.030266825002</v>
      </c>
      <c r="K32" s="50">
        <f t="shared" si="1"/>
        <v>48746.040866453004</v>
      </c>
      <c r="L32" s="50">
        <f t="shared" si="1"/>
        <v>11595.86</v>
      </c>
      <c r="M32" s="50">
        <f t="shared" si="1"/>
        <v>3489.0231999999996</v>
      </c>
      <c r="N32" s="52">
        <f t="shared" si="1"/>
        <v>86781.674333278</v>
      </c>
      <c r="O32" s="54">
        <f t="shared" si="1"/>
        <v>33565.18816672203</v>
      </c>
      <c r="P32" s="54">
        <f t="shared" si="1"/>
        <v>-6183.430000000002</v>
      </c>
      <c r="Q32" s="55"/>
      <c r="R32" s="55"/>
    </row>
    <row r="33" spans="1:18" ht="13.5" thickBot="1">
      <c r="A33" s="164" t="s">
        <v>85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6"/>
      <c r="P33" s="167"/>
      <c r="Q33" s="1"/>
      <c r="R33" s="1"/>
    </row>
    <row r="34" spans="1:18" s="22" customFormat="1" ht="13.5" thickBot="1">
      <c r="A34" s="62" t="s">
        <v>52</v>
      </c>
      <c r="B34" s="63"/>
      <c r="C34" s="64">
        <f>C18+C32</f>
        <v>161473.87500000003</v>
      </c>
      <c r="D34" s="168">
        <f aca="true" t="shared" si="2" ref="D34:P34">D18+D32</f>
        <v>21324.73249175002</v>
      </c>
      <c r="E34" s="63">
        <f t="shared" si="2"/>
        <v>110734.67</v>
      </c>
      <c r="F34" s="64">
        <f t="shared" si="2"/>
        <v>28695.200000000004</v>
      </c>
      <c r="G34" s="168">
        <f t="shared" si="2"/>
        <v>96696.14</v>
      </c>
      <c r="H34" s="64">
        <f t="shared" si="2"/>
        <v>146716.07249175003</v>
      </c>
      <c r="I34" s="168">
        <f t="shared" si="2"/>
        <v>10901.82</v>
      </c>
      <c r="J34" s="63">
        <f t="shared" si="2"/>
        <v>18038.018816025004</v>
      </c>
      <c r="K34" s="63">
        <f t="shared" si="2"/>
        <v>61889.554983838</v>
      </c>
      <c r="L34" s="63">
        <f t="shared" si="2"/>
        <v>14806.64</v>
      </c>
      <c r="M34" s="63">
        <f t="shared" si="2"/>
        <v>3489.0231999999996</v>
      </c>
      <c r="N34" s="78">
        <f t="shared" si="2"/>
        <v>109125.05699986301</v>
      </c>
      <c r="O34" s="169">
        <f t="shared" si="2"/>
        <v>37591.01549188703</v>
      </c>
      <c r="P34" s="169">
        <f t="shared" si="2"/>
        <v>-14038.53</v>
      </c>
      <c r="Q34" s="65"/>
      <c r="R34" s="55"/>
    </row>
    <row r="35" spans="1:18" ht="12.75">
      <c r="A35" s="7" t="s">
        <v>71</v>
      </c>
      <c r="B35" s="66"/>
      <c r="C35" s="56"/>
      <c r="D35" s="57"/>
      <c r="E35" s="58"/>
      <c r="F35" s="59"/>
      <c r="G35" s="60"/>
      <c r="H35" s="162"/>
      <c r="I35" s="61"/>
      <c r="J35" s="58"/>
      <c r="K35" s="58"/>
      <c r="L35" s="67"/>
      <c r="M35" s="67"/>
      <c r="N35" s="163"/>
      <c r="O35" s="68"/>
      <c r="P35" s="68"/>
      <c r="Q35" s="1"/>
      <c r="R35" s="1"/>
    </row>
    <row r="36" spans="1:18" ht="12.75">
      <c r="A36" s="12" t="s">
        <v>43</v>
      </c>
      <c r="B36" s="13">
        <f>Лист1!B30</f>
        <v>1244.5</v>
      </c>
      <c r="C36" s="42">
        <f>Лист1!C30</f>
        <v>10764.925000000001</v>
      </c>
      <c r="D36" s="43">
        <f>Лист1!D30</f>
        <v>1019.0650000000022</v>
      </c>
      <c r="E36" s="14">
        <f>Лист1!S30</f>
        <v>7783.84</v>
      </c>
      <c r="F36" s="16">
        <f>Лист1!T30</f>
        <v>1962.0200000000002</v>
      </c>
      <c r="G36" s="44">
        <f>Лист1!AB30</f>
        <v>6079.45</v>
      </c>
      <c r="H36" s="160">
        <f>Лист1!AC30</f>
        <v>9060.535000000002</v>
      </c>
      <c r="I36" s="45">
        <f>Лист1!AG30</f>
        <v>746.6999999999999</v>
      </c>
      <c r="J36" s="14">
        <f>Лист1!AI30+Лист1!AJ30</f>
        <v>1244.5</v>
      </c>
      <c r="K36" s="14">
        <f>Лист1!AH30+Лист1!AK30+Лист1!AL30+Лист1!AM30+Лист1!AN30+Лист1!AO30+Лист1!AP30+Лист1!AQ30+Лист1!AR30</f>
        <v>4268.635</v>
      </c>
      <c r="L36" s="15">
        <f>Лист1!AS30+Лист1!AT30+Лист1!AU30</f>
        <v>152</v>
      </c>
      <c r="M36" s="15">
        <f>Лист1!AX30</f>
        <v>426.71999999999997</v>
      </c>
      <c r="N36" s="161">
        <f>Лист1!BB30</f>
        <v>6838.555</v>
      </c>
      <c r="O36" s="46">
        <f>Лист1!BE30</f>
        <v>2221.9800000000014</v>
      </c>
      <c r="P36" s="46">
        <f>Лист1!BF30</f>
        <v>-1704.3900000000003</v>
      </c>
      <c r="Q36" s="1"/>
      <c r="R36" s="1"/>
    </row>
    <row r="37" spans="1:18" ht="12.75">
      <c r="A37" s="12" t="s">
        <v>44</v>
      </c>
      <c r="B37" s="13">
        <f>Лист1!B31</f>
        <v>1244.5</v>
      </c>
      <c r="C37" s="42">
        <f>Лист1!C31</f>
        <v>10764.925000000001</v>
      </c>
      <c r="D37" s="43">
        <f>Лист1!D31</f>
        <v>1019.0650000000022</v>
      </c>
      <c r="E37" s="14">
        <f>Лист1!S31</f>
        <v>7783.84</v>
      </c>
      <c r="F37" s="16">
        <f>Лист1!T31</f>
        <v>1962.0200000000002</v>
      </c>
      <c r="G37" s="44">
        <f>Лист1!AB31</f>
        <v>4941.530000000001</v>
      </c>
      <c r="H37" s="160">
        <f>Лист1!AC31</f>
        <v>7922.615000000003</v>
      </c>
      <c r="I37" s="45">
        <f>Лист1!AG31</f>
        <v>746.6999999999999</v>
      </c>
      <c r="J37" s="14">
        <f>Лист1!AI31+Лист1!AJ31</f>
        <v>1244.5</v>
      </c>
      <c r="K37" s="14">
        <f>Лист1!AH31+Лист1!AK31+Лист1!AL31+Лист1!AM31+Лист1!AN31+Лист1!AO31+Лист1!AP31+Лист1!AQ31+Лист1!AR31</f>
        <v>6083.035</v>
      </c>
      <c r="L37" s="15">
        <f>Лист1!AS31+Лист1!AT31+Лист1!AU31</f>
        <v>800</v>
      </c>
      <c r="M37" s="15">
        <f>Лист1!AX31</f>
        <v>341.87999999999994</v>
      </c>
      <c r="N37" s="161">
        <f>Лист1!BB31</f>
        <v>9216.115</v>
      </c>
      <c r="O37" s="46">
        <f>Лист1!BE31</f>
        <v>-1293.4999999999964</v>
      </c>
      <c r="P37" s="46">
        <f>Лист1!BF31</f>
        <v>-2842.3099999999995</v>
      </c>
      <c r="Q37" s="1"/>
      <c r="R37" s="1"/>
    </row>
    <row r="38" spans="1:18" ht="12.75">
      <c r="A38" s="12" t="s">
        <v>45</v>
      </c>
      <c r="B38" s="13">
        <f>Лист1!B32</f>
        <v>1244.5</v>
      </c>
      <c r="C38" s="42">
        <f>Лист1!C32</f>
        <v>10764.925000000001</v>
      </c>
      <c r="D38" s="43">
        <f>Лист1!D32</f>
        <v>1028.9750000000006</v>
      </c>
      <c r="E38" s="14">
        <f>Лист1!S32</f>
        <v>7777.54</v>
      </c>
      <c r="F38" s="16">
        <f>Лист1!T32</f>
        <v>1958.4099999999999</v>
      </c>
      <c r="G38" s="44">
        <f>Лист1!AB32</f>
        <v>7366.37</v>
      </c>
      <c r="H38" s="160">
        <f>Лист1!AC32</f>
        <v>10353.755000000001</v>
      </c>
      <c r="I38" s="45">
        <f>Лист1!AG32</f>
        <v>746.6999999999999</v>
      </c>
      <c r="J38" s="14">
        <f>Лист1!AI32+Лист1!AJ32</f>
        <v>1244.5</v>
      </c>
      <c r="K38" s="14">
        <f>Лист1!AH32+Лист1!AK32+Лист1!AL32+Лист1!AM32+Лист1!AN32+Лист1!AO32+Лист1!AP32+Лист1!AQ32+Лист1!AR32</f>
        <v>11252.635</v>
      </c>
      <c r="L38" s="15">
        <f>Лист1!AS32+Лист1!AT32+Лист1!AU32</f>
        <v>0</v>
      </c>
      <c r="M38" s="15">
        <f>Лист1!AX32</f>
        <v>321.71999999999997</v>
      </c>
      <c r="N38" s="161">
        <f>Лист1!BB32</f>
        <v>13565.554999999998</v>
      </c>
      <c r="O38" s="46">
        <f>Лист1!BE32</f>
        <v>-3211.7999999999975</v>
      </c>
      <c r="P38" s="46">
        <f>Лист1!BF32</f>
        <v>-411.1700000000001</v>
      </c>
      <c r="Q38" s="1"/>
      <c r="R38" s="1"/>
    </row>
    <row r="39" spans="1:18" ht="12.75">
      <c r="A39" s="12" t="s">
        <v>46</v>
      </c>
      <c r="B39" s="13">
        <f>Лист1!B33</f>
        <v>1244.5</v>
      </c>
      <c r="C39" s="42">
        <f>Лист1!C33</f>
        <v>10764.925000000001</v>
      </c>
      <c r="D39" s="43">
        <f>Лист1!D33</f>
        <v>957.9450000000022</v>
      </c>
      <c r="E39" s="14">
        <f>Лист1!S33</f>
        <v>8125.370000000001</v>
      </c>
      <c r="F39" s="16">
        <f>Лист1!T33</f>
        <v>1681.61</v>
      </c>
      <c r="G39" s="44">
        <f>Лист1!AB33</f>
        <v>5766.45</v>
      </c>
      <c r="H39" s="160">
        <f>Лист1!AC33</f>
        <v>8406.005000000001</v>
      </c>
      <c r="I39" s="45">
        <f>Лист1!AG33</f>
        <v>746.6999999999999</v>
      </c>
      <c r="J39" s="14">
        <f>Лист1!AI33+Лист1!AJ33</f>
        <v>1244.5</v>
      </c>
      <c r="K39" s="14">
        <f>Лист1!AH33+Лист1!AK33+Лист1!AL33+Лист1!AM33+Лист1!AN33+Лист1!AO33+Лист1!AP33+Лист1!AQ33+Лист1!AR33</f>
        <v>4268.635</v>
      </c>
      <c r="L39" s="15">
        <f>Лист1!AS33+Лист1!AT33+Лист1!AU33</f>
        <v>195</v>
      </c>
      <c r="M39" s="15">
        <f>Лист1!AX33</f>
        <v>257.88</v>
      </c>
      <c r="N39" s="161">
        <f>Лист1!BB33</f>
        <v>6712.715</v>
      </c>
      <c r="O39" s="46">
        <f>Лист1!BE33</f>
        <v>1693.2900000000009</v>
      </c>
      <c r="P39" s="46">
        <f>Лист1!BF33</f>
        <v>-2358.920000000001</v>
      </c>
      <c r="Q39" s="1"/>
      <c r="R39" s="1"/>
    </row>
    <row r="40" spans="1:18" ht="12.75">
      <c r="A40" s="12" t="s">
        <v>47</v>
      </c>
      <c r="B40" s="13">
        <f>Лист1!B34</f>
        <v>1245.9</v>
      </c>
      <c r="C40" s="42">
        <f>Лист1!C34</f>
        <v>10777.035000000002</v>
      </c>
      <c r="D40" s="43">
        <f>Лист1!D34</f>
        <v>964.9050000000027</v>
      </c>
      <c r="E40" s="14">
        <f>Лист1!S34</f>
        <v>8215.93</v>
      </c>
      <c r="F40" s="16">
        <f>Лист1!T34</f>
        <v>1596.2</v>
      </c>
      <c r="G40" s="44">
        <f>Лист1!AB34</f>
        <v>6510.35</v>
      </c>
      <c r="H40" s="160">
        <f>Лист1!AC34</f>
        <v>9071.455000000004</v>
      </c>
      <c r="I40" s="45">
        <f>Лист1!AG34</f>
        <v>747.5400000000001</v>
      </c>
      <c r="J40" s="14">
        <f>Лист1!AI34+Лист1!AJ34</f>
        <v>1245.9</v>
      </c>
      <c r="K40" s="14">
        <f>Лист1!AH34+Лист1!AK34+Лист1!AL34+Лист1!AM34+Лист1!AN34+Лист1!AO34+Лист1!AP34+Лист1!AQ34+Лист1!AR34</f>
        <v>4273.437</v>
      </c>
      <c r="L40" s="15">
        <f>Лист1!AS34+Лист1!AT34+Лист1!AU34</f>
        <v>0</v>
      </c>
      <c r="M40" s="15">
        <f>Лист1!AX34</f>
        <v>220.91999999999996</v>
      </c>
      <c r="N40" s="161">
        <f>Лист1!BB34</f>
        <v>6487.7970000000005</v>
      </c>
      <c r="O40" s="46">
        <f>Лист1!BE34</f>
        <v>2583.658000000003</v>
      </c>
      <c r="P40" s="46">
        <f>Лист1!BF34</f>
        <v>-1705.58</v>
      </c>
      <c r="Q40" s="1"/>
      <c r="R40" s="1"/>
    </row>
    <row r="41" spans="1:18" ht="12.75">
      <c r="A41" s="12" t="s">
        <v>48</v>
      </c>
      <c r="B41" s="13">
        <f>Лист1!B35</f>
        <v>1245.9</v>
      </c>
      <c r="C41" s="42">
        <f>Лист1!C35</f>
        <v>10777.035000000002</v>
      </c>
      <c r="D41" s="43">
        <f>Лист1!D35</f>
        <v>965.9150000000027</v>
      </c>
      <c r="E41" s="14">
        <f>Лист1!S35</f>
        <v>8215.92</v>
      </c>
      <c r="F41" s="16">
        <f>Лист1!T35</f>
        <v>1595.2</v>
      </c>
      <c r="G41" s="44">
        <f>Лист1!AB35</f>
        <v>7546.08</v>
      </c>
      <c r="H41" s="160">
        <f>Лист1!AC35</f>
        <v>10107.195000000003</v>
      </c>
      <c r="I41" s="45">
        <f>Лист1!AG35</f>
        <v>747.5400000000001</v>
      </c>
      <c r="J41" s="14">
        <f>Лист1!AI35+Лист1!AJ35</f>
        <v>1245.9</v>
      </c>
      <c r="K41" s="14">
        <f>Лист1!AH35+Лист1!AK35+Лист1!AL35+Лист1!AM35+Лист1!AN35+Лист1!AO35+Лист1!AP35+Лист1!AQ35+Лист1!AR35</f>
        <v>4273.437</v>
      </c>
      <c r="L41" s="15">
        <f>Лист1!AS35+Лист1!AT35+Лист1!AU35</f>
        <v>10623</v>
      </c>
      <c r="M41" s="15">
        <f>Лист1!AX35</f>
        <v>195.71999999999997</v>
      </c>
      <c r="N41" s="161">
        <f>Лист1!BB35</f>
        <v>17085.597</v>
      </c>
      <c r="O41" s="46">
        <f>Лист1!BE35</f>
        <v>-6978.401999999998</v>
      </c>
      <c r="P41" s="46">
        <f>Лист1!BF35</f>
        <v>-669.8400000000001</v>
      </c>
      <c r="Q41" s="1"/>
      <c r="R41" s="1"/>
    </row>
    <row r="42" spans="1:18" ht="12.75">
      <c r="A42" s="12" t="s">
        <v>49</v>
      </c>
      <c r="B42" s="13">
        <f>Лист1!B36</f>
        <v>1245.9</v>
      </c>
      <c r="C42" s="42">
        <f>Лист1!C36</f>
        <v>10777.035000000002</v>
      </c>
      <c r="D42" s="43">
        <f>Лист1!D36</f>
        <v>957.4950000000018</v>
      </c>
      <c r="E42" s="14">
        <f>Лист1!S36</f>
        <v>9819.54</v>
      </c>
      <c r="F42" s="16">
        <f>Лист1!T36</f>
        <v>0</v>
      </c>
      <c r="G42" s="44">
        <f>Лист1!AB36</f>
        <v>7403.75</v>
      </c>
      <c r="H42" s="160">
        <f>Лист1!AC36</f>
        <v>8361.245000000003</v>
      </c>
      <c r="I42" s="45">
        <f>Лист1!AG36</f>
        <v>747.5400000000001</v>
      </c>
      <c r="J42" s="14">
        <f>Лист1!AI36+Лист1!AJ36</f>
        <v>1245.9</v>
      </c>
      <c r="K42" s="14">
        <f>Лист1!AH36+Лист1!AK36+Лист1!AL36+Лист1!AM36+Лист1!AN36+Лист1!AO36+Лист1!AP36+Лист1!AQ36+Лист1!AR36</f>
        <v>4273.437</v>
      </c>
      <c r="L42" s="15">
        <f>Лист1!AS36+Лист1!AT36+Лист1!AU36</f>
        <v>0</v>
      </c>
      <c r="M42" s="15">
        <f>Лист1!AX36</f>
        <v>208.31999999999996</v>
      </c>
      <c r="N42" s="161">
        <f>Лист1!BB36</f>
        <v>6475.197</v>
      </c>
      <c r="O42" s="46">
        <f>Лист1!BE36</f>
        <v>1886.0480000000025</v>
      </c>
      <c r="P42" s="46">
        <f>Лист1!BF36</f>
        <v>-2415.790000000001</v>
      </c>
      <c r="Q42" s="1"/>
      <c r="R42" s="1"/>
    </row>
    <row r="43" spans="1:18" ht="12.75">
      <c r="A43" s="12" t="s">
        <v>50</v>
      </c>
      <c r="B43" s="13">
        <f>Лист1!B37</f>
        <v>1245.9</v>
      </c>
      <c r="C43" s="42">
        <f>Лист1!C37</f>
        <v>10777.035000000002</v>
      </c>
      <c r="D43" s="43">
        <f>Лист1!D37</f>
        <v>957.505000000002</v>
      </c>
      <c r="E43" s="14">
        <f>Лист1!S37</f>
        <v>9819.53</v>
      </c>
      <c r="F43" s="16">
        <f>Лист1!T37</f>
        <v>0</v>
      </c>
      <c r="G43" s="44">
        <f>Лист1!AB37</f>
        <v>9867.779999999999</v>
      </c>
      <c r="H43" s="160">
        <f>Лист1!AC37</f>
        <v>10825.285000000002</v>
      </c>
      <c r="I43" s="45">
        <f>Лист1!AG37</f>
        <v>747.5400000000001</v>
      </c>
      <c r="J43" s="14">
        <f>Лист1!AI37+Лист1!AJ37</f>
        <v>1245.9</v>
      </c>
      <c r="K43" s="14">
        <f>Лист1!AH37+Лист1!AK37+Лист1!AL37+Лист1!AM37+Лист1!AN37+Лист1!AO37+Лист1!AP37+Лист1!AQ37+Лист1!AR37</f>
        <v>4273.437</v>
      </c>
      <c r="L43" s="15">
        <f>Лист1!AS37+Лист1!AT37+Лист1!AU37</f>
        <v>215.8</v>
      </c>
      <c r="M43" s="15">
        <f>Лист1!AX37</f>
        <v>246.11999999999995</v>
      </c>
      <c r="N43" s="161">
        <f>Лист1!BB37</f>
        <v>6728.7970000000005</v>
      </c>
      <c r="O43" s="46">
        <f>Лист1!BE37</f>
        <v>4096.488000000001</v>
      </c>
      <c r="P43" s="46">
        <f>Лист1!BF37</f>
        <v>48.24999999999818</v>
      </c>
      <c r="Q43" s="1"/>
      <c r="R43" s="1"/>
    </row>
    <row r="44" spans="1:18" ht="12.75">
      <c r="A44" s="12" t="s">
        <v>51</v>
      </c>
      <c r="B44" s="13">
        <f>Лист1!B38</f>
        <v>1245.9</v>
      </c>
      <c r="C44" s="42">
        <f>Лист1!C38</f>
        <v>10777.035000000002</v>
      </c>
      <c r="D44" s="43">
        <f>Лист1!D38</f>
        <v>957.4950000000018</v>
      </c>
      <c r="E44" s="14">
        <f>Лист1!S38</f>
        <v>9819.54</v>
      </c>
      <c r="F44" s="16">
        <f>Лист1!T38</f>
        <v>0</v>
      </c>
      <c r="G44" s="44">
        <f>Лист1!AB38</f>
        <v>9323.26</v>
      </c>
      <c r="H44" s="160">
        <f>Лист1!AC38</f>
        <v>10280.755000000003</v>
      </c>
      <c r="I44" s="45">
        <f>Лист1!AG38</f>
        <v>747.5400000000001</v>
      </c>
      <c r="J44" s="14">
        <f>Лист1!AI38+Лист1!AJ38</f>
        <v>1245.9</v>
      </c>
      <c r="K44" s="14">
        <f>Лист1!AH38+Лист1!AK38+Лист1!AL38+Лист1!AM38+Лист1!AN38+Лист1!AO38+Лист1!AP38+Лист1!AQ38+Лист1!AR38</f>
        <v>4273.437</v>
      </c>
      <c r="L44" s="15">
        <f>Лист1!AS38+Лист1!AT38+Лист1!AU38</f>
        <v>0</v>
      </c>
      <c r="M44" s="15">
        <f>Лист1!AX38</f>
        <v>293.15999999999997</v>
      </c>
      <c r="N44" s="161">
        <f>Лист1!BB38</f>
        <v>6560.037</v>
      </c>
      <c r="O44" s="46">
        <f>Лист1!BE38</f>
        <v>3720.7180000000026</v>
      </c>
      <c r="P44" s="46">
        <f>Лист1!BF38</f>
        <v>-496.28000000000065</v>
      </c>
      <c r="Q44" s="1"/>
      <c r="R44" s="1"/>
    </row>
    <row r="45" spans="1:18" ht="12.75">
      <c r="A45" s="12" t="s">
        <v>39</v>
      </c>
      <c r="B45" s="13">
        <f>Лист1!B39</f>
        <v>1245.9</v>
      </c>
      <c r="C45" s="42">
        <f>Лист1!C39</f>
        <v>10777.035000000002</v>
      </c>
      <c r="D45" s="43">
        <f>Лист1!D39</f>
        <v>957.4950000000018</v>
      </c>
      <c r="E45" s="14">
        <f>Лист1!S39</f>
        <v>9819.54</v>
      </c>
      <c r="F45" s="16">
        <f>Лист1!T39</f>
        <v>0</v>
      </c>
      <c r="G45" s="44">
        <f>Лист1!AB39</f>
        <v>11067.89</v>
      </c>
      <c r="H45" s="160">
        <f>Лист1!AC39</f>
        <v>12025.385000000002</v>
      </c>
      <c r="I45" s="45">
        <f>Лист1!AG39</f>
        <v>747.5400000000001</v>
      </c>
      <c r="J45" s="14">
        <f>Лист1!AI39+Лист1!AJ39</f>
        <v>1245.9</v>
      </c>
      <c r="K45" s="14">
        <f>Лист1!AH39+Лист1!AK39+Лист1!AL39+Лист1!AM39+Лист1!AN39+Лист1!AO39+Лист1!AP39+Лист1!AQ39+Лист1!AR39</f>
        <v>4273.437</v>
      </c>
      <c r="L45" s="15">
        <f>Лист1!AS39+Лист1!AT39+Лист1!AU39</f>
        <v>299</v>
      </c>
      <c r="M45" s="15">
        <f>Лист1!AX39</f>
        <v>357</v>
      </c>
      <c r="N45" s="161">
        <f>Лист1!BB39</f>
        <v>6922.877</v>
      </c>
      <c r="O45" s="46">
        <f>Лист1!BE39</f>
        <v>5177.508000000002</v>
      </c>
      <c r="P45" s="46">
        <f>Лист1!BF39</f>
        <v>1248.3499999999985</v>
      </c>
      <c r="Q45" s="1"/>
      <c r="R45" s="1"/>
    </row>
    <row r="46" spans="1:18" ht="12.75">
      <c r="A46" s="12" t="s">
        <v>40</v>
      </c>
      <c r="B46" s="13">
        <f>Лист1!B40</f>
        <v>1245.9</v>
      </c>
      <c r="C46" s="42">
        <f>Лист1!C40</f>
        <v>10777.035000000002</v>
      </c>
      <c r="D46" s="43">
        <f>Лист1!D40</f>
        <v>796.2350000000007</v>
      </c>
      <c r="E46" s="14">
        <f>Лист1!S40</f>
        <v>9980.8</v>
      </c>
      <c r="F46" s="16">
        <f>Лист1!T40</f>
        <v>0</v>
      </c>
      <c r="G46" s="44">
        <f>Лист1!AB40</f>
        <v>11107.93</v>
      </c>
      <c r="H46" s="160">
        <f>Лист1!AC40</f>
        <v>11904.165</v>
      </c>
      <c r="I46" s="45">
        <f>Лист1!AG40</f>
        <v>747.5400000000001</v>
      </c>
      <c r="J46" s="14">
        <f>Лист1!AI40+Лист1!AJ40</f>
        <v>1245.9</v>
      </c>
      <c r="K46" s="14">
        <f>Лист1!AH40+Лист1!AK40+Лист1!AL40+Лист1!AM40+Лист1!AN40+Лист1!AO40+Лист1!AP40+Лист1!AQ40+Лист1!AR40</f>
        <v>4273.437</v>
      </c>
      <c r="L46" s="15">
        <f>Лист1!AS40+Лист1!AT40+Лист1!AU40</f>
        <v>193</v>
      </c>
      <c r="M46" s="15">
        <f>Лист1!AX40</f>
        <v>394.79999999999995</v>
      </c>
      <c r="N46" s="161">
        <f>Лист1!BB40</f>
        <v>6854.677000000001</v>
      </c>
      <c r="O46" s="46">
        <f>Лист1!BE40</f>
        <v>5124.488</v>
      </c>
      <c r="P46" s="46">
        <f>Лист1!BF40</f>
        <v>1127.130000000001</v>
      </c>
      <c r="Q46" s="1"/>
      <c r="R46" s="1"/>
    </row>
    <row r="47" spans="1:18" ht="13.5" thickBot="1">
      <c r="A47" s="47" t="s">
        <v>41</v>
      </c>
      <c r="B47" s="13">
        <f>Лист1!B41</f>
        <v>1245.9</v>
      </c>
      <c r="C47" s="42">
        <f>Лист1!C41</f>
        <v>10777.035000000002</v>
      </c>
      <c r="D47" s="43">
        <f>Лист1!D41</f>
        <v>952.3950000000019</v>
      </c>
      <c r="E47" s="14">
        <f>Лист1!S41</f>
        <v>9824.64</v>
      </c>
      <c r="F47" s="16">
        <f>Лист1!T41</f>
        <v>0</v>
      </c>
      <c r="G47" s="44">
        <f>Лист1!AB41</f>
        <v>9985.67</v>
      </c>
      <c r="H47" s="160">
        <f>Лист1!AC41</f>
        <v>10938.065000000002</v>
      </c>
      <c r="I47" s="45">
        <f>Лист1!AG41</f>
        <v>747.5400000000001</v>
      </c>
      <c r="J47" s="14">
        <f>Лист1!AI41+Лист1!AJ41</f>
        <v>1245.9</v>
      </c>
      <c r="K47" s="14">
        <f>Лист1!AH41+Лист1!AK41+Лист1!AL41+Лист1!AM41+Лист1!AN41+Лист1!AO41+Лист1!AP41+Лист1!AQ41+Лист1!AR41</f>
        <v>4273.437</v>
      </c>
      <c r="L47" s="15">
        <f>Лист1!AS41+Лист1!AT41+Лист1!AU41</f>
        <v>45349.93699999999</v>
      </c>
      <c r="M47" s="15">
        <f>Лист1!AX41</f>
        <v>431.75999999999993</v>
      </c>
      <c r="N47" s="161">
        <f>Лист1!BB41</f>
        <v>52048.57399999999</v>
      </c>
      <c r="O47" s="46">
        <f>Лист1!BE41</f>
        <v>-41035.50899999999</v>
      </c>
      <c r="P47" s="46">
        <f>Лист1!BF41</f>
        <v>161.03000000000065</v>
      </c>
      <c r="Q47" s="1"/>
      <c r="R47" s="1"/>
    </row>
    <row r="48" spans="1:18" s="22" customFormat="1" ht="13.5" thickBot="1">
      <c r="A48" s="48" t="s">
        <v>3</v>
      </c>
      <c r="B48" s="49"/>
      <c r="C48" s="50">
        <f aca="true" t="shared" si="3" ref="C48:P48">SUM(C36:C47)</f>
        <v>129275.98000000003</v>
      </c>
      <c r="D48" s="51">
        <f t="shared" si="3"/>
        <v>11534.490000000023</v>
      </c>
      <c r="E48" s="50">
        <f t="shared" si="3"/>
        <v>106986.03000000003</v>
      </c>
      <c r="F48" s="52">
        <f t="shared" si="3"/>
        <v>10755.460000000001</v>
      </c>
      <c r="G48" s="53">
        <f t="shared" si="3"/>
        <v>96966.51</v>
      </c>
      <c r="H48" s="50">
        <f t="shared" si="3"/>
        <v>119256.46000000002</v>
      </c>
      <c r="I48" s="51">
        <f t="shared" si="3"/>
        <v>8967.12</v>
      </c>
      <c r="J48" s="50">
        <f t="shared" si="3"/>
        <v>14945.199999999997</v>
      </c>
      <c r="K48" s="50">
        <f t="shared" si="3"/>
        <v>60060.43599999999</v>
      </c>
      <c r="L48" s="50">
        <f t="shared" si="3"/>
        <v>57827.736999999994</v>
      </c>
      <c r="M48" s="50">
        <f t="shared" si="3"/>
        <v>3695.9999999999995</v>
      </c>
      <c r="N48" s="52">
        <f t="shared" si="3"/>
        <v>145496.493</v>
      </c>
      <c r="O48" s="54">
        <f t="shared" si="3"/>
        <v>-26015.03299999997</v>
      </c>
      <c r="P48" s="54">
        <f t="shared" si="3"/>
        <v>-10019.520000000004</v>
      </c>
      <c r="Q48" s="55"/>
      <c r="R48" s="55"/>
    </row>
    <row r="49" spans="1:18" ht="13.5" thickBot="1">
      <c r="A49" s="164" t="s">
        <v>66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6"/>
      <c r="P49" s="167"/>
      <c r="Q49" s="1"/>
      <c r="R49" s="1"/>
    </row>
    <row r="50" spans="1:18" s="22" customFormat="1" ht="13.5" thickBot="1">
      <c r="A50" s="62" t="s">
        <v>52</v>
      </c>
      <c r="B50" s="63"/>
      <c r="C50" s="64">
        <f>C34+C48</f>
        <v>290749.85500000004</v>
      </c>
      <c r="D50" s="168">
        <f aca="true" t="shared" si="4" ref="D50:P50">D34+D48</f>
        <v>32859.22249175004</v>
      </c>
      <c r="E50" s="63">
        <f t="shared" si="4"/>
        <v>217720.7</v>
      </c>
      <c r="F50" s="64">
        <f t="shared" si="4"/>
        <v>39450.66</v>
      </c>
      <c r="G50" s="168">
        <f t="shared" si="4"/>
        <v>193662.65</v>
      </c>
      <c r="H50" s="64">
        <f t="shared" si="4"/>
        <v>265972.5324917501</v>
      </c>
      <c r="I50" s="168">
        <f t="shared" si="4"/>
        <v>19868.940000000002</v>
      </c>
      <c r="J50" s="63">
        <f t="shared" si="4"/>
        <v>32983.218816025</v>
      </c>
      <c r="K50" s="63">
        <f t="shared" si="4"/>
        <v>121949.99098383798</v>
      </c>
      <c r="L50" s="63">
        <f t="shared" si="4"/>
        <v>72634.377</v>
      </c>
      <c r="M50" s="63">
        <f t="shared" si="4"/>
        <v>7185.0232</v>
      </c>
      <c r="N50" s="78">
        <f t="shared" si="4"/>
        <v>254621.549999863</v>
      </c>
      <c r="O50" s="169">
        <f t="shared" si="4"/>
        <v>11575.982491887062</v>
      </c>
      <c r="P50" s="169">
        <f t="shared" si="4"/>
        <v>-24058.050000000003</v>
      </c>
      <c r="Q50" s="65"/>
      <c r="R50" s="55"/>
    </row>
    <row r="52" spans="1:18" ht="12.75">
      <c r="A52" s="22" t="s">
        <v>86</v>
      </c>
      <c r="D52" s="2" t="s">
        <v>87</v>
      </c>
      <c r="Q52" s="1"/>
      <c r="R52" s="1"/>
    </row>
    <row r="53" spans="1:18" ht="12.75">
      <c r="A53" s="178" t="s">
        <v>88</v>
      </c>
      <c r="B53" s="178" t="s">
        <v>89</v>
      </c>
      <c r="C53" s="235" t="s">
        <v>90</v>
      </c>
      <c r="D53" s="235"/>
      <c r="Q53" s="1"/>
      <c r="R53" s="1"/>
    </row>
    <row r="54" spans="1:18" ht="12.75">
      <c r="A54" s="179">
        <v>78450.52</v>
      </c>
      <c r="B54" s="180">
        <v>84960.51</v>
      </c>
      <c r="C54" s="236">
        <f>A54-B54</f>
        <v>-6509.989999999991</v>
      </c>
      <c r="D54" s="237"/>
      <c r="Q54" s="1"/>
      <c r="R54" s="1"/>
    </row>
    <row r="55" spans="1:18" ht="12.75">
      <c r="A55" s="181"/>
      <c r="Q55" s="1"/>
      <c r="R55" s="1"/>
    </row>
    <row r="56" spans="1:18" ht="12.75">
      <c r="A56" s="181"/>
      <c r="Q56" s="1"/>
      <c r="R56" s="1"/>
    </row>
    <row r="57" spans="1:18" ht="12.75">
      <c r="A57" s="2" t="s">
        <v>91</v>
      </c>
      <c r="G57" s="2" t="s">
        <v>92</v>
      </c>
      <c r="Q57" s="1"/>
      <c r="R57" s="1"/>
    </row>
    <row r="58" ht="12.75">
      <c r="A58" s="1"/>
    </row>
    <row r="59" ht="12.75">
      <c r="A59" s="1"/>
    </row>
    <row r="60" ht="12.75">
      <c r="A60" s="1" t="s">
        <v>93</v>
      </c>
    </row>
    <row r="61" ht="12.75">
      <c r="A61" s="2" t="s">
        <v>94</v>
      </c>
    </row>
  </sheetData>
  <sheetProtection/>
  <mergeCells count="21">
    <mergeCell ref="P9:P12"/>
    <mergeCell ref="M11:M12"/>
    <mergeCell ref="O9:O12"/>
    <mergeCell ref="N11:N12"/>
    <mergeCell ref="E11:F11"/>
    <mergeCell ref="H11:H12"/>
    <mergeCell ref="I11:I12"/>
    <mergeCell ref="J11:J12"/>
    <mergeCell ref="K11:K12"/>
    <mergeCell ref="L11:L12"/>
    <mergeCell ref="G9:H10"/>
    <mergeCell ref="C53:D53"/>
    <mergeCell ref="C54:D54"/>
    <mergeCell ref="A5:P5"/>
    <mergeCell ref="A6:P6"/>
    <mergeCell ref="A9:A12"/>
    <mergeCell ref="B9:B12"/>
    <mergeCell ref="C9:C12"/>
    <mergeCell ref="D9:D12"/>
    <mergeCell ref="E9:F10"/>
    <mergeCell ref="I9:N1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4"/>
  <sheetViews>
    <sheetView zoomScalePageLayoutView="0" workbookViewId="0" topLeftCell="A1">
      <pane xSplit="2" ySplit="7" topLeftCell="A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24" sqref="AK24:BB24"/>
    </sheetView>
  </sheetViews>
  <sheetFormatPr defaultColWidth="9.00390625" defaultRowHeight="12.75"/>
  <cols>
    <col min="1" max="1" width="8.75390625" style="74" bestFit="1" customWidth="1"/>
    <col min="2" max="2" width="9.125" style="74" customWidth="1"/>
    <col min="3" max="3" width="11.375" style="74" customWidth="1"/>
    <col min="4" max="4" width="10.375" style="74" customWidth="1"/>
    <col min="5" max="5" width="10.125" style="74" bestFit="1" customWidth="1"/>
    <col min="6" max="6" width="9.125" style="74" customWidth="1"/>
    <col min="7" max="7" width="10.25390625" style="74" customWidth="1"/>
    <col min="8" max="8" width="9.125" style="74" customWidth="1"/>
    <col min="9" max="9" width="9.875" style="74" customWidth="1"/>
    <col min="10" max="10" width="9.125" style="74" customWidth="1"/>
    <col min="11" max="11" width="10.375" style="74" customWidth="1"/>
    <col min="12" max="12" width="9.125" style="74" customWidth="1"/>
    <col min="13" max="13" width="10.125" style="74" bestFit="1" customWidth="1"/>
    <col min="14" max="14" width="9.125" style="74" customWidth="1"/>
    <col min="15" max="15" width="10.125" style="74" bestFit="1" customWidth="1"/>
    <col min="16" max="18" width="9.125" style="74" customWidth="1"/>
    <col min="19" max="19" width="10.125" style="74" bestFit="1" customWidth="1"/>
    <col min="20" max="20" width="10.125" style="74" customWidth="1"/>
    <col min="21" max="21" width="10.125" style="74" bestFit="1" customWidth="1"/>
    <col min="22" max="22" width="10.25390625" style="74" customWidth="1"/>
    <col min="23" max="23" width="10.625" style="74" customWidth="1"/>
    <col min="24" max="24" width="10.125" style="74" customWidth="1"/>
    <col min="25" max="28" width="10.125" style="74" bestFit="1" customWidth="1"/>
    <col min="29" max="30" width="11.375" style="74" customWidth="1"/>
    <col min="31" max="31" width="9.25390625" style="74" bestFit="1" customWidth="1"/>
    <col min="32" max="32" width="10.125" style="74" bestFit="1" customWidth="1"/>
    <col min="33" max="33" width="12.00390625" style="74" customWidth="1"/>
    <col min="34" max="34" width="14.25390625" style="74" customWidth="1"/>
    <col min="35" max="35" width="9.25390625" style="74" bestFit="1" customWidth="1"/>
    <col min="36" max="36" width="12.625" style="74" customWidth="1"/>
    <col min="37" max="38" width="9.25390625" style="74" bestFit="1" customWidth="1"/>
    <col min="39" max="39" width="10.125" style="74" bestFit="1" customWidth="1"/>
    <col min="40" max="40" width="9.25390625" style="74" bestFit="1" customWidth="1"/>
    <col min="41" max="42" width="10.125" style="74" bestFit="1" customWidth="1"/>
    <col min="43" max="44" width="9.25390625" style="74" customWidth="1"/>
    <col min="45" max="45" width="10.125" style="74" bestFit="1" customWidth="1"/>
    <col min="46" max="46" width="11.625" style="74" customWidth="1"/>
    <col min="47" max="47" width="10.875" style="74" customWidth="1"/>
    <col min="48" max="48" width="10.625" style="74" customWidth="1"/>
    <col min="49" max="49" width="10.25390625" style="74" customWidth="1"/>
    <col min="50" max="50" width="10.625" style="74" customWidth="1"/>
    <col min="51" max="51" width="9.25390625" style="74" bestFit="1" customWidth="1"/>
    <col min="52" max="53" width="10.125" style="74" bestFit="1" customWidth="1"/>
    <col min="54" max="54" width="11.625" style="74" customWidth="1"/>
    <col min="55" max="55" width="11.75390625" style="74" customWidth="1"/>
    <col min="56" max="56" width="12.125" style="74" customWidth="1"/>
    <col min="57" max="57" width="13.625" style="74" customWidth="1"/>
    <col min="58" max="58" width="11.00390625" style="74" customWidth="1"/>
    <col min="59" max="59" width="11.375" style="74" customWidth="1"/>
    <col min="60" max="16384" width="9.125" style="74" customWidth="1"/>
  </cols>
  <sheetData>
    <row r="1" spans="1:18" ht="21" customHeight="1">
      <c r="A1" s="222" t="s">
        <v>96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73"/>
      <c r="P1" s="73"/>
      <c r="Q1" s="73"/>
      <c r="R1" s="73"/>
    </row>
    <row r="2" spans="1:18" ht="13.5" thickBot="1">
      <c r="A2" s="73"/>
      <c r="B2" s="75"/>
      <c r="C2" s="76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59" ht="29.25" customHeight="1" thickBot="1">
      <c r="A3" s="202" t="s">
        <v>97</v>
      </c>
      <c r="B3" s="225" t="s">
        <v>0</v>
      </c>
      <c r="C3" s="276" t="s">
        <v>1</v>
      </c>
      <c r="D3" s="227" t="s">
        <v>2</v>
      </c>
      <c r="E3" s="202" t="s">
        <v>98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03"/>
      <c r="S3" s="202"/>
      <c r="T3" s="277"/>
      <c r="U3" s="202" t="s">
        <v>3</v>
      </c>
      <c r="V3" s="277"/>
      <c r="W3" s="209" t="s">
        <v>4</v>
      </c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1"/>
      <c r="AJ3" s="278" t="s">
        <v>74</v>
      </c>
      <c r="AK3" s="279" t="s">
        <v>8</v>
      </c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1"/>
      <c r="BF3" s="282" t="s">
        <v>9</v>
      </c>
      <c r="BG3" s="283" t="s">
        <v>10</v>
      </c>
    </row>
    <row r="4" spans="1:59" ht="51.75" customHeight="1" hidden="1" thickBot="1">
      <c r="A4" s="284"/>
      <c r="B4" s="226"/>
      <c r="C4" s="285"/>
      <c r="D4" s="228"/>
      <c r="E4" s="284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66"/>
      <c r="S4" s="204"/>
      <c r="T4" s="287"/>
      <c r="U4" s="204"/>
      <c r="V4" s="287"/>
      <c r="W4" s="212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4"/>
      <c r="AJ4" s="288"/>
      <c r="AK4" s="199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1"/>
      <c r="BF4" s="289"/>
      <c r="BG4" s="290"/>
    </row>
    <row r="5" spans="1:61" ht="19.5" customHeight="1">
      <c r="A5" s="284"/>
      <c r="B5" s="226"/>
      <c r="C5" s="285"/>
      <c r="D5" s="228"/>
      <c r="E5" s="291" t="s">
        <v>11</v>
      </c>
      <c r="F5" s="292"/>
      <c r="G5" s="291" t="s">
        <v>99</v>
      </c>
      <c r="H5" s="292"/>
      <c r="I5" s="291" t="s">
        <v>12</v>
      </c>
      <c r="J5" s="292"/>
      <c r="K5" s="291" t="s">
        <v>14</v>
      </c>
      <c r="L5" s="292"/>
      <c r="M5" s="291" t="s">
        <v>13</v>
      </c>
      <c r="N5" s="292"/>
      <c r="O5" s="293" t="s">
        <v>15</v>
      </c>
      <c r="P5" s="293"/>
      <c r="Q5" s="291" t="s">
        <v>100</v>
      </c>
      <c r="R5" s="292"/>
      <c r="S5" s="293" t="s">
        <v>101</v>
      </c>
      <c r="T5" s="292"/>
      <c r="U5" s="229" t="s">
        <v>18</v>
      </c>
      <c r="V5" s="218" t="s">
        <v>19</v>
      </c>
      <c r="W5" s="294" t="s">
        <v>20</v>
      </c>
      <c r="X5" s="294" t="s">
        <v>102</v>
      </c>
      <c r="Y5" s="294" t="s">
        <v>21</v>
      </c>
      <c r="Z5" s="294" t="s">
        <v>23</v>
      </c>
      <c r="AA5" s="294" t="s">
        <v>22</v>
      </c>
      <c r="AB5" s="294" t="s">
        <v>24</v>
      </c>
      <c r="AC5" s="294" t="s">
        <v>25</v>
      </c>
      <c r="AD5" s="295" t="s">
        <v>26</v>
      </c>
      <c r="AE5" s="295" t="s">
        <v>103</v>
      </c>
      <c r="AF5" s="220" t="s">
        <v>27</v>
      </c>
      <c r="AG5" s="296" t="s">
        <v>73</v>
      </c>
      <c r="AH5" s="297" t="s">
        <v>6</v>
      </c>
      <c r="AI5" s="298" t="s">
        <v>7</v>
      </c>
      <c r="AJ5" s="288"/>
      <c r="AK5" s="299" t="s">
        <v>104</v>
      </c>
      <c r="AL5" s="300" t="s">
        <v>105</v>
      </c>
      <c r="AM5" s="300" t="s">
        <v>106</v>
      </c>
      <c r="AN5" s="185" t="s">
        <v>107</v>
      </c>
      <c r="AO5" s="300" t="s">
        <v>108</v>
      </c>
      <c r="AP5" s="185" t="s">
        <v>109</v>
      </c>
      <c r="AQ5" s="185" t="s">
        <v>110</v>
      </c>
      <c r="AR5" s="185" t="s">
        <v>111</v>
      </c>
      <c r="AS5" s="185" t="s">
        <v>112</v>
      </c>
      <c r="AT5" s="185" t="s">
        <v>34</v>
      </c>
      <c r="AU5" s="301" t="s">
        <v>113</v>
      </c>
      <c r="AV5" s="233" t="s">
        <v>114</v>
      </c>
      <c r="AW5" s="301" t="s">
        <v>115</v>
      </c>
      <c r="AX5" s="231" t="s">
        <v>116</v>
      </c>
      <c r="AY5" s="175"/>
      <c r="AZ5" s="194" t="s">
        <v>17</v>
      </c>
      <c r="BA5" s="185" t="s">
        <v>36</v>
      </c>
      <c r="BB5" s="185" t="s">
        <v>31</v>
      </c>
      <c r="BC5" s="302" t="s">
        <v>37</v>
      </c>
      <c r="BD5" s="187" t="s">
        <v>76</v>
      </c>
      <c r="BE5" s="185" t="s">
        <v>77</v>
      </c>
      <c r="BF5" s="289"/>
      <c r="BG5" s="290"/>
      <c r="BH5" s="303"/>
      <c r="BI5" s="304"/>
    </row>
    <row r="6" spans="1:61" ht="56.25" customHeight="1" thickBot="1">
      <c r="A6" s="284"/>
      <c r="B6" s="226"/>
      <c r="C6" s="285"/>
      <c r="D6" s="228"/>
      <c r="E6" s="305"/>
      <c r="F6" s="306"/>
      <c r="G6" s="305"/>
      <c r="H6" s="306"/>
      <c r="I6" s="305"/>
      <c r="J6" s="306"/>
      <c r="K6" s="305"/>
      <c r="L6" s="306"/>
      <c r="M6" s="305"/>
      <c r="N6" s="306"/>
      <c r="O6" s="307"/>
      <c r="P6" s="307"/>
      <c r="Q6" s="305"/>
      <c r="R6" s="306"/>
      <c r="S6" s="308"/>
      <c r="T6" s="306"/>
      <c r="U6" s="309"/>
      <c r="V6" s="310"/>
      <c r="W6" s="311"/>
      <c r="X6" s="311"/>
      <c r="Y6" s="311"/>
      <c r="Z6" s="311"/>
      <c r="AA6" s="311"/>
      <c r="AB6" s="311"/>
      <c r="AC6" s="311"/>
      <c r="AD6" s="312"/>
      <c r="AE6" s="312"/>
      <c r="AF6" s="221"/>
      <c r="AG6" s="313"/>
      <c r="AH6" s="314"/>
      <c r="AI6" s="315"/>
      <c r="AJ6" s="316"/>
      <c r="AK6" s="317"/>
      <c r="AL6" s="318"/>
      <c r="AM6" s="318"/>
      <c r="AN6" s="186"/>
      <c r="AO6" s="318"/>
      <c r="AP6" s="186"/>
      <c r="AQ6" s="186"/>
      <c r="AR6" s="186"/>
      <c r="AS6" s="186"/>
      <c r="AT6" s="186"/>
      <c r="AU6" s="319"/>
      <c r="AV6" s="234"/>
      <c r="AW6" s="319"/>
      <c r="AX6" s="232"/>
      <c r="AY6" s="82" t="s">
        <v>117</v>
      </c>
      <c r="AZ6" s="195"/>
      <c r="BA6" s="186"/>
      <c r="BB6" s="186"/>
      <c r="BC6" s="320"/>
      <c r="BD6" s="189"/>
      <c r="BE6" s="186"/>
      <c r="BF6" s="321"/>
      <c r="BG6" s="322"/>
      <c r="BH6" s="303"/>
      <c r="BI6" s="304"/>
    </row>
    <row r="7" spans="1:61" ht="19.5" customHeight="1" thickBot="1">
      <c r="A7" s="176">
        <v>1</v>
      </c>
      <c r="B7" s="38">
        <v>2</v>
      </c>
      <c r="C7" s="38">
        <v>3</v>
      </c>
      <c r="D7" s="176">
        <v>4</v>
      </c>
      <c r="E7" s="38">
        <v>5</v>
      </c>
      <c r="F7" s="38">
        <v>6</v>
      </c>
      <c r="G7" s="176">
        <v>7</v>
      </c>
      <c r="H7" s="38">
        <v>8</v>
      </c>
      <c r="I7" s="38">
        <v>9</v>
      </c>
      <c r="J7" s="176">
        <v>10</v>
      </c>
      <c r="K7" s="38">
        <v>11</v>
      </c>
      <c r="L7" s="38">
        <v>12</v>
      </c>
      <c r="M7" s="176">
        <v>13</v>
      </c>
      <c r="N7" s="38">
        <v>14</v>
      </c>
      <c r="O7" s="38">
        <v>15</v>
      </c>
      <c r="P7" s="176">
        <v>16</v>
      </c>
      <c r="Q7" s="38">
        <v>17</v>
      </c>
      <c r="R7" s="38">
        <v>18</v>
      </c>
      <c r="S7" s="176">
        <v>19</v>
      </c>
      <c r="T7" s="38">
        <v>20</v>
      </c>
      <c r="U7" s="38">
        <v>21</v>
      </c>
      <c r="V7" s="176">
        <v>22</v>
      </c>
      <c r="W7" s="38">
        <v>23</v>
      </c>
      <c r="X7" s="176">
        <v>24</v>
      </c>
      <c r="Y7" s="38">
        <v>25</v>
      </c>
      <c r="Z7" s="176">
        <v>26</v>
      </c>
      <c r="AA7" s="38">
        <v>27</v>
      </c>
      <c r="AB7" s="176">
        <v>28</v>
      </c>
      <c r="AC7" s="38">
        <v>29</v>
      </c>
      <c r="AD7" s="176">
        <v>30</v>
      </c>
      <c r="AE7" s="176">
        <v>31</v>
      </c>
      <c r="AF7" s="38">
        <v>32</v>
      </c>
      <c r="AG7" s="176">
        <v>33</v>
      </c>
      <c r="AH7" s="38">
        <v>34</v>
      </c>
      <c r="AI7" s="176">
        <v>35</v>
      </c>
      <c r="AJ7" s="38">
        <v>36</v>
      </c>
      <c r="AK7" s="176">
        <v>37</v>
      </c>
      <c r="AL7" s="38">
        <v>38</v>
      </c>
      <c r="AM7" s="176">
        <v>39</v>
      </c>
      <c r="AN7" s="176">
        <v>40</v>
      </c>
      <c r="AO7" s="38">
        <v>41</v>
      </c>
      <c r="AP7" s="176">
        <v>42</v>
      </c>
      <c r="AQ7" s="38">
        <v>43</v>
      </c>
      <c r="AR7" s="176"/>
      <c r="AS7" s="176">
        <v>44</v>
      </c>
      <c r="AT7" s="38">
        <v>45</v>
      </c>
      <c r="AU7" s="176">
        <v>46</v>
      </c>
      <c r="AV7" s="38">
        <v>47</v>
      </c>
      <c r="AW7" s="176">
        <v>48</v>
      </c>
      <c r="AX7" s="176">
        <v>49</v>
      </c>
      <c r="AY7" s="38"/>
      <c r="AZ7" s="38">
        <v>50</v>
      </c>
      <c r="BA7" s="38">
        <v>51</v>
      </c>
      <c r="BB7" s="38">
        <v>52</v>
      </c>
      <c r="BC7" s="38">
        <v>53</v>
      </c>
      <c r="BD7" s="38">
        <v>54</v>
      </c>
      <c r="BE7" s="38"/>
      <c r="BF7" s="38">
        <v>55</v>
      </c>
      <c r="BG7" s="38">
        <v>56</v>
      </c>
      <c r="BH7" s="304"/>
      <c r="BI7" s="304"/>
    </row>
    <row r="8" spans="1:59" s="22" customFormat="1" ht="13.5" thickBot="1">
      <c r="A8" s="23" t="s">
        <v>52</v>
      </c>
      <c r="B8" s="323"/>
      <c r="C8" s="323">
        <f>Лист1!C44</f>
        <v>290749.85500000004</v>
      </c>
      <c r="D8" s="323">
        <f>Лист1!D44</f>
        <v>32859.22249175004</v>
      </c>
      <c r="E8" s="323">
        <f>Лист1!E44</f>
        <v>25141.089999999997</v>
      </c>
      <c r="F8" s="323">
        <f>Лист1!F44</f>
        <v>4555.08</v>
      </c>
      <c r="G8" s="323">
        <f>0</f>
        <v>0</v>
      </c>
      <c r="H8" s="323">
        <f>0</f>
        <v>0</v>
      </c>
      <c r="I8" s="323">
        <f>Лист1!G44</f>
        <v>34022.58</v>
      </c>
      <c r="J8" s="323">
        <f>Лист1!H44</f>
        <v>6165.969999999999</v>
      </c>
      <c r="K8" s="323">
        <f>Лист1!K44</f>
        <v>56650.36</v>
      </c>
      <c r="L8" s="323">
        <f>Лист1!L44</f>
        <v>10266.14</v>
      </c>
      <c r="M8" s="323">
        <f>Лист1!I44</f>
        <v>81792.43</v>
      </c>
      <c r="N8" s="323">
        <f>Лист1!J44</f>
        <v>14819.84</v>
      </c>
      <c r="O8" s="323">
        <f>Лист1!M44</f>
        <v>20114.239999999998</v>
      </c>
      <c r="P8" s="323">
        <f>Лист1!N44</f>
        <v>3643.6299999999997</v>
      </c>
      <c r="Q8" s="323">
        <f>'[2]Лист1'!O44</f>
        <v>0</v>
      </c>
      <c r="R8" s="323">
        <f>'[2]Лист1'!P44</f>
        <v>0</v>
      </c>
      <c r="S8" s="323">
        <f>'[2]Лист1'!Q44</f>
        <v>0</v>
      </c>
      <c r="T8" s="323">
        <f>'[2]Лист1'!R44</f>
        <v>0</v>
      </c>
      <c r="U8" s="323">
        <f>Лист1!S44</f>
        <v>217720.7</v>
      </c>
      <c r="V8" s="323">
        <f>Лист1!T44</f>
        <v>39450.66</v>
      </c>
      <c r="W8" s="323">
        <f>Лист1!U44</f>
        <v>22404.1</v>
      </c>
      <c r="X8" s="323">
        <v>0</v>
      </c>
      <c r="Y8" s="323">
        <f>Лист1!V44</f>
        <v>30314.34</v>
      </c>
      <c r="Z8" s="323">
        <f>Лист1!X44</f>
        <v>50478.59</v>
      </c>
      <c r="AA8" s="323">
        <f>Лист1!W44</f>
        <v>72884.84</v>
      </c>
      <c r="AB8" s="323">
        <f>Лист1!Y44</f>
        <v>17580.78</v>
      </c>
      <c r="AC8" s="323">
        <f>'[3]Лист1'!Z42</f>
        <v>0</v>
      </c>
      <c r="AD8" s="323">
        <f>'[3]Лист1'!AA42</f>
        <v>0</v>
      </c>
      <c r="AE8" s="323">
        <f>0</f>
        <v>0</v>
      </c>
      <c r="AF8" s="323">
        <f>Лист1!AB44</f>
        <v>193662.65</v>
      </c>
      <c r="AG8" s="323">
        <f>Лист1!AC44</f>
        <v>265972.5324917501</v>
      </c>
      <c r="AH8" s="323">
        <f>'[4]2010 печать'!AD44</f>
        <v>0</v>
      </c>
      <c r="AI8" s="323">
        <f>'[3]Лист1'!AE42</f>
        <v>0</v>
      </c>
      <c r="AJ8" s="323">
        <f>Лист1!AF44</f>
        <v>300</v>
      </c>
      <c r="AK8" s="323">
        <f>Лист1!AG44</f>
        <v>19868.940000000002</v>
      </c>
      <c r="AL8" s="323">
        <f>Лист1!AH44</f>
        <v>6657.7164840000005</v>
      </c>
      <c r="AM8" s="323">
        <f>Лист1!AI44+Лист1!AJ44</f>
        <v>32983.218816025</v>
      </c>
      <c r="AN8" s="323">
        <v>0</v>
      </c>
      <c r="AO8" s="323">
        <f>Лист1!AK44+Лист1!AL44</f>
        <v>32897.892077245</v>
      </c>
      <c r="AP8" s="323">
        <f>Лист1!AM44+Лист1!AN44</f>
        <v>73595.98242259299</v>
      </c>
      <c r="AQ8" s="323">
        <v>0</v>
      </c>
      <c r="AR8" s="323">
        <v>0</v>
      </c>
      <c r="AS8" s="323">
        <v>0</v>
      </c>
      <c r="AT8" s="323">
        <f>Лист1!AO44</f>
        <v>1814.4</v>
      </c>
      <c r="AU8" s="323">
        <f>Лист1!AS44+Лист1!AU44</f>
        <v>33986.426999999996</v>
      </c>
      <c r="AV8" s="323">
        <v>0</v>
      </c>
      <c r="AW8" s="323">
        <f>Лист1!AT44</f>
        <v>38647.95</v>
      </c>
      <c r="AX8" s="323">
        <f>Лист1!AQ44</f>
        <v>6984</v>
      </c>
      <c r="AY8" s="324">
        <f>Лист1!AX44</f>
        <v>7185.0232</v>
      </c>
      <c r="AZ8" s="324">
        <f>'[2]Лист1'!AY44</f>
        <v>0</v>
      </c>
      <c r="BA8" s="324">
        <f>'[5]Лист1'!AZ44</f>
        <v>0</v>
      </c>
      <c r="BB8" s="324">
        <v>0</v>
      </c>
      <c r="BC8" s="324">
        <f>Лист1!BB44</f>
        <v>254621.549999863</v>
      </c>
      <c r="BD8" s="323">
        <f>Лист1!BC44</f>
        <v>75</v>
      </c>
      <c r="BE8" s="323">
        <f>Лист1!BB44+Лист1!BC44</f>
        <v>254696.549999863</v>
      </c>
      <c r="BF8" s="325">
        <f>Лист1!BE44</f>
        <v>11575.982491887062</v>
      </c>
      <c r="BG8" s="325">
        <f>Лист1!BF44</f>
        <v>-24058.050000000003</v>
      </c>
    </row>
    <row r="9" spans="1:59" ht="12.75">
      <c r="A9" s="4" t="s">
        <v>118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7"/>
      <c r="BF9" s="325"/>
      <c r="BG9" s="328"/>
    </row>
    <row r="10" spans="1:75" ht="12.75">
      <c r="A10" s="329" t="s">
        <v>43</v>
      </c>
      <c r="B10" s="330">
        <v>1245.9</v>
      </c>
      <c r="C10" s="146">
        <f aca="true" t="shared" si="0" ref="C10:C16">B10*8.55</f>
        <v>10652.445000000002</v>
      </c>
      <c r="D10" s="92">
        <v>84.89139999999999</v>
      </c>
      <c r="E10" s="331">
        <v>0</v>
      </c>
      <c r="F10" s="331">
        <v>0</v>
      </c>
      <c r="G10" s="332">
        <v>6609.64</v>
      </c>
      <c r="H10" s="332">
        <v>0</v>
      </c>
      <c r="I10" s="332">
        <v>0</v>
      </c>
      <c r="J10" s="332">
        <v>0</v>
      </c>
      <c r="K10" s="332">
        <v>0</v>
      </c>
      <c r="L10" s="332">
        <v>0</v>
      </c>
      <c r="M10" s="332">
        <v>3163.39</v>
      </c>
      <c r="N10" s="332">
        <v>0</v>
      </c>
      <c r="O10" s="333">
        <v>1097.32</v>
      </c>
      <c r="P10" s="334">
        <v>0</v>
      </c>
      <c r="Q10" s="335">
        <v>0</v>
      </c>
      <c r="R10" s="336">
        <v>0</v>
      </c>
      <c r="S10" s="337">
        <v>0</v>
      </c>
      <c r="T10" s="338">
        <v>0</v>
      </c>
      <c r="U10" s="339">
        <f aca="true" t="shared" si="1" ref="U10:V21">E10+G10+I10+K10+M10+O10+Q10+S10</f>
        <v>10870.35</v>
      </c>
      <c r="V10" s="340">
        <f t="shared" si="1"/>
        <v>0</v>
      </c>
      <c r="W10" s="332">
        <v>673.5</v>
      </c>
      <c r="X10" s="332"/>
      <c r="Y10" s="332">
        <v>912.13</v>
      </c>
      <c r="Z10" s="332">
        <v>1518.3</v>
      </c>
      <c r="AA10" s="332">
        <v>2191.85</v>
      </c>
      <c r="AB10" s="332">
        <v>538.81</v>
      </c>
      <c r="AC10" s="332">
        <v>0</v>
      </c>
      <c r="AD10" s="331">
        <v>0</v>
      </c>
      <c r="AE10" s="341">
        <v>0</v>
      </c>
      <c r="AF10" s="341">
        <f>SUM(W10:AE10)</f>
        <v>5834.59</v>
      </c>
      <c r="AG10" s="342">
        <f>AF10+V10+D10</f>
        <v>5919.481400000001</v>
      </c>
      <c r="AH10" s="343">
        <f aca="true" t="shared" si="2" ref="AH10:AI21">AC10</f>
        <v>0</v>
      </c>
      <c r="AI10" s="343">
        <f t="shared" si="2"/>
        <v>0</v>
      </c>
      <c r="AJ10" s="344">
        <f>'[6]Т01'!$I$151</f>
        <v>100</v>
      </c>
      <c r="AK10" s="345">
        <f aca="true" t="shared" si="3" ref="AK10:AK21">0.67*B10</f>
        <v>834.7530000000002</v>
      </c>
      <c r="AL10" s="345">
        <f aca="true" t="shared" si="4" ref="AL10:AL21">B10*0.2</f>
        <v>249.18000000000004</v>
      </c>
      <c r="AM10" s="345">
        <f aca="true" t="shared" si="5" ref="AM10:AM21">B10*1</f>
        <v>1245.9</v>
      </c>
      <c r="AN10" s="345">
        <f aca="true" t="shared" si="6" ref="AN10:AN21">B10*0.21</f>
        <v>261.639</v>
      </c>
      <c r="AO10" s="345">
        <f aca="true" t="shared" si="7" ref="AO10:AO21">2.02*B10</f>
        <v>2516.7180000000003</v>
      </c>
      <c r="AP10" s="345">
        <f aca="true" t="shared" si="8" ref="AP10:AP21">B10*1.03</f>
        <v>1283.277</v>
      </c>
      <c r="AQ10" s="345">
        <f aca="true" t="shared" si="9" ref="AQ10:AQ21">B10*0.75</f>
        <v>934.4250000000001</v>
      </c>
      <c r="AR10" s="345">
        <f aca="true" t="shared" si="10" ref="AR10:AR21">B10*0.75</f>
        <v>934.4250000000001</v>
      </c>
      <c r="AS10" s="345">
        <f>B10*1.15</f>
        <v>1432.785</v>
      </c>
      <c r="AT10" s="346"/>
      <c r="AU10" s="349"/>
      <c r="AV10" s="348"/>
      <c r="AW10" s="347">
        <v>325</v>
      </c>
      <c r="AX10" s="349"/>
      <c r="AY10" s="346"/>
      <c r="AZ10" s="149"/>
      <c r="BA10" s="149"/>
      <c r="BB10" s="350">
        <f>BA10*0.18</f>
        <v>0</v>
      </c>
      <c r="BC10" s="350">
        <f>SUM(AK10:BB10)</f>
        <v>10018.102</v>
      </c>
      <c r="BD10" s="351">
        <f>'[6]Т01'!$R$151</f>
        <v>25</v>
      </c>
      <c r="BE10" s="351">
        <f>BC10+BD10</f>
        <v>10043.102</v>
      </c>
      <c r="BF10" s="351">
        <f>AG10+AJ10-BE10</f>
        <v>-4023.6206</v>
      </c>
      <c r="BG10" s="351">
        <f>AF10-U10</f>
        <v>-5035.76</v>
      </c>
      <c r="BH10" s="351"/>
      <c r="BI10" s="352"/>
      <c r="BJ10" s="352"/>
      <c r="BK10" s="352"/>
      <c r="BL10" s="352"/>
      <c r="BM10" s="352"/>
      <c r="BN10" s="353"/>
      <c r="BO10" s="353"/>
      <c r="BP10" s="350"/>
      <c r="BQ10" s="325"/>
      <c r="BR10" s="325"/>
      <c r="BS10" s="328"/>
      <c r="BT10" s="354"/>
      <c r="BU10" s="355"/>
      <c r="BV10" s="356"/>
      <c r="BW10" s="357"/>
    </row>
    <row r="11" spans="1:73" ht="12.75">
      <c r="A11" s="329" t="s">
        <v>44</v>
      </c>
      <c r="B11" s="330">
        <v>1245.9</v>
      </c>
      <c r="C11" s="146">
        <f t="shared" si="0"/>
        <v>10652.445000000002</v>
      </c>
      <c r="D11" s="92">
        <v>84.89139999999999</v>
      </c>
      <c r="E11" s="331">
        <v>0</v>
      </c>
      <c r="F11" s="331">
        <v>0</v>
      </c>
      <c r="G11" s="332">
        <v>6455.18</v>
      </c>
      <c r="H11" s="332">
        <v>0</v>
      </c>
      <c r="I11" s="332">
        <v>0</v>
      </c>
      <c r="J11" s="332">
        <v>0</v>
      </c>
      <c r="K11" s="332">
        <v>0</v>
      </c>
      <c r="L11" s="332">
        <v>0</v>
      </c>
      <c r="M11" s="332">
        <v>3181.57</v>
      </c>
      <c r="N11" s="332">
        <v>0</v>
      </c>
      <c r="O11" s="333">
        <v>1103.81</v>
      </c>
      <c r="P11" s="358">
        <v>0</v>
      </c>
      <c r="Q11" s="331">
        <v>0</v>
      </c>
      <c r="R11" s="331">
        <v>0</v>
      </c>
      <c r="S11" s="331">
        <v>0</v>
      </c>
      <c r="T11" s="332">
        <v>0</v>
      </c>
      <c r="U11" s="359">
        <f t="shared" si="1"/>
        <v>10740.56</v>
      </c>
      <c r="V11" s="340">
        <f t="shared" si="1"/>
        <v>0</v>
      </c>
      <c r="W11" s="332">
        <v>223.02</v>
      </c>
      <c r="X11" s="331">
        <v>3588.61</v>
      </c>
      <c r="Y11" s="332">
        <v>301.6</v>
      </c>
      <c r="Z11" s="332">
        <v>502.16</v>
      </c>
      <c r="AA11" s="332">
        <v>2461.83</v>
      </c>
      <c r="AB11" s="332">
        <v>798.76</v>
      </c>
      <c r="AC11" s="332">
        <v>0</v>
      </c>
      <c r="AD11" s="331">
        <v>0</v>
      </c>
      <c r="AE11" s="331">
        <v>0</v>
      </c>
      <c r="AF11" s="341">
        <f>SUM(W11:AE11)</f>
        <v>7875.9800000000005</v>
      </c>
      <c r="AG11" s="342">
        <f>AF11+V11+D11</f>
        <v>7960.871400000001</v>
      </c>
      <c r="AH11" s="343">
        <f t="shared" si="2"/>
        <v>0</v>
      </c>
      <c r="AI11" s="343">
        <f t="shared" si="2"/>
        <v>0</v>
      </c>
      <c r="AJ11" s="344">
        <f>'[6]Т02'!$J$153</f>
        <v>100</v>
      </c>
      <c r="AK11" s="345">
        <f t="shared" si="3"/>
        <v>834.7530000000002</v>
      </c>
      <c r="AL11" s="345">
        <f t="shared" si="4"/>
        <v>249.18000000000004</v>
      </c>
      <c r="AM11" s="345">
        <f t="shared" si="5"/>
        <v>1245.9</v>
      </c>
      <c r="AN11" s="345">
        <f t="shared" si="6"/>
        <v>261.639</v>
      </c>
      <c r="AO11" s="345">
        <f t="shared" si="7"/>
        <v>2516.7180000000003</v>
      </c>
      <c r="AP11" s="345">
        <f t="shared" si="8"/>
        <v>1283.277</v>
      </c>
      <c r="AQ11" s="345">
        <f t="shared" si="9"/>
        <v>934.4250000000001</v>
      </c>
      <c r="AR11" s="345">
        <f t="shared" si="10"/>
        <v>934.4250000000001</v>
      </c>
      <c r="AS11" s="345">
        <f>B11*1.15</f>
        <v>1432.785</v>
      </c>
      <c r="AT11" s="345">
        <f>0.45*336</f>
        <v>151.20000000000002</v>
      </c>
      <c r="AU11" s="349"/>
      <c r="AV11" s="348"/>
      <c r="AW11" s="349"/>
      <c r="AX11" s="347">
        <f>22.56</f>
        <v>22.56</v>
      </c>
      <c r="AY11" s="346"/>
      <c r="AZ11" s="149"/>
      <c r="BA11" s="149"/>
      <c r="BB11" s="350">
        <f>BA11*0.18</f>
        <v>0</v>
      </c>
      <c r="BC11" s="350">
        <f>SUM(AK11:BB11)</f>
        <v>9866.862000000001</v>
      </c>
      <c r="BD11" s="351">
        <f>'[6]Т02'!$S$152</f>
        <v>25</v>
      </c>
      <c r="BE11" s="351">
        <f aca="true" t="shared" si="11" ref="BE11:BE21">BC11+BD11</f>
        <v>9891.862000000001</v>
      </c>
      <c r="BF11" s="351">
        <f aca="true" t="shared" si="12" ref="BF11:BF21">AG11+AJ11-BE11</f>
        <v>-1830.9906</v>
      </c>
      <c r="BG11" s="351">
        <f aca="true" t="shared" si="13" ref="BG11:BG21">AF11-U11</f>
        <v>-2864.579999999999</v>
      </c>
      <c r="BH11" s="351"/>
      <c r="BI11" s="352"/>
      <c r="BJ11" s="352"/>
      <c r="BK11" s="352"/>
      <c r="BL11" s="352"/>
      <c r="BM11" s="352"/>
      <c r="BN11" s="353"/>
      <c r="BO11" s="353"/>
      <c r="BP11" s="350"/>
      <c r="BQ11" s="325"/>
      <c r="BR11" s="325"/>
      <c r="BS11" s="328"/>
      <c r="BT11" s="355"/>
      <c r="BU11" s="360"/>
    </row>
    <row r="12" spans="1:72" ht="12.75">
      <c r="A12" s="329" t="s">
        <v>45</v>
      </c>
      <c r="B12" s="330">
        <v>1245.9</v>
      </c>
      <c r="C12" s="146">
        <f t="shared" si="0"/>
        <v>10652.445000000002</v>
      </c>
      <c r="D12" s="92">
        <v>84.89139999999999</v>
      </c>
      <c r="E12" s="331">
        <v>0</v>
      </c>
      <c r="F12" s="331">
        <v>0</v>
      </c>
      <c r="G12" s="332">
        <v>6532.71</v>
      </c>
      <c r="H12" s="332">
        <v>0</v>
      </c>
      <c r="I12" s="332">
        <v>0</v>
      </c>
      <c r="J12" s="332">
        <v>0</v>
      </c>
      <c r="K12" s="332">
        <v>0</v>
      </c>
      <c r="L12" s="332">
        <v>0</v>
      </c>
      <c r="M12" s="332">
        <v>3172.63</v>
      </c>
      <c r="N12" s="332">
        <v>0</v>
      </c>
      <c r="O12" s="333">
        <v>1100.62</v>
      </c>
      <c r="P12" s="361">
        <v>0</v>
      </c>
      <c r="Q12" s="362">
        <v>0</v>
      </c>
      <c r="R12" s="362">
        <v>0</v>
      </c>
      <c r="S12" s="362">
        <v>0</v>
      </c>
      <c r="T12" s="332">
        <v>0</v>
      </c>
      <c r="U12" s="332">
        <f t="shared" si="1"/>
        <v>10805.96</v>
      </c>
      <c r="V12" s="363">
        <f t="shared" si="1"/>
        <v>0</v>
      </c>
      <c r="W12" s="364">
        <v>106.81</v>
      </c>
      <c r="X12" s="331">
        <v>5057.63</v>
      </c>
      <c r="Y12" s="332">
        <v>144.51</v>
      </c>
      <c r="Z12" s="332">
        <v>240.51</v>
      </c>
      <c r="AA12" s="332">
        <v>2741.02</v>
      </c>
      <c r="AB12" s="332">
        <v>922.42</v>
      </c>
      <c r="AC12" s="332">
        <v>0</v>
      </c>
      <c r="AD12" s="331">
        <v>0</v>
      </c>
      <c r="AE12" s="332">
        <v>0</v>
      </c>
      <c r="AF12" s="365">
        <f>SUM(W12:AE12)</f>
        <v>9212.900000000001</v>
      </c>
      <c r="AG12" s="342">
        <f>AF12+V12+D12</f>
        <v>9297.791400000002</v>
      </c>
      <c r="AH12" s="343">
        <f t="shared" si="2"/>
        <v>0</v>
      </c>
      <c r="AI12" s="343">
        <f t="shared" si="2"/>
        <v>0</v>
      </c>
      <c r="AJ12" s="344">
        <f>'[6]Т01'!$I$151</f>
        <v>100</v>
      </c>
      <c r="AK12" s="345">
        <f t="shared" si="3"/>
        <v>834.7530000000002</v>
      </c>
      <c r="AL12" s="345">
        <f t="shared" si="4"/>
        <v>249.18000000000004</v>
      </c>
      <c r="AM12" s="345">
        <f t="shared" si="5"/>
        <v>1245.9</v>
      </c>
      <c r="AN12" s="345">
        <f t="shared" si="6"/>
        <v>261.639</v>
      </c>
      <c r="AO12" s="345">
        <f t="shared" si="7"/>
        <v>2516.7180000000003</v>
      </c>
      <c r="AP12" s="345">
        <f t="shared" si="8"/>
        <v>1283.277</v>
      </c>
      <c r="AQ12" s="345">
        <f t="shared" si="9"/>
        <v>934.4250000000001</v>
      </c>
      <c r="AR12" s="345">
        <f t="shared" si="10"/>
        <v>934.4250000000001</v>
      </c>
      <c r="AS12" s="345">
        <f>B12*1.15</f>
        <v>1432.785</v>
      </c>
      <c r="AT12" s="345">
        <f>0.45*336</f>
        <v>151.20000000000002</v>
      </c>
      <c r="AU12" s="349"/>
      <c r="AV12" s="348"/>
      <c r="AW12" s="349"/>
      <c r="AX12" s="349"/>
      <c r="AY12" s="346"/>
      <c r="AZ12" s="149"/>
      <c r="BA12" s="149"/>
      <c r="BB12" s="350">
        <f>BA12*0.18</f>
        <v>0</v>
      </c>
      <c r="BC12" s="350">
        <f>SUM(AK12:BB12)</f>
        <v>9844.302000000001</v>
      </c>
      <c r="BD12" s="351">
        <f>'[6]Т03'!$S$153</f>
        <v>25</v>
      </c>
      <c r="BE12" s="351">
        <f t="shared" si="11"/>
        <v>9869.302000000001</v>
      </c>
      <c r="BF12" s="351">
        <f t="shared" si="12"/>
        <v>-471.5105999999996</v>
      </c>
      <c r="BG12" s="351">
        <f t="shared" si="13"/>
        <v>-1593.0599999999977</v>
      </c>
      <c r="BH12" s="351"/>
      <c r="BI12" s="352"/>
      <c r="BJ12" s="352"/>
      <c r="BK12" s="352"/>
      <c r="BL12" s="352"/>
      <c r="BM12" s="352"/>
      <c r="BN12" s="353"/>
      <c r="BO12" s="353"/>
      <c r="BP12" s="350"/>
      <c r="BQ12" s="325"/>
      <c r="BR12" s="325"/>
      <c r="BS12" s="355"/>
      <c r="BT12" s="360"/>
    </row>
    <row r="13" spans="1:74" ht="12.75">
      <c r="A13" s="329" t="s">
        <v>46</v>
      </c>
      <c r="B13" s="330">
        <v>1245.9</v>
      </c>
      <c r="C13" s="146">
        <f t="shared" si="0"/>
        <v>10652.445000000002</v>
      </c>
      <c r="D13" s="366">
        <v>84.89139999999999</v>
      </c>
      <c r="E13" s="337">
        <v>0</v>
      </c>
      <c r="F13" s="331">
        <v>0</v>
      </c>
      <c r="G13" s="364">
        <v>6513.9</v>
      </c>
      <c r="H13" s="332">
        <v>0</v>
      </c>
      <c r="I13" s="332">
        <v>0</v>
      </c>
      <c r="J13" s="332">
        <v>0</v>
      </c>
      <c r="K13" s="332">
        <v>0</v>
      </c>
      <c r="L13" s="332">
        <v>0</v>
      </c>
      <c r="M13" s="332">
        <v>3163.39</v>
      </c>
      <c r="N13" s="332">
        <v>0</v>
      </c>
      <c r="O13" s="333">
        <v>1097.32</v>
      </c>
      <c r="P13" s="334">
        <v>0</v>
      </c>
      <c r="Q13" s="361">
        <v>0</v>
      </c>
      <c r="R13" s="334">
        <v>0</v>
      </c>
      <c r="S13" s="367">
        <v>0</v>
      </c>
      <c r="T13" s="338">
        <v>0</v>
      </c>
      <c r="U13" s="359">
        <f t="shared" si="1"/>
        <v>10774.609999999999</v>
      </c>
      <c r="V13" s="363">
        <f t="shared" si="1"/>
        <v>0</v>
      </c>
      <c r="W13" s="332">
        <v>40.79</v>
      </c>
      <c r="X13" s="331">
        <v>4012.11</v>
      </c>
      <c r="Y13" s="332">
        <v>55.3</v>
      </c>
      <c r="Z13" s="332">
        <v>92</v>
      </c>
      <c r="AA13" s="332">
        <v>4065.25</v>
      </c>
      <c r="AB13" s="331">
        <v>704.66</v>
      </c>
      <c r="AC13" s="332">
        <v>0</v>
      </c>
      <c r="AD13" s="331">
        <v>0</v>
      </c>
      <c r="AE13" s="331">
        <v>0</v>
      </c>
      <c r="AF13" s="341">
        <f>SUM(W13:AD13)</f>
        <v>8970.11</v>
      </c>
      <c r="AG13" s="368">
        <f>AF13+V13+D13</f>
        <v>9055.001400000001</v>
      </c>
      <c r="AH13" s="369">
        <f t="shared" si="2"/>
        <v>0</v>
      </c>
      <c r="AI13" s="369">
        <f t="shared" si="2"/>
        <v>0</v>
      </c>
      <c r="AJ13" s="370">
        <f>'[7]Т04'!$J$155</f>
        <v>100</v>
      </c>
      <c r="AK13" s="345">
        <f t="shared" si="3"/>
        <v>834.7530000000002</v>
      </c>
      <c r="AL13" s="345">
        <f t="shared" si="4"/>
        <v>249.18000000000004</v>
      </c>
      <c r="AM13" s="345">
        <f t="shared" si="5"/>
        <v>1245.9</v>
      </c>
      <c r="AN13" s="345">
        <f t="shared" si="6"/>
        <v>261.639</v>
      </c>
      <c r="AO13" s="345">
        <f t="shared" si="7"/>
        <v>2516.7180000000003</v>
      </c>
      <c r="AP13" s="345">
        <f t="shared" si="8"/>
        <v>1283.277</v>
      </c>
      <c r="AQ13" s="345">
        <f t="shared" si="9"/>
        <v>934.4250000000001</v>
      </c>
      <c r="AR13" s="345">
        <f t="shared" si="10"/>
        <v>934.4250000000001</v>
      </c>
      <c r="AS13" s="345"/>
      <c r="AT13" s="371">
        <f>0.45*336</f>
        <v>151.20000000000002</v>
      </c>
      <c r="AU13" s="372"/>
      <c r="AV13" s="372">
        <v>3447</v>
      </c>
      <c r="AW13" s="372"/>
      <c r="AX13" s="372">
        <f>6.8+45</f>
        <v>51.8</v>
      </c>
      <c r="AY13" s="346"/>
      <c r="AZ13" s="346"/>
      <c r="BA13" s="371"/>
      <c r="BB13" s="371"/>
      <c r="BC13" s="362">
        <f>SUM(AK13:BB13)</f>
        <v>11910.317000000001</v>
      </c>
      <c r="BD13" s="373">
        <f>'[6]Т04'!$S$155</f>
        <v>25</v>
      </c>
      <c r="BE13" s="351">
        <f t="shared" si="11"/>
        <v>11935.317000000001</v>
      </c>
      <c r="BF13" s="351">
        <f t="shared" si="12"/>
        <v>-2780.3156</v>
      </c>
      <c r="BG13" s="351">
        <f t="shared" si="13"/>
        <v>-1804.4999999999982</v>
      </c>
      <c r="BH13" s="351"/>
      <c r="BI13" s="352"/>
      <c r="BJ13" s="352"/>
      <c r="BK13" s="352"/>
      <c r="BL13" s="352"/>
      <c r="BM13" s="352"/>
      <c r="BN13" s="353"/>
      <c r="BO13" s="353"/>
      <c r="BP13" s="350"/>
      <c r="BQ13" s="325"/>
      <c r="BR13" s="325"/>
      <c r="BS13" s="325"/>
      <c r="BT13" s="328"/>
      <c r="BU13" s="355"/>
      <c r="BV13" s="360"/>
    </row>
    <row r="14" spans="1:73" ht="12.75">
      <c r="A14" s="329" t="s">
        <v>47</v>
      </c>
      <c r="B14" s="374">
        <v>1245.9</v>
      </c>
      <c r="C14" s="146">
        <f t="shared" si="0"/>
        <v>10652.445000000002</v>
      </c>
      <c r="D14" s="366">
        <v>84.89139999999999</v>
      </c>
      <c r="E14" s="375">
        <v>0</v>
      </c>
      <c r="F14" s="331">
        <v>0</v>
      </c>
      <c r="G14" s="332">
        <v>6530.48</v>
      </c>
      <c r="H14" s="332">
        <v>0</v>
      </c>
      <c r="I14" s="332">
        <v>0</v>
      </c>
      <c r="J14" s="332">
        <v>0</v>
      </c>
      <c r="K14" s="332">
        <v>0</v>
      </c>
      <c r="L14" s="332">
        <v>0</v>
      </c>
      <c r="M14" s="332">
        <v>3171.54</v>
      </c>
      <c r="N14" s="332">
        <v>0</v>
      </c>
      <c r="O14" s="333">
        <v>1100.23</v>
      </c>
      <c r="P14" s="334">
        <v>0</v>
      </c>
      <c r="Q14" s="362">
        <v>0</v>
      </c>
      <c r="R14" s="376">
        <v>0</v>
      </c>
      <c r="S14" s="362">
        <v>0</v>
      </c>
      <c r="T14" s="331">
        <v>0</v>
      </c>
      <c r="U14" s="337">
        <f t="shared" si="1"/>
        <v>10802.25</v>
      </c>
      <c r="V14" s="377">
        <f>F14+H14+J14+L14+N14++R14+T14</f>
        <v>0</v>
      </c>
      <c r="W14" s="332">
        <v>369.3</v>
      </c>
      <c r="X14" s="331">
        <v>4825.51</v>
      </c>
      <c r="Y14" s="332">
        <v>500.45</v>
      </c>
      <c r="Z14" s="332">
        <v>832.9</v>
      </c>
      <c r="AA14" s="332">
        <v>1545.68</v>
      </c>
      <c r="AB14" s="332">
        <v>1107.54</v>
      </c>
      <c r="AC14" s="332">
        <v>0</v>
      </c>
      <c r="AD14" s="331">
        <v>0</v>
      </c>
      <c r="AE14" s="341">
        <v>0</v>
      </c>
      <c r="AF14" s="378">
        <f>SUM(W14:AE14)</f>
        <v>9181.380000000001</v>
      </c>
      <c r="AG14" s="368">
        <f aca="true" t="shared" si="14" ref="AG14:AG21">D14+V14+AF14</f>
        <v>9266.271400000001</v>
      </c>
      <c r="AH14" s="369">
        <f t="shared" si="2"/>
        <v>0</v>
      </c>
      <c r="AI14" s="369">
        <f t="shared" si="2"/>
        <v>0</v>
      </c>
      <c r="AJ14" s="370">
        <f>'[6]Т05'!$J$153</f>
        <v>100</v>
      </c>
      <c r="AK14" s="345">
        <f t="shared" si="3"/>
        <v>834.7530000000002</v>
      </c>
      <c r="AL14" s="345">
        <f t="shared" si="4"/>
        <v>249.18000000000004</v>
      </c>
      <c r="AM14" s="345">
        <f t="shared" si="5"/>
        <v>1245.9</v>
      </c>
      <c r="AN14" s="345">
        <f t="shared" si="6"/>
        <v>261.639</v>
      </c>
      <c r="AO14" s="345">
        <f t="shared" si="7"/>
        <v>2516.7180000000003</v>
      </c>
      <c r="AP14" s="345">
        <f t="shared" si="8"/>
        <v>1283.277</v>
      </c>
      <c r="AQ14" s="345">
        <f t="shared" si="9"/>
        <v>934.4250000000001</v>
      </c>
      <c r="AR14" s="345">
        <f t="shared" si="10"/>
        <v>934.4250000000001</v>
      </c>
      <c r="AS14" s="345"/>
      <c r="AT14" s="371">
        <f>0.45*336</f>
        <v>151.20000000000002</v>
      </c>
      <c r="AU14" s="372"/>
      <c r="AV14" s="372"/>
      <c r="AW14" s="372"/>
      <c r="AX14" s="372">
        <f>13</f>
        <v>13</v>
      </c>
      <c r="AY14" s="346"/>
      <c r="AZ14" s="346"/>
      <c r="BA14" s="371"/>
      <c r="BB14" s="371"/>
      <c r="BC14" s="362">
        <f>SUM(AK14:BB14)</f>
        <v>8424.517000000002</v>
      </c>
      <c r="BD14" s="373">
        <f>'[6]Т05'!$S$153</f>
        <v>25</v>
      </c>
      <c r="BE14" s="351">
        <f t="shared" si="11"/>
        <v>8449.517000000002</v>
      </c>
      <c r="BF14" s="351">
        <f t="shared" si="12"/>
        <v>916.7543999999998</v>
      </c>
      <c r="BG14" s="351">
        <f t="shared" si="13"/>
        <v>-1620.869999999999</v>
      </c>
      <c r="BH14" s="351"/>
      <c r="BI14" s="352"/>
      <c r="BJ14" s="352"/>
      <c r="BK14" s="352"/>
      <c r="BL14" s="352"/>
      <c r="BM14" s="352"/>
      <c r="BN14" s="353"/>
      <c r="BO14" s="353"/>
      <c r="BP14" s="350"/>
      <c r="BQ14" s="325"/>
      <c r="BR14" s="325"/>
      <c r="BS14" s="328"/>
      <c r="BT14" s="355"/>
      <c r="BU14" s="360"/>
    </row>
    <row r="15" spans="1:73" ht="13.5" thickBot="1">
      <c r="A15" s="329" t="s">
        <v>48</v>
      </c>
      <c r="B15" s="330">
        <v>1245.9</v>
      </c>
      <c r="C15" s="146">
        <f t="shared" si="0"/>
        <v>10652.445000000002</v>
      </c>
      <c r="D15" s="366">
        <v>84.89139999999999</v>
      </c>
      <c r="E15" s="379">
        <v>0</v>
      </c>
      <c r="F15" s="379"/>
      <c r="G15" s="379">
        <v>6589.5</v>
      </c>
      <c r="H15" s="379"/>
      <c r="I15" s="380">
        <v>0</v>
      </c>
      <c r="J15" s="380"/>
      <c r="K15" s="380">
        <v>0</v>
      </c>
      <c r="L15" s="380"/>
      <c r="M15" s="380">
        <v>3200.53</v>
      </c>
      <c r="N15" s="380"/>
      <c r="O15" s="380">
        <v>1110.6</v>
      </c>
      <c r="P15" s="380"/>
      <c r="Q15" s="380">
        <v>0</v>
      </c>
      <c r="R15" s="381"/>
      <c r="S15" s="381">
        <v>0</v>
      </c>
      <c r="T15" s="380"/>
      <c r="U15" s="382">
        <f t="shared" si="1"/>
        <v>10900.630000000001</v>
      </c>
      <c r="V15" s="383">
        <f t="shared" si="1"/>
        <v>0</v>
      </c>
      <c r="W15" s="384">
        <v>582.1</v>
      </c>
      <c r="X15" s="379">
        <v>6625.67</v>
      </c>
      <c r="Y15" s="379">
        <v>787.42</v>
      </c>
      <c r="Z15" s="379">
        <v>1311.33</v>
      </c>
      <c r="AA15" s="379">
        <v>5141.84</v>
      </c>
      <c r="AB15" s="379">
        <v>1597.6</v>
      </c>
      <c r="AC15" s="379">
        <v>0</v>
      </c>
      <c r="AD15" s="379">
        <v>0</v>
      </c>
      <c r="AE15" s="385">
        <v>0</v>
      </c>
      <c r="AF15" s="386">
        <f aca="true" t="shared" si="15" ref="AF15:AF21">SUM(W15:AE15)</f>
        <v>16045.960000000001</v>
      </c>
      <c r="AG15" s="368">
        <f t="shared" si="14"/>
        <v>16130.851400000001</v>
      </c>
      <c r="AH15" s="369">
        <f t="shared" si="2"/>
        <v>0</v>
      </c>
      <c r="AI15" s="369">
        <f t="shared" si="2"/>
        <v>0</v>
      </c>
      <c r="AJ15" s="370">
        <f>'[6]Т06'!$J$153</f>
        <v>100</v>
      </c>
      <c r="AK15" s="345">
        <f t="shared" si="3"/>
        <v>834.7530000000002</v>
      </c>
      <c r="AL15" s="345">
        <f t="shared" si="4"/>
        <v>249.18000000000004</v>
      </c>
      <c r="AM15" s="345">
        <f t="shared" si="5"/>
        <v>1245.9</v>
      </c>
      <c r="AN15" s="345">
        <f t="shared" si="6"/>
        <v>261.639</v>
      </c>
      <c r="AO15" s="345">
        <f t="shared" si="7"/>
        <v>2516.7180000000003</v>
      </c>
      <c r="AP15" s="345">
        <f t="shared" si="8"/>
        <v>1283.277</v>
      </c>
      <c r="AQ15" s="345">
        <f t="shared" si="9"/>
        <v>934.4250000000001</v>
      </c>
      <c r="AR15" s="345">
        <f t="shared" si="10"/>
        <v>934.4250000000001</v>
      </c>
      <c r="AS15" s="345"/>
      <c r="AT15" s="371">
        <f>0.45*336</f>
        <v>151.20000000000002</v>
      </c>
      <c r="AU15" s="372"/>
      <c r="AV15" s="372"/>
      <c r="AW15" s="372"/>
      <c r="AX15" s="372">
        <f>17+42.6+40</f>
        <v>99.6</v>
      </c>
      <c r="AY15" s="345"/>
      <c r="AZ15" s="345"/>
      <c r="BA15" s="371"/>
      <c r="BB15" s="371"/>
      <c r="BC15" s="387">
        <f>SUM(AK15:BB15)</f>
        <v>8511.117000000002</v>
      </c>
      <c r="BD15" s="373">
        <f>'[6]Т06'!$S$153</f>
        <v>25</v>
      </c>
      <c r="BE15" s="351">
        <f t="shared" si="11"/>
        <v>8536.117000000002</v>
      </c>
      <c r="BF15" s="351">
        <f t="shared" si="12"/>
        <v>7694.734399999999</v>
      </c>
      <c r="BG15" s="351">
        <f t="shared" si="13"/>
        <v>5145.33</v>
      </c>
      <c r="BH15" s="351"/>
      <c r="BI15" s="352"/>
      <c r="BJ15" s="352"/>
      <c r="BK15" s="352"/>
      <c r="BL15" s="352"/>
      <c r="BM15" s="352"/>
      <c r="BN15" s="353"/>
      <c r="BO15" s="353"/>
      <c r="BP15" s="350"/>
      <c r="BQ15" s="325"/>
      <c r="BR15" s="325"/>
      <c r="BS15" s="328"/>
      <c r="BT15" s="388"/>
      <c r="BU15" s="360"/>
    </row>
    <row r="16" spans="1:70" ht="12.75">
      <c r="A16" s="329" t="s">
        <v>49</v>
      </c>
      <c r="B16" s="330">
        <v>1245.9</v>
      </c>
      <c r="C16" s="146">
        <f t="shared" si="0"/>
        <v>10652.445000000002</v>
      </c>
      <c r="D16" s="366">
        <v>84.89139999999999</v>
      </c>
      <c r="E16" s="389"/>
      <c r="F16" s="389"/>
      <c r="G16" s="389">
        <v>6553.85</v>
      </c>
      <c r="H16" s="389"/>
      <c r="I16" s="389"/>
      <c r="J16" s="389"/>
      <c r="K16" s="389"/>
      <c r="L16" s="389"/>
      <c r="M16" s="389">
        <v>3183.02</v>
      </c>
      <c r="N16" s="389"/>
      <c r="O16" s="389">
        <v>1104.33</v>
      </c>
      <c r="P16" s="389"/>
      <c r="Q16" s="389"/>
      <c r="R16" s="389"/>
      <c r="S16" s="390"/>
      <c r="T16" s="384"/>
      <c r="U16" s="391">
        <f t="shared" si="1"/>
        <v>10841.2</v>
      </c>
      <c r="V16" s="464">
        <f t="shared" si="1"/>
        <v>0</v>
      </c>
      <c r="W16" s="392">
        <v>84.93</v>
      </c>
      <c r="X16" s="389">
        <v>5919.84</v>
      </c>
      <c r="Y16" s="389">
        <v>115.13</v>
      </c>
      <c r="Z16" s="389">
        <v>191.49</v>
      </c>
      <c r="AA16" s="389">
        <v>5633.85</v>
      </c>
      <c r="AB16" s="389">
        <v>1041.02</v>
      </c>
      <c r="AC16" s="379"/>
      <c r="AD16" s="389"/>
      <c r="AE16" s="390"/>
      <c r="AF16" s="386">
        <f t="shared" si="15"/>
        <v>12986.260000000002</v>
      </c>
      <c r="AG16" s="393">
        <f t="shared" si="14"/>
        <v>13071.151400000002</v>
      </c>
      <c r="AH16" s="369">
        <f t="shared" si="2"/>
        <v>0</v>
      </c>
      <c r="AI16" s="369">
        <f t="shared" si="2"/>
        <v>0</v>
      </c>
      <c r="AJ16" s="370">
        <f>'[6]Т07'!$J$157</f>
        <v>100</v>
      </c>
      <c r="AK16" s="345">
        <f t="shared" si="3"/>
        <v>834.7530000000002</v>
      </c>
      <c r="AL16" s="345">
        <f t="shared" si="4"/>
        <v>249.18000000000004</v>
      </c>
      <c r="AM16" s="345">
        <f t="shared" si="5"/>
        <v>1245.9</v>
      </c>
      <c r="AN16" s="345">
        <f t="shared" si="6"/>
        <v>261.639</v>
      </c>
      <c r="AO16" s="345">
        <f t="shared" si="7"/>
        <v>2516.7180000000003</v>
      </c>
      <c r="AP16" s="345">
        <f t="shared" si="8"/>
        <v>1283.277</v>
      </c>
      <c r="AQ16" s="345">
        <f t="shared" si="9"/>
        <v>934.4250000000001</v>
      </c>
      <c r="AR16" s="345">
        <f t="shared" si="10"/>
        <v>934.4250000000001</v>
      </c>
      <c r="AS16" s="345"/>
      <c r="AT16" s="371">
        <f>0.45*336</f>
        <v>151.20000000000002</v>
      </c>
      <c r="AU16" s="372"/>
      <c r="AV16" s="372"/>
      <c r="AW16" s="372"/>
      <c r="AX16" s="372">
        <f>111.43+9.43</f>
        <v>120.86000000000001</v>
      </c>
      <c r="AY16" s="346"/>
      <c r="AZ16" s="346"/>
      <c r="BA16" s="371"/>
      <c r="BB16" s="371"/>
      <c r="BC16" s="362">
        <f>SUM(AK16:BB16)</f>
        <v>8532.377000000002</v>
      </c>
      <c r="BD16" s="373">
        <f>'[6]Т07'!$S$157</f>
        <v>25</v>
      </c>
      <c r="BE16" s="351">
        <f t="shared" si="11"/>
        <v>8557.377000000002</v>
      </c>
      <c r="BF16" s="351">
        <f t="shared" si="12"/>
        <v>4613.7744</v>
      </c>
      <c r="BG16" s="351">
        <f t="shared" si="13"/>
        <v>2145.0600000000013</v>
      </c>
      <c r="BH16" s="351"/>
      <c r="BI16" s="352"/>
      <c r="BJ16" s="352"/>
      <c r="BK16" s="352"/>
      <c r="BL16" s="352"/>
      <c r="BM16" s="352"/>
      <c r="BN16" s="353"/>
      <c r="BO16" s="353"/>
      <c r="BP16" s="350"/>
      <c r="BQ16" s="325"/>
      <c r="BR16" s="325"/>
    </row>
    <row r="17" spans="1:70" ht="12.75">
      <c r="A17" s="329" t="s">
        <v>50</v>
      </c>
      <c r="B17" s="330">
        <v>1245.9</v>
      </c>
      <c r="C17" s="146">
        <f>B17*8.55</f>
        <v>10652.445000000002</v>
      </c>
      <c r="D17" s="366">
        <v>84.89139999999999</v>
      </c>
      <c r="E17" s="389"/>
      <c r="F17" s="389"/>
      <c r="G17" s="389">
        <v>6549.29</v>
      </c>
      <c r="H17" s="389"/>
      <c r="I17" s="389"/>
      <c r="J17" s="389"/>
      <c r="K17" s="389"/>
      <c r="L17" s="389"/>
      <c r="M17" s="389">
        <v>3180.78</v>
      </c>
      <c r="N17" s="389"/>
      <c r="O17" s="389">
        <v>1103.53</v>
      </c>
      <c r="P17" s="389"/>
      <c r="Q17" s="389"/>
      <c r="R17" s="389"/>
      <c r="S17" s="390"/>
      <c r="T17" s="385"/>
      <c r="U17" s="465">
        <f t="shared" si="1"/>
        <v>10833.6</v>
      </c>
      <c r="V17" s="466">
        <f t="shared" si="1"/>
        <v>0</v>
      </c>
      <c r="W17" s="389">
        <v>13.64</v>
      </c>
      <c r="X17" s="389">
        <v>5556.38</v>
      </c>
      <c r="Y17" s="389">
        <v>18.48</v>
      </c>
      <c r="Z17" s="389">
        <v>30.77</v>
      </c>
      <c r="AA17" s="389">
        <v>2550.31</v>
      </c>
      <c r="AB17" s="389">
        <v>948.89</v>
      </c>
      <c r="AC17" s="389"/>
      <c r="AD17" s="389"/>
      <c r="AE17" s="390"/>
      <c r="AF17" s="386">
        <f t="shared" si="15"/>
        <v>9118.47</v>
      </c>
      <c r="AG17" s="393">
        <f t="shared" si="14"/>
        <v>9203.3614</v>
      </c>
      <c r="AH17" s="369">
        <f t="shared" si="2"/>
        <v>0</v>
      </c>
      <c r="AI17" s="369">
        <f t="shared" si="2"/>
        <v>0</v>
      </c>
      <c r="AJ17" s="370">
        <f>'[6]Т08'!$J$161</f>
        <v>100</v>
      </c>
      <c r="AK17" s="345">
        <f t="shared" si="3"/>
        <v>834.7530000000002</v>
      </c>
      <c r="AL17" s="345">
        <f t="shared" si="4"/>
        <v>249.18000000000004</v>
      </c>
      <c r="AM17" s="345">
        <f t="shared" si="5"/>
        <v>1245.9</v>
      </c>
      <c r="AN17" s="345">
        <f t="shared" si="6"/>
        <v>261.639</v>
      </c>
      <c r="AO17" s="345">
        <f t="shared" si="7"/>
        <v>2516.7180000000003</v>
      </c>
      <c r="AP17" s="345">
        <f t="shared" si="8"/>
        <v>1283.277</v>
      </c>
      <c r="AQ17" s="345">
        <f t="shared" si="9"/>
        <v>934.4250000000001</v>
      </c>
      <c r="AR17" s="345">
        <f t="shared" si="10"/>
        <v>934.4250000000001</v>
      </c>
      <c r="AS17" s="345"/>
      <c r="AT17" s="371">
        <f>0.45*336</f>
        <v>151.20000000000002</v>
      </c>
      <c r="AU17" s="372"/>
      <c r="AV17" s="372"/>
      <c r="AW17" s="372"/>
      <c r="AX17" s="372"/>
      <c r="AY17" s="346"/>
      <c r="AZ17" s="346"/>
      <c r="BA17" s="371"/>
      <c r="BB17" s="371"/>
      <c r="BC17" s="362">
        <f>SUM(AK17:BB17)</f>
        <v>8411.517000000002</v>
      </c>
      <c r="BD17" s="373">
        <f>'[6]Т08'!$S$161</f>
        <v>25</v>
      </c>
      <c r="BE17" s="351">
        <f t="shared" si="11"/>
        <v>8436.517000000002</v>
      </c>
      <c r="BF17" s="351">
        <f t="shared" si="12"/>
        <v>866.8443999999981</v>
      </c>
      <c r="BG17" s="351">
        <f t="shared" si="13"/>
        <v>-1715.130000000001</v>
      </c>
      <c r="BH17" s="351"/>
      <c r="BI17" s="352"/>
      <c r="BJ17" s="352"/>
      <c r="BK17" s="352"/>
      <c r="BL17" s="352"/>
      <c r="BM17" s="352"/>
      <c r="BN17" s="353"/>
      <c r="BO17" s="353"/>
      <c r="BP17" s="350"/>
      <c r="BQ17" s="325"/>
      <c r="BR17" s="325"/>
    </row>
    <row r="18" spans="1:70" ht="12.75">
      <c r="A18" s="329" t="s">
        <v>51</v>
      </c>
      <c r="B18" s="330">
        <v>1245.9</v>
      </c>
      <c r="C18" s="146">
        <f>B18*8.55</f>
        <v>10652.445000000002</v>
      </c>
      <c r="D18" s="366">
        <v>84.89139999999999</v>
      </c>
      <c r="E18" s="389"/>
      <c r="F18" s="389"/>
      <c r="G18" s="389">
        <v>6641.78</v>
      </c>
      <c r="H18" s="389"/>
      <c r="I18" s="389"/>
      <c r="J18" s="389"/>
      <c r="K18" s="389"/>
      <c r="L18" s="389"/>
      <c r="M18" s="389">
        <v>3225.7</v>
      </c>
      <c r="N18" s="389"/>
      <c r="O18" s="389">
        <v>1119.11</v>
      </c>
      <c r="P18" s="389"/>
      <c r="Q18" s="389"/>
      <c r="R18" s="389"/>
      <c r="S18" s="390"/>
      <c r="T18" s="394"/>
      <c r="U18" s="394">
        <f t="shared" si="1"/>
        <v>10986.59</v>
      </c>
      <c r="V18" s="395">
        <f t="shared" si="1"/>
        <v>0</v>
      </c>
      <c r="W18" s="389">
        <v>-12.21</v>
      </c>
      <c r="X18" s="389">
        <v>7375.34</v>
      </c>
      <c r="Y18" s="389">
        <v>-16.51</v>
      </c>
      <c r="Z18" s="389">
        <v>-27.49</v>
      </c>
      <c r="AA18" s="389">
        <v>3493.33</v>
      </c>
      <c r="AB18" s="389">
        <v>1267.12</v>
      </c>
      <c r="AC18" s="389"/>
      <c r="AD18" s="389"/>
      <c r="AE18" s="390"/>
      <c r="AF18" s="386">
        <f t="shared" si="15"/>
        <v>12079.579999999998</v>
      </c>
      <c r="AG18" s="393">
        <f t="shared" si="14"/>
        <v>12164.471399999999</v>
      </c>
      <c r="AH18" s="369">
        <f t="shared" si="2"/>
        <v>0</v>
      </c>
      <c r="AI18" s="369">
        <f t="shared" si="2"/>
        <v>0</v>
      </c>
      <c r="AJ18" s="370">
        <f>'[6]Т09'!$J$161</f>
        <v>100</v>
      </c>
      <c r="AK18" s="345">
        <f t="shared" si="3"/>
        <v>834.7530000000002</v>
      </c>
      <c r="AL18" s="345">
        <f t="shared" si="4"/>
        <v>249.18000000000004</v>
      </c>
      <c r="AM18" s="345">
        <f t="shared" si="5"/>
        <v>1245.9</v>
      </c>
      <c r="AN18" s="345">
        <f t="shared" si="6"/>
        <v>261.639</v>
      </c>
      <c r="AO18" s="345">
        <f t="shared" si="7"/>
        <v>2516.7180000000003</v>
      </c>
      <c r="AP18" s="345">
        <f t="shared" si="8"/>
        <v>1283.277</v>
      </c>
      <c r="AQ18" s="345">
        <f t="shared" si="9"/>
        <v>934.4250000000001</v>
      </c>
      <c r="AR18" s="345">
        <f t="shared" si="10"/>
        <v>934.4250000000001</v>
      </c>
      <c r="AS18" s="345"/>
      <c r="AT18" s="371">
        <f>0.45*336</f>
        <v>151.20000000000002</v>
      </c>
      <c r="AU18" s="372">
        <v>466</v>
      </c>
      <c r="AV18" s="372"/>
      <c r="AW18" s="372"/>
      <c r="AX18" s="372">
        <f>263.34</f>
        <v>263.34</v>
      </c>
      <c r="AY18" s="346"/>
      <c r="AZ18" s="346"/>
      <c r="BA18" s="371"/>
      <c r="BB18" s="371"/>
      <c r="BC18" s="362">
        <f>SUM(AK18:BB18)</f>
        <v>9140.857000000002</v>
      </c>
      <c r="BD18" s="373">
        <f>'[6]Т08'!$S$161</f>
        <v>25</v>
      </c>
      <c r="BE18" s="351">
        <f t="shared" si="11"/>
        <v>9165.857000000002</v>
      </c>
      <c r="BF18" s="351">
        <f t="shared" si="12"/>
        <v>3098.6143999999967</v>
      </c>
      <c r="BG18" s="351">
        <f t="shared" si="13"/>
        <v>1092.989999999998</v>
      </c>
      <c r="BH18" s="351"/>
      <c r="BI18" s="352"/>
      <c r="BJ18" s="352"/>
      <c r="BK18" s="352"/>
      <c r="BL18" s="352"/>
      <c r="BM18" s="352"/>
      <c r="BN18" s="353"/>
      <c r="BO18" s="353"/>
      <c r="BP18" s="350"/>
      <c r="BQ18" s="396"/>
      <c r="BR18" s="65"/>
    </row>
    <row r="19" spans="1:67" ht="12.75">
      <c r="A19" s="329" t="s">
        <v>39</v>
      </c>
      <c r="B19" s="330">
        <v>1245.9</v>
      </c>
      <c r="C19" s="146">
        <f>B19*8.55</f>
        <v>10652.445000000002</v>
      </c>
      <c r="D19" s="397">
        <v>84.89139999999999</v>
      </c>
      <c r="E19" s="379"/>
      <c r="F19" s="379"/>
      <c r="G19" s="379">
        <v>6639.9</v>
      </c>
      <c r="H19" s="379"/>
      <c r="I19" s="379"/>
      <c r="J19" s="379"/>
      <c r="K19" s="379"/>
      <c r="L19" s="379"/>
      <c r="M19" s="379">
        <v>3224.77</v>
      </c>
      <c r="N19" s="379"/>
      <c r="O19" s="379">
        <v>1118.78</v>
      </c>
      <c r="P19" s="379"/>
      <c r="Q19" s="379"/>
      <c r="R19" s="379"/>
      <c r="S19" s="385"/>
      <c r="T19" s="398"/>
      <c r="U19" s="399">
        <f t="shared" si="1"/>
        <v>10983.45</v>
      </c>
      <c r="V19" s="400">
        <f t="shared" si="1"/>
        <v>0</v>
      </c>
      <c r="W19" s="379">
        <v>0</v>
      </c>
      <c r="X19" s="379">
        <v>5685.51</v>
      </c>
      <c r="Y19" s="379">
        <v>0</v>
      </c>
      <c r="Z19" s="379">
        <v>0</v>
      </c>
      <c r="AA19" s="379">
        <v>2825.41</v>
      </c>
      <c r="AB19" s="379">
        <v>1061.87</v>
      </c>
      <c r="AC19" s="379"/>
      <c r="AD19" s="379"/>
      <c r="AE19" s="385"/>
      <c r="AF19" s="386">
        <f t="shared" si="15"/>
        <v>9572.79</v>
      </c>
      <c r="AG19" s="393">
        <f t="shared" si="14"/>
        <v>9657.681400000001</v>
      </c>
      <c r="AH19" s="369">
        <f t="shared" si="2"/>
        <v>0</v>
      </c>
      <c r="AI19" s="369">
        <f t="shared" si="2"/>
        <v>0</v>
      </c>
      <c r="AJ19" s="370">
        <f>'[8]Т10'!$J$161</f>
        <v>100</v>
      </c>
      <c r="AK19" s="345">
        <f t="shared" si="3"/>
        <v>834.7530000000002</v>
      </c>
      <c r="AL19" s="345">
        <f t="shared" si="4"/>
        <v>249.18000000000004</v>
      </c>
      <c r="AM19" s="345">
        <f t="shared" si="5"/>
        <v>1245.9</v>
      </c>
      <c r="AN19" s="345">
        <f t="shared" si="6"/>
        <v>261.639</v>
      </c>
      <c r="AO19" s="345">
        <f t="shared" si="7"/>
        <v>2516.7180000000003</v>
      </c>
      <c r="AP19" s="345">
        <f t="shared" si="8"/>
        <v>1283.277</v>
      </c>
      <c r="AQ19" s="345">
        <f t="shared" si="9"/>
        <v>934.4250000000001</v>
      </c>
      <c r="AR19" s="345">
        <f t="shared" si="10"/>
        <v>934.4250000000001</v>
      </c>
      <c r="AS19" s="401">
        <f>B19*1.15</f>
        <v>1432.785</v>
      </c>
      <c r="AT19" s="371">
        <f>0.45*336</f>
        <v>151.20000000000002</v>
      </c>
      <c r="AU19" s="372"/>
      <c r="AV19" s="372"/>
      <c r="AW19" s="372"/>
      <c r="AX19" s="372">
        <f>104.5</f>
        <v>104.5</v>
      </c>
      <c r="AY19" s="346"/>
      <c r="AZ19" s="346"/>
      <c r="BA19" s="371"/>
      <c r="BB19" s="371"/>
      <c r="BC19" s="362">
        <f>SUM(AK19:BB19)</f>
        <v>9948.802000000001</v>
      </c>
      <c r="BD19" s="373">
        <f>'[8]Т10'!$S$160</f>
        <v>25</v>
      </c>
      <c r="BE19" s="351">
        <f t="shared" si="11"/>
        <v>9973.802000000001</v>
      </c>
      <c r="BF19" s="351">
        <f t="shared" si="12"/>
        <v>-216.1206000000002</v>
      </c>
      <c r="BG19" s="351">
        <f t="shared" si="13"/>
        <v>-1410.6599999999999</v>
      </c>
      <c r="BH19" s="351"/>
      <c r="BI19" s="352"/>
      <c r="BJ19" s="352"/>
      <c r="BK19" s="352"/>
      <c r="BL19" s="352"/>
      <c r="BM19" s="352"/>
      <c r="BN19" s="353"/>
      <c r="BO19" s="402"/>
    </row>
    <row r="20" spans="1:67" ht="12.75">
      <c r="A20" s="329" t="s">
        <v>40</v>
      </c>
      <c r="B20" s="330">
        <v>1245.9</v>
      </c>
      <c r="C20" s="146">
        <f>B20*8.55</f>
        <v>10652.445000000002</v>
      </c>
      <c r="D20" s="403">
        <v>84.89139999999999</v>
      </c>
      <c r="E20" s="379"/>
      <c r="F20" s="379"/>
      <c r="G20" s="379">
        <v>6639.9</v>
      </c>
      <c r="H20" s="379"/>
      <c r="I20" s="379"/>
      <c r="J20" s="379"/>
      <c r="K20" s="379"/>
      <c r="L20" s="379"/>
      <c r="M20" s="379">
        <v>3224.77</v>
      </c>
      <c r="N20" s="379"/>
      <c r="O20" s="379">
        <v>1118.78</v>
      </c>
      <c r="P20" s="379"/>
      <c r="Q20" s="379"/>
      <c r="R20" s="379"/>
      <c r="S20" s="385"/>
      <c r="T20" s="398"/>
      <c r="U20" s="399">
        <f t="shared" si="1"/>
        <v>10983.45</v>
      </c>
      <c r="V20" s="400">
        <f t="shared" si="1"/>
        <v>0</v>
      </c>
      <c r="W20" s="379">
        <v>0</v>
      </c>
      <c r="X20" s="379">
        <v>4628.8</v>
      </c>
      <c r="Y20" s="379">
        <v>0</v>
      </c>
      <c r="Z20" s="379">
        <v>0</v>
      </c>
      <c r="AA20" s="379">
        <v>2232.87</v>
      </c>
      <c r="AB20" s="379">
        <v>774.55</v>
      </c>
      <c r="AC20" s="379"/>
      <c r="AD20" s="379"/>
      <c r="AE20" s="385"/>
      <c r="AF20" s="386">
        <f t="shared" si="15"/>
        <v>7636.22</v>
      </c>
      <c r="AG20" s="393">
        <f t="shared" si="14"/>
        <v>7721.111400000001</v>
      </c>
      <c r="AH20" s="369">
        <f t="shared" si="2"/>
        <v>0</v>
      </c>
      <c r="AI20" s="369">
        <f t="shared" si="2"/>
        <v>0</v>
      </c>
      <c r="AJ20" s="370">
        <f>'[8]Т11'!$J$161</f>
        <v>100</v>
      </c>
      <c r="AK20" s="345">
        <f t="shared" si="3"/>
        <v>834.7530000000002</v>
      </c>
      <c r="AL20" s="345">
        <f t="shared" si="4"/>
        <v>249.18000000000004</v>
      </c>
      <c r="AM20" s="345">
        <f t="shared" si="5"/>
        <v>1245.9</v>
      </c>
      <c r="AN20" s="345">
        <f t="shared" si="6"/>
        <v>261.639</v>
      </c>
      <c r="AO20" s="345">
        <f t="shared" si="7"/>
        <v>2516.7180000000003</v>
      </c>
      <c r="AP20" s="345">
        <f t="shared" si="8"/>
        <v>1283.277</v>
      </c>
      <c r="AQ20" s="345">
        <f t="shared" si="9"/>
        <v>934.4250000000001</v>
      </c>
      <c r="AR20" s="345">
        <f t="shared" si="10"/>
        <v>934.4250000000001</v>
      </c>
      <c r="AS20" s="401">
        <f>B20*1.15</f>
        <v>1432.785</v>
      </c>
      <c r="AT20" s="371">
        <f>0.45*336</f>
        <v>151.20000000000002</v>
      </c>
      <c r="AU20" s="372"/>
      <c r="AV20" s="372"/>
      <c r="AW20" s="372"/>
      <c r="AX20" s="372"/>
      <c r="AY20" s="346"/>
      <c r="AZ20" s="346"/>
      <c r="BA20" s="371"/>
      <c r="BB20" s="371"/>
      <c r="BC20" s="362">
        <f>SUM(AK20:BB20)</f>
        <v>9844.302000000001</v>
      </c>
      <c r="BD20" s="373">
        <f>'[8]Т11'!$S$161</f>
        <v>25</v>
      </c>
      <c r="BE20" s="351">
        <f t="shared" si="11"/>
        <v>9869.302000000001</v>
      </c>
      <c r="BF20" s="351">
        <f t="shared" si="12"/>
        <v>-2048.190600000001</v>
      </c>
      <c r="BG20" s="351">
        <f t="shared" si="13"/>
        <v>-3347.2300000000005</v>
      </c>
      <c r="BH20" s="351"/>
      <c r="BI20" s="352"/>
      <c r="BJ20" s="352"/>
      <c r="BK20" s="352"/>
      <c r="BL20" s="352"/>
      <c r="BM20" s="352"/>
      <c r="BN20" s="404"/>
      <c r="BO20" s="402"/>
    </row>
    <row r="21" spans="1:67" ht="13.5" thickBot="1">
      <c r="A21" s="329" t="s">
        <v>41</v>
      </c>
      <c r="B21" s="330">
        <v>1245.9</v>
      </c>
      <c r="C21" s="146">
        <f>B21*8.55</f>
        <v>10652.445000000002</v>
      </c>
      <c r="D21" s="403">
        <v>84.89139999999999</v>
      </c>
      <c r="E21" s="405"/>
      <c r="F21" s="405"/>
      <c r="G21" s="405">
        <v>6639.9</v>
      </c>
      <c r="H21" s="405"/>
      <c r="I21" s="405"/>
      <c r="J21" s="405"/>
      <c r="K21" s="405"/>
      <c r="L21" s="405"/>
      <c r="M21" s="405">
        <v>3224.77</v>
      </c>
      <c r="N21" s="405"/>
      <c r="O21" s="405">
        <v>1118.78</v>
      </c>
      <c r="P21" s="405"/>
      <c r="Q21" s="405"/>
      <c r="R21" s="405"/>
      <c r="S21" s="406"/>
      <c r="T21" s="407"/>
      <c r="U21" s="399">
        <f t="shared" si="1"/>
        <v>10983.45</v>
      </c>
      <c r="V21" s="400">
        <f t="shared" si="1"/>
        <v>0</v>
      </c>
      <c r="W21" s="379">
        <v>0</v>
      </c>
      <c r="X21" s="379">
        <v>6233.63</v>
      </c>
      <c r="Y21" s="379">
        <v>0</v>
      </c>
      <c r="Z21" s="379">
        <v>0</v>
      </c>
      <c r="AA21" s="379">
        <v>2988.53</v>
      </c>
      <c r="AB21" s="379">
        <v>1036.59</v>
      </c>
      <c r="AC21" s="379"/>
      <c r="AD21" s="379"/>
      <c r="AE21" s="385"/>
      <c r="AF21" s="386">
        <f t="shared" si="15"/>
        <v>10258.75</v>
      </c>
      <c r="AG21" s="393">
        <f t="shared" si="14"/>
        <v>10343.6414</v>
      </c>
      <c r="AH21" s="369">
        <f t="shared" si="2"/>
        <v>0</v>
      </c>
      <c r="AI21" s="369">
        <f t="shared" si="2"/>
        <v>0</v>
      </c>
      <c r="AJ21" s="370">
        <f>'[8]Т12'!$J$185</f>
        <v>100</v>
      </c>
      <c r="AK21" s="345">
        <f t="shared" si="3"/>
        <v>834.7530000000002</v>
      </c>
      <c r="AL21" s="345">
        <f t="shared" si="4"/>
        <v>249.18000000000004</v>
      </c>
      <c r="AM21" s="345">
        <f t="shared" si="5"/>
        <v>1245.9</v>
      </c>
      <c r="AN21" s="345">
        <f t="shared" si="6"/>
        <v>261.639</v>
      </c>
      <c r="AO21" s="345">
        <f t="shared" si="7"/>
        <v>2516.7180000000003</v>
      </c>
      <c r="AP21" s="345">
        <f t="shared" si="8"/>
        <v>1283.277</v>
      </c>
      <c r="AQ21" s="345">
        <f t="shared" si="9"/>
        <v>934.4250000000001</v>
      </c>
      <c r="AR21" s="345">
        <f t="shared" si="10"/>
        <v>934.4250000000001</v>
      </c>
      <c r="AS21" s="401">
        <f>B21*1.15</f>
        <v>1432.785</v>
      </c>
      <c r="AT21" s="371">
        <f>0.45*336</f>
        <v>151.20000000000002</v>
      </c>
      <c r="AU21" s="372"/>
      <c r="AV21" s="372"/>
      <c r="AW21" s="372"/>
      <c r="AX21" s="372">
        <f>56</f>
        <v>56</v>
      </c>
      <c r="AY21" s="346"/>
      <c r="AZ21" s="346"/>
      <c r="BA21" s="371"/>
      <c r="BB21" s="371"/>
      <c r="BC21" s="362">
        <f>SUM(AK21:BB21)</f>
        <v>9900.302000000001</v>
      </c>
      <c r="BD21" s="373">
        <f>'[8]Т12'!$S$185</f>
        <v>25</v>
      </c>
      <c r="BE21" s="351">
        <f t="shared" si="11"/>
        <v>9925.302000000001</v>
      </c>
      <c r="BF21" s="351">
        <f t="shared" si="12"/>
        <v>518.3393999999989</v>
      </c>
      <c r="BG21" s="351">
        <f t="shared" si="13"/>
        <v>-724.7000000000007</v>
      </c>
      <c r="BH21" s="351"/>
      <c r="BI21" s="352"/>
      <c r="BJ21" s="352"/>
      <c r="BK21" s="352"/>
      <c r="BL21" s="352"/>
      <c r="BM21" s="352"/>
      <c r="BN21" s="404"/>
      <c r="BO21" s="402"/>
    </row>
    <row r="22" spans="1:61" s="22" customFormat="1" ht="13.5" thickBot="1">
      <c r="A22" s="408" t="s">
        <v>3</v>
      </c>
      <c r="B22" s="409"/>
      <c r="C22" s="410">
        <f aca="true" t="shared" si="16" ref="C22:BF22">SUM(C10:C21)</f>
        <v>127829.34000000004</v>
      </c>
      <c r="D22" s="410">
        <f t="shared" si="16"/>
        <v>1018.6967999999998</v>
      </c>
      <c r="E22" s="410">
        <f t="shared" si="16"/>
        <v>0</v>
      </c>
      <c r="F22" s="410">
        <f t="shared" si="16"/>
        <v>0</v>
      </c>
      <c r="G22" s="410">
        <f t="shared" si="16"/>
        <v>78896.02999999998</v>
      </c>
      <c r="H22" s="410">
        <f t="shared" si="16"/>
        <v>0</v>
      </c>
      <c r="I22" s="410">
        <f t="shared" si="16"/>
        <v>0</v>
      </c>
      <c r="J22" s="410">
        <f t="shared" si="16"/>
        <v>0</v>
      </c>
      <c r="K22" s="410">
        <f t="shared" si="16"/>
        <v>0</v>
      </c>
      <c r="L22" s="410">
        <f t="shared" si="16"/>
        <v>0</v>
      </c>
      <c r="M22" s="410">
        <f t="shared" si="16"/>
        <v>38316.85999999999</v>
      </c>
      <c r="N22" s="410">
        <f t="shared" si="16"/>
        <v>0</v>
      </c>
      <c r="O22" s="410">
        <f t="shared" si="16"/>
        <v>13293.210000000003</v>
      </c>
      <c r="P22" s="410">
        <f t="shared" si="16"/>
        <v>0</v>
      </c>
      <c r="Q22" s="410">
        <f t="shared" si="16"/>
        <v>0</v>
      </c>
      <c r="R22" s="410">
        <f t="shared" si="16"/>
        <v>0</v>
      </c>
      <c r="S22" s="410">
        <f t="shared" si="16"/>
        <v>0</v>
      </c>
      <c r="T22" s="410">
        <f t="shared" si="16"/>
        <v>0</v>
      </c>
      <c r="U22" s="410">
        <f t="shared" si="16"/>
        <v>130506.09999999999</v>
      </c>
      <c r="V22" s="410">
        <f t="shared" si="16"/>
        <v>0</v>
      </c>
      <c r="W22" s="410">
        <f t="shared" si="16"/>
        <v>2081.8799999999997</v>
      </c>
      <c r="X22" s="410">
        <f t="shared" si="16"/>
        <v>59509.03</v>
      </c>
      <c r="Y22" s="410">
        <f t="shared" si="16"/>
        <v>2818.5099999999998</v>
      </c>
      <c r="Z22" s="410">
        <f t="shared" si="16"/>
        <v>4691.970000000001</v>
      </c>
      <c r="AA22" s="410">
        <f t="shared" si="16"/>
        <v>37871.77</v>
      </c>
      <c r="AB22" s="410">
        <f t="shared" si="16"/>
        <v>11799.829999999998</v>
      </c>
      <c r="AC22" s="410">
        <f t="shared" si="16"/>
        <v>0</v>
      </c>
      <c r="AD22" s="410">
        <f t="shared" si="16"/>
        <v>0</v>
      </c>
      <c r="AE22" s="410">
        <f t="shared" si="16"/>
        <v>0</v>
      </c>
      <c r="AF22" s="410">
        <f t="shared" si="16"/>
        <v>118772.99000000002</v>
      </c>
      <c r="AG22" s="410">
        <f t="shared" si="16"/>
        <v>119791.6868</v>
      </c>
      <c r="AH22" s="410">
        <f t="shared" si="16"/>
        <v>0</v>
      </c>
      <c r="AI22" s="410">
        <f t="shared" si="16"/>
        <v>0</v>
      </c>
      <c r="AJ22" s="410">
        <f t="shared" si="16"/>
        <v>1200</v>
      </c>
      <c r="AK22" s="410">
        <f t="shared" si="16"/>
        <v>10017.036000000006</v>
      </c>
      <c r="AL22" s="410">
        <f t="shared" si="16"/>
        <v>2990.16</v>
      </c>
      <c r="AM22" s="410">
        <f t="shared" si="16"/>
        <v>14950.799999999997</v>
      </c>
      <c r="AN22" s="410">
        <f t="shared" si="16"/>
        <v>3139.668000000001</v>
      </c>
      <c r="AO22" s="410">
        <f t="shared" si="16"/>
        <v>30200.616000000005</v>
      </c>
      <c r="AP22" s="410">
        <f t="shared" si="16"/>
        <v>15399.324</v>
      </c>
      <c r="AQ22" s="410">
        <f t="shared" si="16"/>
        <v>11213.099999999999</v>
      </c>
      <c r="AR22" s="410">
        <f t="shared" si="16"/>
        <v>11213.099999999999</v>
      </c>
      <c r="AS22" s="410">
        <f t="shared" si="16"/>
        <v>8596.710000000001</v>
      </c>
      <c r="AT22" s="410">
        <f t="shared" si="16"/>
        <v>1663.2000000000003</v>
      </c>
      <c r="AU22" s="410">
        <f t="shared" si="16"/>
        <v>466</v>
      </c>
      <c r="AV22" s="410">
        <f t="shared" si="16"/>
        <v>3447</v>
      </c>
      <c r="AW22" s="410">
        <f t="shared" si="16"/>
        <v>325</v>
      </c>
      <c r="AX22" s="410">
        <f t="shared" si="16"/>
        <v>731.66</v>
      </c>
      <c r="AY22" s="410">
        <f t="shared" si="16"/>
        <v>0</v>
      </c>
      <c r="AZ22" s="410">
        <f t="shared" si="16"/>
        <v>0</v>
      </c>
      <c r="BA22" s="410">
        <f t="shared" si="16"/>
        <v>0</v>
      </c>
      <c r="BB22" s="410">
        <f t="shared" si="16"/>
        <v>0</v>
      </c>
      <c r="BC22" s="410">
        <f t="shared" si="16"/>
        <v>114353.37400000001</v>
      </c>
      <c r="BD22" s="410">
        <f t="shared" si="16"/>
        <v>300</v>
      </c>
      <c r="BE22" s="410">
        <f t="shared" si="16"/>
        <v>114653.37400000001</v>
      </c>
      <c r="BF22" s="410">
        <f t="shared" si="16"/>
        <v>6338.312799999993</v>
      </c>
      <c r="BG22" s="410">
        <f>SUM(BG10:BG21)</f>
        <v>-11733.109999999997</v>
      </c>
      <c r="BI22" s="55"/>
    </row>
    <row r="23" spans="1:61" s="22" customFormat="1" ht="13.5" thickBot="1">
      <c r="A23" s="411"/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3"/>
      <c r="BF23" s="412"/>
      <c r="BG23" s="414"/>
      <c r="BI23" s="55"/>
    </row>
    <row r="24" spans="1:59" s="22" customFormat="1" ht="13.5" thickBot="1">
      <c r="A24" s="23" t="s">
        <v>52</v>
      </c>
      <c r="B24" s="412"/>
      <c r="C24" s="415">
        <f aca="true" t="shared" si="17" ref="C24:L24">C22+C8</f>
        <v>418579.19500000007</v>
      </c>
      <c r="D24" s="415">
        <f t="shared" si="17"/>
        <v>33877.91929175004</v>
      </c>
      <c r="E24" s="415">
        <f t="shared" si="17"/>
        <v>25141.089999999997</v>
      </c>
      <c r="F24" s="415">
        <f t="shared" si="17"/>
        <v>4555.08</v>
      </c>
      <c r="G24" s="415">
        <f t="shared" si="17"/>
        <v>78896.02999999998</v>
      </c>
      <c r="H24" s="415">
        <f t="shared" si="17"/>
        <v>0</v>
      </c>
      <c r="I24" s="415">
        <f t="shared" si="17"/>
        <v>34022.58</v>
      </c>
      <c r="J24" s="415">
        <f t="shared" si="17"/>
        <v>6165.969999999999</v>
      </c>
      <c r="K24" s="415">
        <f t="shared" si="17"/>
        <v>56650.36</v>
      </c>
      <c r="L24" s="415">
        <f t="shared" si="17"/>
        <v>10266.14</v>
      </c>
      <c r="M24" s="415" t="e">
        <f>#REF!</f>
        <v>#REF!</v>
      </c>
      <c r="N24" s="415">
        <f aca="true" t="shared" si="18" ref="N24:BG24">N22+N8</f>
        <v>14819.84</v>
      </c>
      <c r="O24" s="415">
        <f t="shared" si="18"/>
        <v>33407.45</v>
      </c>
      <c r="P24" s="415">
        <f t="shared" si="18"/>
        <v>3643.6299999999997</v>
      </c>
      <c r="Q24" s="415">
        <f t="shared" si="18"/>
        <v>0</v>
      </c>
      <c r="R24" s="415">
        <f t="shared" si="18"/>
        <v>0</v>
      </c>
      <c r="S24" s="415">
        <f t="shared" si="18"/>
        <v>0</v>
      </c>
      <c r="T24" s="415">
        <f t="shared" si="18"/>
        <v>0</v>
      </c>
      <c r="U24" s="415">
        <f t="shared" si="18"/>
        <v>348226.8</v>
      </c>
      <c r="V24" s="415">
        <f t="shared" si="18"/>
        <v>39450.66</v>
      </c>
      <c r="W24" s="415">
        <f t="shared" si="18"/>
        <v>24485.98</v>
      </c>
      <c r="X24" s="415">
        <f t="shared" si="18"/>
        <v>59509.03</v>
      </c>
      <c r="Y24" s="415">
        <f t="shared" si="18"/>
        <v>33132.85</v>
      </c>
      <c r="Z24" s="415">
        <f t="shared" si="18"/>
        <v>55170.56</v>
      </c>
      <c r="AA24" s="415">
        <f t="shared" si="18"/>
        <v>110756.60999999999</v>
      </c>
      <c r="AB24" s="415">
        <f t="shared" si="18"/>
        <v>29380.609999999997</v>
      </c>
      <c r="AC24" s="415">
        <f t="shared" si="18"/>
        <v>0</v>
      </c>
      <c r="AD24" s="415">
        <f t="shared" si="18"/>
        <v>0</v>
      </c>
      <c r="AE24" s="415">
        <f t="shared" si="18"/>
        <v>0</v>
      </c>
      <c r="AF24" s="415">
        <f t="shared" si="18"/>
        <v>312435.64</v>
      </c>
      <c r="AG24" s="415">
        <f t="shared" si="18"/>
        <v>385764.2192917501</v>
      </c>
      <c r="AH24" s="415">
        <f t="shared" si="18"/>
        <v>0</v>
      </c>
      <c r="AI24" s="415">
        <f t="shared" si="18"/>
        <v>0</v>
      </c>
      <c r="AJ24" s="415">
        <f t="shared" si="18"/>
        <v>1500</v>
      </c>
      <c r="AK24" s="415">
        <f t="shared" si="18"/>
        <v>29885.97600000001</v>
      </c>
      <c r="AL24" s="415">
        <f t="shared" si="18"/>
        <v>9647.876484</v>
      </c>
      <c r="AM24" s="415">
        <f t="shared" si="18"/>
        <v>47934.018816024996</v>
      </c>
      <c r="AN24" s="415">
        <f t="shared" si="18"/>
        <v>3139.668000000001</v>
      </c>
      <c r="AO24" s="415">
        <f t="shared" si="18"/>
        <v>63098.508077245</v>
      </c>
      <c r="AP24" s="415">
        <f t="shared" si="18"/>
        <v>88995.30642259298</v>
      </c>
      <c r="AQ24" s="415">
        <f t="shared" si="18"/>
        <v>11213.099999999999</v>
      </c>
      <c r="AR24" s="415">
        <f t="shared" si="18"/>
        <v>11213.099999999999</v>
      </c>
      <c r="AS24" s="415">
        <f t="shared" si="18"/>
        <v>8596.710000000001</v>
      </c>
      <c r="AT24" s="415">
        <f t="shared" si="18"/>
        <v>3477.6000000000004</v>
      </c>
      <c r="AU24" s="415">
        <f t="shared" si="18"/>
        <v>34452.426999999996</v>
      </c>
      <c r="AV24" s="415">
        <f t="shared" si="18"/>
        <v>3447</v>
      </c>
      <c r="AW24" s="416">
        <f t="shared" si="18"/>
        <v>38972.95</v>
      </c>
      <c r="AX24" s="416">
        <f t="shared" si="18"/>
        <v>7715.66</v>
      </c>
      <c r="AY24" s="416">
        <f t="shared" si="18"/>
        <v>7185.0232</v>
      </c>
      <c r="AZ24" s="416">
        <f t="shared" si="18"/>
        <v>0</v>
      </c>
      <c r="BA24" s="416">
        <f t="shared" si="18"/>
        <v>0</v>
      </c>
      <c r="BB24" s="416">
        <f t="shared" si="18"/>
        <v>0</v>
      </c>
      <c r="BC24" s="416">
        <f t="shared" si="18"/>
        <v>368974.923999863</v>
      </c>
      <c r="BD24" s="416">
        <f t="shared" si="18"/>
        <v>375</v>
      </c>
      <c r="BE24" s="416">
        <f t="shared" si="18"/>
        <v>369349.923999863</v>
      </c>
      <c r="BF24" s="416">
        <f t="shared" si="18"/>
        <v>17914.295291887054</v>
      </c>
      <c r="BG24" s="416">
        <f t="shared" si="18"/>
        <v>-35791.16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7">
      <selection activeCell="J33" sqref="J33"/>
    </sheetView>
  </sheetViews>
  <sheetFormatPr defaultColWidth="9.00390625" defaultRowHeight="12.75"/>
  <cols>
    <col min="1" max="1" width="10.00390625" style="74" customWidth="1"/>
    <col min="2" max="2" width="10.625" style="74" customWidth="1"/>
    <col min="3" max="3" width="11.875" style="74" customWidth="1"/>
    <col min="4" max="4" width="9.75390625" style="74" customWidth="1"/>
    <col min="5" max="5" width="11.625" style="74" customWidth="1"/>
    <col min="6" max="6" width="9.125" style="74" customWidth="1"/>
    <col min="7" max="7" width="11.00390625" style="74" customWidth="1"/>
    <col min="8" max="8" width="10.625" style="74" customWidth="1"/>
    <col min="9" max="9" width="8.625" style="74" customWidth="1"/>
    <col min="10" max="10" width="9.25390625" style="74" customWidth="1"/>
    <col min="11" max="11" width="8.625" style="74" customWidth="1"/>
    <col min="12" max="13" width="10.125" style="74" customWidth="1"/>
    <col min="14" max="14" width="10.625" style="74" customWidth="1"/>
    <col min="15" max="15" width="10.875" style="74" customWidth="1"/>
    <col min="16" max="16" width="10.375" style="74" customWidth="1"/>
    <col min="17" max="17" width="10.75390625" style="74" customWidth="1"/>
    <col min="18" max="16384" width="9.125" style="74" customWidth="1"/>
  </cols>
  <sheetData>
    <row r="1" spans="2:9" ht="20.25" customHeight="1">
      <c r="B1" s="417" t="s">
        <v>53</v>
      </c>
      <c r="C1" s="417"/>
      <c r="D1" s="417"/>
      <c r="E1" s="417"/>
      <c r="F1" s="417"/>
      <c r="G1" s="417"/>
      <c r="H1" s="417"/>
      <c r="I1" s="25"/>
    </row>
    <row r="2" spans="2:12" ht="21" customHeight="1">
      <c r="B2" s="417" t="s">
        <v>54</v>
      </c>
      <c r="C2" s="417"/>
      <c r="D2" s="417"/>
      <c r="E2" s="417"/>
      <c r="F2" s="417"/>
      <c r="G2" s="417"/>
      <c r="H2" s="417"/>
      <c r="I2" s="25"/>
      <c r="K2" s="73"/>
      <c r="L2" s="73"/>
    </row>
    <row r="5" spans="1:14" ht="12.75">
      <c r="A5" s="238" t="s">
        <v>128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4" ht="12.75">
      <c r="A6" s="418" t="s">
        <v>119</v>
      </c>
      <c r="B6" s="418"/>
      <c r="C6" s="418"/>
      <c r="D6" s="418"/>
      <c r="E6" s="418"/>
      <c r="F6" s="418"/>
      <c r="G6" s="418"/>
      <c r="H6" s="419"/>
      <c r="I6" s="419"/>
      <c r="J6" s="419"/>
      <c r="K6" s="419"/>
      <c r="L6" s="419"/>
      <c r="M6" s="419"/>
      <c r="N6" s="419"/>
    </row>
    <row r="7" spans="1:15" ht="13.5" thickBot="1">
      <c r="A7" s="420" t="s">
        <v>55</v>
      </c>
      <c r="B7" s="420"/>
      <c r="C7" s="420"/>
      <c r="D7" s="420"/>
      <c r="E7" s="420">
        <v>14.05</v>
      </c>
      <c r="F7" s="420"/>
      <c r="I7" s="421"/>
      <c r="J7" s="421"/>
      <c r="K7" s="421"/>
      <c r="L7" s="421"/>
      <c r="M7" s="421"/>
      <c r="N7" s="421"/>
      <c r="O7" s="421"/>
    </row>
    <row r="8" spans="1:17" ht="12.75" customHeight="1">
      <c r="A8" s="239" t="s">
        <v>56</v>
      </c>
      <c r="B8" s="242" t="s">
        <v>0</v>
      </c>
      <c r="C8" s="245" t="s">
        <v>120</v>
      </c>
      <c r="D8" s="248" t="s">
        <v>2</v>
      </c>
      <c r="E8" s="251" t="s">
        <v>58</v>
      </c>
      <c r="F8" s="203"/>
      <c r="G8" s="422" t="s">
        <v>121</v>
      </c>
      <c r="H8" s="423"/>
      <c r="I8" s="424"/>
      <c r="J8" s="425" t="s">
        <v>8</v>
      </c>
      <c r="K8" s="426"/>
      <c r="L8" s="426"/>
      <c r="M8" s="426"/>
      <c r="N8" s="426"/>
      <c r="O8" s="427"/>
      <c r="P8" s="223" t="s">
        <v>59</v>
      </c>
      <c r="Q8" s="223" t="s">
        <v>10</v>
      </c>
    </row>
    <row r="9" spans="1:17" ht="12.75">
      <c r="A9" s="240"/>
      <c r="B9" s="243"/>
      <c r="C9" s="246"/>
      <c r="D9" s="249"/>
      <c r="E9" s="252"/>
      <c r="F9" s="253"/>
      <c r="G9" s="428"/>
      <c r="H9" s="429"/>
      <c r="I9" s="430"/>
      <c r="J9" s="431"/>
      <c r="K9" s="432"/>
      <c r="L9" s="432"/>
      <c r="M9" s="432"/>
      <c r="N9" s="432"/>
      <c r="O9" s="433"/>
      <c r="P9" s="224"/>
      <c r="Q9" s="224"/>
    </row>
    <row r="10" spans="1:17" ht="26.25" customHeight="1">
      <c r="A10" s="240"/>
      <c r="B10" s="243"/>
      <c r="C10" s="246"/>
      <c r="D10" s="249"/>
      <c r="E10" s="265" t="s">
        <v>60</v>
      </c>
      <c r="F10" s="266"/>
      <c r="G10" s="434" t="s">
        <v>61</v>
      </c>
      <c r="H10" s="263" t="s">
        <v>5</v>
      </c>
      <c r="I10" s="435" t="s">
        <v>122</v>
      </c>
      <c r="J10" s="269" t="s">
        <v>62</v>
      </c>
      <c r="K10" s="271" t="s">
        <v>123</v>
      </c>
      <c r="L10" s="271" t="s">
        <v>63</v>
      </c>
      <c r="M10" s="271" t="s">
        <v>35</v>
      </c>
      <c r="N10" s="272" t="s">
        <v>124</v>
      </c>
      <c r="O10" s="264" t="s">
        <v>37</v>
      </c>
      <c r="P10" s="224"/>
      <c r="Q10" s="224"/>
    </row>
    <row r="11" spans="1:17" ht="66.75" customHeight="1" thickBot="1">
      <c r="A11" s="241"/>
      <c r="B11" s="244"/>
      <c r="C11" s="247"/>
      <c r="D11" s="250"/>
      <c r="E11" s="30" t="s">
        <v>65</v>
      </c>
      <c r="F11" s="31" t="s">
        <v>19</v>
      </c>
      <c r="G11" s="177" t="s">
        <v>125</v>
      </c>
      <c r="H11" s="264"/>
      <c r="I11" s="436"/>
      <c r="J11" s="270"/>
      <c r="K11" s="272"/>
      <c r="L11" s="272"/>
      <c r="M11" s="272"/>
      <c r="N11" s="437"/>
      <c r="O11" s="438"/>
      <c r="P11" s="439"/>
      <c r="Q11" s="439"/>
    </row>
    <row r="12" spans="1:17" ht="13.5" thickBot="1">
      <c r="A12" s="33">
        <v>1</v>
      </c>
      <c r="B12" s="34">
        <v>2</v>
      </c>
      <c r="C12" s="33">
        <v>3</v>
      </c>
      <c r="D12" s="34">
        <v>4</v>
      </c>
      <c r="E12" s="33">
        <v>5</v>
      </c>
      <c r="F12" s="34">
        <v>6</v>
      </c>
      <c r="G12" s="33">
        <v>7</v>
      </c>
      <c r="H12" s="34">
        <v>8</v>
      </c>
      <c r="I12" s="33">
        <v>9</v>
      </c>
      <c r="J12" s="34">
        <v>10</v>
      </c>
      <c r="K12" s="33">
        <v>11</v>
      </c>
      <c r="L12" s="34">
        <v>12</v>
      </c>
      <c r="M12" s="33">
        <v>13</v>
      </c>
      <c r="N12" s="34">
        <v>14</v>
      </c>
      <c r="O12" s="33">
        <v>15</v>
      </c>
      <c r="P12" s="34">
        <v>16</v>
      </c>
      <c r="Q12" s="33">
        <v>17</v>
      </c>
    </row>
    <row r="13" spans="1:17" ht="13.5" thickBot="1">
      <c r="A13" s="440" t="s">
        <v>85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2"/>
      <c r="P13" s="443"/>
      <c r="Q13" s="443"/>
    </row>
    <row r="14" spans="1:19" s="22" customFormat="1" ht="13.5" thickBot="1">
      <c r="A14" s="62" t="s">
        <v>52</v>
      </c>
      <c r="B14" s="63"/>
      <c r="C14" s="64">
        <f>'2011 полн'!C8</f>
        <v>290749.85500000004</v>
      </c>
      <c r="D14" s="64">
        <f>'2011 полн'!D8</f>
        <v>32859.22249175004</v>
      </c>
      <c r="E14" s="64">
        <f>'2011 полн'!U8</f>
        <v>217720.7</v>
      </c>
      <c r="F14" s="64">
        <f>'2011 полн'!V8</f>
        <v>39450.66</v>
      </c>
      <c r="G14" s="64">
        <f>'2011 полн'!AF8</f>
        <v>193662.65</v>
      </c>
      <c r="H14" s="64">
        <f>'2011 полн'!AG8</f>
        <v>265972.5324917501</v>
      </c>
      <c r="I14" s="64">
        <f>'2011 полн'!AJ8</f>
        <v>300</v>
      </c>
      <c r="J14" s="64">
        <f>'2011 полн'!AK8</f>
        <v>19868.940000000002</v>
      </c>
      <c r="K14" s="64">
        <f>'2011 полн'!AL8</f>
        <v>6657.7164840000005</v>
      </c>
      <c r="L14" s="64">
        <f>'2011 полн'!AM8+'2011 полн'!AO8+'2011 полн'!AP8+'2011 полн'!AT8+'2011 полн'!AX8+'2011 полн'!AY8</f>
        <v>155460.51651586298</v>
      </c>
      <c r="M14" s="64">
        <f>'2011 полн'!AU8+'2011 полн'!AV8+'2011 полн'!AW8</f>
        <v>72634.377</v>
      </c>
      <c r="N14" s="64">
        <f>'2011 полн'!BD8</f>
        <v>75</v>
      </c>
      <c r="O14" s="64">
        <f>'2011 полн'!BE8</f>
        <v>254696.549999863</v>
      </c>
      <c r="P14" s="64">
        <f>'2011 полн'!BF8</f>
        <v>11575.982491887062</v>
      </c>
      <c r="Q14" s="64">
        <f>'2011 полн'!BG8</f>
        <v>-24058.050000000003</v>
      </c>
      <c r="R14" s="65"/>
      <c r="S14" s="55"/>
    </row>
    <row r="15" spans="1:19" ht="12.75">
      <c r="A15" s="7" t="s">
        <v>118</v>
      </c>
      <c r="B15" s="444"/>
      <c r="C15" s="56"/>
      <c r="D15" s="57"/>
      <c r="E15" s="445"/>
      <c r="F15" s="446"/>
      <c r="G15" s="447"/>
      <c r="H15" s="446"/>
      <c r="I15" s="448"/>
      <c r="J15" s="447"/>
      <c r="K15" s="449"/>
      <c r="L15" s="449"/>
      <c r="M15" s="450"/>
      <c r="N15" s="451"/>
      <c r="O15" s="452"/>
      <c r="P15" s="453"/>
      <c r="Q15" s="453"/>
      <c r="R15" s="73"/>
      <c r="S15" s="73"/>
    </row>
    <row r="16" spans="1:19" ht="12.75">
      <c r="A16" s="329" t="s">
        <v>43</v>
      </c>
      <c r="B16" s="454">
        <f>'2011 полн'!B10</f>
        <v>1245.9</v>
      </c>
      <c r="C16" s="454">
        <f>'2011 полн'!C10</f>
        <v>10652.445000000002</v>
      </c>
      <c r="D16" s="43">
        <f>'2011 полн'!D10</f>
        <v>84.89139999999999</v>
      </c>
      <c r="E16" s="449">
        <f>'2011 полн'!U10</f>
        <v>10870.35</v>
      </c>
      <c r="F16" s="449">
        <f>'2011 полн'!V10</f>
        <v>0</v>
      </c>
      <c r="G16" s="455">
        <f>'2011 полн'!AF10</f>
        <v>5834.59</v>
      </c>
      <c r="H16" s="455">
        <f>'2011 полн'!AG10</f>
        <v>5919.481400000001</v>
      </c>
      <c r="I16" s="455">
        <f>'2011 полн'!AJ10</f>
        <v>100</v>
      </c>
      <c r="J16" s="455">
        <f>'2011 полн'!AK10</f>
        <v>834.7530000000002</v>
      </c>
      <c r="K16" s="455">
        <f>'2011 полн'!AL10</f>
        <v>249.18000000000004</v>
      </c>
      <c r="L16" s="449">
        <f>'2011 полн'!AM10+'2011 полн'!AN10+'2011 полн'!AO10+'2011 полн'!AP10+'2011 полн'!AQ10+'2011 полн'!AR10+'2011 полн'!AS10+'2011 полн'!AT10+'2011 полн'!AX10</f>
        <v>8609.169000000002</v>
      </c>
      <c r="M16" s="450">
        <f>'2011 полн'!AU10+'2011 полн'!AV10+'2011 полн'!AW10</f>
        <v>325</v>
      </c>
      <c r="N16" s="456">
        <f>'2011 полн'!BD10</f>
        <v>25</v>
      </c>
      <c r="O16" s="452">
        <f>'2011 полн'!BE10</f>
        <v>10043.102</v>
      </c>
      <c r="P16" s="453">
        <f>'2011 полн'!BF10</f>
        <v>-4023.6206</v>
      </c>
      <c r="Q16" s="453">
        <f>'2011 полн'!BG10</f>
        <v>-5035.76</v>
      </c>
      <c r="R16" s="73"/>
      <c r="S16" s="73"/>
    </row>
    <row r="17" spans="1:19" ht="12.75">
      <c r="A17" s="329" t="s">
        <v>44</v>
      </c>
      <c r="B17" s="454">
        <f>'2011 полн'!B11</f>
        <v>1245.9</v>
      </c>
      <c r="C17" s="454">
        <f>'2011 полн'!C11</f>
        <v>10652.445000000002</v>
      </c>
      <c r="D17" s="43">
        <f>'2011 полн'!D11</f>
        <v>84.89139999999999</v>
      </c>
      <c r="E17" s="449">
        <f>'2011 полн'!U11</f>
        <v>10740.56</v>
      </c>
      <c r="F17" s="449">
        <f>'2011 полн'!V11</f>
        <v>0</v>
      </c>
      <c r="G17" s="455">
        <f>'2011 полн'!AF11</f>
        <v>7875.9800000000005</v>
      </c>
      <c r="H17" s="455">
        <f>'2011 полн'!AG11</f>
        <v>7960.871400000001</v>
      </c>
      <c r="I17" s="455">
        <f>'2011 полн'!AJ11</f>
        <v>100</v>
      </c>
      <c r="J17" s="455">
        <f>'2011 полн'!AK11</f>
        <v>834.7530000000002</v>
      </c>
      <c r="K17" s="455">
        <f>'2011 полн'!AL11</f>
        <v>249.18000000000004</v>
      </c>
      <c r="L17" s="449">
        <f>'2011 полн'!AM11+'2011 полн'!AN11+'2011 полн'!AO11+'2011 полн'!AP11+'2011 полн'!AQ11+'2011 полн'!AR11+'2011 полн'!AS11+'2011 полн'!AT11+'2011 полн'!AX11</f>
        <v>8782.929000000002</v>
      </c>
      <c r="M17" s="450">
        <f>'2011 полн'!AU11+'2011 полн'!AV11+'2011 полн'!AW11</f>
        <v>0</v>
      </c>
      <c r="N17" s="456">
        <f>'2011 полн'!BD11</f>
        <v>25</v>
      </c>
      <c r="O17" s="452">
        <f>'2011 полн'!BE11</f>
        <v>9891.862000000001</v>
      </c>
      <c r="P17" s="453">
        <f>'2011 полн'!BF11</f>
        <v>-1830.9906</v>
      </c>
      <c r="Q17" s="453">
        <f>'2011 полн'!BG11</f>
        <v>-2864.579999999999</v>
      </c>
      <c r="R17" s="73"/>
      <c r="S17" s="73"/>
    </row>
    <row r="18" spans="1:19" ht="12.75">
      <c r="A18" s="329" t="s">
        <v>45</v>
      </c>
      <c r="B18" s="454">
        <f>'2011 полн'!B12</f>
        <v>1245.9</v>
      </c>
      <c r="C18" s="454">
        <f>'2011 полн'!C12</f>
        <v>10652.445000000002</v>
      </c>
      <c r="D18" s="43">
        <f>'2011 полн'!D12</f>
        <v>84.89139999999999</v>
      </c>
      <c r="E18" s="449">
        <f>'2011 полн'!U12</f>
        <v>10805.96</v>
      </c>
      <c r="F18" s="449">
        <f>'2011 полн'!V12</f>
        <v>0</v>
      </c>
      <c r="G18" s="455">
        <f>'2011 полн'!AF12</f>
        <v>9212.900000000001</v>
      </c>
      <c r="H18" s="455">
        <f>'2011 полн'!AG12</f>
        <v>9297.791400000002</v>
      </c>
      <c r="I18" s="455">
        <f>'2011 полн'!AJ12</f>
        <v>100</v>
      </c>
      <c r="J18" s="455">
        <f>'2011 полн'!AK12</f>
        <v>834.7530000000002</v>
      </c>
      <c r="K18" s="455">
        <f>'2011 полн'!AL12</f>
        <v>249.18000000000004</v>
      </c>
      <c r="L18" s="449">
        <f>'2011 полн'!AM12+'2011 полн'!AN12+'2011 полн'!AO12+'2011 полн'!AP12+'2011 полн'!AQ12+'2011 полн'!AR12+'2011 полн'!AS12+'2011 полн'!AT12+'2011 полн'!AX12</f>
        <v>8760.369000000002</v>
      </c>
      <c r="M18" s="450">
        <f>'2011 полн'!AU12+'2011 полн'!AV12+'2011 полн'!AW12</f>
        <v>0</v>
      </c>
      <c r="N18" s="456">
        <f>'2011 полн'!BD12</f>
        <v>25</v>
      </c>
      <c r="O18" s="452">
        <f>'2011 полн'!BE12</f>
        <v>9869.302000000001</v>
      </c>
      <c r="P18" s="453">
        <f>'2011 полн'!BF12</f>
        <v>-471.5105999999996</v>
      </c>
      <c r="Q18" s="453">
        <f>'2011 полн'!BG12</f>
        <v>-1593.0599999999977</v>
      </c>
      <c r="R18" s="73"/>
      <c r="S18" s="73"/>
    </row>
    <row r="19" spans="1:19" ht="12.75">
      <c r="A19" s="329" t="s">
        <v>46</v>
      </c>
      <c r="B19" s="454">
        <f>'2011 полн'!B13</f>
        <v>1245.9</v>
      </c>
      <c r="C19" s="454">
        <f>'2011 полн'!C13</f>
        <v>10652.445000000002</v>
      </c>
      <c r="D19" s="43">
        <f>'2011 полн'!D13</f>
        <v>84.89139999999999</v>
      </c>
      <c r="E19" s="449">
        <f>'2011 полн'!U13</f>
        <v>10774.609999999999</v>
      </c>
      <c r="F19" s="449">
        <f>'2011 полн'!V13</f>
        <v>0</v>
      </c>
      <c r="G19" s="455">
        <f>'2011 полн'!AF13</f>
        <v>8970.11</v>
      </c>
      <c r="H19" s="455">
        <f>'2011 полн'!AG13</f>
        <v>9055.001400000001</v>
      </c>
      <c r="I19" s="455">
        <f>'2011 полн'!AJ13</f>
        <v>100</v>
      </c>
      <c r="J19" s="455">
        <f>'2011 полн'!AK13</f>
        <v>834.7530000000002</v>
      </c>
      <c r="K19" s="455">
        <f>'2011 полн'!AL13</f>
        <v>249.18000000000004</v>
      </c>
      <c r="L19" s="449">
        <f>'2011 полн'!AM13+'2011 полн'!AN13+'2011 полн'!AO13+'2011 полн'!AP13+'2011 полн'!AQ13+'2011 полн'!AR13+'2011 полн'!AS13+'2011 полн'!AT13+'2011 полн'!AX13</f>
        <v>7379.384000000001</v>
      </c>
      <c r="M19" s="450">
        <f>'2011 полн'!AU13+'2011 полн'!AV13+'2011 полн'!AW13</f>
        <v>3447</v>
      </c>
      <c r="N19" s="456">
        <f>'2011 полн'!BD13</f>
        <v>25</v>
      </c>
      <c r="O19" s="452">
        <f>'2011 полн'!BE13</f>
        <v>11935.317000000001</v>
      </c>
      <c r="P19" s="453">
        <f>'2011 полн'!BF13</f>
        <v>-2780.3156</v>
      </c>
      <c r="Q19" s="453">
        <f>'2011 полн'!BG13</f>
        <v>-1804.4999999999982</v>
      </c>
      <c r="R19" s="73"/>
      <c r="S19" s="73"/>
    </row>
    <row r="20" spans="1:19" ht="12.75">
      <c r="A20" s="329" t="s">
        <v>47</v>
      </c>
      <c r="B20" s="454">
        <f>'2011 полн'!B14</f>
        <v>1245.9</v>
      </c>
      <c r="C20" s="454">
        <f>'2011 полн'!C14</f>
        <v>10652.445000000002</v>
      </c>
      <c r="D20" s="43">
        <f>'2011 полн'!D14</f>
        <v>84.89139999999999</v>
      </c>
      <c r="E20" s="449">
        <f>'2011 полн'!U14</f>
        <v>10802.25</v>
      </c>
      <c r="F20" s="449">
        <f>'2011 полн'!V14</f>
        <v>0</v>
      </c>
      <c r="G20" s="455">
        <f>'2011 полн'!AF14</f>
        <v>9181.380000000001</v>
      </c>
      <c r="H20" s="455">
        <f>'2011 полн'!AG14</f>
        <v>9266.271400000001</v>
      </c>
      <c r="I20" s="455">
        <f>'2011 полн'!AJ14</f>
        <v>100</v>
      </c>
      <c r="J20" s="455">
        <f>'2011 полн'!AK14</f>
        <v>834.7530000000002</v>
      </c>
      <c r="K20" s="455">
        <f>'2011 полн'!AL14</f>
        <v>249.18000000000004</v>
      </c>
      <c r="L20" s="449">
        <f>'2011 полн'!AM14+'2011 полн'!AN14+'2011 полн'!AO14+'2011 полн'!AP14+'2011 полн'!AQ14+'2011 полн'!AR14+'2011 полн'!AS14+'2011 полн'!AT14+'2011 полн'!AX14</f>
        <v>7340.584000000001</v>
      </c>
      <c r="M20" s="450">
        <f>'2011 полн'!AU14+'2011 полн'!AV14+'2011 полн'!AW14</f>
        <v>0</v>
      </c>
      <c r="N20" s="456">
        <f>'2011 полн'!BD14</f>
        <v>25</v>
      </c>
      <c r="O20" s="452">
        <f>'2011 полн'!BE14</f>
        <v>8449.517000000002</v>
      </c>
      <c r="P20" s="453">
        <f>'2011 полн'!BF14</f>
        <v>916.7543999999998</v>
      </c>
      <c r="Q20" s="453">
        <f>'2011 полн'!BG14</f>
        <v>-1620.869999999999</v>
      </c>
      <c r="R20" s="73"/>
      <c r="S20" s="73"/>
    </row>
    <row r="21" spans="1:19" ht="12.75">
      <c r="A21" s="329" t="s">
        <v>48</v>
      </c>
      <c r="B21" s="454">
        <f>'2011 полн'!B15</f>
        <v>1245.9</v>
      </c>
      <c r="C21" s="454">
        <f>'2011 полн'!C15</f>
        <v>10652.445000000002</v>
      </c>
      <c r="D21" s="43">
        <f>'2011 полн'!D15</f>
        <v>84.89139999999999</v>
      </c>
      <c r="E21" s="449">
        <f>'2011 полн'!U15</f>
        <v>10900.630000000001</v>
      </c>
      <c r="F21" s="449">
        <f>'2011 полн'!V15</f>
        <v>0</v>
      </c>
      <c r="G21" s="455">
        <f>'2011 полн'!AF15</f>
        <v>16045.960000000001</v>
      </c>
      <c r="H21" s="455">
        <f>'2011 полн'!AG15</f>
        <v>16130.851400000001</v>
      </c>
      <c r="I21" s="455">
        <f>'2011 полн'!AJ15</f>
        <v>100</v>
      </c>
      <c r="J21" s="455">
        <f>'2011 полн'!AK15</f>
        <v>834.7530000000002</v>
      </c>
      <c r="K21" s="455">
        <f>'2011 полн'!AL15</f>
        <v>249.18000000000004</v>
      </c>
      <c r="L21" s="449">
        <f>'2011 полн'!AM15+'2011 полн'!AN15+'2011 полн'!AO15+'2011 полн'!AP15+'2011 полн'!AQ15+'2011 полн'!AR15+'2011 полн'!AS15+'2011 полн'!AT15+'2011 полн'!AX15</f>
        <v>7427.184000000001</v>
      </c>
      <c r="M21" s="450">
        <f>'2011 полн'!AU15+'2011 полн'!AV15+'2011 полн'!AW15</f>
        <v>0</v>
      </c>
      <c r="N21" s="456">
        <f>'2011 полн'!BD15</f>
        <v>25</v>
      </c>
      <c r="O21" s="452">
        <f>'2011 полн'!BE15</f>
        <v>8536.117000000002</v>
      </c>
      <c r="P21" s="453">
        <f>'2011 полн'!BF15</f>
        <v>7694.734399999999</v>
      </c>
      <c r="Q21" s="453">
        <f>'2011 полн'!BG15</f>
        <v>5145.33</v>
      </c>
      <c r="R21" s="73"/>
      <c r="S21" s="73"/>
    </row>
    <row r="22" spans="1:17" ht="12.75">
      <c r="A22" s="329" t="s">
        <v>49</v>
      </c>
      <c r="B22" s="454">
        <f>'2011 полн'!B16</f>
        <v>1245.9</v>
      </c>
      <c r="C22" s="454">
        <f>'2011 полн'!C16</f>
        <v>10652.445000000002</v>
      </c>
      <c r="D22" s="43">
        <f>'2011 полн'!D16</f>
        <v>84.89139999999999</v>
      </c>
      <c r="E22" s="449">
        <f>'2011 полн'!U16</f>
        <v>10841.2</v>
      </c>
      <c r="F22" s="449">
        <f>'2011 полн'!V16</f>
        <v>0</v>
      </c>
      <c r="G22" s="455">
        <f>'2011 полн'!AF16</f>
        <v>12986.260000000002</v>
      </c>
      <c r="H22" s="455">
        <f>'2011 полн'!AG16</f>
        <v>13071.151400000002</v>
      </c>
      <c r="I22" s="455">
        <f>'2011 полн'!AJ16</f>
        <v>100</v>
      </c>
      <c r="J22" s="455">
        <f>'2011 полн'!AK16</f>
        <v>834.7530000000002</v>
      </c>
      <c r="K22" s="455">
        <f>'2011 полн'!AL16</f>
        <v>249.18000000000004</v>
      </c>
      <c r="L22" s="449">
        <f>'2011 полн'!AM16+'2011 полн'!AN16+'2011 полн'!AO16+'2011 полн'!AP16+'2011 полн'!AQ16+'2011 полн'!AR16+'2011 полн'!AS16+'2011 полн'!AT16+'2011 полн'!AX16</f>
        <v>7448.444</v>
      </c>
      <c r="M22" s="450">
        <f>'2011 полн'!AU16+'2011 полн'!AV16+'2011 полн'!AW16</f>
        <v>0</v>
      </c>
      <c r="N22" s="456">
        <f>'2011 полн'!BD16</f>
        <v>25</v>
      </c>
      <c r="O22" s="452">
        <f>'2011 полн'!BE16</f>
        <v>8557.377000000002</v>
      </c>
      <c r="P22" s="453">
        <f>'2011 полн'!BF16</f>
        <v>4613.7744</v>
      </c>
      <c r="Q22" s="453">
        <f>'2011 полн'!BG16</f>
        <v>2145.0600000000013</v>
      </c>
    </row>
    <row r="23" spans="1:17" ht="12.75">
      <c r="A23" s="329" t="s">
        <v>50</v>
      </c>
      <c r="B23" s="454">
        <f>'2011 полн'!B17</f>
        <v>1245.9</v>
      </c>
      <c r="C23" s="454">
        <f>'2011 полн'!C17</f>
        <v>10652.445000000002</v>
      </c>
      <c r="D23" s="43">
        <f>'2011 полн'!D17</f>
        <v>84.89139999999999</v>
      </c>
      <c r="E23" s="449">
        <f>'2011 полн'!U17</f>
        <v>10833.6</v>
      </c>
      <c r="F23" s="449">
        <f>'2011 полн'!V17</f>
        <v>0</v>
      </c>
      <c r="G23" s="455">
        <f>'2011 полн'!AF17</f>
        <v>9118.47</v>
      </c>
      <c r="H23" s="455">
        <f>'2011 полн'!AG17</f>
        <v>9203.3614</v>
      </c>
      <c r="I23" s="455">
        <f>'2011 полн'!AJ17</f>
        <v>100</v>
      </c>
      <c r="J23" s="455">
        <f>'2011 полн'!AK17</f>
        <v>834.7530000000002</v>
      </c>
      <c r="K23" s="455">
        <f>'2011 полн'!AL17</f>
        <v>249.18000000000004</v>
      </c>
      <c r="L23" s="449">
        <f>'2011 полн'!AM17+'2011 полн'!AN17+'2011 полн'!AO17+'2011 полн'!AP17+'2011 полн'!AQ17+'2011 полн'!AR17+'2011 полн'!AS17+'2011 полн'!AT17+'2011 полн'!AX17</f>
        <v>7327.584000000001</v>
      </c>
      <c r="M23" s="450">
        <f>'2011 полн'!AU17+'2011 полн'!AV17+'2011 полн'!AW17</f>
        <v>0</v>
      </c>
      <c r="N23" s="456">
        <f>'2011 полн'!BD17</f>
        <v>25</v>
      </c>
      <c r="O23" s="452">
        <f>'2011 полн'!BE17</f>
        <v>8436.517000000002</v>
      </c>
      <c r="P23" s="453">
        <f>'2011 полн'!BF17</f>
        <v>866.8443999999981</v>
      </c>
      <c r="Q23" s="453">
        <f>'2011 полн'!BG17</f>
        <v>-1715.130000000001</v>
      </c>
    </row>
    <row r="24" spans="1:17" ht="12.75">
      <c r="A24" s="329" t="s">
        <v>51</v>
      </c>
      <c r="B24" s="454">
        <f>'2011 полн'!B18</f>
        <v>1245.9</v>
      </c>
      <c r="C24" s="454">
        <f>'2011 полн'!C18</f>
        <v>10652.445000000002</v>
      </c>
      <c r="D24" s="43">
        <f>'2011 полн'!D18</f>
        <v>84.89139999999999</v>
      </c>
      <c r="E24" s="449">
        <f>'2011 полн'!U18</f>
        <v>10986.59</v>
      </c>
      <c r="F24" s="449">
        <f>'2011 полн'!V18</f>
        <v>0</v>
      </c>
      <c r="G24" s="455">
        <f>'2011 полн'!AF18</f>
        <v>12079.579999999998</v>
      </c>
      <c r="H24" s="455">
        <f>'2011 полн'!AG18</f>
        <v>12164.471399999999</v>
      </c>
      <c r="I24" s="455">
        <f>'2011 полн'!AJ18</f>
        <v>100</v>
      </c>
      <c r="J24" s="455">
        <f>'2011 полн'!AK18</f>
        <v>834.7530000000002</v>
      </c>
      <c r="K24" s="455">
        <f>'2011 полн'!AL18</f>
        <v>249.18000000000004</v>
      </c>
      <c r="L24" s="449">
        <f>'2011 полн'!AM18+'2011 полн'!AN18+'2011 полн'!AO18+'2011 полн'!AP18+'2011 полн'!AQ18+'2011 полн'!AR18+'2011 полн'!AS18+'2011 полн'!AT18+'2011 полн'!AX18</f>
        <v>7590.924000000001</v>
      </c>
      <c r="M24" s="450">
        <f>'2011 полн'!AU18+'2011 полн'!AV18+'2011 полн'!AW18</f>
        <v>466</v>
      </c>
      <c r="N24" s="456">
        <f>'2011 полн'!BD18</f>
        <v>25</v>
      </c>
      <c r="O24" s="452">
        <f>'2011 полн'!BE18</f>
        <v>9165.857000000002</v>
      </c>
      <c r="P24" s="453">
        <f>'2011 полн'!BF18</f>
        <v>3098.6143999999967</v>
      </c>
      <c r="Q24" s="453">
        <f>'2011 полн'!BG18</f>
        <v>1092.989999999998</v>
      </c>
    </row>
    <row r="25" spans="1:17" ht="12.75">
      <c r="A25" s="329" t="s">
        <v>39</v>
      </c>
      <c r="B25" s="454">
        <f>'2011 полн'!B19</f>
        <v>1245.9</v>
      </c>
      <c r="C25" s="454">
        <f>'2011 полн'!C19</f>
        <v>10652.445000000002</v>
      </c>
      <c r="D25" s="43">
        <f>'2011 полн'!D19</f>
        <v>84.89139999999999</v>
      </c>
      <c r="E25" s="449">
        <f>'2011 полн'!U19</f>
        <v>10983.45</v>
      </c>
      <c r="F25" s="449">
        <f>'2011 полн'!V19</f>
        <v>0</v>
      </c>
      <c r="G25" s="455">
        <f>'2011 полн'!AF19</f>
        <v>9572.79</v>
      </c>
      <c r="H25" s="455">
        <f>'2011 полн'!AG19</f>
        <v>9657.681400000001</v>
      </c>
      <c r="I25" s="455">
        <f>'2011 полн'!AJ19</f>
        <v>100</v>
      </c>
      <c r="J25" s="455">
        <f>'2011 полн'!AK19</f>
        <v>834.7530000000002</v>
      </c>
      <c r="K25" s="455">
        <f>'2011 полн'!AL19</f>
        <v>249.18000000000004</v>
      </c>
      <c r="L25" s="449">
        <f>'2011 полн'!AM19+'2011 полн'!AN19+'2011 полн'!AO19+'2011 полн'!AP19+'2011 полн'!AQ19+'2011 полн'!AR19+'2011 полн'!AS19+'2011 полн'!AT19+'2011 полн'!AX19</f>
        <v>8864.869000000002</v>
      </c>
      <c r="M25" s="450">
        <f>'2011 полн'!AU19+'2011 полн'!AV19+'2011 полн'!AW19</f>
        <v>0</v>
      </c>
      <c r="N25" s="456">
        <f>'2011 полн'!BD19</f>
        <v>25</v>
      </c>
      <c r="O25" s="452">
        <f>'2011 полн'!BE19</f>
        <v>9973.802000000001</v>
      </c>
      <c r="P25" s="453">
        <f>'2011 полн'!BF19</f>
        <v>-216.1206000000002</v>
      </c>
      <c r="Q25" s="453">
        <f>'2011 полн'!BG19</f>
        <v>-1410.6599999999999</v>
      </c>
    </row>
    <row r="26" spans="1:17" ht="12.75">
      <c r="A26" s="329" t="s">
        <v>40</v>
      </c>
      <c r="B26" s="454">
        <f>'2011 полн'!B20</f>
        <v>1245.9</v>
      </c>
      <c r="C26" s="454">
        <f>'2011 полн'!C20</f>
        <v>10652.445000000002</v>
      </c>
      <c r="D26" s="43">
        <f>'2011 полн'!D20</f>
        <v>84.89139999999999</v>
      </c>
      <c r="E26" s="449">
        <f>'2011 полн'!U20</f>
        <v>10983.45</v>
      </c>
      <c r="F26" s="449">
        <f>'2011 полн'!V20</f>
        <v>0</v>
      </c>
      <c r="G26" s="455">
        <f>'2011 полн'!AF20</f>
        <v>7636.22</v>
      </c>
      <c r="H26" s="455">
        <f>'2011 полн'!AG20</f>
        <v>7721.111400000001</v>
      </c>
      <c r="I26" s="455">
        <f>'2011 полн'!AJ20</f>
        <v>100</v>
      </c>
      <c r="J26" s="455">
        <f>'2011 полн'!AK20</f>
        <v>834.7530000000002</v>
      </c>
      <c r="K26" s="455">
        <f>'2011 полн'!AL20</f>
        <v>249.18000000000004</v>
      </c>
      <c r="L26" s="449">
        <f>'2011 полн'!AM20+'2011 полн'!AN20+'2011 полн'!AO20+'2011 полн'!AP20+'2011 полн'!AQ20+'2011 полн'!AR20+'2011 полн'!AS20+'2011 полн'!AT20+'2011 полн'!AX20</f>
        <v>8760.369000000002</v>
      </c>
      <c r="M26" s="450">
        <f>'2011 полн'!AU20+'2011 полн'!AV20+'2011 полн'!AW20</f>
        <v>0</v>
      </c>
      <c r="N26" s="456">
        <f>'2011 полн'!BD20</f>
        <v>25</v>
      </c>
      <c r="O26" s="452">
        <f>'2011 полн'!BE20</f>
        <v>9869.302000000001</v>
      </c>
      <c r="P26" s="453">
        <f>'2011 полн'!BF20</f>
        <v>-2048.190600000001</v>
      </c>
      <c r="Q26" s="453">
        <f>'2011 полн'!BG20</f>
        <v>-3347.2300000000005</v>
      </c>
    </row>
    <row r="27" spans="1:17" ht="13.5" thickBot="1">
      <c r="A27" s="457" t="s">
        <v>41</v>
      </c>
      <c r="B27" s="454">
        <f>'2011 полн'!B21</f>
        <v>1245.9</v>
      </c>
      <c r="C27" s="454">
        <f>'2011 полн'!C21</f>
        <v>10652.445000000002</v>
      </c>
      <c r="D27" s="43">
        <f>'2011 полн'!D21</f>
        <v>84.89139999999999</v>
      </c>
      <c r="E27" s="449">
        <f>'2011 полн'!U21</f>
        <v>10983.45</v>
      </c>
      <c r="F27" s="449">
        <f>'2011 полн'!V21</f>
        <v>0</v>
      </c>
      <c r="G27" s="455">
        <f>'2011 полн'!AF21</f>
        <v>10258.75</v>
      </c>
      <c r="H27" s="455">
        <f>'2011 полн'!AG21</f>
        <v>10343.6414</v>
      </c>
      <c r="I27" s="455">
        <f>'2011 полн'!AJ21</f>
        <v>100</v>
      </c>
      <c r="J27" s="455">
        <f>'2011 полн'!AK21</f>
        <v>834.7530000000002</v>
      </c>
      <c r="K27" s="455">
        <f>'2011 полн'!AL21</f>
        <v>249.18000000000004</v>
      </c>
      <c r="L27" s="449">
        <f>'2011 полн'!AM21+'2011 полн'!AN21+'2011 полн'!AO21+'2011 полн'!AP21+'2011 полн'!AQ21+'2011 полн'!AR21+'2011 полн'!AS21+'2011 полн'!AT21+'2011 полн'!AX21</f>
        <v>8816.369000000002</v>
      </c>
      <c r="M27" s="450">
        <f>'2011 полн'!AU21+'2011 полн'!AV21+'2011 полн'!AW21</f>
        <v>0</v>
      </c>
      <c r="N27" s="456">
        <f>'2011 полн'!BD21</f>
        <v>25</v>
      </c>
      <c r="O27" s="452">
        <f>'2011 полн'!BE21</f>
        <v>9925.302000000001</v>
      </c>
      <c r="P27" s="453">
        <f>'2011 полн'!BF21</f>
        <v>518.3393999999989</v>
      </c>
      <c r="Q27" s="453">
        <f>'2011 полн'!BG21</f>
        <v>-724.7000000000007</v>
      </c>
    </row>
    <row r="28" spans="1:19" s="22" customFormat="1" ht="13.5" thickBot="1">
      <c r="A28" s="48" t="s">
        <v>3</v>
      </c>
      <c r="B28" s="49"/>
      <c r="C28" s="54">
        <f aca="true" t="shared" si="0" ref="C28:Q28">SUM(C16:C27)</f>
        <v>127829.34000000004</v>
      </c>
      <c r="D28" s="54">
        <f t="shared" si="0"/>
        <v>1018.6967999999998</v>
      </c>
      <c r="E28" s="54">
        <f t="shared" si="0"/>
        <v>130506.09999999999</v>
      </c>
      <c r="F28" s="54">
        <f t="shared" si="0"/>
        <v>0</v>
      </c>
      <c r="G28" s="458">
        <f>'[9]2011 полн'!AF22</f>
        <v>119347.64</v>
      </c>
      <c r="H28" s="54">
        <f t="shared" si="0"/>
        <v>119791.6868</v>
      </c>
      <c r="I28" s="54">
        <f t="shared" si="0"/>
        <v>1200</v>
      </c>
      <c r="J28" s="54">
        <f t="shared" si="0"/>
        <v>10017.036000000006</v>
      </c>
      <c r="K28" s="54">
        <f t="shared" si="0"/>
        <v>2990.16</v>
      </c>
      <c r="L28" s="54">
        <f t="shared" si="0"/>
        <v>97108.17800000004</v>
      </c>
      <c r="M28" s="54">
        <f t="shared" si="0"/>
        <v>4238</v>
      </c>
      <c r="N28" s="54">
        <f t="shared" si="0"/>
        <v>300</v>
      </c>
      <c r="O28" s="54">
        <f t="shared" si="0"/>
        <v>114653.37400000001</v>
      </c>
      <c r="P28" s="54">
        <f t="shared" si="0"/>
        <v>6338.312799999993</v>
      </c>
      <c r="Q28" s="54">
        <f t="shared" si="0"/>
        <v>-11733.109999999997</v>
      </c>
      <c r="R28" s="55"/>
      <c r="S28" s="55"/>
    </row>
    <row r="29" spans="1:17" ht="13.5" thickBot="1">
      <c r="A29" s="440" t="s">
        <v>66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2"/>
      <c r="P29" s="443"/>
      <c r="Q29" s="443"/>
    </row>
    <row r="30" spans="1:19" s="22" customFormat="1" ht="13.5" thickBot="1">
      <c r="A30" s="62" t="s">
        <v>52</v>
      </c>
      <c r="B30" s="63"/>
      <c r="C30" s="64">
        <f aca="true" t="shared" si="1" ref="C30:Q30">C28+C14</f>
        <v>418579.19500000007</v>
      </c>
      <c r="D30" s="64">
        <f t="shared" si="1"/>
        <v>33877.91929175004</v>
      </c>
      <c r="E30" s="64">
        <f t="shared" si="1"/>
        <v>348226.8</v>
      </c>
      <c r="F30" s="64">
        <f t="shared" si="1"/>
        <v>39450.66</v>
      </c>
      <c r="G30" s="64">
        <f t="shared" si="1"/>
        <v>313010.29</v>
      </c>
      <c r="H30" s="64">
        <f t="shared" si="1"/>
        <v>385764.2192917501</v>
      </c>
      <c r="I30" s="64">
        <f t="shared" si="1"/>
        <v>1500</v>
      </c>
      <c r="J30" s="64">
        <f t="shared" si="1"/>
        <v>29885.97600000001</v>
      </c>
      <c r="K30" s="64">
        <f t="shared" si="1"/>
        <v>9647.876484</v>
      </c>
      <c r="L30" s="64">
        <f t="shared" si="1"/>
        <v>252568.69451586303</v>
      </c>
      <c r="M30" s="64">
        <f t="shared" si="1"/>
        <v>76872.377</v>
      </c>
      <c r="N30" s="64">
        <f t="shared" si="1"/>
        <v>375</v>
      </c>
      <c r="O30" s="64">
        <f t="shared" si="1"/>
        <v>369349.923999863</v>
      </c>
      <c r="P30" s="64">
        <f t="shared" si="1"/>
        <v>17914.295291887054</v>
      </c>
      <c r="Q30" s="64">
        <f t="shared" si="1"/>
        <v>-35791.16</v>
      </c>
      <c r="R30" s="65"/>
      <c r="S30" s="55"/>
    </row>
    <row r="32" spans="1:18" ht="12.75">
      <c r="A32" s="22" t="s">
        <v>86</v>
      </c>
      <c r="D32" s="459" t="s">
        <v>126</v>
      </c>
      <c r="Q32" s="73"/>
      <c r="R32" s="73"/>
    </row>
    <row r="33" spans="1:18" ht="12.75">
      <c r="A33" s="326" t="s">
        <v>88</v>
      </c>
      <c r="B33" s="326" t="s">
        <v>89</v>
      </c>
      <c r="C33" s="460" t="s">
        <v>90</v>
      </c>
      <c r="D33" s="460"/>
      <c r="Q33" s="73"/>
      <c r="R33" s="73"/>
    </row>
    <row r="34" spans="1:18" ht="12.75">
      <c r="A34" s="461">
        <v>105805.98</v>
      </c>
      <c r="B34" s="461">
        <v>97698.85</v>
      </c>
      <c r="C34" s="462">
        <f>A34-B34</f>
        <v>8107.12999999999</v>
      </c>
      <c r="D34" s="463"/>
      <c r="Q34" s="73"/>
      <c r="R34" s="73"/>
    </row>
    <row r="35" spans="1:18" ht="12.75">
      <c r="A35" s="181"/>
      <c r="Q35" s="73"/>
      <c r="R35" s="73"/>
    </row>
    <row r="36" spans="1:18" ht="12.75">
      <c r="A36" s="74" t="s">
        <v>91</v>
      </c>
      <c r="G36" s="74" t="s">
        <v>92</v>
      </c>
      <c r="Q36" s="73"/>
      <c r="R36" s="73"/>
    </row>
    <row r="37" ht="12.75">
      <c r="A37" s="73"/>
    </row>
    <row r="38" ht="12.75">
      <c r="A38" s="459" t="s">
        <v>127</v>
      </c>
    </row>
    <row r="39" ht="12.75">
      <c r="A39" s="74" t="s">
        <v>94</v>
      </c>
    </row>
  </sheetData>
  <sheetProtection/>
  <mergeCells count="28">
    <mergeCell ref="N10:N11"/>
    <mergeCell ref="O10:O11"/>
    <mergeCell ref="A13:N13"/>
    <mergeCell ref="A29:N29"/>
    <mergeCell ref="C33:D33"/>
    <mergeCell ref="C34:D34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2012-05-21T04:34:23Z</cp:lastPrinted>
  <dcterms:created xsi:type="dcterms:W3CDTF">2010-04-03T04:08:20Z</dcterms:created>
  <dcterms:modified xsi:type="dcterms:W3CDTF">2012-05-21T04:34:50Z</dcterms:modified>
  <cp:category/>
  <cp:version/>
  <cp:contentType/>
  <cp:contentStatus/>
</cp:coreProperties>
</file>