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<sst xmlns="http://schemas.openxmlformats.org/spreadsheetml/2006/main" count="304" uniqueCount="130">
  <si>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</si>
  <si>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</si>
  <si>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</si>
  <si>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</si>
  <si>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</si>
  <si>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</si>
  <si>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</si>
  <si>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</si>
  <si>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</si>
  <si>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</si>
  <si>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</si>
  <si>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</si>
  <si>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</si>
  <si>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</si>
  <si>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</si>
  <si>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</si>
  <si>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</si>
  <si>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</si>
  <si>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</si>
  <si>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</si>
  <si>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</si>
  <si>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</si>
  <si>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</si>
  <si>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</si>
  <si>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</si>
  <si>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</si>
  <si>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</si>
  <si>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</si>
  <si>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</si>
  <si>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</si>
  <si>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</si>
  <si>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</si>
  <si>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</si>
  <si>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</si>
  <si>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</si>
  <si>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</si>
  <si>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</si>
  <si>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</si>
  <si>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</si>
  <si>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</si>
  <si>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</si>
  <si>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</si>
  <si>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</si>
  <si>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</si>
  <si>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</si>
  <si>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</si>
  <si>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</si>
  <si>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</si>
  <si>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</si>
  <si>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</si>
  <si>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</si>
  <si>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</si>
  <si>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</si>
  <si>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</si>
  <si>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</si>
  <si>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</si>
  <si>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</si>
  <si>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</si>
  <si>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</si>
  <si>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</si>
  <si>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</si>
  <si>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</si>
  <si>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</si>
  <si>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</si>
  <si>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</si>
  <si>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</si>
  <si>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</si>
  <si>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</si>
  <si>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</si>
  <si>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</si>
  <si>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</si>
  <si>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</si>
  <si>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</si>
  <si>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</si>
  <si>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</si>
  <si>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</si>
  <si>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66</t>
  </si>
  <si>
    <t>Выписка по лицевому счету по адресу г. Таштагол, ул. Ленина, д. 66</t>
  </si>
  <si>
    <t xml:space="preserve">Долг(-)/ переплата(+)  жителей 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</si>
  <si>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</si>
  <si>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</si>
  <si>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</si>
  <si>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</si>
  <si>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</si>
  <si>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</si>
  <si>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</si>
  <si>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</si>
  <si>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</si>
  <si>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</si>
  <si>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</si>
  <si>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</si>
  <si>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</si>
  <si>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</si>
  <si>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</si>
  <si>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</si>
  <si>
    <t>на начало отчетного периода</t>
  </si>
  <si>
    <t>Исп. Ю.С. Дмитриева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</si>
  <si>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</si>
  <si>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</si>
  <si>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</si>
  <si>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</si>
  <si>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</si>
  <si>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</si>
  <si>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</si>
  <si>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</si>
  <si>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</si>
  <si>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</si>
  <si>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</si>
  <si>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</si>
  <si>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</si>
  <si>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</si>
  <si>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</si>
  <si>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</si>
  <si>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</si>
  <si>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</si>
  <si>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</si>
  <si>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</si>
  <si>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</si>
  <si>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</si>
  <si>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</si>
  <si>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</si>
  <si>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</si>
  <si>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</si>
  <si>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</si>
  <si>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</si>
  <si>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</si>
  <si>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</si>
  <si>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</si>
  <si>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Ленина, д. 66</t>
  </si>
  <si>
    <t>Тариф по содержанию и тек.ремонту 100 % (8,55руб.*площадь)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</si>
</sst>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4" fontId="2" fillId="0" borderId="35" xfId="34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26" xfId="34" applyNumberFormat="1" applyFont="1" applyFill="1" applyBorder="1" applyAlignment="1">
      <alignment horizontal="right" vertical="center" wrapText="1"/>
      <protection/>
    </xf>
    <xf numFmtId="4" fontId="7" fillId="0" borderId="27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7" fillId="0" borderId="37" xfId="34" applyNumberFormat="1" applyFont="1" applyFill="1" applyBorder="1" applyAlignment="1">
      <alignment horizontal="right" vertical="center" wrapText="1"/>
      <protection/>
    </xf>
    <xf numFmtId="4" fontId="7" fillId="0" borderId="36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4" fontId="7" fillId="0" borderId="39" xfId="34" applyNumberFormat="1" applyFont="1" applyFill="1" applyBorder="1" applyAlignment="1">
      <alignment horizontal="right" vertical="center" wrapText="1"/>
      <protection/>
    </xf>
    <xf numFmtId="4" fontId="7" fillId="0" borderId="29" xfId="34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36" borderId="32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0" borderId="4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0" fillId="0" borderId="45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2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4" borderId="33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11" fillId="0" borderId="3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35" borderId="4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4" fontId="1" fillId="34" borderId="4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textRotation="90"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8" fillId="34" borderId="48" xfId="0" applyNumberFormat="1" applyFont="1" applyFill="1" applyBorder="1" applyAlignment="1">
      <alignment horizontal="center" vertical="center" wrapText="1"/>
    </xf>
    <xf numFmtId="2" fontId="8" fillId="34" borderId="40" xfId="0" applyNumberFormat="1" applyFont="1" applyFill="1" applyBorder="1" applyAlignment="1">
      <alignment horizontal="center" vertical="center" wrapText="1"/>
    </xf>
    <xf numFmtId="2" fontId="8" fillId="34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textRotation="90"/>
    </xf>
    <xf numFmtId="0" fontId="1" fillId="37" borderId="40" xfId="0" applyFont="1" applyFill="1" applyBorder="1" applyAlignment="1">
      <alignment horizontal="center" textRotation="90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2" fontId="1" fillId="38" borderId="48" xfId="0" applyNumberFormat="1" applyFont="1" applyFill="1" applyBorder="1" applyAlignment="1">
      <alignment horizontal="center" vertical="center" wrapText="1"/>
    </xf>
    <xf numFmtId="2" fontId="1" fillId="38" borderId="40" xfId="0" applyNumberFormat="1" applyFont="1" applyFill="1" applyBorder="1" applyAlignment="1">
      <alignment horizontal="center" vertical="center" wrapText="1"/>
    </xf>
    <xf numFmtId="2" fontId="1" fillId="38" borderId="4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9" fillId="0" borderId="48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2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3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37" borderId="41" xfId="0" applyFont="1" applyFill="1" applyBorder="1" applyAlignment="1">
      <alignment horizontal="center" textRotation="90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2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4" fontId="11" fillId="35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11" fillId="38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/>
    </xf>
    <xf numFmtId="4" fontId="0" fillId="39" borderId="3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" fontId="0" fillId="0" borderId="6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3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37" borderId="33" xfId="0" applyNumberFormat="1" applyFont="1" applyFill="1" applyBorder="1" applyAlignment="1">
      <alignment horizontal="center"/>
    </xf>
    <xf numFmtId="4" fontId="0" fillId="0" borderId="7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37" borderId="33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43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32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37" borderId="33" xfId="0" applyFont="1" applyFill="1" applyBorder="1" applyAlignment="1">
      <alignment/>
    </xf>
    <xf numFmtId="0" fontId="29" fillId="0" borderId="20" xfId="0" applyFont="1" applyBorder="1" applyAlignment="1">
      <alignment wrapText="1"/>
    </xf>
    <xf numFmtId="2" fontId="11" fillId="34" borderId="13" xfId="0" applyNumberFormat="1" applyFont="1" applyFill="1" applyBorder="1" applyAlignment="1">
      <alignment horizontal="center"/>
    </xf>
    <xf numFmtId="0" fontId="2" fillId="0" borderId="44" xfId="0" applyFont="1" applyBorder="1" applyAlignment="1">
      <alignment wrapText="1"/>
    </xf>
    <xf numFmtId="0" fontId="2" fillId="37" borderId="15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4" fontId="1" fillId="0" borderId="59" xfId="0" applyNumberFormat="1" applyFont="1" applyFill="1" applyBorder="1" applyAlignment="1">
      <alignment horizontal="right"/>
    </xf>
    <xf numFmtId="4" fontId="0" fillId="34" borderId="74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4" fontId="2" fillId="34" borderId="74" xfId="0" applyNumberFormat="1" applyFont="1" applyFill="1" applyBorder="1" applyAlignment="1">
      <alignment horizontal="right" wrapText="1"/>
    </xf>
    <xf numFmtId="4" fontId="0" fillId="39" borderId="59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32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61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47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7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54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38" xfId="0" applyNumberFormat="1" applyFont="1" applyFill="1" applyBorder="1" applyAlignment="1">
      <alignment horizontal="center" vertical="center" textRotation="90" wrapText="1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2" fontId="1" fillId="0" borderId="47" xfId="0" applyNumberFormat="1" applyFont="1" applyFill="1" applyBorder="1" applyAlignment="1">
      <alignment horizontal="center" vertical="center" textRotation="90" wrapText="1"/>
    </xf>
    <xf numFmtId="2" fontId="1" fillId="0" borderId="75" xfId="0" applyNumberFormat="1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4" fontId="0" fillId="0" borderId="3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68%20&#1089;%202011%20&#1075;&#1086;&#1076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84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74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BC44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  <sheetDataSet>
      <sheetData sheetId="1">
        <row r="44">
          <cell r="AD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Z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50">
          <cell r="I150">
            <v>100</v>
          </cell>
          <cell r="R150">
            <v>25</v>
          </cell>
        </row>
      </sheetData>
      <sheetData sheetId="1">
        <row r="151">
          <cell r="S151">
            <v>25</v>
          </cell>
        </row>
        <row r="152">
          <cell r="J152">
            <v>100</v>
          </cell>
        </row>
      </sheetData>
      <sheetData sheetId="2">
        <row r="152">
          <cell r="S152">
            <v>25</v>
          </cell>
        </row>
        <row r="153">
          <cell r="J153">
            <v>100</v>
          </cell>
        </row>
      </sheetData>
      <sheetData sheetId="3">
        <row r="154">
          <cell r="S154">
            <v>25</v>
          </cell>
        </row>
      </sheetData>
      <sheetData sheetId="4">
        <row r="152">
          <cell r="J152">
            <v>100</v>
          </cell>
          <cell r="S152">
            <v>25</v>
          </cell>
        </row>
      </sheetData>
      <sheetData sheetId="5">
        <row r="152">
          <cell r="J152">
            <v>100</v>
          </cell>
          <cell r="S152">
            <v>25</v>
          </cell>
        </row>
      </sheetData>
      <sheetData sheetId="6">
        <row r="156">
          <cell r="J156">
            <v>100</v>
          </cell>
          <cell r="S156">
            <v>25</v>
          </cell>
        </row>
      </sheetData>
      <sheetData sheetId="7">
        <row r="160">
          <cell r="J160">
            <v>100</v>
          </cell>
          <cell r="S160">
            <v>25</v>
          </cell>
        </row>
      </sheetData>
      <sheetData sheetId="8">
        <row r="160">
          <cell r="J160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54">
          <cell r="J154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60">
          <cell r="J160">
            <v>100</v>
          </cell>
          <cell r="S160">
            <v>25</v>
          </cell>
        </row>
      </sheetData>
      <sheetData sheetId="10">
        <row r="160">
          <cell r="J160">
            <v>100</v>
          </cell>
          <cell r="S160">
            <v>25</v>
          </cell>
        </row>
      </sheetData>
      <sheetData sheetId="11">
        <row r="184">
          <cell r="J184">
            <v>100</v>
          </cell>
          <cell r="S184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22">
          <cell r="AF22">
            <v>119347.64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">
      <selection activeCell="AM44" sqref="AM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0" width="7.375" style="2" customWidth="1"/>
    <col min="31" max="31" width="10.625" style="2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875" style="2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25390625" style="2" customWidth="1"/>
    <col min="55" max="55" width="11.25390625" style="2" customWidth="1"/>
    <col min="56" max="56" width="10.375" style="2" customWidth="1"/>
    <col min="57" max="57" width="10.75390625" style="2" customWidth="1"/>
    <col min="58" max="58" width="10.375" style="2" customWidth="1"/>
    <col min="59" max="16384" width="9.125" style="2" customWidth="1"/>
  </cols>
  <sheetData>
    <row r="1" spans="1:18" ht="12.75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04" t="s">
        <v>79</v>
      </c>
      <c r="B3" s="206" t="s">
        <v>0</v>
      </c>
      <c r="C3" s="208" t="s">
        <v>1</v>
      </c>
      <c r="D3" s="210" t="s">
        <v>2</v>
      </c>
      <c r="E3" s="204" t="s">
        <v>11</v>
      </c>
      <c r="F3" s="214"/>
      <c r="G3" s="204" t="s">
        <v>12</v>
      </c>
      <c r="H3" s="217"/>
      <c r="I3" s="204" t="s">
        <v>13</v>
      </c>
      <c r="J3" s="217"/>
      <c r="K3" s="204" t="s">
        <v>14</v>
      </c>
      <c r="L3" s="217"/>
      <c r="M3" s="220" t="s">
        <v>15</v>
      </c>
      <c r="N3" s="217"/>
      <c r="O3" s="204" t="s">
        <v>16</v>
      </c>
      <c r="P3" s="217"/>
      <c r="Q3" s="204" t="s">
        <v>17</v>
      </c>
      <c r="R3" s="217"/>
      <c r="S3" s="204" t="s">
        <v>3</v>
      </c>
      <c r="T3" s="220"/>
      <c r="U3" s="227" t="s">
        <v>4</v>
      </c>
      <c r="V3" s="228"/>
      <c r="W3" s="228"/>
      <c r="X3" s="228"/>
      <c r="Y3" s="228"/>
      <c r="Z3" s="228"/>
      <c r="AA3" s="228"/>
      <c r="AB3" s="228"/>
      <c r="AC3" s="231" t="s">
        <v>80</v>
      </c>
      <c r="AD3" s="196" t="s">
        <v>6</v>
      </c>
      <c r="AE3" s="196" t="s">
        <v>7</v>
      </c>
      <c r="AF3" s="223" t="s">
        <v>81</v>
      </c>
      <c r="AG3" s="248" t="s">
        <v>8</v>
      </c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50"/>
      <c r="BC3" s="243" t="s">
        <v>82</v>
      </c>
      <c r="BD3" s="245"/>
      <c r="BE3" s="236" t="s">
        <v>9</v>
      </c>
      <c r="BF3" s="236" t="s">
        <v>10</v>
      </c>
    </row>
    <row r="4" spans="1:58" ht="36" customHeight="1" thickBot="1">
      <c r="A4" s="205"/>
      <c r="B4" s="207"/>
      <c r="C4" s="209"/>
      <c r="D4" s="211"/>
      <c r="E4" s="215"/>
      <c r="F4" s="216"/>
      <c r="G4" s="218"/>
      <c r="H4" s="219"/>
      <c r="I4" s="218"/>
      <c r="J4" s="219"/>
      <c r="K4" s="218"/>
      <c r="L4" s="219"/>
      <c r="M4" s="221"/>
      <c r="N4" s="222"/>
      <c r="O4" s="218"/>
      <c r="P4" s="219"/>
      <c r="Q4" s="218"/>
      <c r="R4" s="219"/>
      <c r="S4" s="218"/>
      <c r="T4" s="226"/>
      <c r="U4" s="229"/>
      <c r="V4" s="230"/>
      <c r="W4" s="230"/>
      <c r="X4" s="230"/>
      <c r="Y4" s="230"/>
      <c r="Z4" s="230"/>
      <c r="AA4" s="230"/>
      <c r="AB4" s="230"/>
      <c r="AC4" s="232"/>
      <c r="AD4" s="197"/>
      <c r="AE4" s="197"/>
      <c r="AF4" s="224"/>
      <c r="AG4" s="195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2"/>
      <c r="BC4" s="239" t="s">
        <v>83</v>
      </c>
      <c r="BD4" s="242" t="s">
        <v>84</v>
      </c>
      <c r="BE4" s="237"/>
      <c r="BF4" s="237"/>
    </row>
    <row r="5" spans="1:58" ht="29.25" customHeight="1" thickBot="1">
      <c r="A5" s="205"/>
      <c r="B5" s="207"/>
      <c r="C5" s="209"/>
      <c r="D5" s="211"/>
      <c r="E5" s="212" t="s">
        <v>18</v>
      </c>
      <c r="F5" s="199" t="s">
        <v>19</v>
      </c>
      <c r="G5" s="199" t="s">
        <v>18</v>
      </c>
      <c r="H5" s="199" t="s">
        <v>19</v>
      </c>
      <c r="I5" s="199" t="s">
        <v>18</v>
      </c>
      <c r="J5" s="199" t="s">
        <v>19</v>
      </c>
      <c r="K5" s="199" t="s">
        <v>18</v>
      </c>
      <c r="L5" s="199" t="s">
        <v>19</v>
      </c>
      <c r="M5" s="199" t="s">
        <v>18</v>
      </c>
      <c r="N5" s="199" t="s">
        <v>19</v>
      </c>
      <c r="O5" s="199" t="s">
        <v>18</v>
      </c>
      <c r="P5" s="199" t="s">
        <v>19</v>
      </c>
      <c r="Q5" s="199" t="s">
        <v>18</v>
      </c>
      <c r="R5" s="199" t="s">
        <v>19</v>
      </c>
      <c r="S5" s="199" t="s">
        <v>18</v>
      </c>
      <c r="T5" s="234" t="s">
        <v>19</v>
      </c>
      <c r="U5" s="201" t="s">
        <v>20</v>
      </c>
      <c r="V5" s="201" t="s">
        <v>21</v>
      </c>
      <c r="W5" s="201" t="s">
        <v>22</v>
      </c>
      <c r="X5" s="201" t="s">
        <v>23</v>
      </c>
      <c r="Y5" s="201" t="s">
        <v>24</v>
      </c>
      <c r="Z5" s="201" t="s">
        <v>25</v>
      </c>
      <c r="AA5" s="201" t="s">
        <v>26</v>
      </c>
      <c r="AB5" s="194" t="s">
        <v>27</v>
      </c>
      <c r="AC5" s="232"/>
      <c r="AD5" s="197"/>
      <c r="AE5" s="197"/>
      <c r="AF5" s="224"/>
      <c r="AG5" s="253" t="s">
        <v>28</v>
      </c>
      <c r="AH5" s="255" t="s">
        <v>29</v>
      </c>
      <c r="AI5" s="255" t="s">
        <v>30</v>
      </c>
      <c r="AJ5" s="188" t="s">
        <v>31</v>
      </c>
      <c r="AK5" s="255" t="s">
        <v>32</v>
      </c>
      <c r="AL5" s="188" t="s">
        <v>31</v>
      </c>
      <c r="AM5" s="188" t="s">
        <v>33</v>
      </c>
      <c r="AN5" s="188" t="s">
        <v>31</v>
      </c>
      <c r="AO5" s="188" t="s">
        <v>34</v>
      </c>
      <c r="AP5" s="188" t="s">
        <v>31</v>
      </c>
      <c r="AQ5" s="190" t="s">
        <v>85</v>
      </c>
      <c r="AR5" s="192" t="s">
        <v>31</v>
      </c>
      <c r="AS5" s="257" t="s">
        <v>86</v>
      </c>
      <c r="AT5" s="257" t="s">
        <v>87</v>
      </c>
      <c r="AU5" s="117" t="s">
        <v>31</v>
      </c>
      <c r="AV5" s="243" t="s">
        <v>88</v>
      </c>
      <c r="AW5" s="244"/>
      <c r="AX5" s="245"/>
      <c r="AY5" s="246" t="s">
        <v>17</v>
      </c>
      <c r="AZ5" s="242" t="s">
        <v>36</v>
      </c>
      <c r="BA5" s="242" t="s">
        <v>31</v>
      </c>
      <c r="BB5" s="242" t="s">
        <v>37</v>
      </c>
      <c r="BC5" s="240"/>
      <c r="BD5" s="188"/>
      <c r="BE5" s="237"/>
      <c r="BF5" s="237"/>
    </row>
    <row r="6" spans="1:58" ht="54" customHeight="1" thickBot="1">
      <c r="A6" s="205"/>
      <c r="B6" s="207"/>
      <c r="C6" s="209"/>
      <c r="D6" s="211"/>
      <c r="E6" s="213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35"/>
      <c r="U6" s="202"/>
      <c r="V6" s="202"/>
      <c r="W6" s="202"/>
      <c r="X6" s="202"/>
      <c r="Y6" s="202"/>
      <c r="Z6" s="202"/>
      <c r="AA6" s="202"/>
      <c r="AB6" s="195"/>
      <c r="AC6" s="233"/>
      <c r="AD6" s="198"/>
      <c r="AE6" s="198"/>
      <c r="AF6" s="225"/>
      <c r="AG6" s="254"/>
      <c r="AH6" s="256"/>
      <c r="AI6" s="256"/>
      <c r="AJ6" s="189"/>
      <c r="AK6" s="256"/>
      <c r="AL6" s="189"/>
      <c r="AM6" s="189"/>
      <c r="AN6" s="189"/>
      <c r="AO6" s="189"/>
      <c r="AP6" s="189"/>
      <c r="AQ6" s="191"/>
      <c r="AR6" s="193"/>
      <c r="AS6" s="258"/>
      <c r="AT6" s="258"/>
      <c r="AU6" s="119"/>
      <c r="AV6" s="118" t="s">
        <v>89</v>
      </c>
      <c r="AW6" s="118" t="s">
        <v>90</v>
      </c>
      <c r="AX6" s="118" t="s">
        <v>91</v>
      </c>
      <c r="AY6" s="247"/>
      <c r="AZ6" s="189"/>
      <c r="BA6" s="189"/>
      <c r="BB6" s="189"/>
      <c r="BC6" s="241"/>
      <c r="BD6" s="189"/>
      <c r="BE6" s="238"/>
      <c r="BF6" s="238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20">
        <v>43</v>
      </c>
      <c r="AR7" s="121">
        <v>44</v>
      </c>
      <c r="AS7" s="122">
        <v>45</v>
      </c>
      <c r="AT7" s="10">
        <v>46</v>
      </c>
      <c r="AU7" s="122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23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24"/>
      <c r="AR8" s="124"/>
      <c r="AS8" s="6"/>
      <c r="AT8" s="6"/>
      <c r="AU8" s="6"/>
      <c r="AV8" s="7"/>
      <c r="AW8" s="7"/>
      <c r="AX8" s="7"/>
      <c r="AY8" s="7"/>
      <c r="AZ8" s="125"/>
      <c r="BA8" s="1"/>
      <c r="BB8" s="1"/>
      <c r="BC8" s="1"/>
      <c r="BD8" s="1"/>
      <c r="BE8" s="1"/>
      <c r="BF8" s="123"/>
    </row>
    <row r="9" spans="1:58" ht="12.75" hidden="1">
      <c r="A9" s="126" t="s">
        <v>39</v>
      </c>
      <c r="B9" s="93">
        <v>925.4</v>
      </c>
      <c r="C9" s="174">
        <f>B9*8.65</f>
        <v>8004.71</v>
      </c>
      <c r="D9" s="175">
        <f>C9*0.24088</f>
        <v>1928.1745448000001</v>
      </c>
      <c r="E9" s="94">
        <v>634.53</v>
      </c>
      <c r="F9" s="94">
        <v>124.3</v>
      </c>
      <c r="G9" s="94">
        <v>856.63</v>
      </c>
      <c r="H9" s="94">
        <v>167.81</v>
      </c>
      <c r="I9" s="94">
        <v>2062.23</v>
      </c>
      <c r="J9" s="94">
        <v>403.98</v>
      </c>
      <c r="K9" s="94">
        <v>1427.7</v>
      </c>
      <c r="L9" s="94">
        <v>279.68</v>
      </c>
      <c r="M9" s="91">
        <v>507.63</v>
      </c>
      <c r="N9" s="91">
        <v>99.44</v>
      </c>
      <c r="O9" s="94">
        <v>0</v>
      </c>
      <c r="P9" s="94">
        <v>0</v>
      </c>
      <c r="Q9" s="94">
        <v>0</v>
      </c>
      <c r="R9" s="94">
        <v>0</v>
      </c>
      <c r="S9" s="94">
        <f>E9+G9+I9+K9+M9+O9+Q9</f>
        <v>5488.72</v>
      </c>
      <c r="T9" s="160">
        <f>P9+N9+L9+J9+H9+F9+R9</f>
        <v>1075.21</v>
      </c>
      <c r="U9" s="94">
        <v>9.24</v>
      </c>
      <c r="V9" s="94">
        <v>12.48</v>
      </c>
      <c r="W9" s="94">
        <v>30.05</v>
      </c>
      <c r="X9" s="94">
        <v>20.8</v>
      </c>
      <c r="Y9" s="94">
        <v>7.4</v>
      </c>
      <c r="Z9" s="101">
        <v>0</v>
      </c>
      <c r="AA9" s="101">
        <v>0</v>
      </c>
      <c r="AB9" s="101">
        <f>SUM(U9:AA9)</f>
        <v>79.97</v>
      </c>
      <c r="AC9" s="176">
        <f>D9+T9+AB9</f>
        <v>3083.3545448</v>
      </c>
      <c r="AD9" s="177">
        <f>P9+Z9</f>
        <v>0</v>
      </c>
      <c r="AE9" s="162">
        <f>R9+AA9</f>
        <v>0</v>
      </c>
      <c r="AF9" s="162"/>
      <c r="AG9" s="24">
        <f>0.6*B9</f>
        <v>555.24</v>
      </c>
      <c r="AH9" s="24">
        <f>B9*0.2*1.05826</f>
        <v>195.86276080000002</v>
      </c>
      <c r="AI9" s="24">
        <f>0.8518*B9</f>
        <v>788.25572</v>
      </c>
      <c r="AJ9" s="24">
        <f>AI9*0.18</f>
        <v>141.8860296</v>
      </c>
      <c r="AK9" s="24">
        <f>1.04*B9*0.9531</f>
        <v>917.2786896</v>
      </c>
      <c r="AL9" s="24">
        <f>AK9*0.18</f>
        <v>165.110164128</v>
      </c>
      <c r="AM9" s="24">
        <f>(1.91)*B9*0.9531</f>
        <v>1684.6175933999998</v>
      </c>
      <c r="AN9" s="24">
        <f>AM9*0.18</f>
        <v>303.23116681199997</v>
      </c>
      <c r="AO9" s="24"/>
      <c r="AP9" s="24">
        <f>AO9*0.18</f>
        <v>0</v>
      </c>
      <c r="AQ9" s="163"/>
      <c r="AR9" s="163"/>
      <c r="AS9" s="99"/>
      <c r="AT9" s="99"/>
      <c r="AU9" s="99">
        <f>(AS9+AT9)*0.18</f>
        <v>0</v>
      </c>
      <c r="AV9" s="164"/>
      <c r="AW9" s="165"/>
      <c r="AX9" s="24">
        <f>AV9*AW9*1.12*1.18</f>
        <v>0</v>
      </c>
      <c r="AY9" s="166"/>
      <c r="AZ9" s="167"/>
      <c r="BA9" s="167">
        <f>AZ9*0.18</f>
        <v>0</v>
      </c>
      <c r="BB9" s="167">
        <f>SUM(AG9:BA9)-AV9-AW9</f>
        <v>4751.48212434</v>
      </c>
      <c r="BC9" s="168"/>
      <c r="BD9" s="17">
        <f>BB9-(AF9-BC9)</f>
        <v>4751.48212434</v>
      </c>
      <c r="BE9" s="127">
        <f>AC9-BB9</f>
        <v>-1668.1275795400002</v>
      </c>
      <c r="BF9" s="128">
        <f>AB9-S9</f>
        <v>-5408.75</v>
      </c>
    </row>
    <row r="10" spans="1:58" ht="12.75" hidden="1">
      <c r="A10" s="13" t="s">
        <v>40</v>
      </c>
      <c r="B10" s="93">
        <v>925.4</v>
      </c>
      <c r="C10" s="174">
        <f>B10*8.65</f>
        <v>8004.71</v>
      </c>
      <c r="D10" s="175">
        <f>C10*0.24088</f>
        <v>1928.1745448000001</v>
      </c>
      <c r="E10" s="94">
        <v>634.53</v>
      </c>
      <c r="F10" s="94">
        <v>124.3</v>
      </c>
      <c r="G10" s="94">
        <v>856.64</v>
      </c>
      <c r="H10" s="94">
        <v>167.81</v>
      </c>
      <c r="I10" s="94">
        <v>2062.23</v>
      </c>
      <c r="J10" s="94">
        <v>403.98</v>
      </c>
      <c r="K10" s="94">
        <v>1727.7</v>
      </c>
      <c r="L10" s="94">
        <v>279.68</v>
      </c>
      <c r="M10" s="91">
        <v>507.63</v>
      </c>
      <c r="N10" s="91">
        <v>99.44</v>
      </c>
      <c r="O10" s="94">
        <v>0</v>
      </c>
      <c r="P10" s="94">
        <v>0</v>
      </c>
      <c r="Q10" s="94">
        <v>0</v>
      </c>
      <c r="R10" s="94">
        <v>0</v>
      </c>
      <c r="S10" s="94">
        <f>E10+G10+I10+K10+M10+O10+Q10</f>
        <v>5788.7300000000005</v>
      </c>
      <c r="T10" s="160">
        <f>P10+N10+L10+J10+H10+F10+R10</f>
        <v>1075.21</v>
      </c>
      <c r="U10" s="94">
        <v>367.46</v>
      </c>
      <c r="V10" s="94">
        <v>496.07</v>
      </c>
      <c r="W10" s="94">
        <v>1448.36</v>
      </c>
      <c r="X10" s="94">
        <v>826.78</v>
      </c>
      <c r="Y10" s="94">
        <v>293.96</v>
      </c>
      <c r="Z10" s="94">
        <v>0</v>
      </c>
      <c r="AA10" s="101">
        <v>0</v>
      </c>
      <c r="AB10" s="178">
        <f>SUM(U10:AA10)</f>
        <v>3432.63</v>
      </c>
      <c r="AC10" s="161">
        <f>D10+T10+AB10</f>
        <v>6436.0145448</v>
      </c>
      <c r="AD10" s="162">
        <f>P10+Z10</f>
        <v>0</v>
      </c>
      <c r="AE10" s="162">
        <f>R10+AA10</f>
        <v>0</v>
      </c>
      <c r="AF10" s="162"/>
      <c r="AG10" s="24">
        <f>0.6*B10</f>
        <v>555.24</v>
      </c>
      <c r="AH10" s="24">
        <f>B10*0.201</f>
        <v>186.0054</v>
      </c>
      <c r="AI10" s="24">
        <f>0.8518*B10</f>
        <v>788.25572</v>
      </c>
      <c r="AJ10" s="24">
        <f>AI10*0.18</f>
        <v>141.8860296</v>
      </c>
      <c r="AK10" s="24">
        <f>1.04*B10*0.9531</f>
        <v>917.2786896</v>
      </c>
      <c r="AL10" s="24">
        <f>AK10*0.18</f>
        <v>165.110164128</v>
      </c>
      <c r="AM10" s="24">
        <f>(1.91)*B10*0.9531</f>
        <v>1684.6175933999998</v>
      </c>
      <c r="AN10" s="24">
        <f>AM10*0.18</f>
        <v>303.23116681199997</v>
      </c>
      <c r="AO10" s="24"/>
      <c r="AP10" s="24">
        <f>AO10*0.18</f>
        <v>0</v>
      </c>
      <c r="AQ10" s="163"/>
      <c r="AR10" s="163"/>
      <c r="AS10" s="99">
        <v>2831</v>
      </c>
      <c r="AT10" s="99"/>
      <c r="AU10" s="99">
        <f>(AS10+AT10)*0.18</f>
        <v>509.58</v>
      </c>
      <c r="AV10" s="164"/>
      <c r="AW10" s="165"/>
      <c r="AX10" s="24">
        <f>AV10*AW10*1.12*1.18</f>
        <v>0</v>
      </c>
      <c r="AY10" s="166"/>
      <c r="AZ10" s="167"/>
      <c r="BA10" s="167">
        <f>AZ10*0.18</f>
        <v>0</v>
      </c>
      <c r="BB10" s="167">
        <f>SUM(AG10:BA10)-AV10-AW10</f>
        <v>8082.2047635399995</v>
      </c>
      <c r="BC10" s="168"/>
      <c r="BD10" s="17">
        <f>BB10-(AF10-BC10)</f>
        <v>8082.2047635399995</v>
      </c>
      <c r="BE10" s="127">
        <f>AC10-BB10</f>
        <v>-1646.1902187399992</v>
      </c>
      <c r="BF10" s="127">
        <f>AB10-S10</f>
        <v>-2356.1000000000004</v>
      </c>
    </row>
    <row r="11" spans="1:58" ht="13.5" hidden="1" thickBot="1">
      <c r="A11" s="50" t="s">
        <v>41</v>
      </c>
      <c r="B11" s="93">
        <v>925.4</v>
      </c>
      <c r="C11" s="174">
        <f>B11*8.65</f>
        <v>8004.71</v>
      </c>
      <c r="D11" s="175">
        <f>C11*0.24035</f>
        <v>1923.9320485</v>
      </c>
      <c r="E11" s="94">
        <v>633.54</v>
      </c>
      <c r="F11" s="94">
        <v>124.3</v>
      </c>
      <c r="G11" s="94">
        <v>855.29</v>
      </c>
      <c r="H11" s="94">
        <v>167.81</v>
      </c>
      <c r="I11" s="94">
        <v>2059</v>
      </c>
      <c r="J11" s="94">
        <v>403.98</v>
      </c>
      <c r="K11" s="94">
        <v>1425.47</v>
      </c>
      <c r="L11" s="94">
        <v>279.68</v>
      </c>
      <c r="M11" s="91">
        <v>506.83</v>
      </c>
      <c r="N11" s="95">
        <v>99.44</v>
      </c>
      <c r="O11" s="101">
        <v>0</v>
      </c>
      <c r="P11" s="101">
        <v>0</v>
      </c>
      <c r="Q11" s="101">
        <v>0</v>
      </c>
      <c r="R11" s="101">
        <v>0</v>
      </c>
      <c r="S11" s="94">
        <f>E11+G11+I11+K11+M11+O11+Q11</f>
        <v>5480.13</v>
      </c>
      <c r="T11" s="160">
        <f>P11+N11+L11+J11+H11+F11+R11</f>
        <v>1075.21</v>
      </c>
      <c r="U11" s="94">
        <v>473.15</v>
      </c>
      <c r="V11" s="94">
        <v>638.78</v>
      </c>
      <c r="W11" s="94">
        <v>1642.72</v>
      </c>
      <c r="X11" s="94">
        <v>1064.62</v>
      </c>
      <c r="Y11" s="94">
        <v>378.55</v>
      </c>
      <c r="Z11" s="94">
        <v>0</v>
      </c>
      <c r="AA11" s="101">
        <v>0</v>
      </c>
      <c r="AB11" s="178">
        <f>SUM(U11:AA11)</f>
        <v>4197.82</v>
      </c>
      <c r="AC11" s="161">
        <f>D11+T11+AB11</f>
        <v>7196.9620485</v>
      </c>
      <c r="AD11" s="162">
        <f>P11+Z11</f>
        <v>0</v>
      </c>
      <c r="AE11" s="162">
        <f>R11+AA11</f>
        <v>0</v>
      </c>
      <c r="AF11" s="162"/>
      <c r="AG11" s="24">
        <f>0.6*B11</f>
        <v>555.24</v>
      </c>
      <c r="AH11" s="24">
        <f>B11*0.2*1.02524</f>
        <v>189.7514192</v>
      </c>
      <c r="AI11" s="24">
        <f>0.84932*B11</f>
        <v>785.9607279999999</v>
      </c>
      <c r="AJ11" s="24">
        <f>AI11*0.18</f>
        <v>141.47293103999996</v>
      </c>
      <c r="AK11" s="24">
        <f>1.04*B11*0.95033</f>
        <v>914.6127972800001</v>
      </c>
      <c r="AL11" s="24">
        <f>AK11*0.18</f>
        <v>164.6303035104</v>
      </c>
      <c r="AM11" s="24">
        <f>(1.91)*B11*0.95033</f>
        <v>1679.7215796199998</v>
      </c>
      <c r="AN11" s="24">
        <f>AM11*0.18</f>
        <v>302.3498843316</v>
      </c>
      <c r="AO11" s="24"/>
      <c r="AP11" s="24">
        <f>AO11*0.18</f>
        <v>0</v>
      </c>
      <c r="AQ11" s="163"/>
      <c r="AR11" s="163"/>
      <c r="AS11" s="99">
        <v>150</v>
      </c>
      <c r="AT11" s="99"/>
      <c r="AU11" s="99">
        <f>(AS11+AT11)*0.18</f>
        <v>27</v>
      </c>
      <c r="AV11" s="164"/>
      <c r="AW11" s="165"/>
      <c r="AX11" s="24">
        <f>AV11*AW11*1.12*1.18</f>
        <v>0</v>
      </c>
      <c r="AY11" s="166"/>
      <c r="AZ11" s="167"/>
      <c r="BA11" s="167">
        <f>AZ11*0.18</f>
        <v>0</v>
      </c>
      <c r="BB11" s="167">
        <f>SUM(AG11:BA11)-AV11-AW11</f>
        <v>4910.739642982</v>
      </c>
      <c r="BC11" s="168"/>
      <c r="BD11" s="17">
        <f>BB11-(AF11-BC11)</f>
        <v>4910.739642982</v>
      </c>
      <c r="BE11" s="127">
        <f>AC11-BB11</f>
        <v>2286.2224055179995</v>
      </c>
      <c r="BF11" s="127">
        <f>AB11-S11</f>
        <v>-1282.3100000000004</v>
      </c>
    </row>
    <row r="12" spans="1:58" s="23" customFormat="1" ht="15" customHeight="1" hidden="1" thickBot="1">
      <c r="A12" s="52" t="s">
        <v>3</v>
      </c>
      <c r="B12" s="83"/>
      <c r="C12" s="83">
        <f>SUM(C9:C11)</f>
        <v>24014.13</v>
      </c>
      <c r="D12" s="83">
        <f aca="true" t="shared" si="0" ref="D12:BD12">SUM(D9:D11)</f>
        <v>5780.2811381</v>
      </c>
      <c r="E12" s="83">
        <f t="shared" si="0"/>
        <v>1902.6</v>
      </c>
      <c r="F12" s="83">
        <f t="shared" si="0"/>
        <v>372.9</v>
      </c>
      <c r="G12" s="83">
        <f t="shared" si="0"/>
        <v>2568.56</v>
      </c>
      <c r="H12" s="83">
        <f t="shared" si="0"/>
        <v>503.43</v>
      </c>
      <c r="I12" s="83">
        <f t="shared" si="0"/>
        <v>6183.46</v>
      </c>
      <c r="J12" s="83">
        <f t="shared" si="0"/>
        <v>1211.94</v>
      </c>
      <c r="K12" s="83">
        <f t="shared" si="0"/>
        <v>4580.87</v>
      </c>
      <c r="L12" s="83">
        <f t="shared" si="0"/>
        <v>839.04</v>
      </c>
      <c r="M12" s="83">
        <f t="shared" si="0"/>
        <v>1522.09</v>
      </c>
      <c r="N12" s="83">
        <f t="shared" si="0"/>
        <v>298.32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16757.58</v>
      </c>
      <c r="T12" s="83">
        <f t="shared" si="0"/>
        <v>3225.63</v>
      </c>
      <c r="U12" s="83">
        <f t="shared" si="0"/>
        <v>849.8499999999999</v>
      </c>
      <c r="V12" s="83">
        <f t="shared" si="0"/>
        <v>1147.33</v>
      </c>
      <c r="W12" s="83">
        <f t="shared" si="0"/>
        <v>3121.13</v>
      </c>
      <c r="X12" s="83">
        <f t="shared" si="0"/>
        <v>1912.1999999999998</v>
      </c>
      <c r="Y12" s="83">
        <f t="shared" si="0"/>
        <v>679.91</v>
      </c>
      <c r="Z12" s="83">
        <f t="shared" si="0"/>
        <v>0</v>
      </c>
      <c r="AA12" s="83">
        <f t="shared" si="0"/>
        <v>0</v>
      </c>
      <c r="AB12" s="83">
        <f t="shared" si="0"/>
        <v>7710.42</v>
      </c>
      <c r="AC12" s="83">
        <f t="shared" si="0"/>
        <v>16716.331138100002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83">
        <f t="shared" si="0"/>
        <v>1665.72</v>
      </c>
      <c r="AH12" s="83">
        <f t="shared" si="0"/>
        <v>571.61958</v>
      </c>
      <c r="AI12" s="83">
        <f t="shared" si="0"/>
        <v>2362.472168</v>
      </c>
      <c r="AJ12" s="83">
        <f t="shared" si="0"/>
        <v>425.24499024</v>
      </c>
      <c r="AK12" s="83">
        <f t="shared" si="0"/>
        <v>2749.17017648</v>
      </c>
      <c r="AL12" s="83">
        <f t="shared" si="0"/>
        <v>494.85063176640006</v>
      </c>
      <c r="AM12" s="83">
        <f t="shared" si="0"/>
        <v>5048.956766419999</v>
      </c>
      <c r="AN12" s="83">
        <f t="shared" si="0"/>
        <v>908.8122179555999</v>
      </c>
      <c r="AO12" s="83">
        <f t="shared" si="0"/>
        <v>0</v>
      </c>
      <c r="AP12" s="83">
        <f t="shared" si="0"/>
        <v>0</v>
      </c>
      <c r="AQ12" s="129">
        <f t="shared" si="0"/>
        <v>0</v>
      </c>
      <c r="AR12" s="129">
        <f t="shared" si="0"/>
        <v>0</v>
      </c>
      <c r="AS12" s="130">
        <f t="shared" si="0"/>
        <v>2981</v>
      </c>
      <c r="AT12" s="130">
        <f t="shared" si="0"/>
        <v>0</v>
      </c>
      <c r="AU12" s="130">
        <f t="shared" si="0"/>
        <v>536.5799999999999</v>
      </c>
      <c r="AV12" s="83">
        <f t="shared" si="0"/>
        <v>0</v>
      </c>
      <c r="AW12" s="83">
        <f t="shared" si="0"/>
        <v>0</v>
      </c>
      <c r="AX12" s="83">
        <f t="shared" si="0"/>
        <v>0</v>
      </c>
      <c r="AY12" s="83">
        <f t="shared" si="0"/>
        <v>0</v>
      </c>
      <c r="AZ12" s="83">
        <f t="shared" si="0"/>
        <v>0</v>
      </c>
      <c r="BA12" s="83">
        <f t="shared" si="0"/>
        <v>0</v>
      </c>
      <c r="BB12" s="83">
        <f t="shared" si="0"/>
        <v>17744.426530862</v>
      </c>
      <c r="BC12" s="83">
        <f t="shared" si="0"/>
        <v>0</v>
      </c>
      <c r="BD12" s="83">
        <f t="shared" si="0"/>
        <v>17744.426530862</v>
      </c>
      <c r="BE12" s="83">
        <f>SUM(BE9:BE11)</f>
        <v>-1028.0953927619998</v>
      </c>
      <c r="BF12" s="131">
        <f>SUM(BF9:BF11)</f>
        <v>-9047.16</v>
      </c>
    </row>
    <row r="13" spans="1:58" ht="15" customHeight="1" hidden="1">
      <c r="A13" s="8" t="s">
        <v>42</v>
      </c>
      <c r="B13" s="80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135"/>
      <c r="Q13" s="136"/>
      <c r="R13" s="136"/>
      <c r="S13" s="136"/>
      <c r="T13" s="136"/>
      <c r="U13" s="137"/>
      <c r="V13" s="137"/>
      <c r="W13" s="137"/>
      <c r="X13" s="137"/>
      <c r="Y13" s="137"/>
      <c r="Z13" s="137"/>
      <c r="AA13" s="138"/>
      <c r="AB13" s="138"/>
      <c r="AC13" s="139"/>
      <c r="AD13" s="140"/>
      <c r="AE13" s="140"/>
      <c r="AF13" s="63"/>
      <c r="AG13" s="63"/>
      <c r="AH13" s="63"/>
      <c r="AI13" s="63"/>
      <c r="AJ13" s="63"/>
      <c r="AK13" s="63"/>
      <c r="AL13" s="63"/>
      <c r="AM13" s="63"/>
      <c r="AN13" s="81"/>
      <c r="AO13" s="81"/>
      <c r="AP13" s="81"/>
      <c r="AQ13" s="141"/>
      <c r="AR13" s="142"/>
      <c r="AS13" s="116"/>
      <c r="AT13" s="116"/>
      <c r="AU13" s="143"/>
      <c r="AV13" s="63"/>
      <c r="AW13" s="63"/>
      <c r="AX13" s="64"/>
      <c r="AY13" s="1"/>
      <c r="AZ13" s="1"/>
      <c r="BA13" s="1"/>
      <c r="BB13" s="1"/>
      <c r="BC13" s="1"/>
      <c r="BD13" s="1"/>
      <c r="BE13" s="1"/>
      <c r="BF13" s="123"/>
    </row>
    <row r="14" spans="1:58" ht="12.75" hidden="1">
      <c r="A14" s="13" t="s">
        <v>43</v>
      </c>
      <c r="B14" s="169">
        <v>925.4</v>
      </c>
      <c r="C14" s="174">
        <f aca="true" t="shared" si="1" ref="C14:C25">B14*8.65</f>
        <v>8004.71</v>
      </c>
      <c r="D14" s="175">
        <f>C14*0.125</f>
        <v>1000.58875</v>
      </c>
      <c r="E14" s="94">
        <v>632.73</v>
      </c>
      <c r="F14" s="94">
        <v>124.3</v>
      </c>
      <c r="G14" s="94">
        <v>854.21</v>
      </c>
      <c r="H14" s="94">
        <v>167.81</v>
      </c>
      <c r="I14" s="94">
        <v>2056.38</v>
      </c>
      <c r="J14" s="94">
        <v>403.98</v>
      </c>
      <c r="K14" s="94">
        <v>1423.65</v>
      </c>
      <c r="L14" s="94">
        <v>279.68</v>
      </c>
      <c r="M14" s="91">
        <v>506.19</v>
      </c>
      <c r="N14" s="95">
        <v>99.44</v>
      </c>
      <c r="O14" s="101">
        <v>0</v>
      </c>
      <c r="P14" s="101">
        <v>0</v>
      </c>
      <c r="Q14" s="101">
        <v>0</v>
      </c>
      <c r="R14" s="101">
        <v>0</v>
      </c>
      <c r="S14" s="94">
        <f aca="true" t="shared" si="2" ref="S14:S25">E14+G14+I14+K14+M14+O14+Q14</f>
        <v>5473.16</v>
      </c>
      <c r="T14" s="160">
        <f aca="true" t="shared" si="3" ref="T14:T25">P14+N14+L14+J14+H14+F14+R14</f>
        <v>1075.21</v>
      </c>
      <c r="U14" s="94">
        <v>565.78</v>
      </c>
      <c r="V14" s="94">
        <v>763.78</v>
      </c>
      <c r="W14" s="94">
        <v>1399.58</v>
      </c>
      <c r="X14" s="94">
        <v>1272.98</v>
      </c>
      <c r="Y14" s="94">
        <v>452.58</v>
      </c>
      <c r="Z14" s="94">
        <v>0</v>
      </c>
      <c r="AA14" s="101">
        <v>0</v>
      </c>
      <c r="AB14" s="179">
        <f aca="true" t="shared" si="4" ref="AB14:AB22">SUM(U14:AA14)</f>
        <v>4454.7</v>
      </c>
      <c r="AC14" s="161">
        <f aca="true" t="shared" si="5" ref="AC14:AC22">D14+T14+AB14</f>
        <v>6530.49875</v>
      </c>
      <c r="AD14" s="162">
        <f aca="true" t="shared" si="6" ref="AD14:AD25">P14+Z14</f>
        <v>0</v>
      </c>
      <c r="AE14" s="162">
        <f aca="true" t="shared" si="7" ref="AE14:AE25">R14+AA14</f>
        <v>0</v>
      </c>
      <c r="AF14" s="162"/>
      <c r="AG14" s="24">
        <f>0.6*B14*0.9</f>
        <v>499.716</v>
      </c>
      <c r="AH14" s="24">
        <f>B14*0.2*0.891</f>
        <v>164.90628</v>
      </c>
      <c r="AI14" s="24">
        <f>0.85*B14*0.867-0.02</f>
        <v>681.9535299999999</v>
      </c>
      <c r="AJ14" s="24">
        <f aca="true" t="shared" si="8" ref="AJ14:AJ25">AI14*0.18</f>
        <v>122.75163539999997</v>
      </c>
      <c r="AK14" s="24">
        <f>0.83*B14*0.8685</f>
        <v>667.0792170000001</v>
      </c>
      <c r="AL14" s="24">
        <f aca="true" t="shared" si="9" ref="AL14:AL25">AK14*0.18</f>
        <v>120.07425906000002</v>
      </c>
      <c r="AM14" s="24">
        <f>1.91*B14*0.8686</f>
        <v>1535.2626604</v>
      </c>
      <c r="AN14" s="24">
        <f aca="true" t="shared" si="10" ref="AN14:AN25">AM14*0.18</f>
        <v>276.347278872</v>
      </c>
      <c r="AO14" s="24"/>
      <c r="AP14" s="24">
        <f aca="true" t="shared" si="11" ref="AP14:AR25">AO14*0.18</f>
        <v>0</v>
      </c>
      <c r="AQ14" s="163"/>
      <c r="AR14" s="163">
        <f>AQ14*0.18</f>
        <v>0</v>
      </c>
      <c r="AS14" s="99">
        <v>5100</v>
      </c>
      <c r="AT14" s="99"/>
      <c r="AU14" s="99">
        <f>(AS14+AT14)*0.18+0.01</f>
        <v>918.01</v>
      </c>
      <c r="AV14" s="164">
        <v>508</v>
      </c>
      <c r="AW14" s="165">
        <v>0.45</v>
      </c>
      <c r="AX14" s="24">
        <f aca="true" t="shared" si="12" ref="AX14:AX25">AV14*AW14*1.12*1.18</f>
        <v>302.11776000000003</v>
      </c>
      <c r="AY14" s="166"/>
      <c r="AZ14" s="167"/>
      <c r="BA14" s="167">
        <f>AZ14*0.18</f>
        <v>0</v>
      </c>
      <c r="BB14" s="167">
        <f>SUM(AG14:AU14)+AX14</f>
        <v>10388.218620732</v>
      </c>
      <c r="BC14" s="168"/>
      <c r="BD14" s="144">
        <f>BB14-(AF14-BC14)</f>
        <v>10388.218620732</v>
      </c>
      <c r="BE14" s="127">
        <f>(AC14-BB14)+(AF14-BC14)</f>
        <v>-3857.7198707319994</v>
      </c>
      <c r="BF14" s="127">
        <f>AB14-S14</f>
        <v>-1018.46</v>
      </c>
    </row>
    <row r="15" spans="1:58" ht="12.75" hidden="1">
      <c r="A15" s="13" t="s">
        <v>44</v>
      </c>
      <c r="B15" s="169">
        <v>925.4</v>
      </c>
      <c r="C15" s="174">
        <f t="shared" si="1"/>
        <v>8004.71</v>
      </c>
      <c r="D15" s="175">
        <f>C15*0.125</f>
        <v>1000.58875</v>
      </c>
      <c r="E15" s="94">
        <v>632.73</v>
      </c>
      <c r="F15" s="94">
        <v>124.3</v>
      </c>
      <c r="G15" s="94">
        <v>854.21</v>
      </c>
      <c r="H15" s="94">
        <v>167.81</v>
      </c>
      <c r="I15" s="94">
        <v>2056.38</v>
      </c>
      <c r="J15" s="94">
        <v>403.98</v>
      </c>
      <c r="K15" s="94">
        <v>1423.65</v>
      </c>
      <c r="L15" s="94">
        <v>279.68</v>
      </c>
      <c r="M15" s="91">
        <v>506.19</v>
      </c>
      <c r="N15" s="95">
        <v>99.44</v>
      </c>
      <c r="O15" s="101">
        <v>0</v>
      </c>
      <c r="P15" s="101">
        <v>0</v>
      </c>
      <c r="Q15" s="101">
        <v>0</v>
      </c>
      <c r="R15" s="101">
        <v>0</v>
      </c>
      <c r="S15" s="94">
        <f t="shared" si="2"/>
        <v>5473.16</v>
      </c>
      <c r="T15" s="160">
        <f t="shared" si="3"/>
        <v>1075.21</v>
      </c>
      <c r="U15" s="94">
        <v>355.54</v>
      </c>
      <c r="V15" s="94">
        <v>480.03</v>
      </c>
      <c r="W15" s="94">
        <v>1252.05</v>
      </c>
      <c r="X15" s="94">
        <v>800</v>
      </c>
      <c r="Y15" s="94">
        <v>284.45</v>
      </c>
      <c r="Z15" s="94">
        <v>0</v>
      </c>
      <c r="AA15" s="101">
        <v>0</v>
      </c>
      <c r="AB15" s="178">
        <f t="shared" si="4"/>
        <v>3172.0699999999997</v>
      </c>
      <c r="AC15" s="161">
        <f t="shared" si="5"/>
        <v>5247.86875</v>
      </c>
      <c r="AD15" s="162">
        <f t="shared" si="6"/>
        <v>0</v>
      </c>
      <c r="AE15" s="162">
        <f t="shared" si="7"/>
        <v>0</v>
      </c>
      <c r="AF15" s="162"/>
      <c r="AG15" s="24">
        <f>0.6*B15*0.9</f>
        <v>499.716</v>
      </c>
      <c r="AH15" s="24">
        <f>B15*0.2*0.9153</f>
        <v>169.403724</v>
      </c>
      <c r="AI15" s="24">
        <f>0.85*B15*0.867</f>
        <v>681.9735299999999</v>
      </c>
      <c r="AJ15" s="24">
        <f t="shared" si="8"/>
        <v>122.75523539999998</v>
      </c>
      <c r="AK15" s="24">
        <f>0.83*B15*0.8684</f>
        <v>667.0024088</v>
      </c>
      <c r="AL15" s="24">
        <f t="shared" si="9"/>
        <v>120.060433584</v>
      </c>
      <c r="AM15" s="24">
        <f>(1.91)*B15*0.8684</f>
        <v>1534.9091575999998</v>
      </c>
      <c r="AN15" s="24">
        <f t="shared" si="10"/>
        <v>276.28364836799994</v>
      </c>
      <c r="AO15" s="24"/>
      <c r="AP15" s="24">
        <f t="shared" si="11"/>
        <v>0</v>
      </c>
      <c r="AQ15" s="163"/>
      <c r="AR15" s="163">
        <f>AQ15*0.18</f>
        <v>0</v>
      </c>
      <c r="AS15" s="99"/>
      <c r="AT15" s="99"/>
      <c r="AU15" s="99">
        <f aca="true" t="shared" si="13" ref="AU15:AU25">(AS15+AT15)*0.18</f>
        <v>0</v>
      </c>
      <c r="AV15" s="164">
        <v>407</v>
      </c>
      <c r="AW15" s="165">
        <v>0.45</v>
      </c>
      <c r="AX15" s="24">
        <f t="shared" si="12"/>
        <v>242.05104</v>
      </c>
      <c r="AY15" s="166"/>
      <c r="AZ15" s="167"/>
      <c r="BA15" s="167">
        <f>AZ15*0.18</f>
        <v>0</v>
      </c>
      <c r="BB15" s="167">
        <f>SUM(AG15:AU15)+AX15</f>
        <v>4314.155177751999</v>
      </c>
      <c r="BC15" s="168"/>
      <c r="BD15" s="144">
        <f aca="true" t="shared" si="14" ref="BD15:BD25">BB15-(AF15-BC15)</f>
        <v>4314.155177751999</v>
      </c>
      <c r="BE15" s="127">
        <f aca="true" t="shared" si="15" ref="BE15:BE25">(AC15-BB15)+(AF15-BC15)</f>
        <v>933.7135722480007</v>
      </c>
      <c r="BF15" s="127">
        <f aca="true" t="shared" si="16" ref="BF15:BF25">AB15-S15</f>
        <v>-2301.09</v>
      </c>
    </row>
    <row r="16" spans="1:58" ht="13.5" hidden="1" thickBot="1">
      <c r="A16" s="145" t="s">
        <v>45</v>
      </c>
      <c r="B16" s="180">
        <v>925.4</v>
      </c>
      <c r="C16" s="174">
        <f t="shared" si="1"/>
        <v>8004.71</v>
      </c>
      <c r="D16" s="175">
        <f>C16*0.125</f>
        <v>1000.58875</v>
      </c>
      <c r="E16" s="94">
        <v>611.34</v>
      </c>
      <c r="F16" s="94">
        <v>143.38</v>
      </c>
      <c r="G16" s="94">
        <v>825.31</v>
      </c>
      <c r="H16" s="94">
        <v>193.71</v>
      </c>
      <c r="I16" s="94">
        <v>1986.84</v>
      </c>
      <c r="J16" s="94">
        <v>466.35</v>
      </c>
      <c r="K16" s="94">
        <v>1375.5</v>
      </c>
      <c r="L16" s="94">
        <v>322.86</v>
      </c>
      <c r="M16" s="91">
        <v>489.07</v>
      </c>
      <c r="N16" s="95">
        <v>114.8</v>
      </c>
      <c r="O16" s="101">
        <v>0</v>
      </c>
      <c r="P16" s="101">
        <v>0</v>
      </c>
      <c r="Q16" s="101">
        <v>0</v>
      </c>
      <c r="R16" s="101">
        <v>0</v>
      </c>
      <c r="S16" s="94">
        <f t="shared" si="2"/>
        <v>5288.0599999999995</v>
      </c>
      <c r="T16" s="160">
        <f t="shared" si="3"/>
        <v>1241.1</v>
      </c>
      <c r="U16" s="96">
        <v>1029.44</v>
      </c>
      <c r="V16" s="96">
        <v>1389.76</v>
      </c>
      <c r="W16" s="96">
        <v>3350.88</v>
      </c>
      <c r="X16" s="96">
        <v>2316.22</v>
      </c>
      <c r="Y16" s="96">
        <v>823.55</v>
      </c>
      <c r="Z16" s="96">
        <v>0</v>
      </c>
      <c r="AA16" s="173">
        <v>0</v>
      </c>
      <c r="AB16" s="179">
        <f t="shared" si="4"/>
        <v>8909.849999999999</v>
      </c>
      <c r="AC16" s="161">
        <f t="shared" si="5"/>
        <v>11151.538749999998</v>
      </c>
      <c r="AD16" s="162">
        <f t="shared" si="6"/>
        <v>0</v>
      </c>
      <c r="AE16" s="162">
        <f t="shared" si="7"/>
        <v>0</v>
      </c>
      <c r="AF16" s="162"/>
      <c r="AG16" s="24">
        <f>0.6*B16*0.9</f>
        <v>499.716</v>
      </c>
      <c r="AH16" s="181">
        <f>B16*0.2*0.9082</f>
        <v>168.08965600000002</v>
      </c>
      <c r="AI16" s="24">
        <f>0.85*B16*0.8675</f>
        <v>682.366825</v>
      </c>
      <c r="AJ16" s="24">
        <f t="shared" si="8"/>
        <v>122.82602849999999</v>
      </c>
      <c r="AK16" s="181">
        <f>0.83*B16*0.838</f>
        <v>643.6527159999999</v>
      </c>
      <c r="AL16" s="24">
        <f t="shared" si="9"/>
        <v>115.85748887999999</v>
      </c>
      <c r="AM16" s="24">
        <f>1.91*B16*0.8381</f>
        <v>1481.3534833999997</v>
      </c>
      <c r="AN16" s="24">
        <f t="shared" si="10"/>
        <v>266.64362701199997</v>
      </c>
      <c r="AO16" s="24"/>
      <c r="AP16" s="24">
        <f t="shared" si="11"/>
        <v>0</v>
      </c>
      <c r="AQ16" s="163"/>
      <c r="AR16" s="163">
        <f>AQ16*0.18</f>
        <v>0</v>
      </c>
      <c r="AS16" s="99">
        <v>7476</v>
      </c>
      <c r="AT16" s="99"/>
      <c r="AU16" s="99">
        <f t="shared" si="13"/>
        <v>1345.68</v>
      </c>
      <c r="AV16" s="164">
        <v>383</v>
      </c>
      <c r="AW16" s="165">
        <v>0.45</v>
      </c>
      <c r="AX16" s="24">
        <f t="shared" si="12"/>
        <v>227.77776</v>
      </c>
      <c r="AY16" s="166"/>
      <c r="AZ16" s="167"/>
      <c r="BA16" s="167">
        <f>AZ16*0.18</f>
        <v>0</v>
      </c>
      <c r="BB16" s="167">
        <f aca="true" t="shared" si="17" ref="BB16:BB25">SUM(AG16:AU16)+AX16</f>
        <v>13029.963584792</v>
      </c>
      <c r="BC16" s="168"/>
      <c r="BD16" s="144">
        <f t="shared" si="14"/>
        <v>13029.963584792</v>
      </c>
      <c r="BE16" s="127">
        <f t="shared" si="15"/>
        <v>-1878.424834792002</v>
      </c>
      <c r="BF16" s="127">
        <f t="shared" si="16"/>
        <v>3621.789999999999</v>
      </c>
    </row>
    <row r="17" spans="1:58" ht="12.75" hidden="1">
      <c r="A17" s="147" t="s">
        <v>46</v>
      </c>
      <c r="B17" s="182">
        <v>925.4</v>
      </c>
      <c r="C17" s="174">
        <f t="shared" si="1"/>
        <v>8004.71</v>
      </c>
      <c r="D17" s="175">
        <f>C17*0.125</f>
        <v>1000.58875</v>
      </c>
      <c r="E17" s="96">
        <v>602.82</v>
      </c>
      <c r="F17" s="96">
        <v>152.24</v>
      </c>
      <c r="G17" s="96">
        <v>813.83</v>
      </c>
      <c r="H17" s="96">
        <v>205.53</v>
      </c>
      <c r="I17" s="96">
        <v>1959.18</v>
      </c>
      <c r="J17" s="96">
        <v>494.78</v>
      </c>
      <c r="K17" s="96">
        <v>1356.36</v>
      </c>
      <c r="L17" s="96">
        <v>342.54</v>
      </c>
      <c r="M17" s="97">
        <v>482.27</v>
      </c>
      <c r="N17" s="98">
        <v>121.79</v>
      </c>
      <c r="O17" s="173">
        <v>0</v>
      </c>
      <c r="P17" s="173">
        <v>0</v>
      </c>
      <c r="Q17" s="173">
        <v>0</v>
      </c>
      <c r="R17" s="173">
        <v>0</v>
      </c>
      <c r="S17" s="94">
        <f t="shared" si="2"/>
        <v>5214.459999999999</v>
      </c>
      <c r="T17" s="160">
        <f t="shared" si="3"/>
        <v>1316.88</v>
      </c>
      <c r="U17" s="94">
        <v>429.55</v>
      </c>
      <c r="V17" s="94">
        <v>579.86</v>
      </c>
      <c r="W17" s="94">
        <v>1392.59</v>
      </c>
      <c r="X17" s="94">
        <v>966.42</v>
      </c>
      <c r="Y17" s="94">
        <v>343.61</v>
      </c>
      <c r="Z17" s="94">
        <v>0</v>
      </c>
      <c r="AA17" s="94">
        <v>0</v>
      </c>
      <c r="AB17" s="179">
        <f t="shared" si="4"/>
        <v>3712.03</v>
      </c>
      <c r="AC17" s="161">
        <f t="shared" si="5"/>
        <v>6029.498750000001</v>
      </c>
      <c r="AD17" s="162">
        <f t="shared" si="6"/>
        <v>0</v>
      </c>
      <c r="AE17" s="162">
        <f t="shared" si="7"/>
        <v>0</v>
      </c>
      <c r="AF17" s="162"/>
      <c r="AG17" s="24">
        <f>0.6*B17*0.9</f>
        <v>499.716</v>
      </c>
      <c r="AH17" s="181">
        <f>B17*0.2*0.9234</f>
        <v>170.902872</v>
      </c>
      <c r="AI17" s="24">
        <f>0.85*B17*0.8934</f>
        <v>702.7395059999999</v>
      </c>
      <c r="AJ17" s="24">
        <f t="shared" si="8"/>
        <v>126.49311107999998</v>
      </c>
      <c r="AK17" s="24">
        <f>0.83*B17*0.8498</f>
        <v>652.7160836</v>
      </c>
      <c r="AL17" s="24">
        <f t="shared" si="9"/>
        <v>117.488895048</v>
      </c>
      <c r="AM17" s="24">
        <f>(1.91)*B17*0.8498</f>
        <v>1502.0333971999999</v>
      </c>
      <c r="AN17" s="24">
        <f t="shared" si="10"/>
        <v>270.36601149599994</v>
      </c>
      <c r="AO17" s="24"/>
      <c r="AP17" s="24">
        <f t="shared" si="11"/>
        <v>0</v>
      </c>
      <c r="AQ17" s="163"/>
      <c r="AR17" s="163">
        <f t="shared" si="11"/>
        <v>0</v>
      </c>
      <c r="AS17" s="99">
        <v>410</v>
      </c>
      <c r="AT17" s="99"/>
      <c r="AU17" s="99">
        <f t="shared" si="13"/>
        <v>73.8</v>
      </c>
      <c r="AV17" s="164">
        <v>307</v>
      </c>
      <c r="AW17" s="165">
        <v>0.45</v>
      </c>
      <c r="AX17" s="24">
        <f t="shared" si="12"/>
        <v>182.57904</v>
      </c>
      <c r="AY17" s="183"/>
      <c r="AZ17" s="166"/>
      <c r="BA17" s="167"/>
      <c r="BB17" s="167">
        <f t="shared" si="17"/>
        <v>4708.834916423999</v>
      </c>
      <c r="BC17" s="168"/>
      <c r="BD17" s="144">
        <f t="shared" si="14"/>
        <v>4708.834916423999</v>
      </c>
      <c r="BE17" s="127">
        <f t="shared" si="15"/>
        <v>1320.6638335760017</v>
      </c>
      <c r="BF17" s="127">
        <f t="shared" si="16"/>
        <v>-1502.429999999999</v>
      </c>
    </row>
    <row r="18" spans="1:58" ht="12.75" hidden="1">
      <c r="A18" s="13" t="s">
        <v>47</v>
      </c>
      <c r="B18" s="180">
        <v>925.4</v>
      </c>
      <c r="C18" s="174">
        <f t="shared" si="1"/>
        <v>8004.71</v>
      </c>
      <c r="D18" s="159">
        <f aca="true" t="shared" si="18" ref="D18:D25">C18-E18-F18-G18-H18-I18-J18-K18-L18-M18-N18</f>
        <v>729.9999999999999</v>
      </c>
      <c r="E18" s="96">
        <v>668.25</v>
      </c>
      <c r="F18" s="96">
        <v>171.28</v>
      </c>
      <c r="G18" s="96">
        <v>905.44</v>
      </c>
      <c r="H18" s="96">
        <v>232.17</v>
      </c>
      <c r="I18" s="96">
        <v>2175.14</v>
      </c>
      <c r="J18" s="96">
        <v>557.6</v>
      </c>
      <c r="K18" s="96">
        <v>1506.89</v>
      </c>
      <c r="L18" s="96">
        <v>386.33</v>
      </c>
      <c r="M18" s="97">
        <v>534.6</v>
      </c>
      <c r="N18" s="97">
        <v>137.01</v>
      </c>
      <c r="O18" s="173">
        <v>0</v>
      </c>
      <c r="P18" s="173">
        <v>0</v>
      </c>
      <c r="Q18" s="173">
        <v>0</v>
      </c>
      <c r="R18" s="173">
        <v>0</v>
      </c>
      <c r="S18" s="94">
        <f t="shared" si="2"/>
        <v>5790.320000000001</v>
      </c>
      <c r="T18" s="160">
        <f t="shared" si="3"/>
        <v>1484.39</v>
      </c>
      <c r="U18" s="96">
        <v>638.22</v>
      </c>
      <c r="V18" s="96">
        <v>861.66</v>
      </c>
      <c r="W18" s="96">
        <v>2056.39</v>
      </c>
      <c r="X18" s="96">
        <v>1436.09</v>
      </c>
      <c r="Y18" s="96">
        <v>510.61</v>
      </c>
      <c r="Z18" s="96">
        <v>0</v>
      </c>
      <c r="AA18" s="173">
        <v>0</v>
      </c>
      <c r="AB18" s="179">
        <f t="shared" si="4"/>
        <v>5502.969999999999</v>
      </c>
      <c r="AC18" s="161">
        <f t="shared" si="5"/>
        <v>7717.359999999999</v>
      </c>
      <c r="AD18" s="162">
        <f t="shared" si="6"/>
        <v>0</v>
      </c>
      <c r="AE18" s="162">
        <f t="shared" si="7"/>
        <v>0</v>
      </c>
      <c r="AF18" s="162"/>
      <c r="AG18" s="24">
        <f aca="true" t="shared" si="19" ref="AG18:AG25">0.6*B18</f>
        <v>555.24</v>
      </c>
      <c r="AH18" s="24">
        <f>B18*0.2*1.01</f>
        <v>186.9308</v>
      </c>
      <c r="AI18" s="24">
        <f>0.85*B18</f>
        <v>786.5899999999999</v>
      </c>
      <c r="AJ18" s="24">
        <f t="shared" si="8"/>
        <v>141.5862</v>
      </c>
      <c r="AK18" s="24">
        <f>0.83*B18</f>
        <v>768.082</v>
      </c>
      <c r="AL18" s="24">
        <f t="shared" si="9"/>
        <v>138.25476</v>
      </c>
      <c r="AM18" s="24">
        <f>(1.91)*B18</f>
        <v>1767.514</v>
      </c>
      <c r="AN18" s="24">
        <f t="shared" si="10"/>
        <v>318.15252</v>
      </c>
      <c r="AO18" s="24"/>
      <c r="AP18" s="24">
        <f t="shared" si="11"/>
        <v>0</v>
      </c>
      <c r="AQ18" s="163"/>
      <c r="AR18" s="163">
        <f t="shared" si="11"/>
        <v>0</v>
      </c>
      <c r="AS18" s="99">
        <v>2281.16</v>
      </c>
      <c r="AT18" s="99"/>
      <c r="AU18" s="99">
        <f t="shared" si="13"/>
        <v>410.6088</v>
      </c>
      <c r="AV18" s="164">
        <v>263</v>
      </c>
      <c r="AW18" s="165">
        <v>0.45</v>
      </c>
      <c r="AX18" s="24">
        <f t="shared" si="12"/>
        <v>156.41136000000003</v>
      </c>
      <c r="AY18" s="166"/>
      <c r="AZ18" s="167"/>
      <c r="BA18" s="167">
        <f aca="true" t="shared" si="20" ref="BA18:BA25">AZ18*0.18</f>
        <v>0</v>
      </c>
      <c r="BB18" s="167">
        <f t="shared" si="17"/>
        <v>7510.5304399999995</v>
      </c>
      <c r="BC18" s="168"/>
      <c r="BD18" s="144">
        <f t="shared" si="14"/>
        <v>7510.5304399999995</v>
      </c>
      <c r="BE18" s="127">
        <f t="shared" si="15"/>
        <v>206.82955999999922</v>
      </c>
      <c r="BF18" s="127">
        <f t="shared" si="16"/>
        <v>-287.3500000000013</v>
      </c>
    </row>
    <row r="19" spans="1:58" ht="13.5" hidden="1" thickBot="1">
      <c r="A19" s="145" t="s">
        <v>48</v>
      </c>
      <c r="B19" s="180">
        <v>925.4</v>
      </c>
      <c r="C19" s="174">
        <f t="shared" si="1"/>
        <v>8004.71</v>
      </c>
      <c r="D19" s="159">
        <f t="shared" si="18"/>
        <v>723.9100000000011</v>
      </c>
      <c r="E19" s="96">
        <v>668.95</v>
      </c>
      <c r="F19" s="96">
        <v>171.28</v>
      </c>
      <c r="G19" s="96">
        <v>906.4</v>
      </c>
      <c r="H19" s="96">
        <v>232.17</v>
      </c>
      <c r="I19" s="96">
        <v>2177.43</v>
      </c>
      <c r="J19" s="96">
        <v>557.6</v>
      </c>
      <c r="K19" s="96">
        <v>1508.47</v>
      </c>
      <c r="L19" s="96">
        <v>386.33</v>
      </c>
      <c r="M19" s="97">
        <v>535.16</v>
      </c>
      <c r="N19" s="98">
        <v>137.01</v>
      </c>
      <c r="O19" s="173">
        <v>0</v>
      </c>
      <c r="P19" s="173">
        <v>0</v>
      </c>
      <c r="Q19" s="173">
        <v>0</v>
      </c>
      <c r="R19" s="173">
        <v>0</v>
      </c>
      <c r="S19" s="94">
        <f t="shared" si="2"/>
        <v>5796.41</v>
      </c>
      <c r="T19" s="160">
        <f t="shared" si="3"/>
        <v>1484.39</v>
      </c>
      <c r="U19" s="96">
        <v>606.37</v>
      </c>
      <c r="V19" s="96">
        <v>820.96</v>
      </c>
      <c r="W19" s="96">
        <v>1973.13</v>
      </c>
      <c r="X19" s="96">
        <v>1366.63</v>
      </c>
      <c r="Y19" s="96">
        <v>485.14</v>
      </c>
      <c r="Z19" s="96">
        <v>0</v>
      </c>
      <c r="AA19" s="173">
        <v>0</v>
      </c>
      <c r="AB19" s="179">
        <f t="shared" si="4"/>
        <v>5252.2300000000005</v>
      </c>
      <c r="AC19" s="161">
        <f t="shared" si="5"/>
        <v>7460.530000000002</v>
      </c>
      <c r="AD19" s="162">
        <f t="shared" si="6"/>
        <v>0</v>
      </c>
      <c r="AE19" s="162">
        <f t="shared" si="7"/>
        <v>0</v>
      </c>
      <c r="AF19" s="162"/>
      <c r="AG19" s="24">
        <f t="shared" si="19"/>
        <v>555.24</v>
      </c>
      <c r="AH19" s="24">
        <f>B19*0.2*1.01045</f>
        <v>187.01408600000002</v>
      </c>
      <c r="AI19" s="24">
        <f>0.85*B19</f>
        <v>786.5899999999999</v>
      </c>
      <c r="AJ19" s="24">
        <f t="shared" si="8"/>
        <v>141.5862</v>
      </c>
      <c r="AK19" s="24">
        <f>0.83*B19</f>
        <v>768.082</v>
      </c>
      <c r="AL19" s="24">
        <f t="shared" si="9"/>
        <v>138.25476</v>
      </c>
      <c r="AM19" s="24">
        <f>(1.91)*B19</f>
        <v>1767.514</v>
      </c>
      <c r="AN19" s="24">
        <f t="shared" si="10"/>
        <v>318.15252</v>
      </c>
      <c r="AO19" s="24"/>
      <c r="AP19" s="24">
        <f t="shared" si="11"/>
        <v>0</v>
      </c>
      <c r="AQ19" s="163"/>
      <c r="AR19" s="163">
        <f t="shared" si="11"/>
        <v>0</v>
      </c>
      <c r="AS19" s="99"/>
      <c r="AT19" s="99"/>
      <c r="AU19" s="99">
        <f t="shared" si="13"/>
        <v>0</v>
      </c>
      <c r="AV19" s="164">
        <v>233</v>
      </c>
      <c r="AW19" s="165">
        <v>0.45</v>
      </c>
      <c r="AX19" s="24">
        <f t="shared" si="12"/>
        <v>138.56976</v>
      </c>
      <c r="AY19" s="166"/>
      <c r="AZ19" s="167"/>
      <c r="BA19" s="167">
        <f t="shared" si="20"/>
        <v>0</v>
      </c>
      <c r="BB19" s="167">
        <f t="shared" si="17"/>
        <v>4801.003326</v>
      </c>
      <c r="BC19" s="168"/>
      <c r="BD19" s="144">
        <f t="shared" si="14"/>
        <v>4801.003326</v>
      </c>
      <c r="BE19" s="127">
        <f t="shared" si="15"/>
        <v>2659.5266740000015</v>
      </c>
      <c r="BF19" s="127">
        <f t="shared" si="16"/>
        <v>-544.1799999999994</v>
      </c>
    </row>
    <row r="20" spans="1:58" ht="12.75" hidden="1">
      <c r="A20" s="147" t="s">
        <v>49</v>
      </c>
      <c r="B20" s="169">
        <v>925.4</v>
      </c>
      <c r="C20" s="174">
        <f t="shared" si="1"/>
        <v>8004.71</v>
      </c>
      <c r="D20" s="159">
        <f t="shared" si="18"/>
        <v>729.350000000001</v>
      </c>
      <c r="E20" s="96">
        <v>657.77</v>
      </c>
      <c r="F20" s="96">
        <v>181.82</v>
      </c>
      <c r="G20" s="96">
        <v>891.28</v>
      </c>
      <c r="H20" s="96">
        <v>246.46</v>
      </c>
      <c r="I20" s="96">
        <v>2141.07</v>
      </c>
      <c r="J20" s="96">
        <v>591.91</v>
      </c>
      <c r="K20" s="96">
        <v>1483.29</v>
      </c>
      <c r="L20" s="96">
        <v>410.1</v>
      </c>
      <c r="M20" s="97">
        <v>526.22</v>
      </c>
      <c r="N20" s="98">
        <v>145.44</v>
      </c>
      <c r="O20" s="173">
        <v>0</v>
      </c>
      <c r="P20" s="173">
        <v>0</v>
      </c>
      <c r="Q20" s="173">
        <v>0</v>
      </c>
      <c r="R20" s="173">
        <v>0</v>
      </c>
      <c r="S20" s="94">
        <f t="shared" si="2"/>
        <v>5699.63</v>
      </c>
      <c r="T20" s="160">
        <f t="shared" si="3"/>
        <v>1575.7299999999998</v>
      </c>
      <c r="U20" s="96">
        <v>669.64</v>
      </c>
      <c r="V20" s="96">
        <v>907.09</v>
      </c>
      <c r="W20" s="96">
        <v>2178.82</v>
      </c>
      <c r="X20" s="96">
        <v>1509.79</v>
      </c>
      <c r="Y20" s="96">
        <v>535.69</v>
      </c>
      <c r="Z20" s="96">
        <v>0</v>
      </c>
      <c r="AA20" s="173">
        <v>0</v>
      </c>
      <c r="AB20" s="179">
        <f t="shared" si="4"/>
        <v>5801.030000000001</v>
      </c>
      <c r="AC20" s="161">
        <f t="shared" si="5"/>
        <v>8106.1100000000015</v>
      </c>
      <c r="AD20" s="162">
        <f t="shared" si="6"/>
        <v>0</v>
      </c>
      <c r="AE20" s="162">
        <f t="shared" si="7"/>
        <v>0</v>
      </c>
      <c r="AF20" s="162"/>
      <c r="AG20" s="24">
        <f t="shared" si="19"/>
        <v>555.24</v>
      </c>
      <c r="AH20" s="24">
        <f>B20*0.2*0.99426</f>
        <v>184.0176408</v>
      </c>
      <c r="AI20" s="24">
        <f>0.85*B20*0.9857</f>
        <v>775.3417629999999</v>
      </c>
      <c r="AJ20" s="24">
        <f t="shared" si="8"/>
        <v>139.56151733999997</v>
      </c>
      <c r="AK20" s="24">
        <f>0.83*B20*0.9905</f>
        <v>760.785221</v>
      </c>
      <c r="AL20" s="24">
        <f t="shared" si="9"/>
        <v>136.94133978</v>
      </c>
      <c r="AM20" s="24">
        <f>(1.91)*B20*0.9905-0.01</f>
        <v>1750.712617</v>
      </c>
      <c r="AN20" s="24">
        <f t="shared" si="10"/>
        <v>315.12827106</v>
      </c>
      <c r="AO20" s="24"/>
      <c r="AP20" s="24">
        <f t="shared" si="11"/>
        <v>0</v>
      </c>
      <c r="AQ20" s="163"/>
      <c r="AR20" s="163">
        <f t="shared" si="11"/>
        <v>0</v>
      </c>
      <c r="AS20" s="99">
        <v>1251.76</v>
      </c>
      <c r="AT20" s="99"/>
      <c r="AU20" s="99">
        <f t="shared" si="13"/>
        <v>225.3168</v>
      </c>
      <c r="AV20" s="164">
        <v>248</v>
      </c>
      <c r="AW20" s="165">
        <v>0.45</v>
      </c>
      <c r="AX20" s="24">
        <f t="shared" si="12"/>
        <v>147.49056000000002</v>
      </c>
      <c r="AY20" s="166"/>
      <c r="AZ20" s="167"/>
      <c r="BA20" s="167">
        <f t="shared" si="20"/>
        <v>0</v>
      </c>
      <c r="BB20" s="167">
        <f t="shared" si="17"/>
        <v>6242.295729979999</v>
      </c>
      <c r="BC20" s="168"/>
      <c r="BD20" s="144">
        <f t="shared" si="14"/>
        <v>6242.295729979999</v>
      </c>
      <c r="BE20" s="127">
        <f t="shared" si="15"/>
        <v>1863.8142700200024</v>
      </c>
      <c r="BF20" s="127">
        <f t="shared" si="16"/>
        <v>101.40000000000055</v>
      </c>
    </row>
    <row r="21" spans="1:58" ht="12.75" hidden="1">
      <c r="A21" s="13" t="s">
        <v>50</v>
      </c>
      <c r="B21" s="169">
        <v>925.4</v>
      </c>
      <c r="C21" s="174">
        <f t="shared" si="1"/>
        <v>8004.71</v>
      </c>
      <c r="D21" s="159">
        <f t="shared" si="18"/>
        <v>731.5600000000001</v>
      </c>
      <c r="E21" s="96">
        <v>653.2</v>
      </c>
      <c r="F21" s="96">
        <v>186.13</v>
      </c>
      <c r="G21" s="96">
        <v>885.1</v>
      </c>
      <c r="H21" s="96">
        <v>252.3</v>
      </c>
      <c r="I21" s="96">
        <v>2126.2</v>
      </c>
      <c r="J21" s="96">
        <v>605.95</v>
      </c>
      <c r="K21" s="96">
        <v>1472.99</v>
      </c>
      <c r="L21" s="96">
        <v>419.83</v>
      </c>
      <c r="M21" s="97">
        <v>522.56</v>
      </c>
      <c r="N21" s="98">
        <v>148.89</v>
      </c>
      <c r="O21" s="173">
        <v>0</v>
      </c>
      <c r="P21" s="173">
        <v>0</v>
      </c>
      <c r="Q21" s="96">
        <v>0</v>
      </c>
      <c r="R21" s="96">
        <v>0</v>
      </c>
      <c r="S21" s="94">
        <f t="shared" si="2"/>
        <v>5660.049999999999</v>
      </c>
      <c r="T21" s="160">
        <f t="shared" si="3"/>
        <v>1613.1</v>
      </c>
      <c r="U21" s="96">
        <v>574.97</v>
      </c>
      <c r="V21" s="96">
        <v>779.01</v>
      </c>
      <c r="W21" s="96">
        <v>1871.5</v>
      </c>
      <c r="X21" s="96">
        <v>1296.52</v>
      </c>
      <c r="Y21" s="96">
        <v>460</v>
      </c>
      <c r="Z21" s="96">
        <v>0</v>
      </c>
      <c r="AA21" s="173">
        <v>0</v>
      </c>
      <c r="AB21" s="179">
        <f t="shared" si="4"/>
        <v>4982</v>
      </c>
      <c r="AC21" s="161">
        <f t="shared" si="5"/>
        <v>7326.66</v>
      </c>
      <c r="AD21" s="162">
        <f t="shared" si="6"/>
        <v>0</v>
      </c>
      <c r="AE21" s="162">
        <f t="shared" si="7"/>
        <v>0</v>
      </c>
      <c r="AF21" s="162"/>
      <c r="AG21" s="24">
        <f t="shared" si="19"/>
        <v>555.24</v>
      </c>
      <c r="AH21" s="24">
        <f>B21*0.2*0.99875</f>
        <v>184.84865000000002</v>
      </c>
      <c r="AI21" s="24">
        <f>0.85*B21*0.98526</f>
        <v>774.9956633999999</v>
      </c>
      <c r="AJ21" s="24">
        <f t="shared" si="8"/>
        <v>139.49921941199997</v>
      </c>
      <c r="AK21" s="24">
        <f>0.83*B21*0.99</f>
        <v>760.40118</v>
      </c>
      <c r="AL21" s="24">
        <f t="shared" si="9"/>
        <v>136.8722124</v>
      </c>
      <c r="AM21" s="24">
        <f>(1.91)*B21*0.99</f>
        <v>1749.8388599999998</v>
      </c>
      <c r="AN21" s="24">
        <f t="shared" si="10"/>
        <v>314.97099479999997</v>
      </c>
      <c r="AO21" s="24"/>
      <c r="AP21" s="24">
        <f t="shared" si="11"/>
        <v>0</v>
      </c>
      <c r="AQ21" s="163">
        <v>6072.32</v>
      </c>
      <c r="AR21" s="163">
        <f t="shared" si="11"/>
        <v>1093.0176</v>
      </c>
      <c r="AS21" s="99">
        <v>1120</v>
      </c>
      <c r="AT21" s="99"/>
      <c r="AU21" s="99">
        <f t="shared" si="13"/>
        <v>201.6</v>
      </c>
      <c r="AV21" s="164">
        <v>293</v>
      </c>
      <c r="AW21" s="165">
        <v>0.45</v>
      </c>
      <c r="AX21" s="24">
        <f t="shared" si="12"/>
        <v>174.25295999999997</v>
      </c>
      <c r="AY21" s="166"/>
      <c r="AZ21" s="167"/>
      <c r="BA21" s="167">
        <f t="shared" si="20"/>
        <v>0</v>
      </c>
      <c r="BB21" s="167">
        <f t="shared" si="17"/>
        <v>13277.857340011999</v>
      </c>
      <c r="BC21" s="168"/>
      <c r="BD21" s="144">
        <f t="shared" si="14"/>
        <v>13277.857340011999</v>
      </c>
      <c r="BE21" s="127">
        <f t="shared" si="15"/>
        <v>-5951.197340011999</v>
      </c>
      <c r="BF21" s="127">
        <f t="shared" si="16"/>
        <v>-678.0499999999993</v>
      </c>
    </row>
    <row r="22" spans="1:58" ht="13.5" hidden="1" thickBot="1">
      <c r="A22" s="145" t="s">
        <v>51</v>
      </c>
      <c r="B22" s="93">
        <v>925.4</v>
      </c>
      <c r="C22" s="174">
        <f t="shared" si="1"/>
        <v>8004.71</v>
      </c>
      <c r="D22" s="159">
        <f t="shared" si="18"/>
        <v>719.3200000000003</v>
      </c>
      <c r="E22" s="94">
        <v>661.12</v>
      </c>
      <c r="F22" s="94">
        <v>179.65</v>
      </c>
      <c r="G22" s="94">
        <v>895.75</v>
      </c>
      <c r="H22" s="94">
        <v>243.52</v>
      </c>
      <c r="I22" s="94">
        <v>2151.91</v>
      </c>
      <c r="J22" s="94">
        <v>584.85</v>
      </c>
      <c r="K22" s="94">
        <v>1490.78</v>
      </c>
      <c r="L22" s="94">
        <v>405.21</v>
      </c>
      <c r="M22" s="91">
        <v>528.89</v>
      </c>
      <c r="N22" s="95">
        <v>143.71</v>
      </c>
      <c r="O22" s="101">
        <v>0</v>
      </c>
      <c r="P22" s="101">
        <v>0</v>
      </c>
      <c r="Q22" s="101">
        <v>0</v>
      </c>
      <c r="R22" s="101">
        <v>0</v>
      </c>
      <c r="S22" s="94">
        <f t="shared" si="2"/>
        <v>5728.45</v>
      </c>
      <c r="T22" s="160">
        <f t="shared" si="3"/>
        <v>1556.94</v>
      </c>
      <c r="U22" s="94">
        <v>490.68</v>
      </c>
      <c r="V22" s="94">
        <v>664.57</v>
      </c>
      <c r="W22" s="94">
        <v>1596.86</v>
      </c>
      <c r="X22" s="94">
        <v>1106.13</v>
      </c>
      <c r="Y22" s="94">
        <v>392.57</v>
      </c>
      <c r="Z22" s="94">
        <v>0</v>
      </c>
      <c r="AA22" s="101">
        <v>0</v>
      </c>
      <c r="AB22" s="179">
        <f t="shared" si="4"/>
        <v>4250.8099999999995</v>
      </c>
      <c r="AC22" s="161">
        <f t="shared" si="5"/>
        <v>6527.07</v>
      </c>
      <c r="AD22" s="162">
        <f t="shared" si="6"/>
        <v>0</v>
      </c>
      <c r="AE22" s="162">
        <f t="shared" si="7"/>
        <v>0</v>
      </c>
      <c r="AF22" s="162"/>
      <c r="AG22" s="24">
        <f t="shared" si="19"/>
        <v>555.24</v>
      </c>
      <c r="AH22" s="24">
        <f>B22*0.2*0.9997</f>
        <v>185.02447600000002</v>
      </c>
      <c r="AI22" s="24">
        <f>0.85*B22*0.98509</f>
        <v>774.8619431</v>
      </c>
      <c r="AJ22" s="24">
        <f t="shared" si="8"/>
        <v>139.475149758</v>
      </c>
      <c r="AK22" s="24">
        <f>0.83*B22*0.98981</f>
        <v>760.2552444199999</v>
      </c>
      <c r="AL22" s="24">
        <f t="shared" si="9"/>
        <v>136.84594399559998</v>
      </c>
      <c r="AM22" s="24">
        <f>(1.91)*B22*0.9898</f>
        <v>1749.4853572</v>
      </c>
      <c r="AN22" s="24">
        <f t="shared" si="10"/>
        <v>314.90736429599997</v>
      </c>
      <c r="AO22" s="24"/>
      <c r="AP22" s="24">
        <f t="shared" si="11"/>
        <v>0</v>
      </c>
      <c r="AQ22" s="163"/>
      <c r="AR22" s="163">
        <f t="shared" si="11"/>
        <v>0</v>
      </c>
      <c r="AS22" s="99">
        <v>1283.06</v>
      </c>
      <c r="AT22" s="99"/>
      <c r="AU22" s="99">
        <f t="shared" si="13"/>
        <v>230.9508</v>
      </c>
      <c r="AV22" s="164">
        <v>349</v>
      </c>
      <c r="AW22" s="165">
        <v>0.45</v>
      </c>
      <c r="AX22" s="24">
        <f t="shared" si="12"/>
        <v>207.55728000000005</v>
      </c>
      <c r="AY22" s="166"/>
      <c r="AZ22" s="167"/>
      <c r="BA22" s="167">
        <f t="shared" si="20"/>
        <v>0</v>
      </c>
      <c r="BB22" s="167">
        <f t="shared" si="17"/>
        <v>6337.6635587696</v>
      </c>
      <c r="BC22" s="168"/>
      <c r="BD22" s="144">
        <f t="shared" si="14"/>
        <v>6337.6635587696</v>
      </c>
      <c r="BE22" s="127">
        <f t="shared" si="15"/>
        <v>189.40644123039965</v>
      </c>
      <c r="BF22" s="127">
        <f t="shared" si="16"/>
        <v>-1477.6400000000003</v>
      </c>
    </row>
    <row r="23" spans="1:58" ht="12.75" hidden="1">
      <c r="A23" s="149" t="s">
        <v>39</v>
      </c>
      <c r="B23" s="93">
        <v>925.4</v>
      </c>
      <c r="C23" s="158">
        <f t="shared" si="1"/>
        <v>8004.71</v>
      </c>
      <c r="D23" s="159">
        <f t="shared" si="18"/>
        <v>716.2700000000006</v>
      </c>
      <c r="E23" s="100">
        <v>663.1</v>
      </c>
      <c r="F23" s="94">
        <v>178.03</v>
      </c>
      <c r="G23" s="94">
        <v>898.41</v>
      </c>
      <c r="H23" s="94">
        <v>241.32</v>
      </c>
      <c r="I23" s="94">
        <v>2158.33</v>
      </c>
      <c r="J23" s="94">
        <v>579.58</v>
      </c>
      <c r="K23" s="94">
        <v>1495.22</v>
      </c>
      <c r="L23" s="94">
        <v>401.56</v>
      </c>
      <c r="M23" s="94">
        <v>530.48</v>
      </c>
      <c r="N23" s="101">
        <v>142.41</v>
      </c>
      <c r="O23" s="101">
        <v>0</v>
      </c>
      <c r="P23" s="101">
        <v>0</v>
      </c>
      <c r="Q23" s="94">
        <v>0</v>
      </c>
      <c r="R23" s="94">
        <v>0</v>
      </c>
      <c r="S23" s="94">
        <f t="shared" si="2"/>
        <v>5745.540000000001</v>
      </c>
      <c r="T23" s="160">
        <f t="shared" si="3"/>
        <v>1542.9</v>
      </c>
      <c r="U23" s="102">
        <f>231.72+536.05</f>
        <v>767.77</v>
      </c>
      <c r="V23" s="94">
        <f>313.88+726.36</f>
        <v>1040.24</v>
      </c>
      <c r="W23" s="94">
        <f>754.16+1744.87</f>
        <v>2499.0299999999997</v>
      </c>
      <c r="X23" s="94">
        <f>522.44+1208.79</f>
        <v>1731.23</v>
      </c>
      <c r="Y23" s="94">
        <f>185.38+428.8</f>
        <v>614.1800000000001</v>
      </c>
      <c r="Z23" s="101">
        <v>0</v>
      </c>
      <c r="AA23" s="101">
        <v>0</v>
      </c>
      <c r="AB23" s="101">
        <f>SUM(U23:AA23)</f>
        <v>6652.450000000001</v>
      </c>
      <c r="AC23" s="161">
        <f>AB23+T23+D23</f>
        <v>8911.62</v>
      </c>
      <c r="AD23" s="162">
        <f t="shared" si="6"/>
        <v>0</v>
      </c>
      <c r="AE23" s="162">
        <f t="shared" si="7"/>
        <v>0</v>
      </c>
      <c r="AF23" s="162"/>
      <c r="AG23" s="24">
        <f t="shared" si="19"/>
        <v>555.24</v>
      </c>
      <c r="AH23" s="24">
        <f>B23*0.2</f>
        <v>185.08</v>
      </c>
      <c r="AI23" s="24">
        <f>0.847*B23</f>
        <v>783.8137999999999</v>
      </c>
      <c r="AJ23" s="24">
        <f t="shared" si="8"/>
        <v>141.08648399999998</v>
      </c>
      <c r="AK23" s="24">
        <f>0.83*B23</f>
        <v>768.082</v>
      </c>
      <c r="AL23" s="24">
        <f t="shared" si="9"/>
        <v>138.25476</v>
      </c>
      <c r="AM23" s="24">
        <f>(2.25/1.18)*B23</f>
        <v>1764.5338983050847</v>
      </c>
      <c r="AN23" s="24">
        <f t="shared" si="10"/>
        <v>317.61610169491524</v>
      </c>
      <c r="AO23" s="24"/>
      <c r="AP23" s="24">
        <f t="shared" si="11"/>
        <v>0</v>
      </c>
      <c r="AQ23" s="163"/>
      <c r="AR23" s="163">
        <f t="shared" si="11"/>
        <v>0</v>
      </c>
      <c r="AS23" s="99">
        <v>0</v>
      </c>
      <c r="AT23" s="99"/>
      <c r="AU23" s="99">
        <f t="shared" si="13"/>
        <v>0</v>
      </c>
      <c r="AV23" s="164">
        <v>425</v>
      </c>
      <c r="AW23" s="165">
        <v>0.45</v>
      </c>
      <c r="AX23" s="24">
        <f t="shared" si="12"/>
        <v>252.756</v>
      </c>
      <c r="AY23" s="166"/>
      <c r="AZ23" s="184"/>
      <c r="BA23" s="167">
        <f t="shared" si="20"/>
        <v>0</v>
      </c>
      <c r="BB23" s="167">
        <f t="shared" si="17"/>
        <v>4906.463044</v>
      </c>
      <c r="BC23" s="168"/>
      <c r="BD23" s="144">
        <f t="shared" si="14"/>
        <v>4906.463044</v>
      </c>
      <c r="BE23" s="127">
        <f t="shared" si="15"/>
        <v>4005.1569560000007</v>
      </c>
      <c r="BF23" s="127">
        <f t="shared" si="16"/>
        <v>906.9099999999999</v>
      </c>
    </row>
    <row r="24" spans="1:58" ht="12.75" hidden="1">
      <c r="A24" s="13" t="s">
        <v>40</v>
      </c>
      <c r="B24" s="169">
        <v>925.4</v>
      </c>
      <c r="C24" s="158">
        <f t="shared" si="1"/>
        <v>8004.71</v>
      </c>
      <c r="D24" s="159">
        <f t="shared" si="18"/>
        <v>716.2700000000006</v>
      </c>
      <c r="E24" s="94">
        <v>663.1</v>
      </c>
      <c r="F24" s="94">
        <v>178.03</v>
      </c>
      <c r="G24" s="94">
        <v>898.41</v>
      </c>
      <c r="H24" s="94">
        <v>241.32</v>
      </c>
      <c r="I24" s="94">
        <v>2158.33</v>
      </c>
      <c r="J24" s="94">
        <v>579.58</v>
      </c>
      <c r="K24" s="94">
        <v>1495.22</v>
      </c>
      <c r="L24" s="94">
        <v>401.56</v>
      </c>
      <c r="M24" s="91">
        <v>530.48</v>
      </c>
      <c r="N24" s="95">
        <v>142.41</v>
      </c>
      <c r="O24" s="101">
        <v>0</v>
      </c>
      <c r="P24" s="101">
        <v>0</v>
      </c>
      <c r="Q24" s="101">
        <v>0</v>
      </c>
      <c r="R24" s="101">
        <v>0</v>
      </c>
      <c r="S24" s="94">
        <f t="shared" si="2"/>
        <v>5745.540000000001</v>
      </c>
      <c r="T24" s="160">
        <f t="shared" si="3"/>
        <v>1542.9</v>
      </c>
      <c r="U24" s="94">
        <v>557.73</v>
      </c>
      <c r="V24" s="94">
        <v>755.58</v>
      </c>
      <c r="W24" s="94">
        <v>1815.27</v>
      </c>
      <c r="X24" s="94">
        <v>1257.56</v>
      </c>
      <c r="Y24" s="94">
        <v>446.2</v>
      </c>
      <c r="Z24" s="94">
        <v>0</v>
      </c>
      <c r="AA24" s="101">
        <v>0</v>
      </c>
      <c r="AB24" s="101">
        <f>SUM(U24:AA24)</f>
        <v>4832.339999999999</v>
      </c>
      <c r="AC24" s="161">
        <f>D24+T24+AB24</f>
        <v>7091.51</v>
      </c>
      <c r="AD24" s="162">
        <f t="shared" si="6"/>
        <v>0</v>
      </c>
      <c r="AE24" s="162">
        <f t="shared" si="7"/>
        <v>0</v>
      </c>
      <c r="AF24" s="162"/>
      <c r="AG24" s="24">
        <f t="shared" si="19"/>
        <v>555.24</v>
      </c>
      <c r="AH24" s="24">
        <f>B24*0.2</f>
        <v>185.08</v>
      </c>
      <c r="AI24" s="24">
        <f>0.85*B24</f>
        <v>786.5899999999999</v>
      </c>
      <c r="AJ24" s="24">
        <f t="shared" si="8"/>
        <v>141.5862</v>
      </c>
      <c r="AK24" s="24">
        <f>0.83*B24</f>
        <v>768.082</v>
      </c>
      <c r="AL24" s="24">
        <f t="shared" si="9"/>
        <v>138.25476</v>
      </c>
      <c r="AM24" s="24">
        <f>(1.91)*B24</f>
        <v>1767.514</v>
      </c>
      <c r="AN24" s="24">
        <f t="shared" si="10"/>
        <v>318.15252</v>
      </c>
      <c r="AO24" s="24"/>
      <c r="AP24" s="24">
        <f t="shared" si="11"/>
        <v>0</v>
      </c>
      <c r="AQ24" s="163"/>
      <c r="AR24" s="163">
        <f t="shared" si="11"/>
        <v>0</v>
      </c>
      <c r="AS24" s="99">
        <v>224</v>
      </c>
      <c r="AT24" s="99"/>
      <c r="AU24" s="99">
        <f t="shared" si="13"/>
        <v>40.32</v>
      </c>
      <c r="AV24" s="164">
        <v>470</v>
      </c>
      <c r="AW24" s="165">
        <v>0.45</v>
      </c>
      <c r="AX24" s="24">
        <f t="shared" si="12"/>
        <v>279.5184</v>
      </c>
      <c r="AY24" s="166"/>
      <c r="AZ24" s="167"/>
      <c r="BA24" s="167">
        <f t="shared" si="20"/>
        <v>0</v>
      </c>
      <c r="BB24" s="167">
        <f t="shared" si="17"/>
        <v>5204.337879999999</v>
      </c>
      <c r="BC24" s="168"/>
      <c r="BD24" s="144">
        <f t="shared" si="14"/>
        <v>5204.337879999999</v>
      </c>
      <c r="BE24" s="127">
        <f t="shared" si="15"/>
        <v>1887.172120000001</v>
      </c>
      <c r="BF24" s="127">
        <f t="shared" si="16"/>
        <v>-913.2000000000016</v>
      </c>
    </row>
    <row r="25" spans="1:58" ht="12.75" hidden="1">
      <c r="A25" s="126" t="s">
        <v>41</v>
      </c>
      <c r="B25" s="93">
        <v>925.4</v>
      </c>
      <c r="C25" s="158">
        <f t="shared" si="1"/>
        <v>8004.71</v>
      </c>
      <c r="D25" s="159">
        <f t="shared" si="18"/>
        <v>721.6</v>
      </c>
      <c r="E25" s="94">
        <v>659.64</v>
      </c>
      <c r="F25" s="94">
        <v>180.86</v>
      </c>
      <c r="G25" s="94">
        <v>893.76</v>
      </c>
      <c r="H25" s="94">
        <v>245.16</v>
      </c>
      <c r="I25" s="94">
        <v>2147.12</v>
      </c>
      <c r="J25" s="94">
        <v>588.79</v>
      </c>
      <c r="K25" s="94">
        <v>1487.45</v>
      </c>
      <c r="L25" s="94">
        <v>407.94</v>
      </c>
      <c r="M25" s="91">
        <v>527.72</v>
      </c>
      <c r="N25" s="95">
        <v>144.67</v>
      </c>
      <c r="O25" s="101">
        <v>0</v>
      </c>
      <c r="P25" s="101">
        <v>0</v>
      </c>
      <c r="Q25" s="101"/>
      <c r="R25" s="101"/>
      <c r="S25" s="94">
        <f t="shared" si="2"/>
        <v>5715.6900000000005</v>
      </c>
      <c r="T25" s="160">
        <f t="shared" si="3"/>
        <v>1567.42</v>
      </c>
      <c r="U25" s="94">
        <v>981.7</v>
      </c>
      <c r="V25" s="94">
        <v>1328.62</v>
      </c>
      <c r="W25" s="94">
        <v>3193.86</v>
      </c>
      <c r="X25" s="94">
        <v>2212.17</v>
      </c>
      <c r="Y25" s="94">
        <v>785.38</v>
      </c>
      <c r="Z25" s="94">
        <v>0</v>
      </c>
      <c r="AA25" s="101">
        <v>0</v>
      </c>
      <c r="AB25" s="101">
        <f>SUM(U25:AA25)</f>
        <v>8501.73</v>
      </c>
      <c r="AC25" s="161">
        <f>D25+T25+AB25</f>
        <v>10790.75</v>
      </c>
      <c r="AD25" s="162">
        <f t="shared" si="6"/>
        <v>0</v>
      </c>
      <c r="AE25" s="162">
        <f t="shared" si="7"/>
        <v>0</v>
      </c>
      <c r="AF25" s="162"/>
      <c r="AG25" s="24">
        <f t="shared" si="19"/>
        <v>555.24</v>
      </c>
      <c r="AH25" s="24">
        <f>B25*0.2</f>
        <v>185.08</v>
      </c>
      <c r="AI25" s="24">
        <f>0.85*B25</f>
        <v>786.5899999999999</v>
      </c>
      <c r="AJ25" s="24">
        <f t="shared" si="8"/>
        <v>141.5862</v>
      </c>
      <c r="AK25" s="24">
        <f>0.83*B25</f>
        <v>768.082</v>
      </c>
      <c r="AL25" s="24">
        <f t="shared" si="9"/>
        <v>138.25476</v>
      </c>
      <c r="AM25" s="24">
        <f>(1.91)*B25</f>
        <v>1767.514</v>
      </c>
      <c r="AN25" s="24">
        <f t="shared" si="10"/>
        <v>318.15252</v>
      </c>
      <c r="AO25" s="24"/>
      <c r="AP25" s="24">
        <f t="shared" si="11"/>
        <v>0</v>
      </c>
      <c r="AQ25" s="163"/>
      <c r="AR25" s="163">
        <f t="shared" si="11"/>
        <v>0</v>
      </c>
      <c r="AS25" s="99">
        <v>0</v>
      </c>
      <c r="AT25" s="99"/>
      <c r="AU25" s="99">
        <f t="shared" si="13"/>
        <v>0</v>
      </c>
      <c r="AV25" s="164">
        <v>514</v>
      </c>
      <c r="AW25" s="165">
        <v>0.45</v>
      </c>
      <c r="AX25" s="24">
        <f t="shared" si="12"/>
        <v>305.68608</v>
      </c>
      <c r="AY25" s="166"/>
      <c r="AZ25" s="167"/>
      <c r="BA25" s="167">
        <f t="shared" si="20"/>
        <v>0</v>
      </c>
      <c r="BB25" s="167">
        <f t="shared" si="17"/>
        <v>4966.18556</v>
      </c>
      <c r="BC25" s="168"/>
      <c r="BD25" s="144">
        <f t="shared" si="14"/>
        <v>4966.18556</v>
      </c>
      <c r="BE25" s="127">
        <f t="shared" si="15"/>
        <v>5824.56444</v>
      </c>
      <c r="BF25" s="127">
        <f t="shared" si="16"/>
        <v>2786.039999999999</v>
      </c>
    </row>
    <row r="26" spans="1:58" s="23" customFormat="1" ht="12.75" hidden="1">
      <c r="A26" s="18" t="s">
        <v>3</v>
      </c>
      <c r="B26" s="19"/>
      <c r="C26" s="19">
        <f>SUM(C14:C25)</f>
        <v>96056.52000000002</v>
      </c>
      <c r="D26" s="19">
        <f aca="true" t="shared" si="21" ref="D26:BF26">SUM(D14:D25)</f>
        <v>9790.635000000004</v>
      </c>
      <c r="E26" s="19">
        <f t="shared" si="21"/>
        <v>7774.750000000001</v>
      </c>
      <c r="F26" s="19">
        <f t="shared" si="21"/>
        <v>1971.3000000000002</v>
      </c>
      <c r="G26" s="19">
        <f t="shared" si="21"/>
        <v>10522.11</v>
      </c>
      <c r="H26" s="19">
        <f t="shared" si="21"/>
        <v>2669.28</v>
      </c>
      <c r="I26" s="19">
        <f t="shared" si="21"/>
        <v>25294.31</v>
      </c>
      <c r="J26" s="19">
        <f t="shared" si="21"/>
        <v>6414.95</v>
      </c>
      <c r="K26" s="19">
        <f t="shared" si="21"/>
        <v>17519.47</v>
      </c>
      <c r="L26" s="19">
        <f t="shared" si="21"/>
        <v>4443.62</v>
      </c>
      <c r="M26" s="19">
        <f t="shared" si="21"/>
        <v>6219.830000000001</v>
      </c>
      <c r="N26" s="19">
        <f t="shared" si="21"/>
        <v>1577.0200000000002</v>
      </c>
      <c r="O26" s="19">
        <f t="shared" si="21"/>
        <v>0</v>
      </c>
      <c r="P26" s="19">
        <f t="shared" si="21"/>
        <v>0</v>
      </c>
      <c r="Q26" s="19">
        <f t="shared" si="21"/>
        <v>0</v>
      </c>
      <c r="R26" s="19">
        <f t="shared" si="21"/>
        <v>0</v>
      </c>
      <c r="S26" s="19">
        <f t="shared" si="21"/>
        <v>67330.46999999999</v>
      </c>
      <c r="T26" s="19">
        <f t="shared" si="21"/>
        <v>17076.17</v>
      </c>
      <c r="U26" s="19">
        <f t="shared" si="21"/>
        <v>7667.39</v>
      </c>
      <c r="V26" s="19">
        <f t="shared" si="21"/>
        <v>10371.16</v>
      </c>
      <c r="W26" s="19">
        <f t="shared" si="21"/>
        <v>24579.96</v>
      </c>
      <c r="X26" s="19">
        <f t="shared" si="21"/>
        <v>17271.74</v>
      </c>
      <c r="Y26" s="19">
        <f t="shared" si="21"/>
        <v>6133.96</v>
      </c>
      <c r="Z26" s="19">
        <f t="shared" si="21"/>
        <v>0</v>
      </c>
      <c r="AA26" s="19">
        <f t="shared" si="21"/>
        <v>0</v>
      </c>
      <c r="AB26" s="19">
        <f t="shared" si="21"/>
        <v>66024.20999999999</v>
      </c>
      <c r="AC26" s="19">
        <f t="shared" si="21"/>
        <v>92891.015</v>
      </c>
      <c r="AD26" s="19">
        <f t="shared" si="21"/>
        <v>0</v>
      </c>
      <c r="AE26" s="19">
        <f t="shared" si="21"/>
        <v>0</v>
      </c>
      <c r="AF26" s="19">
        <f t="shared" si="21"/>
        <v>0</v>
      </c>
      <c r="AG26" s="19">
        <f t="shared" si="21"/>
        <v>6440.783999999999</v>
      </c>
      <c r="AH26" s="19">
        <f t="shared" si="21"/>
        <v>2156.3781848</v>
      </c>
      <c r="AI26" s="19">
        <f t="shared" si="21"/>
        <v>9004.4065605</v>
      </c>
      <c r="AJ26" s="19">
        <f t="shared" si="21"/>
        <v>1620.7931808899998</v>
      </c>
      <c r="AK26" s="19">
        <f t="shared" si="21"/>
        <v>8752.30207082</v>
      </c>
      <c r="AL26" s="19">
        <f t="shared" si="21"/>
        <v>1575.4143727476</v>
      </c>
      <c r="AM26" s="19">
        <f t="shared" si="21"/>
        <v>20138.18543110508</v>
      </c>
      <c r="AN26" s="19">
        <f t="shared" si="21"/>
        <v>3624.873377598916</v>
      </c>
      <c r="AO26" s="19">
        <f t="shared" si="21"/>
        <v>0</v>
      </c>
      <c r="AP26" s="19">
        <f t="shared" si="21"/>
        <v>0</v>
      </c>
      <c r="AQ26" s="151">
        <f t="shared" si="21"/>
        <v>6072.32</v>
      </c>
      <c r="AR26" s="151">
        <f t="shared" si="21"/>
        <v>1093.0176</v>
      </c>
      <c r="AS26" s="20">
        <f t="shared" si="21"/>
        <v>19145.98</v>
      </c>
      <c r="AT26" s="20">
        <f t="shared" si="21"/>
        <v>0</v>
      </c>
      <c r="AU26" s="20">
        <f t="shared" si="21"/>
        <v>3446.2864000000004</v>
      </c>
      <c r="AV26" s="19">
        <f t="shared" si="21"/>
        <v>4400</v>
      </c>
      <c r="AW26" s="19">
        <f t="shared" si="21"/>
        <v>5.400000000000001</v>
      </c>
      <c r="AX26" s="19">
        <f t="shared" si="21"/>
        <v>2616.768</v>
      </c>
      <c r="AY26" s="19">
        <f t="shared" si="21"/>
        <v>0</v>
      </c>
      <c r="AZ26" s="19">
        <f t="shared" si="21"/>
        <v>0</v>
      </c>
      <c r="BA26" s="19">
        <f t="shared" si="21"/>
        <v>0</v>
      </c>
      <c r="BB26" s="19">
        <f t="shared" si="21"/>
        <v>85687.50917846161</v>
      </c>
      <c r="BC26" s="19">
        <f t="shared" si="21"/>
        <v>0</v>
      </c>
      <c r="BD26" s="19">
        <f t="shared" si="21"/>
        <v>85687.50917846161</v>
      </c>
      <c r="BE26" s="19">
        <f t="shared" si="21"/>
        <v>7203.505821538407</v>
      </c>
      <c r="BF26" s="152">
        <f t="shared" si="21"/>
        <v>-1306.2600000000025</v>
      </c>
    </row>
    <row r="27" spans="1:58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153"/>
      <c r="AE27" s="153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87"/>
      <c r="AQ27" s="154"/>
      <c r="AR27" s="154"/>
      <c r="AS27" s="87"/>
      <c r="AT27" s="87"/>
      <c r="AU27" s="87"/>
      <c r="AV27" s="22"/>
      <c r="AW27" s="22"/>
      <c r="AX27" s="103"/>
      <c r="AY27" s="60"/>
      <c r="AZ27" s="60"/>
      <c r="BA27" s="60"/>
      <c r="BB27" s="60"/>
      <c r="BC27" s="60"/>
      <c r="BD27" s="60"/>
      <c r="BE27" s="60"/>
      <c r="BF27" s="155"/>
    </row>
    <row r="28" spans="1:58" s="23" customFormat="1" ht="13.5" hidden="1" thickBot="1">
      <c r="A28" s="26" t="s">
        <v>52</v>
      </c>
      <c r="B28" s="27"/>
      <c r="C28" s="27">
        <f>C12+C26</f>
        <v>120070.65000000002</v>
      </c>
      <c r="D28" s="27">
        <f aca="true" t="shared" si="22" ref="D28:BF28">D12+D26</f>
        <v>15570.916138100005</v>
      </c>
      <c r="E28" s="27">
        <f t="shared" si="22"/>
        <v>9677.35</v>
      </c>
      <c r="F28" s="27">
        <f t="shared" si="22"/>
        <v>2344.2000000000003</v>
      </c>
      <c r="G28" s="27">
        <f t="shared" si="22"/>
        <v>13090.67</v>
      </c>
      <c r="H28" s="27">
        <f t="shared" si="22"/>
        <v>3172.71</v>
      </c>
      <c r="I28" s="27">
        <f t="shared" si="22"/>
        <v>31477.77</v>
      </c>
      <c r="J28" s="27">
        <f t="shared" si="22"/>
        <v>7626.889999999999</v>
      </c>
      <c r="K28" s="27">
        <f t="shared" si="22"/>
        <v>22100.34</v>
      </c>
      <c r="L28" s="27">
        <f t="shared" si="22"/>
        <v>5282.66</v>
      </c>
      <c r="M28" s="27">
        <f t="shared" si="22"/>
        <v>7741.920000000001</v>
      </c>
      <c r="N28" s="27">
        <f t="shared" si="22"/>
        <v>1875.3400000000001</v>
      </c>
      <c r="O28" s="27">
        <f t="shared" si="22"/>
        <v>0</v>
      </c>
      <c r="P28" s="27">
        <f t="shared" si="22"/>
        <v>0</v>
      </c>
      <c r="Q28" s="27">
        <f t="shared" si="22"/>
        <v>0</v>
      </c>
      <c r="R28" s="27">
        <f t="shared" si="22"/>
        <v>0</v>
      </c>
      <c r="S28" s="27">
        <f t="shared" si="22"/>
        <v>84088.04999999999</v>
      </c>
      <c r="T28" s="27">
        <f t="shared" si="22"/>
        <v>20301.8</v>
      </c>
      <c r="U28" s="27">
        <f t="shared" si="22"/>
        <v>8517.24</v>
      </c>
      <c r="V28" s="27">
        <f t="shared" si="22"/>
        <v>11518.49</v>
      </c>
      <c r="W28" s="27">
        <f t="shared" si="22"/>
        <v>27701.09</v>
      </c>
      <c r="X28" s="27">
        <f t="shared" si="22"/>
        <v>19183.940000000002</v>
      </c>
      <c r="Y28" s="27">
        <f t="shared" si="22"/>
        <v>6813.87</v>
      </c>
      <c r="Z28" s="27">
        <f t="shared" si="22"/>
        <v>0</v>
      </c>
      <c r="AA28" s="27">
        <f t="shared" si="22"/>
        <v>0</v>
      </c>
      <c r="AB28" s="27">
        <f t="shared" si="22"/>
        <v>73734.62999999999</v>
      </c>
      <c r="AC28" s="27">
        <f t="shared" si="22"/>
        <v>109607.3461381</v>
      </c>
      <c r="AD28" s="27">
        <f t="shared" si="22"/>
        <v>0</v>
      </c>
      <c r="AE28" s="27">
        <f t="shared" si="22"/>
        <v>0</v>
      </c>
      <c r="AF28" s="27">
        <f t="shared" si="22"/>
        <v>0</v>
      </c>
      <c r="AG28" s="27">
        <f t="shared" si="22"/>
        <v>8106.503999999999</v>
      </c>
      <c r="AH28" s="27">
        <f t="shared" si="22"/>
        <v>2727.9977648</v>
      </c>
      <c r="AI28" s="27">
        <f t="shared" si="22"/>
        <v>11366.8787285</v>
      </c>
      <c r="AJ28" s="27">
        <f>AJ12+AJ26</f>
        <v>2046.0381711299997</v>
      </c>
      <c r="AK28" s="27">
        <f t="shared" si="22"/>
        <v>11501.4722473</v>
      </c>
      <c r="AL28" s="27">
        <f t="shared" si="22"/>
        <v>2070.265004514</v>
      </c>
      <c r="AM28" s="27">
        <f t="shared" si="22"/>
        <v>25187.14219752508</v>
      </c>
      <c r="AN28" s="27">
        <f t="shared" si="22"/>
        <v>4533.685595554516</v>
      </c>
      <c r="AO28" s="27">
        <f t="shared" si="22"/>
        <v>0</v>
      </c>
      <c r="AP28" s="27">
        <f t="shared" si="22"/>
        <v>0</v>
      </c>
      <c r="AQ28" s="156">
        <f t="shared" si="22"/>
        <v>6072.32</v>
      </c>
      <c r="AR28" s="156">
        <f t="shared" si="22"/>
        <v>1093.0176</v>
      </c>
      <c r="AS28" s="157">
        <f t="shared" si="22"/>
        <v>22126.98</v>
      </c>
      <c r="AT28" s="157">
        <f t="shared" si="22"/>
        <v>0</v>
      </c>
      <c r="AU28" s="157">
        <f t="shared" si="22"/>
        <v>3982.8664000000003</v>
      </c>
      <c r="AV28" s="27">
        <f t="shared" si="22"/>
        <v>4400</v>
      </c>
      <c r="AW28" s="27">
        <f t="shared" si="22"/>
        <v>5.400000000000001</v>
      </c>
      <c r="AX28" s="27">
        <f t="shared" si="22"/>
        <v>2616.768</v>
      </c>
      <c r="AY28" s="27">
        <f t="shared" si="22"/>
        <v>0</v>
      </c>
      <c r="AZ28" s="27">
        <f t="shared" si="22"/>
        <v>0</v>
      </c>
      <c r="BA28" s="27">
        <f t="shared" si="22"/>
        <v>0</v>
      </c>
      <c r="BB28" s="27">
        <f t="shared" si="22"/>
        <v>103431.93570932362</v>
      </c>
      <c r="BC28" s="27">
        <f t="shared" si="22"/>
        <v>0</v>
      </c>
      <c r="BD28" s="27">
        <f t="shared" si="22"/>
        <v>103431.93570932362</v>
      </c>
      <c r="BE28" s="27">
        <f t="shared" si="22"/>
        <v>6175.410428776408</v>
      </c>
      <c r="BF28" s="27">
        <f t="shared" si="22"/>
        <v>-10353.420000000002</v>
      </c>
    </row>
    <row r="29" spans="1:58" ht="12.75" hidden="1">
      <c r="A29" s="8" t="s">
        <v>92</v>
      </c>
      <c r="B29" s="80"/>
      <c r="C29" s="132"/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4"/>
      <c r="P29" s="135"/>
      <c r="Q29" s="136"/>
      <c r="R29" s="136"/>
      <c r="S29" s="136"/>
      <c r="T29" s="136"/>
      <c r="U29" s="137"/>
      <c r="V29" s="137"/>
      <c r="W29" s="137"/>
      <c r="X29" s="137"/>
      <c r="Y29" s="137"/>
      <c r="Z29" s="137"/>
      <c r="AA29" s="138"/>
      <c r="AB29" s="138"/>
      <c r="AC29" s="139"/>
      <c r="AD29" s="140"/>
      <c r="AE29" s="140"/>
      <c r="AF29" s="63"/>
      <c r="AG29" s="63"/>
      <c r="AH29" s="63"/>
      <c r="AI29" s="63"/>
      <c r="AJ29" s="63"/>
      <c r="AK29" s="63"/>
      <c r="AL29" s="63"/>
      <c r="AM29" s="63"/>
      <c r="AN29" s="81"/>
      <c r="AO29" s="81"/>
      <c r="AP29" s="81"/>
      <c r="AQ29" s="141"/>
      <c r="AR29" s="142"/>
      <c r="AS29" s="116"/>
      <c r="AT29" s="116"/>
      <c r="AU29" s="143"/>
      <c r="AV29" s="63"/>
      <c r="AW29" s="63"/>
      <c r="AX29" s="64"/>
      <c r="AY29" s="1"/>
      <c r="AZ29" s="1"/>
      <c r="BA29" s="1"/>
      <c r="BB29" s="1"/>
      <c r="BC29" s="1"/>
      <c r="BD29" s="1"/>
      <c r="BE29" s="1"/>
      <c r="BF29" s="123"/>
    </row>
    <row r="30" spans="1:58" ht="12.75" hidden="1">
      <c r="A30" s="13" t="s">
        <v>43</v>
      </c>
      <c r="B30" s="93">
        <v>925.4</v>
      </c>
      <c r="C30" s="158">
        <f aca="true" t="shared" si="23" ref="C30:C41">B30*8.65</f>
        <v>8004.71</v>
      </c>
      <c r="D30" s="159">
        <f aca="true" t="shared" si="24" ref="D30:D41">C30-E30-F30-G30-H30-I30-J30-K30-L30-M30-N30</f>
        <v>727.32</v>
      </c>
      <c r="E30" s="94">
        <v>655.95</v>
      </c>
      <c r="F30" s="94">
        <v>183.88</v>
      </c>
      <c r="G30" s="94">
        <v>888.79</v>
      </c>
      <c r="H30" s="94">
        <v>249.25</v>
      </c>
      <c r="I30" s="94">
        <v>2135.13</v>
      </c>
      <c r="J30" s="94">
        <v>598.62</v>
      </c>
      <c r="K30" s="94">
        <v>1479.17</v>
      </c>
      <c r="L30" s="94">
        <v>414.75</v>
      </c>
      <c r="M30" s="91">
        <v>524.76</v>
      </c>
      <c r="N30" s="95">
        <v>147.09</v>
      </c>
      <c r="O30" s="101">
        <v>0</v>
      </c>
      <c r="P30" s="101">
        <v>0</v>
      </c>
      <c r="Q30" s="101"/>
      <c r="R30" s="101"/>
      <c r="S30" s="94">
        <f aca="true" t="shared" si="25" ref="S30:S41">E30+G30+I30+K30+M30+O30+Q30</f>
        <v>5683.8</v>
      </c>
      <c r="T30" s="160">
        <f aca="true" t="shared" si="26" ref="T30:T41">P30+N30+L30+J30+H30+F30+R30</f>
        <v>1593.5900000000001</v>
      </c>
      <c r="U30" s="94">
        <v>459.09</v>
      </c>
      <c r="V30" s="94">
        <v>622.12</v>
      </c>
      <c r="W30" s="94">
        <v>1494.43</v>
      </c>
      <c r="X30" s="94">
        <v>1035.35</v>
      </c>
      <c r="Y30" s="94">
        <v>367.24</v>
      </c>
      <c r="Z30" s="94">
        <v>0</v>
      </c>
      <c r="AA30" s="101">
        <v>0</v>
      </c>
      <c r="AB30" s="101">
        <f>SUM(U30:AA30)</f>
        <v>3978.2300000000005</v>
      </c>
      <c r="AC30" s="161">
        <f aca="true" t="shared" si="27" ref="AC30:AC41">D30+T30+AB30</f>
        <v>6299.140000000001</v>
      </c>
      <c r="AD30" s="162">
        <f aca="true" t="shared" si="28" ref="AD30:AD41">P30+Z30</f>
        <v>0</v>
      </c>
      <c r="AE30" s="162">
        <f aca="true" t="shared" si="29" ref="AE30:AE41">R30+AA30</f>
        <v>0</v>
      </c>
      <c r="AF30" s="162"/>
      <c r="AG30" s="24">
        <f aca="true" t="shared" si="30" ref="AG30:AG41">0.6*B30</f>
        <v>555.24</v>
      </c>
      <c r="AH30" s="24">
        <f aca="true" t="shared" si="31" ref="AH30:AH41">B30*0.2</f>
        <v>185.08</v>
      </c>
      <c r="AI30" s="24">
        <f aca="true" t="shared" si="32" ref="AI30:AI41">1*B30</f>
        <v>925.4</v>
      </c>
      <c r="AJ30" s="24">
        <v>0</v>
      </c>
      <c r="AK30" s="24">
        <f aca="true" t="shared" si="33" ref="AK30:AK41">0.98*B30</f>
        <v>906.8919999999999</v>
      </c>
      <c r="AL30" s="24">
        <v>0</v>
      </c>
      <c r="AM30" s="24">
        <f aca="true" t="shared" si="34" ref="AM30:AM41">2.25*B30</f>
        <v>2082.15</v>
      </c>
      <c r="AN30" s="24">
        <v>0</v>
      </c>
      <c r="AO30" s="24"/>
      <c r="AP30" s="24">
        <v>0</v>
      </c>
      <c r="AQ30" s="163"/>
      <c r="AR30" s="163"/>
      <c r="AS30" s="99">
        <v>0</v>
      </c>
      <c r="AT30" s="99"/>
      <c r="AU30" s="99">
        <f aca="true" t="shared" si="35" ref="AU30:AU40">AT30*0.18</f>
        <v>0</v>
      </c>
      <c r="AV30" s="164">
        <v>508</v>
      </c>
      <c r="AW30" s="165">
        <v>0.45</v>
      </c>
      <c r="AX30" s="24">
        <f aca="true" t="shared" si="36" ref="AX30:AX41">AV30*AW30*1.4</f>
        <v>320.03999999999996</v>
      </c>
      <c r="AY30" s="166"/>
      <c r="AZ30" s="167"/>
      <c r="BA30" s="167">
        <f aca="true" t="shared" si="37" ref="BA30:BA41">AZ30*0.18</f>
        <v>0</v>
      </c>
      <c r="BB30" s="167">
        <f aca="true" t="shared" si="38" ref="BB30:BB41">SUM(AG30:BA30)-AV30-AW30</f>
        <v>4974.802000000001</v>
      </c>
      <c r="BC30" s="168"/>
      <c r="BD30" s="144"/>
      <c r="BE30" s="127">
        <f>(AC30-BB30)+(AF30-BC30)</f>
        <v>1324.3380000000006</v>
      </c>
      <c r="BF30" s="127">
        <f>AB30-S30</f>
        <v>-1705.5699999999997</v>
      </c>
    </row>
    <row r="31" spans="1:58" ht="12.75" hidden="1">
      <c r="A31" s="13" t="s">
        <v>44</v>
      </c>
      <c r="B31" s="169">
        <v>925.4</v>
      </c>
      <c r="C31" s="158">
        <f t="shared" si="23"/>
        <v>8004.71</v>
      </c>
      <c r="D31" s="159">
        <f t="shared" si="24"/>
        <v>727.32</v>
      </c>
      <c r="E31" s="100">
        <v>655.95</v>
      </c>
      <c r="F31" s="94">
        <v>183.88</v>
      </c>
      <c r="G31" s="94">
        <v>888.79</v>
      </c>
      <c r="H31" s="94">
        <v>249.25</v>
      </c>
      <c r="I31" s="94">
        <v>2135.13</v>
      </c>
      <c r="J31" s="94">
        <v>598.62</v>
      </c>
      <c r="K31" s="94">
        <v>1479.17</v>
      </c>
      <c r="L31" s="94">
        <v>414.75</v>
      </c>
      <c r="M31" s="91">
        <v>524.76</v>
      </c>
      <c r="N31" s="95">
        <v>147.09</v>
      </c>
      <c r="O31" s="101">
        <v>0</v>
      </c>
      <c r="P31" s="101">
        <v>0</v>
      </c>
      <c r="Q31" s="94">
        <v>0</v>
      </c>
      <c r="R31" s="101">
        <v>0</v>
      </c>
      <c r="S31" s="94">
        <f t="shared" si="25"/>
        <v>5683.8</v>
      </c>
      <c r="T31" s="160">
        <f t="shared" si="26"/>
        <v>1593.5900000000001</v>
      </c>
      <c r="U31" s="94">
        <v>716.66</v>
      </c>
      <c r="V31" s="94">
        <v>970.82</v>
      </c>
      <c r="W31" s="94">
        <v>2332.53</v>
      </c>
      <c r="X31" s="94">
        <v>1615.82</v>
      </c>
      <c r="Y31" s="94">
        <v>573.33</v>
      </c>
      <c r="Z31" s="94">
        <v>0</v>
      </c>
      <c r="AA31" s="101">
        <v>0</v>
      </c>
      <c r="AB31" s="101">
        <f>SUM(U31:AA31)</f>
        <v>6209.16</v>
      </c>
      <c r="AC31" s="161">
        <f t="shared" si="27"/>
        <v>8530.07</v>
      </c>
      <c r="AD31" s="162">
        <f t="shared" si="28"/>
        <v>0</v>
      </c>
      <c r="AE31" s="162">
        <f t="shared" si="29"/>
        <v>0</v>
      </c>
      <c r="AF31" s="162"/>
      <c r="AG31" s="24">
        <f t="shared" si="30"/>
        <v>555.24</v>
      </c>
      <c r="AH31" s="24">
        <f t="shared" si="31"/>
        <v>185.08</v>
      </c>
      <c r="AI31" s="24">
        <f t="shared" si="32"/>
        <v>925.4</v>
      </c>
      <c r="AJ31" s="24">
        <v>0</v>
      </c>
      <c r="AK31" s="24">
        <f t="shared" si="33"/>
        <v>906.8919999999999</v>
      </c>
      <c r="AL31" s="24">
        <v>0</v>
      </c>
      <c r="AM31" s="24">
        <f t="shared" si="34"/>
        <v>2082.15</v>
      </c>
      <c r="AN31" s="24">
        <v>0</v>
      </c>
      <c r="AO31" s="24">
        <f>316*5.4</f>
        <v>1706.4</v>
      </c>
      <c r="AP31" s="24"/>
      <c r="AQ31" s="163"/>
      <c r="AR31" s="163"/>
      <c r="AS31" s="99">
        <v>7672</v>
      </c>
      <c r="AT31" s="99"/>
      <c r="AU31" s="99">
        <f t="shared" si="35"/>
        <v>0</v>
      </c>
      <c r="AV31" s="164">
        <v>407</v>
      </c>
      <c r="AW31" s="165">
        <v>0.45</v>
      </c>
      <c r="AX31" s="24">
        <f t="shared" si="36"/>
        <v>256.40999999999997</v>
      </c>
      <c r="AY31" s="166"/>
      <c r="AZ31" s="167"/>
      <c r="BA31" s="167">
        <f t="shared" si="37"/>
        <v>0</v>
      </c>
      <c r="BB31" s="167">
        <f t="shared" si="38"/>
        <v>14289.572</v>
      </c>
      <c r="BC31" s="168"/>
      <c r="BD31" s="144"/>
      <c r="BE31" s="127">
        <f aca="true" t="shared" si="39" ref="BE31:BE41">(AC31-BB31)+(AF31-BC31)</f>
        <v>-5759.502</v>
      </c>
      <c r="BF31" s="127">
        <f aca="true" t="shared" si="40" ref="BF31:BF41">AB31-S31</f>
        <v>525.3599999999997</v>
      </c>
    </row>
    <row r="32" spans="1:58" ht="13.5" hidden="1" thickBot="1">
      <c r="A32" s="145" t="s">
        <v>45</v>
      </c>
      <c r="B32" s="93">
        <v>925.4</v>
      </c>
      <c r="C32" s="158">
        <f t="shared" si="23"/>
        <v>8004.71</v>
      </c>
      <c r="D32" s="159">
        <f t="shared" si="24"/>
        <v>727.32</v>
      </c>
      <c r="E32" s="94">
        <v>655.95</v>
      </c>
      <c r="F32" s="94">
        <v>183.88</v>
      </c>
      <c r="G32" s="94">
        <v>888.79</v>
      </c>
      <c r="H32" s="94">
        <v>249.25</v>
      </c>
      <c r="I32" s="94">
        <v>2135.13</v>
      </c>
      <c r="J32" s="94">
        <v>598.62</v>
      </c>
      <c r="K32" s="94">
        <v>1479.17</v>
      </c>
      <c r="L32" s="94">
        <v>414.75</v>
      </c>
      <c r="M32" s="91">
        <v>524.76</v>
      </c>
      <c r="N32" s="95">
        <v>147.09</v>
      </c>
      <c r="O32" s="101">
        <v>0</v>
      </c>
      <c r="P32" s="101">
        <v>0</v>
      </c>
      <c r="Q32" s="101">
        <v>0</v>
      </c>
      <c r="R32" s="101">
        <v>0</v>
      </c>
      <c r="S32" s="94">
        <f t="shared" si="25"/>
        <v>5683.8</v>
      </c>
      <c r="T32" s="160">
        <f t="shared" si="26"/>
        <v>1593.5900000000001</v>
      </c>
      <c r="U32" s="94">
        <v>526.37</v>
      </c>
      <c r="V32" s="94">
        <v>726.96</v>
      </c>
      <c r="W32" s="94">
        <v>1746.23</v>
      </c>
      <c r="X32" s="94">
        <v>1209.66</v>
      </c>
      <c r="Y32" s="94">
        <v>429.1</v>
      </c>
      <c r="Z32" s="94">
        <v>0</v>
      </c>
      <c r="AA32" s="101">
        <v>0</v>
      </c>
      <c r="AB32" s="101">
        <f>SUM(U32:AA32)</f>
        <v>4638.320000000001</v>
      </c>
      <c r="AC32" s="161">
        <f t="shared" si="27"/>
        <v>6959.230000000001</v>
      </c>
      <c r="AD32" s="162">
        <f t="shared" si="28"/>
        <v>0</v>
      </c>
      <c r="AE32" s="162">
        <f t="shared" si="29"/>
        <v>0</v>
      </c>
      <c r="AF32" s="162"/>
      <c r="AG32" s="24">
        <f t="shared" si="30"/>
        <v>555.24</v>
      </c>
      <c r="AH32" s="24">
        <f t="shared" si="31"/>
        <v>185.08</v>
      </c>
      <c r="AI32" s="24">
        <f t="shared" si="32"/>
        <v>925.4</v>
      </c>
      <c r="AJ32" s="24">
        <v>0</v>
      </c>
      <c r="AK32" s="24">
        <f t="shared" si="33"/>
        <v>906.8919999999999</v>
      </c>
      <c r="AL32" s="24">
        <v>0</v>
      </c>
      <c r="AM32" s="24">
        <f t="shared" si="34"/>
        <v>2082.15</v>
      </c>
      <c r="AN32" s="24">
        <v>0</v>
      </c>
      <c r="AO32" s="24"/>
      <c r="AP32" s="24"/>
      <c r="AQ32" s="163"/>
      <c r="AR32" s="163"/>
      <c r="AS32" s="99">
        <v>1644</v>
      </c>
      <c r="AT32" s="99"/>
      <c r="AU32" s="99">
        <f t="shared" si="35"/>
        <v>0</v>
      </c>
      <c r="AV32" s="164">
        <v>383</v>
      </c>
      <c r="AW32" s="165">
        <v>0.45</v>
      </c>
      <c r="AX32" s="24">
        <f t="shared" si="36"/>
        <v>241.28999999999996</v>
      </c>
      <c r="AY32" s="166"/>
      <c r="AZ32" s="167"/>
      <c r="BA32" s="167">
        <f t="shared" si="37"/>
        <v>0</v>
      </c>
      <c r="BB32" s="167">
        <f t="shared" si="38"/>
        <v>6540.052000000001</v>
      </c>
      <c r="BC32" s="168"/>
      <c r="BD32" s="146"/>
      <c r="BE32" s="127">
        <f t="shared" si="39"/>
        <v>419.1780000000008</v>
      </c>
      <c r="BF32" s="127">
        <f t="shared" si="40"/>
        <v>-1045.4799999999996</v>
      </c>
    </row>
    <row r="33" spans="1:58" ht="12.75" hidden="1">
      <c r="A33" s="147" t="s">
        <v>46</v>
      </c>
      <c r="B33" s="93">
        <v>925.4</v>
      </c>
      <c r="C33" s="158">
        <f t="shared" si="23"/>
        <v>8004.71</v>
      </c>
      <c r="D33" s="159">
        <f t="shared" si="24"/>
        <v>712.0199999999995</v>
      </c>
      <c r="E33" s="94">
        <v>665.85</v>
      </c>
      <c r="F33" s="94">
        <v>175.78</v>
      </c>
      <c r="G33" s="94">
        <v>902.11</v>
      </c>
      <c r="H33" s="94">
        <v>238.27</v>
      </c>
      <c r="I33" s="94">
        <v>2167.26</v>
      </c>
      <c r="J33" s="94">
        <v>572.25</v>
      </c>
      <c r="K33" s="94">
        <v>1501.4</v>
      </c>
      <c r="L33" s="94">
        <v>396.48</v>
      </c>
      <c r="M33" s="91">
        <v>532.68</v>
      </c>
      <c r="N33" s="95">
        <v>140.61</v>
      </c>
      <c r="O33" s="101">
        <v>0</v>
      </c>
      <c r="P33" s="101">
        <v>0</v>
      </c>
      <c r="Q33" s="101"/>
      <c r="R33" s="101"/>
      <c r="S33" s="94">
        <f t="shared" si="25"/>
        <v>5769.300000000001</v>
      </c>
      <c r="T33" s="160">
        <f t="shared" si="26"/>
        <v>1523.39</v>
      </c>
      <c r="U33" s="94">
        <v>429.55</v>
      </c>
      <c r="V33" s="94">
        <v>579.86</v>
      </c>
      <c r="W33" s="94">
        <v>1392.59</v>
      </c>
      <c r="X33" s="94">
        <v>966.42</v>
      </c>
      <c r="Y33" s="94">
        <v>343.61</v>
      </c>
      <c r="Z33" s="94">
        <v>0</v>
      </c>
      <c r="AA33" s="101">
        <v>0</v>
      </c>
      <c r="AB33" s="101">
        <f>SUM(U33:AA33)</f>
        <v>3712.03</v>
      </c>
      <c r="AC33" s="161">
        <f t="shared" si="27"/>
        <v>5947.4400000000005</v>
      </c>
      <c r="AD33" s="162">
        <f t="shared" si="28"/>
        <v>0</v>
      </c>
      <c r="AE33" s="162">
        <f t="shared" si="29"/>
        <v>0</v>
      </c>
      <c r="AF33" s="162"/>
      <c r="AG33" s="24">
        <f t="shared" si="30"/>
        <v>555.24</v>
      </c>
      <c r="AH33" s="24">
        <f t="shared" si="31"/>
        <v>185.08</v>
      </c>
      <c r="AI33" s="24">
        <f t="shared" si="32"/>
        <v>925.4</v>
      </c>
      <c r="AJ33" s="24">
        <v>0</v>
      </c>
      <c r="AK33" s="24">
        <f t="shared" si="33"/>
        <v>906.8919999999999</v>
      </c>
      <c r="AL33" s="24">
        <v>0</v>
      </c>
      <c r="AM33" s="24">
        <f t="shared" si="34"/>
        <v>2082.15</v>
      </c>
      <c r="AN33" s="24">
        <v>0</v>
      </c>
      <c r="AO33" s="24"/>
      <c r="AP33" s="24"/>
      <c r="AQ33" s="163"/>
      <c r="AR33" s="163"/>
      <c r="AS33" s="99">
        <v>1332</v>
      </c>
      <c r="AT33" s="99"/>
      <c r="AU33" s="99">
        <f t="shared" si="35"/>
        <v>0</v>
      </c>
      <c r="AV33" s="164">
        <v>307</v>
      </c>
      <c r="AW33" s="165">
        <v>0.45</v>
      </c>
      <c r="AX33" s="24">
        <f t="shared" si="36"/>
        <v>193.41</v>
      </c>
      <c r="AY33" s="166"/>
      <c r="AZ33" s="167"/>
      <c r="BA33" s="167">
        <f t="shared" si="37"/>
        <v>0</v>
      </c>
      <c r="BB33" s="167">
        <f t="shared" si="38"/>
        <v>6180.1720000000005</v>
      </c>
      <c r="BC33" s="168"/>
      <c r="BD33" s="92"/>
      <c r="BE33" s="127">
        <f t="shared" si="39"/>
        <v>-232.73199999999997</v>
      </c>
      <c r="BF33" s="127">
        <f t="shared" si="40"/>
        <v>-2057.270000000001</v>
      </c>
    </row>
    <row r="34" spans="1:58" ht="12.75" hidden="1">
      <c r="A34" s="13" t="s">
        <v>47</v>
      </c>
      <c r="B34" s="93">
        <v>924.7</v>
      </c>
      <c r="C34" s="158">
        <f t="shared" si="23"/>
        <v>7998.655000000001</v>
      </c>
      <c r="D34" s="159">
        <f t="shared" si="24"/>
        <v>711.4750000000006</v>
      </c>
      <c r="E34" s="94">
        <v>665.54</v>
      </c>
      <c r="F34" s="94">
        <v>175.46</v>
      </c>
      <c r="G34" s="94">
        <v>901.66</v>
      </c>
      <c r="H34" s="94">
        <v>237.84</v>
      </c>
      <c r="I34" s="94">
        <v>2166.24</v>
      </c>
      <c r="J34" s="94">
        <v>571.22</v>
      </c>
      <c r="K34" s="94">
        <v>1500.67</v>
      </c>
      <c r="L34" s="94">
        <v>395.77</v>
      </c>
      <c r="M34" s="91">
        <v>532.42</v>
      </c>
      <c r="N34" s="95">
        <v>140.36</v>
      </c>
      <c r="O34" s="101">
        <v>0</v>
      </c>
      <c r="P34" s="101">
        <v>0</v>
      </c>
      <c r="Q34" s="101"/>
      <c r="R34" s="101"/>
      <c r="S34" s="94">
        <f t="shared" si="25"/>
        <v>5766.53</v>
      </c>
      <c r="T34" s="160">
        <f t="shared" si="26"/>
        <v>1520.6499999999999</v>
      </c>
      <c r="U34" s="170">
        <v>524.95</v>
      </c>
      <c r="V34" s="170">
        <v>711.22</v>
      </c>
      <c r="W34" s="170">
        <v>1708.67</v>
      </c>
      <c r="X34" s="170">
        <v>1183.76</v>
      </c>
      <c r="Y34" s="170">
        <v>419.97</v>
      </c>
      <c r="Z34" s="170">
        <v>0</v>
      </c>
      <c r="AA34" s="171">
        <v>0</v>
      </c>
      <c r="AB34" s="101">
        <f aca="true" t="shared" si="41" ref="AB34:AB41">SUM(U34:AA34)</f>
        <v>4548.570000000001</v>
      </c>
      <c r="AC34" s="161">
        <f t="shared" si="27"/>
        <v>6780.6950000000015</v>
      </c>
      <c r="AD34" s="162">
        <f t="shared" si="28"/>
        <v>0</v>
      </c>
      <c r="AE34" s="162">
        <f t="shared" si="29"/>
        <v>0</v>
      </c>
      <c r="AF34" s="162"/>
      <c r="AG34" s="24">
        <f t="shared" si="30"/>
        <v>554.82</v>
      </c>
      <c r="AH34" s="24">
        <f t="shared" si="31"/>
        <v>184.94000000000003</v>
      </c>
      <c r="AI34" s="24">
        <f t="shared" si="32"/>
        <v>924.7</v>
      </c>
      <c r="AJ34" s="24">
        <v>0</v>
      </c>
      <c r="AK34" s="24">
        <f t="shared" si="33"/>
        <v>906.206</v>
      </c>
      <c r="AL34" s="24">
        <v>0</v>
      </c>
      <c r="AM34" s="24">
        <f t="shared" si="34"/>
        <v>2080.5750000000003</v>
      </c>
      <c r="AN34" s="24">
        <v>0</v>
      </c>
      <c r="AO34" s="24"/>
      <c r="AP34" s="24"/>
      <c r="AQ34" s="163"/>
      <c r="AR34" s="163"/>
      <c r="AS34" s="99">
        <v>4395</v>
      </c>
      <c r="AT34" s="99"/>
      <c r="AU34" s="99">
        <f t="shared" si="35"/>
        <v>0</v>
      </c>
      <c r="AV34" s="164">
        <v>263</v>
      </c>
      <c r="AW34" s="165">
        <v>0.45</v>
      </c>
      <c r="AX34" s="24">
        <f t="shared" si="36"/>
        <v>165.69</v>
      </c>
      <c r="AY34" s="166"/>
      <c r="AZ34" s="167"/>
      <c r="BA34" s="167">
        <f t="shared" si="37"/>
        <v>0</v>
      </c>
      <c r="BB34" s="167">
        <f t="shared" si="38"/>
        <v>9211.931</v>
      </c>
      <c r="BC34" s="168"/>
      <c r="BD34" s="17"/>
      <c r="BE34" s="127">
        <f t="shared" si="39"/>
        <v>-2431.235999999999</v>
      </c>
      <c r="BF34" s="127">
        <f t="shared" si="40"/>
        <v>-1217.9599999999991</v>
      </c>
    </row>
    <row r="35" spans="1:58" ht="13.5" hidden="1" thickBot="1">
      <c r="A35" s="145" t="s">
        <v>48</v>
      </c>
      <c r="B35" s="93">
        <v>924.7</v>
      </c>
      <c r="C35" s="158">
        <f t="shared" si="23"/>
        <v>7998.655000000001</v>
      </c>
      <c r="D35" s="159">
        <f t="shared" si="24"/>
        <v>711.4750000000006</v>
      </c>
      <c r="E35" s="94">
        <v>665.54</v>
      </c>
      <c r="F35" s="94">
        <v>175.46</v>
      </c>
      <c r="G35" s="94">
        <v>901.66</v>
      </c>
      <c r="H35" s="94">
        <v>237.84</v>
      </c>
      <c r="I35" s="94">
        <v>2166.24</v>
      </c>
      <c r="J35" s="94">
        <v>571.22</v>
      </c>
      <c r="K35" s="94">
        <v>1500.67</v>
      </c>
      <c r="L35" s="94">
        <v>395.77</v>
      </c>
      <c r="M35" s="91">
        <v>532.42</v>
      </c>
      <c r="N35" s="95">
        <v>140.36</v>
      </c>
      <c r="O35" s="101">
        <v>0</v>
      </c>
      <c r="P35" s="101">
        <v>0</v>
      </c>
      <c r="Q35" s="101">
        <v>0</v>
      </c>
      <c r="R35" s="101">
        <v>0</v>
      </c>
      <c r="S35" s="94">
        <f t="shared" si="25"/>
        <v>5766.53</v>
      </c>
      <c r="T35" s="160">
        <f t="shared" si="26"/>
        <v>1520.6499999999999</v>
      </c>
      <c r="U35" s="94">
        <v>533.36</v>
      </c>
      <c r="V35" s="94">
        <v>722.4</v>
      </c>
      <c r="W35" s="94">
        <v>1735.85</v>
      </c>
      <c r="X35" s="94">
        <v>1202.45</v>
      </c>
      <c r="Y35" s="94">
        <v>426.67</v>
      </c>
      <c r="Z35" s="94">
        <v>0</v>
      </c>
      <c r="AA35" s="101">
        <v>0</v>
      </c>
      <c r="AB35" s="101">
        <f t="shared" si="41"/>
        <v>4620.73</v>
      </c>
      <c r="AC35" s="161">
        <f t="shared" si="27"/>
        <v>6852.855</v>
      </c>
      <c r="AD35" s="162">
        <f t="shared" si="28"/>
        <v>0</v>
      </c>
      <c r="AE35" s="162">
        <f t="shared" si="29"/>
        <v>0</v>
      </c>
      <c r="AF35" s="162"/>
      <c r="AG35" s="24">
        <f t="shared" si="30"/>
        <v>554.82</v>
      </c>
      <c r="AH35" s="24">
        <f t="shared" si="31"/>
        <v>184.94000000000003</v>
      </c>
      <c r="AI35" s="24">
        <f t="shared" si="32"/>
        <v>924.7</v>
      </c>
      <c r="AJ35" s="24">
        <v>0</v>
      </c>
      <c r="AK35" s="24">
        <f t="shared" si="33"/>
        <v>906.206</v>
      </c>
      <c r="AL35" s="24">
        <v>0</v>
      </c>
      <c r="AM35" s="24">
        <f t="shared" si="34"/>
        <v>2080.5750000000003</v>
      </c>
      <c r="AN35" s="24">
        <v>0</v>
      </c>
      <c r="AO35" s="24"/>
      <c r="AP35" s="24"/>
      <c r="AQ35" s="163"/>
      <c r="AR35" s="163"/>
      <c r="AS35" s="99"/>
      <c r="AT35" s="99"/>
      <c r="AU35" s="99">
        <f t="shared" si="35"/>
        <v>0</v>
      </c>
      <c r="AV35" s="164">
        <v>233</v>
      </c>
      <c r="AW35" s="165">
        <v>0.45</v>
      </c>
      <c r="AX35" s="24">
        <f t="shared" si="36"/>
        <v>146.79</v>
      </c>
      <c r="AY35" s="166"/>
      <c r="AZ35" s="167"/>
      <c r="BA35" s="167">
        <f t="shared" si="37"/>
        <v>0</v>
      </c>
      <c r="BB35" s="167">
        <f t="shared" si="38"/>
        <v>4798.031</v>
      </c>
      <c r="BC35" s="168"/>
      <c r="BD35" s="148"/>
      <c r="BE35" s="127">
        <f t="shared" si="39"/>
        <v>2054.8239999999996</v>
      </c>
      <c r="BF35" s="127">
        <f t="shared" si="40"/>
        <v>-1145.8000000000002</v>
      </c>
    </row>
    <row r="36" spans="1:58" ht="12.75" hidden="1">
      <c r="A36" s="147" t="s">
        <v>49</v>
      </c>
      <c r="B36" s="93">
        <v>924.7</v>
      </c>
      <c r="C36" s="158">
        <f t="shared" si="23"/>
        <v>7998.655000000001</v>
      </c>
      <c r="D36" s="159">
        <f t="shared" si="24"/>
        <v>668.9750000000006</v>
      </c>
      <c r="E36" s="100">
        <v>846</v>
      </c>
      <c r="F36" s="94">
        <v>0</v>
      </c>
      <c r="G36" s="94">
        <v>1146</v>
      </c>
      <c r="H36" s="94">
        <v>0</v>
      </c>
      <c r="I36" s="94">
        <v>2753.46</v>
      </c>
      <c r="J36" s="94">
        <v>0</v>
      </c>
      <c r="K36" s="94">
        <v>1907.43</v>
      </c>
      <c r="L36" s="94">
        <v>0</v>
      </c>
      <c r="M36" s="91">
        <v>676.79</v>
      </c>
      <c r="N36" s="95">
        <v>0</v>
      </c>
      <c r="O36" s="101">
        <v>0</v>
      </c>
      <c r="P36" s="101">
        <v>0</v>
      </c>
      <c r="Q36" s="101"/>
      <c r="R36" s="101"/>
      <c r="S36" s="94">
        <f t="shared" si="25"/>
        <v>7329.68</v>
      </c>
      <c r="T36" s="160">
        <f t="shared" si="26"/>
        <v>0</v>
      </c>
      <c r="U36" s="100">
        <v>655.47</v>
      </c>
      <c r="V36" s="94">
        <v>888</v>
      </c>
      <c r="W36" s="94">
        <v>2133.39</v>
      </c>
      <c r="X36" s="94">
        <v>1477.89</v>
      </c>
      <c r="Y36" s="94">
        <v>524.37</v>
      </c>
      <c r="Z36" s="94">
        <v>0</v>
      </c>
      <c r="AA36" s="101">
        <v>0</v>
      </c>
      <c r="AB36" s="101">
        <f t="shared" si="41"/>
        <v>5679.12</v>
      </c>
      <c r="AC36" s="161">
        <f t="shared" si="27"/>
        <v>6348.095</v>
      </c>
      <c r="AD36" s="162">
        <f t="shared" si="28"/>
        <v>0</v>
      </c>
      <c r="AE36" s="162">
        <f t="shared" si="29"/>
        <v>0</v>
      </c>
      <c r="AF36" s="162"/>
      <c r="AG36" s="24">
        <f t="shared" si="30"/>
        <v>554.82</v>
      </c>
      <c r="AH36" s="24">
        <f t="shared" si="31"/>
        <v>184.94000000000003</v>
      </c>
      <c r="AI36" s="24">
        <f t="shared" si="32"/>
        <v>924.7</v>
      </c>
      <c r="AJ36" s="24">
        <v>0</v>
      </c>
      <c r="AK36" s="24">
        <f t="shared" si="33"/>
        <v>906.206</v>
      </c>
      <c r="AL36" s="24">
        <v>0</v>
      </c>
      <c r="AM36" s="24">
        <f t="shared" si="34"/>
        <v>2080.5750000000003</v>
      </c>
      <c r="AN36" s="24">
        <v>0</v>
      </c>
      <c r="AO36" s="24"/>
      <c r="AP36" s="24"/>
      <c r="AQ36" s="163"/>
      <c r="AR36" s="163"/>
      <c r="AS36" s="99"/>
      <c r="AT36" s="99">
        <f>1228.81</f>
        <v>1228.81</v>
      </c>
      <c r="AU36" s="99">
        <f t="shared" si="35"/>
        <v>221.18579999999997</v>
      </c>
      <c r="AV36" s="164">
        <v>248</v>
      </c>
      <c r="AW36" s="165">
        <v>0.45</v>
      </c>
      <c r="AX36" s="24">
        <f t="shared" si="36"/>
        <v>156.24</v>
      </c>
      <c r="AY36" s="166"/>
      <c r="AZ36" s="167"/>
      <c r="BA36" s="167">
        <f t="shared" si="37"/>
        <v>0</v>
      </c>
      <c r="BB36" s="167">
        <f t="shared" si="38"/>
        <v>6257.4767999999995</v>
      </c>
      <c r="BC36" s="168"/>
      <c r="BD36" s="17"/>
      <c r="BE36" s="127">
        <f t="shared" si="39"/>
        <v>90.6182000000008</v>
      </c>
      <c r="BF36" s="127">
        <f t="shared" si="40"/>
        <v>-1650.5600000000004</v>
      </c>
    </row>
    <row r="37" spans="1:58" ht="12.75" hidden="1">
      <c r="A37" s="13" t="s">
        <v>50</v>
      </c>
      <c r="B37" s="93">
        <v>924.7</v>
      </c>
      <c r="C37" s="158">
        <f t="shared" si="23"/>
        <v>7998.655000000001</v>
      </c>
      <c r="D37" s="159">
        <f t="shared" si="24"/>
        <v>666.5050000000008</v>
      </c>
      <c r="E37" s="100">
        <v>846.29</v>
      </c>
      <c r="F37" s="94">
        <v>0</v>
      </c>
      <c r="G37" s="94">
        <v>1146.38</v>
      </c>
      <c r="H37" s="94">
        <v>0</v>
      </c>
      <c r="I37" s="94">
        <v>2754.39</v>
      </c>
      <c r="J37" s="94">
        <v>0</v>
      </c>
      <c r="K37" s="94">
        <v>1908.07</v>
      </c>
      <c r="L37" s="94">
        <v>0</v>
      </c>
      <c r="M37" s="91">
        <v>677.02</v>
      </c>
      <c r="N37" s="95">
        <v>0</v>
      </c>
      <c r="O37" s="101">
        <v>0</v>
      </c>
      <c r="P37" s="101">
        <v>0</v>
      </c>
      <c r="Q37" s="101"/>
      <c r="R37" s="101"/>
      <c r="S37" s="94">
        <f t="shared" si="25"/>
        <v>7332.15</v>
      </c>
      <c r="T37" s="160">
        <f t="shared" si="26"/>
        <v>0</v>
      </c>
      <c r="U37" s="170">
        <v>805.19</v>
      </c>
      <c r="V37" s="170">
        <v>1090.73</v>
      </c>
      <c r="W37" s="170">
        <v>2620.71</v>
      </c>
      <c r="X37" s="170">
        <v>1815.5</v>
      </c>
      <c r="Y37" s="170">
        <v>644.18</v>
      </c>
      <c r="Z37" s="170">
        <v>0</v>
      </c>
      <c r="AA37" s="171">
        <v>0</v>
      </c>
      <c r="AB37" s="101">
        <f t="shared" si="41"/>
        <v>6976.31</v>
      </c>
      <c r="AC37" s="161">
        <f t="shared" si="27"/>
        <v>7642.815000000001</v>
      </c>
      <c r="AD37" s="162">
        <f t="shared" si="28"/>
        <v>0</v>
      </c>
      <c r="AE37" s="162">
        <f t="shared" si="29"/>
        <v>0</v>
      </c>
      <c r="AF37" s="162"/>
      <c r="AG37" s="24">
        <f t="shared" si="30"/>
        <v>554.82</v>
      </c>
      <c r="AH37" s="24">
        <f t="shared" si="31"/>
        <v>184.94000000000003</v>
      </c>
      <c r="AI37" s="24">
        <f t="shared" si="32"/>
        <v>924.7</v>
      </c>
      <c r="AJ37" s="24">
        <v>0</v>
      </c>
      <c r="AK37" s="24">
        <f t="shared" si="33"/>
        <v>906.206</v>
      </c>
      <c r="AL37" s="24">
        <v>0</v>
      </c>
      <c r="AM37" s="24">
        <f t="shared" si="34"/>
        <v>2080.5750000000003</v>
      </c>
      <c r="AN37" s="24">
        <v>0</v>
      </c>
      <c r="AO37" s="24"/>
      <c r="AP37" s="24"/>
      <c r="AQ37" s="163"/>
      <c r="AR37" s="163"/>
      <c r="AS37" s="99">
        <v>3054</v>
      </c>
      <c r="AT37" s="99">
        <f>47.8+126</f>
        <v>173.8</v>
      </c>
      <c r="AU37" s="99"/>
      <c r="AV37" s="164">
        <v>293</v>
      </c>
      <c r="AW37" s="165">
        <v>0.45</v>
      </c>
      <c r="AX37" s="24">
        <f t="shared" si="36"/>
        <v>184.58999999999997</v>
      </c>
      <c r="AY37" s="166"/>
      <c r="AZ37" s="167"/>
      <c r="BA37" s="167">
        <f t="shared" si="37"/>
        <v>0</v>
      </c>
      <c r="BB37" s="167">
        <f t="shared" si="38"/>
        <v>8063.631</v>
      </c>
      <c r="BC37" s="168"/>
      <c r="BD37" s="17"/>
      <c r="BE37" s="127">
        <f t="shared" si="39"/>
        <v>-420.8159999999989</v>
      </c>
      <c r="BF37" s="127">
        <f t="shared" si="40"/>
        <v>-355.83999999999924</v>
      </c>
    </row>
    <row r="38" spans="1:58" ht="13.5" hidden="1" thickBot="1">
      <c r="A38" s="145" t="s">
        <v>51</v>
      </c>
      <c r="B38" s="93">
        <v>924.7</v>
      </c>
      <c r="C38" s="158">
        <f t="shared" si="23"/>
        <v>7998.655000000001</v>
      </c>
      <c r="D38" s="159">
        <f t="shared" si="24"/>
        <v>680.7850000000011</v>
      </c>
      <c r="E38" s="94">
        <v>844.61</v>
      </c>
      <c r="F38" s="94">
        <v>0</v>
      </c>
      <c r="G38" s="94">
        <v>1144.2</v>
      </c>
      <c r="H38" s="94">
        <v>0</v>
      </c>
      <c r="I38" s="94">
        <v>2749.01</v>
      </c>
      <c r="J38" s="94">
        <v>0</v>
      </c>
      <c r="K38" s="94">
        <v>1904.37</v>
      </c>
      <c r="L38" s="94">
        <v>0</v>
      </c>
      <c r="M38" s="91">
        <v>675.68</v>
      </c>
      <c r="N38" s="95">
        <v>0</v>
      </c>
      <c r="O38" s="101">
        <v>0</v>
      </c>
      <c r="P38" s="101">
        <v>0</v>
      </c>
      <c r="Q38" s="101"/>
      <c r="R38" s="101"/>
      <c r="S38" s="94">
        <f t="shared" si="25"/>
        <v>7317.87</v>
      </c>
      <c r="T38" s="160">
        <f t="shared" si="26"/>
        <v>0</v>
      </c>
      <c r="U38" s="94">
        <v>823.76</v>
      </c>
      <c r="V38" s="94">
        <v>1115.86</v>
      </c>
      <c r="W38" s="94">
        <v>2680.98</v>
      </c>
      <c r="X38" s="94">
        <v>1857.2</v>
      </c>
      <c r="Y38" s="94">
        <v>658.97</v>
      </c>
      <c r="Z38" s="94">
        <v>0</v>
      </c>
      <c r="AA38" s="101">
        <v>0</v>
      </c>
      <c r="AB38" s="101">
        <f t="shared" si="41"/>
        <v>7136.77</v>
      </c>
      <c r="AC38" s="161">
        <f t="shared" si="27"/>
        <v>7817.555000000001</v>
      </c>
      <c r="AD38" s="162">
        <f t="shared" si="28"/>
        <v>0</v>
      </c>
      <c r="AE38" s="162">
        <f t="shared" si="29"/>
        <v>0</v>
      </c>
      <c r="AF38" s="162"/>
      <c r="AG38" s="24">
        <f t="shared" si="30"/>
        <v>554.82</v>
      </c>
      <c r="AH38" s="24">
        <f t="shared" si="31"/>
        <v>184.94000000000003</v>
      </c>
      <c r="AI38" s="24">
        <f t="shared" si="32"/>
        <v>924.7</v>
      </c>
      <c r="AJ38" s="24">
        <v>0</v>
      </c>
      <c r="AK38" s="24">
        <f t="shared" si="33"/>
        <v>906.206</v>
      </c>
      <c r="AL38" s="24">
        <v>0</v>
      </c>
      <c r="AM38" s="24">
        <f t="shared" si="34"/>
        <v>2080.5750000000003</v>
      </c>
      <c r="AN38" s="24">
        <v>0</v>
      </c>
      <c r="AO38" s="24"/>
      <c r="AP38" s="24"/>
      <c r="AQ38" s="163"/>
      <c r="AR38" s="163"/>
      <c r="AS38" s="99"/>
      <c r="AT38" s="99"/>
      <c r="AU38" s="172">
        <f t="shared" si="35"/>
        <v>0</v>
      </c>
      <c r="AV38" s="164">
        <v>349</v>
      </c>
      <c r="AW38" s="165">
        <v>0.45</v>
      </c>
      <c r="AX38" s="24">
        <f t="shared" si="36"/>
        <v>219.87</v>
      </c>
      <c r="AY38" s="166"/>
      <c r="AZ38" s="167"/>
      <c r="BA38" s="167">
        <f t="shared" si="37"/>
        <v>0</v>
      </c>
      <c r="BB38" s="167">
        <f t="shared" si="38"/>
        <v>4871.111</v>
      </c>
      <c r="BC38" s="168"/>
      <c r="BD38" s="148"/>
      <c r="BE38" s="127">
        <f t="shared" si="39"/>
        <v>2946.4440000000013</v>
      </c>
      <c r="BF38" s="127">
        <f t="shared" si="40"/>
        <v>-181.09999999999945</v>
      </c>
    </row>
    <row r="39" spans="1:58" ht="12.75" hidden="1">
      <c r="A39" s="149" t="s">
        <v>39</v>
      </c>
      <c r="B39" s="93">
        <v>924.7</v>
      </c>
      <c r="C39" s="158">
        <f t="shared" si="23"/>
        <v>7998.655000000001</v>
      </c>
      <c r="D39" s="159">
        <f t="shared" si="24"/>
        <v>681.8050000000009</v>
      </c>
      <c r="E39" s="96">
        <v>844.49</v>
      </c>
      <c r="F39" s="96">
        <v>0</v>
      </c>
      <c r="G39" s="96">
        <v>1144.05</v>
      </c>
      <c r="H39" s="96">
        <v>0</v>
      </c>
      <c r="I39" s="96">
        <v>2748.62</v>
      </c>
      <c r="J39" s="96">
        <v>0</v>
      </c>
      <c r="K39" s="96">
        <v>1904.11</v>
      </c>
      <c r="L39" s="96">
        <v>0</v>
      </c>
      <c r="M39" s="97">
        <v>675.58</v>
      </c>
      <c r="N39" s="98">
        <v>0</v>
      </c>
      <c r="O39" s="173">
        <v>0</v>
      </c>
      <c r="P39" s="173">
        <v>0</v>
      </c>
      <c r="Q39" s="173"/>
      <c r="R39" s="173"/>
      <c r="S39" s="94">
        <f t="shared" si="25"/>
        <v>7316.849999999999</v>
      </c>
      <c r="T39" s="160">
        <f t="shared" si="26"/>
        <v>0</v>
      </c>
      <c r="U39" s="94">
        <v>657.85</v>
      </c>
      <c r="V39" s="94">
        <v>891.14</v>
      </c>
      <c r="W39" s="94">
        <v>2141.16</v>
      </c>
      <c r="X39" s="94">
        <v>1483.31</v>
      </c>
      <c r="Y39" s="94">
        <v>526.28</v>
      </c>
      <c r="Z39" s="94">
        <v>0</v>
      </c>
      <c r="AA39" s="101">
        <v>0</v>
      </c>
      <c r="AB39" s="101">
        <f t="shared" si="41"/>
        <v>5699.739999999999</v>
      </c>
      <c r="AC39" s="161">
        <f t="shared" si="27"/>
        <v>6381.545</v>
      </c>
      <c r="AD39" s="162">
        <f t="shared" si="28"/>
        <v>0</v>
      </c>
      <c r="AE39" s="162">
        <f t="shared" si="29"/>
        <v>0</v>
      </c>
      <c r="AF39" s="162">
        <f>100</f>
        <v>100</v>
      </c>
      <c r="AG39" s="24">
        <f t="shared" si="30"/>
        <v>554.82</v>
      </c>
      <c r="AH39" s="24">
        <f t="shared" si="31"/>
        <v>184.94000000000003</v>
      </c>
      <c r="AI39" s="24">
        <f t="shared" si="32"/>
        <v>924.7</v>
      </c>
      <c r="AJ39" s="24">
        <v>0</v>
      </c>
      <c r="AK39" s="24">
        <f t="shared" si="33"/>
        <v>906.206</v>
      </c>
      <c r="AL39" s="24">
        <v>0</v>
      </c>
      <c r="AM39" s="24">
        <f t="shared" si="34"/>
        <v>2080.5750000000003</v>
      </c>
      <c r="AN39" s="24">
        <v>0</v>
      </c>
      <c r="AO39" s="24"/>
      <c r="AP39" s="24"/>
      <c r="AQ39" s="163"/>
      <c r="AR39" s="163"/>
      <c r="AS39" s="99">
        <v>63094</v>
      </c>
      <c r="AT39" s="99"/>
      <c r="AU39" s="99">
        <f t="shared" si="35"/>
        <v>0</v>
      </c>
      <c r="AV39" s="164">
        <v>425</v>
      </c>
      <c r="AW39" s="165">
        <v>0.45</v>
      </c>
      <c r="AX39" s="24">
        <f t="shared" si="36"/>
        <v>267.75</v>
      </c>
      <c r="AY39" s="166"/>
      <c r="AZ39" s="167"/>
      <c r="BA39" s="167">
        <f t="shared" si="37"/>
        <v>0</v>
      </c>
      <c r="BB39" s="167">
        <f t="shared" si="38"/>
        <v>68012.991</v>
      </c>
      <c r="BC39" s="168">
        <f>25</f>
        <v>25</v>
      </c>
      <c r="BD39" s="150"/>
      <c r="BE39" s="127">
        <f t="shared" si="39"/>
        <v>-61556.445999999996</v>
      </c>
      <c r="BF39" s="127">
        <f t="shared" si="40"/>
        <v>-1617.1100000000006</v>
      </c>
    </row>
    <row r="40" spans="1:58" ht="12.75" hidden="1">
      <c r="A40" s="13" t="s">
        <v>40</v>
      </c>
      <c r="B40" s="93">
        <v>924.7</v>
      </c>
      <c r="C40" s="158">
        <f t="shared" si="23"/>
        <v>7998.655000000001</v>
      </c>
      <c r="D40" s="159">
        <f t="shared" si="24"/>
        <v>681.8050000000009</v>
      </c>
      <c r="E40" s="94">
        <v>844.49</v>
      </c>
      <c r="F40" s="94">
        <v>0</v>
      </c>
      <c r="G40" s="94">
        <v>1144.05</v>
      </c>
      <c r="H40" s="94">
        <v>0</v>
      </c>
      <c r="I40" s="94">
        <v>2748.62</v>
      </c>
      <c r="J40" s="94">
        <v>0</v>
      </c>
      <c r="K40" s="94">
        <v>1904.11</v>
      </c>
      <c r="L40" s="94">
        <v>0</v>
      </c>
      <c r="M40" s="91">
        <v>675.58</v>
      </c>
      <c r="N40" s="95">
        <v>0</v>
      </c>
      <c r="O40" s="101">
        <v>0</v>
      </c>
      <c r="P40" s="101">
        <v>0</v>
      </c>
      <c r="Q40" s="101"/>
      <c r="R40" s="101"/>
      <c r="S40" s="94">
        <f t="shared" si="25"/>
        <v>7316.849999999999</v>
      </c>
      <c r="T40" s="160">
        <f t="shared" si="26"/>
        <v>0</v>
      </c>
      <c r="U40" s="100">
        <v>803.28</v>
      </c>
      <c r="V40" s="94">
        <v>1088.13</v>
      </c>
      <c r="W40" s="94">
        <v>2614.4</v>
      </c>
      <c r="X40" s="94">
        <v>1811.09</v>
      </c>
      <c r="Y40" s="94">
        <v>642.61</v>
      </c>
      <c r="Z40" s="94">
        <v>0</v>
      </c>
      <c r="AA40" s="101">
        <v>0</v>
      </c>
      <c r="AB40" s="101">
        <f t="shared" si="41"/>
        <v>6959.51</v>
      </c>
      <c r="AC40" s="161">
        <f t="shared" si="27"/>
        <v>7641.315000000001</v>
      </c>
      <c r="AD40" s="162">
        <f t="shared" si="28"/>
        <v>0</v>
      </c>
      <c r="AE40" s="162">
        <f t="shared" si="29"/>
        <v>0</v>
      </c>
      <c r="AF40" s="162">
        <f>100</f>
        <v>100</v>
      </c>
      <c r="AG40" s="24">
        <f t="shared" si="30"/>
        <v>554.82</v>
      </c>
      <c r="AH40" s="24">
        <f t="shared" si="31"/>
        <v>184.94000000000003</v>
      </c>
      <c r="AI40" s="24">
        <f t="shared" si="32"/>
        <v>924.7</v>
      </c>
      <c r="AJ40" s="24">
        <v>0</v>
      </c>
      <c r="AK40" s="24">
        <f t="shared" si="33"/>
        <v>906.206</v>
      </c>
      <c r="AL40" s="24">
        <v>0</v>
      </c>
      <c r="AM40" s="24">
        <f t="shared" si="34"/>
        <v>2080.5750000000003</v>
      </c>
      <c r="AN40" s="24">
        <v>0</v>
      </c>
      <c r="AO40" s="24"/>
      <c r="AP40" s="24"/>
      <c r="AQ40" s="163"/>
      <c r="AR40" s="163"/>
      <c r="AS40" s="99"/>
      <c r="AT40" s="99"/>
      <c r="AU40" s="99">
        <f t="shared" si="35"/>
        <v>0</v>
      </c>
      <c r="AV40" s="164">
        <v>470</v>
      </c>
      <c r="AW40" s="165">
        <v>0.45</v>
      </c>
      <c r="AX40" s="24">
        <f t="shared" si="36"/>
        <v>296.09999999999997</v>
      </c>
      <c r="AY40" s="166"/>
      <c r="AZ40" s="167"/>
      <c r="BA40" s="167">
        <f t="shared" si="37"/>
        <v>0</v>
      </c>
      <c r="BB40" s="167">
        <f t="shared" si="38"/>
        <v>4947.341</v>
      </c>
      <c r="BC40" s="168">
        <f>25</f>
        <v>25</v>
      </c>
      <c r="BD40" s="64"/>
      <c r="BE40" s="127">
        <f t="shared" si="39"/>
        <v>2768.974000000001</v>
      </c>
      <c r="BF40" s="127">
        <f t="shared" si="40"/>
        <v>-357.33999999999924</v>
      </c>
    </row>
    <row r="41" spans="1:58" ht="12.75" hidden="1">
      <c r="A41" s="126" t="s">
        <v>41</v>
      </c>
      <c r="B41" s="93">
        <v>924.7</v>
      </c>
      <c r="C41" s="158">
        <f t="shared" si="23"/>
        <v>7998.655000000001</v>
      </c>
      <c r="D41" s="159">
        <f t="shared" si="24"/>
        <v>681.8050000000009</v>
      </c>
      <c r="E41" s="94">
        <v>844.49</v>
      </c>
      <c r="F41" s="94">
        <v>0</v>
      </c>
      <c r="G41" s="94">
        <v>1144.05</v>
      </c>
      <c r="H41" s="94">
        <v>0</v>
      </c>
      <c r="I41" s="94">
        <v>2748.62</v>
      </c>
      <c r="J41" s="94">
        <v>0</v>
      </c>
      <c r="K41" s="94">
        <v>1904.11</v>
      </c>
      <c r="L41" s="94">
        <v>0</v>
      </c>
      <c r="M41" s="91">
        <v>675.58</v>
      </c>
      <c r="N41" s="95">
        <v>0</v>
      </c>
      <c r="O41" s="101">
        <v>0</v>
      </c>
      <c r="P41" s="101">
        <v>0</v>
      </c>
      <c r="Q41" s="101"/>
      <c r="R41" s="101"/>
      <c r="S41" s="94">
        <f t="shared" si="25"/>
        <v>7316.849999999999</v>
      </c>
      <c r="T41" s="160">
        <f t="shared" si="26"/>
        <v>0</v>
      </c>
      <c r="U41" s="94">
        <v>945.26</v>
      </c>
      <c r="V41" s="94">
        <v>1280.51</v>
      </c>
      <c r="W41" s="94">
        <v>3076.55</v>
      </c>
      <c r="X41" s="94">
        <v>2131.23</v>
      </c>
      <c r="Y41" s="94">
        <v>756.21</v>
      </c>
      <c r="Z41" s="94">
        <v>0</v>
      </c>
      <c r="AA41" s="101">
        <v>0</v>
      </c>
      <c r="AB41" s="101">
        <f t="shared" si="41"/>
        <v>8189.759999999999</v>
      </c>
      <c r="AC41" s="161">
        <f t="shared" si="27"/>
        <v>8871.565</v>
      </c>
      <c r="AD41" s="162">
        <f t="shared" si="28"/>
        <v>0</v>
      </c>
      <c r="AE41" s="162">
        <f t="shared" si="29"/>
        <v>0</v>
      </c>
      <c r="AF41" s="162">
        <f>100</f>
        <v>100</v>
      </c>
      <c r="AG41" s="24">
        <f t="shared" si="30"/>
        <v>554.82</v>
      </c>
      <c r="AH41" s="24">
        <f t="shared" si="31"/>
        <v>184.94000000000003</v>
      </c>
      <c r="AI41" s="24">
        <f t="shared" si="32"/>
        <v>924.7</v>
      </c>
      <c r="AJ41" s="24">
        <v>0</v>
      </c>
      <c r="AK41" s="24">
        <f t="shared" si="33"/>
        <v>906.206</v>
      </c>
      <c r="AL41" s="24">
        <v>0</v>
      </c>
      <c r="AM41" s="24">
        <f t="shared" si="34"/>
        <v>2080.5750000000003</v>
      </c>
      <c r="AN41" s="24">
        <v>0</v>
      </c>
      <c r="AO41" s="24"/>
      <c r="AP41" s="24"/>
      <c r="AQ41" s="163"/>
      <c r="AR41" s="163"/>
      <c r="AS41" s="99">
        <v>1973</v>
      </c>
      <c r="AT41" s="99">
        <f>2476.22+1435.59</f>
        <v>3911.8099999999995</v>
      </c>
      <c r="AU41" s="99">
        <f>(2476.22+1435.59)*0.18</f>
        <v>704.1257999999999</v>
      </c>
      <c r="AV41" s="164">
        <v>514</v>
      </c>
      <c r="AW41" s="165">
        <v>0.45</v>
      </c>
      <c r="AX41" s="24">
        <f t="shared" si="36"/>
        <v>323.82</v>
      </c>
      <c r="AY41" s="166"/>
      <c r="AZ41" s="167"/>
      <c r="BA41" s="167">
        <f t="shared" si="37"/>
        <v>0</v>
      </c>
      <c r="BB41" s="167">
        <f t="shared" si="38"/>
        <v>11563.996799999999</v>
      </c>
      <c r="BC41" s="168">
        <f>25</f>
        <v>25</v>
      </c>
      <c r="BD41" s="92"/>
      <c r="BE41" s="127">
        <f t="shared" si="39"/>
        <v>-2617.4317999999985</v>
      </c>
      <c r="BF41" s="127">
        <f t="shared" si="40"/>
        <v>872.9099999999999</v>
      </c>
    </row>
    <row r="42" spans="1:58" ht="12.75" hidden="1">
      <c r="A42" s="18" t="s">
        <v>3</v>
      </c>
      <c r="B42" s="19"/>
      <c r="C42" s="19">
        <f>SUM(C30:C41)</f>
        <v>96008.08</v>
      </c>
      <c r="D42" s="19">
        <f aca="true" t="shared" si="42" ref="D42:BF42">SUM(D30:D41)</f>
        <v>8378.610000000006</v>
      </c>
      <c r="E42" s="19">
        <f t="shared" si="42"/>
        <v>9035.15</v>
      </c>
      <c r="F42" s="19">
        <f t="shared" si="42"/>
        <v>1078.34</v>
      </c>
      <c r="G42" s="19">
        <f t="shared" si="42"/>
        <v>12240.529999999999</v>
      </c>
      <c r="H42" s="19">
        <f t="shared" si="42"/>
        <v>1461.6999999999998</v>
      </c>
      <c r="I42" s="19">
        <f t="shared" si="42"/>
        <v>29407.849999999995</v>
      </c>
      <c r="J42" s="19">
        <f t="shared" si="42"/>
        <v>3510.55</v>
      </c>
      <c r="K42" s="19">
        <f t="shared" si="42"/>
        <v>20372.45</v>
      </c>
      <c r="L42" s="19">
        <f t="shared" si="42"/>
        <v>2432.27</v>
      </c>
      <c r="M42" s="19">
        <f t="shared" si="42"/>
        <v>7228.030000000001</v>
      </c>
      <c r="N42" s="19">
        <f t="shared" si="42"/>
        <v>862.6</v>
      </c>
      <c r="O42" s="19">
        <f t="shared" si="42"/>
        <v>0</v>
      </c>
      <c r="P42" s="19">
        <f t="shared" si="42"/>
        <v>0</v>
      </c>
      <c r="Q42" s="19">
        <f t="shared" si="42"/>
        <v>0</v>
      </c>
      <c r="R42" s="19">
        <f t="shared" si="42"/>
        <v>0</v>
      </c>
      <c r="S42" s="19">
        <f t="shared" si="42"/>
        <v>78284.01000000001</v>
      </c>
      <c r="T42" s="19">
        <f t="shared" si="42"/>
        <v>9345.460000000001</v>
      </c>
      <c r="U42" s="19">
        <f t="shared" si="42"/>
        <v>7880.79</v>
      </c>
      <c r="V42" s="19">
        <f t="shared" si="42"/>
        <v>10687.750000000002</v>
      </c>
      <c r="W42" s="19">
        <f t="shared" si="42"/>
        <v>25677.49</v>
      </c>
      <c r="X42" s="19">
        <f t="shared" si="42"/>
        <v>17789.68</v>
      </c>
      <c r="Y42" s="19">
        <f t="shared" si="42"/>
        <v>6312.539999999999</v>
      </c>
      <c r="Z42" s="19">
        <f t="shared" si="42"/>
        <v>0</v>
      </c>
      <c r="AA42" s="19">
        <f t="shared" si="42"/>
        <v>0</v>
      </c>
      <c r="AB42" s="19">
        <f t="shared" si="42"/>
        <v>68348.24999999999</v>
      </c>
      <c r="AC42" s="19">
        <f t="shared" si="42"/>
        <v>86072.32000000002</v>
      </c>
      <c r="AD42" s="19">
        <f t="shared" si="42"/>
        <v>0</v>
      </c>
      <c r="AE42" s="19">
        <f t="shared" si="42"/>
        <v>0</v>
      </c>
      <c r="AF42" s="19">
        <f t="shared" si="42"/>
        <v>300</v>
      </c>
      <c r="AG42" s="19">
        <f t="shared" si="42"/>
        <v>6659.5199999999995</v>
      </c>
      <c r="AH42" s="19">
        <f t="shared" si="42"/>
        <v>2219.84</v>
      </c>
      <c r="AI42" s="19">
        <f t="shared" si="42"/>
        <v>11099.200000000003</v>
      </c>
      <c r="AJ42" s="19">
        <f t="shared" si="42"/>
        <v>0</v>
      </c>
      <c r="AK42" s="19">
        <f t="shared" si="42"/>
        <v>10877.216</v>
      </c>
      <c r="AL42" s="19">
        <f t="shared" si="42"/>
        <v>0</v>
      </c>
      <c r="AM42" s="19">
        <f t="shared" si="42"/>
        <v>24973.200000000004</v>
      </c>
      <c r="AN42" s="19">
        <f t="shared" si="42"/>
        <v>0</v>
      </c>
      <c r="AO42" s="19">
        <f t="shared" si="42"/>
        <v>1706.4</v>
      </c>
      <c r="AP42" s="19">
        <f t="shared" si="42"/>
        <v>0</v>
      </c>
      <c r="AQ42" s="151">
        <f t="shared" si="42"/>
        <v>0</v>
      </c>
      <c r="AR42" s="151">
        <f t="shared" si="42"/>
        <v>0</v>
      </c>
      <c r="AS42" s="20">
        <f t="shared" si="42"/>
        <v>83164</v>
      </c>
      <c r="AT42" s="20">
        <f t="shared" si="42"/>
        <v>5314.419999999999</v>
      </c>
      <c r="AU42" s="20">
        <f t="shared" si="42"/>
        <v>925.3115999999999</v>
      </c>
      <c r="AV42" s="19">
        <f t="shared" si="42"/>
        <v>4400</v>
      </c>
      <c r="AW42" s="19">
        <f t="shared" si="42"/>
        <v>5.400000000000001</v>
      </c>
      <c r="AX42" s="19">
        <f t="shared" si="42"/>
        <v>2772</v>
      </c>
      <c r="AY42" s="19">
        <f t="shared" si="42"/>
        <v>0</v>
      </c>
      <c r="AZ42" s="19">
        <f t="shared" si="42"/>
        <v>0</v>
      </c>
      <c r="BA42" s="19">
        <f t="shared" si="42"/>
        <v>0</v>
      </c>
      <c r="BB42" s="19">
        <f t="shared" si="42"/>
        <v>149711.10759999996</v>
      </c>
      <c r="BC42" s="19">
        <f t="shared" si="42"/>
        <v>75</v>
      </c>
      <c r="BD42" s="19">
        <f t="shared" si="42"/>
        <v>0</v>
      </c>
      <c r="BE42" s="19">
        <f t="shared" si="42"/>
        <v>-63413.78759999999</v>
      </c>
      <c r="BF42" s="152">
        <f t="shared" si="42"/>
        <v>-9935.759999999998</v>
      </c>
    </row>
    <row r="43" spans="1:58" ht="12.75" hidden="1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153"/>
      <c r="AE43" s="153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87"/>
      <c r="AQ43" s="154"/>
      <c r="AR43" s="154"/>
      <c r="AS43" s="87"/>
      <c r="AT43" s="87"/>
      <c r="AU43" s="87"/>
      <c r="AV43" s="22"/>
      <c r="AW43" s="22"/>
      <c r="AX43" s="103"/>
      <c r="AY43" s="60"/>
      <c r="AZ43" s="60"/>
      <c r="BA43" s="60"/>
      <c r="BB43" s="60"/>
      <c r="BC43" s="60"/>
      <c r="BD43" s="60"/>
      <c r="BE43" s="60"/>
      <c r="BF43" s="155"/>
    </row>
    <row r="44" spans="1:58" ht="13.5" thickBot="1">
      <c r="A44" s="26" t="s">
        <v>52</v>
      </c>
      <c r="B44" s="27"/>
      <c r="C44" s="27">
        <f>C28+C42</f>
        <v>216078.73000000004</v>
      </c>
      <c r="D44" s="27">
        <f aca="true" t="shared" si="43" ref="D44:BF44">D28+D42</f>
        <v>23949.52613810001</v>
      </c>
      <c r="E44" s="27">
        <f t="shared" si="43"/>
        <v>18712.5</v>
      </c>
      <c r="F44" s="27">
        <f t="shared" si="43"/>
        <v>3422.54</v>
      </c>
      <c r="G44" s="27">
        <f t="shared" si="43"/>
        <v>25331.199999999997</v>
      </c>
      <c r="H44" s="27">
        <f t="shared" si="43"/>
        <v>4634.41</v>
      </c>
      <c r="I44" s="27">
        <f t="shared" si="43"/>
        <v>60885.619999999995</v>
      </c>
      <c r="J44" s="27">
        <f t="shared" si="43"/>
        <v>11137.439999999999</v>
      </c>
      <c r="K44" s="27">
        <f t="shared" si="43"/>
        <v>42472.79</v>
      </c>
      <c r="L44" s="27">
        <f t="shared" si="43"/>
        <v>7714.93</v>
      </c>
      <c r="M44" s="27">
        <f t="shared" si="43"/>
        <v>14969.95</v>
      </c>
      <c r="N44" s="27">
        <f t="shared" si="43"/>
        <v>2737.94</v>
      </c>
      <c r="O44" s="27">
        <f t="shared" si="43"/>
        <v>0</v>
      </c>
      <c r="P44" s="27">
        <f t="shared" si="43"/>
        <v>0</v>
      </c>
      <c r="Q44" s="27">
        <f t="shared" si="43"/>
        <v>0</v>
      </c>
      <c r="R44" s="27">
        <f t="shared" si="43"/>
        <v>0</v>
      </c>
      <c r="S44" s="27">
        <f t="shared" si="43"/>
        <v>162372.06</v>
      </c>
      <c r="T44" s="27">
        <f t="shared" si="43"/>
        <v>29647.260000000002</v>
      </c>
      <c r="U44" s="27">
        <f t="shared" si="43"/>
        <v>16398.03</v>
      </c>
      <c r="V44" s="27">
        <f t="shared" si="43"/>
        <v>22206.24</v>
      </c>
      <c r="W44" s="27">
        <f t="shared" si="43"/>
        <v>53378.58</v>
      </c>
      <c r="X44" s="27">
        <f t="shared" si="43"/>
        <v>36973.62</v>
      </c>
      <c r="Y44" s="27">
        <f t="shared" si="43"/>
        <v>13126.41</v>
      </c>
      <c r="Z44" s="27">
        <f t="shared" si="43"/>
        <v>0</v>
      </c>
      <c r="AA44" s="27">
        <f t="shared" si="43"/>
        <v>0</v>
      </c>
      <c r="AB44" s="27">
        <f t="shared" si="43"/>
        <v>142082.87999999998</v>
      </c>
      <c r="AC44" s="27">
        <f t="shared" si="43"/>
        <v>195679.66613810003</v>
      </c>
      <c r="AD44" s="27">
        <f t="shared" si="43"/>
        <v>0</v>
      </c>
      <c r="AE44" s="27">
        <f t="shared" si="43"/>
        <v>0</v>
      </c>
      <c r="AF44" s="27">
        <f t="shared" si="43"/>
        <v>300</v>
      </c>
      <c r="AG44" s="27">
        <f t="shared" si="43"/>
        <v>14766.023999999998</v>
      </c>
      <c r="AH44" s="27">
        <f t="shared" si="43"/>
        <v>4947.8377648000005</v>
      </c>
      <c r="AI44" s="27">
        <f t="shared" si="43"/>
        <v>22466.078728500004</v>
      </c>
      <c r="AJ44" s="27">
        <f t="shared" si="43"/>
        <v>2046.0381711299997</v>
      </c>
      <c r="AK44" s="27">
        <f t="shared" si="43"/>
        <v>22378.6882473</v>
      </c>
      <c r="AL44" s="27">
        <f t="shared" si="43"/>
        <v>2070.265004514</v>
      </c>
      <c r="AM44" s="27">
        <f t="shared" si="43"/>
        <v>50160.34219752508</v>
      </c>
      <c r="AN44" s="27">
        <f t="shared" si="43"/>
        <v>4533.685595554516</v>
      </c>
      <c r="AO44" s="27">
        <f t="shared" si="43"/>
        <v>1706.4</v>
      </c>
      <c r="AP44" s="27">
        <f t="shared" si="43"/>
        <v>0</v>
      </c>
      <c r="AQ44" s="156">
        <f t="shared" si="43"/>
        <v>6072.32</v>
      </c>
      <c r="AR44" s="156">
        <f t="shared" si="43"/>
        <v>1093.0176</v>
      </c>
      <c r="AS44" s="157">
        <f t="shared" si="43"/>
        <v>105290.98</v>
      </c>
      <c r="AT44" s="157">
        <f t="shared" si="43"/>
        <v>5314.419999999999</v>
      </c>
      <c r="AU44" s="157">
        <f t="shared" si="43"/>
        <v>4908.178</v>
      </c>
      <c r="AV44" s="27"/>
      <c r="AW44" s="27"/>
      <c r="AX44" s="27">
        <f t="shared" si="43"/>
        <v>5388.768</v>
      </c>
      <c r="AY44" s="27">
        <f t="shared" si="43"/>
        <v>0</v>
      </c>
      <c r="AZ44" s="27">
        <f t="shared" si="43"/>
        <v>0</v>
      </c>
      <c r="BA44" s="27">
        <f t="shared" si="43"/>
        <v>0</v>
      </c>
      <c r="BB44" s="27">
        <f t="shared" si="43"/>
        <v>253143.04330932358</v>
      </c>
      <c r="BC44" s="27">
        <f t="shared" si="43"/>
        <v>75</v>
      </c>
      <c r="BD44" s="27">
        <f t="shared" si="43"/>
        <v>103431.93570932362</v>
      </c>
      <c r="BE44" s="27">
        <f t="shared" si="43"/>
        <v>-57238.37717122358</v>
      </c>
      <c r="BF44" s="27">
        <f t="shared" si="43"/>
        <v>-20289.18</v>
      </c>
    </row>
  </sheetData>
  <sheetProtection/>
  <mergeCells count="67">
    <mergeCell ref="BE3:BE6"/>
    <mergeCell ref="AG5:AG6"/>
    <mergeCell ref="AH5:AH6"/>
    <mergeCell ref="AI5:AI6"/>
    <mergeCell ref="AJ5:AJ6"/>
    <mergeCell ref="AK5:AK6"/>
    <mergeCell ref="AL5:AL6"/>
    <mergeCell ref="AS5:AS6"/>
    <mergeCell ref="AT5:AT6"/>
    <mergeCell ref="AO5:AO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Q3:R4"/>
    <mergeCell ref="AF3:AF6"/>
    <mergeCell ref="S3:T4"/>
    <mergeCell ref="U3:AB4"/>
    <mergeCell ref="AC3:AC6"/>
    <mergeCell ref="AD3:AD6"/>
    <mergeCell ref="T5:T6"/>
    <mergeCell ref="U5:U6"/>
    <mergeCell ref="E3:F4"/>
    <mergeCell ref="G3:H4"/>
    <mergeCell ref="I3:J4"/>
    <mergeCell ref="K3:L4"/>
    <mergeCell ref="M3:N4"/>
    <mergeCell ref="O3:P4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J5:J6"/>
    <mergeCell ref="K5:K6"/>
    <mergeCell ref="L5:L6"/>
    <mergeCell ref="M5:M6"/>
    <mergeCell ref="R5:R6"/>
    <mergeCell ref="S5:S6"/>
    <mergeCell ref="Z5:Z6"/>
    <mergeCell ref="AA5:AA6"/>
    <mergeCell ref="V5:V6"/>
    <mergeCell ref="W5:W6"/>
    <mergeCell ref="X5:X6"/>
    <mergeCell ref="Y5:Y6"/>
    <mergeCell ref="AP5:AP6"/>
    <mergeCell ref="AQ5:AQ6"/>
    <mergeCell ref="AR5:AR6"/>
    <mergeCell ref="AB5:AB6"/>
    <mergeCell ref="AE3:AE6"/>
    <mergeCell ref="AM5:AM6"/>
    <mergeCell ref="AN5:A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1">
      <selection activeCell="G62" sqref="G62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5" ht="12.75">
      <c r="A6" s="276" t="s">
        <v>77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</row>
    <row r="7" spans="1:15" ht="12.75">
      <c r="A7" s="292" t="s">
        <v>94</v>
      </c>
      <c r="B7" s="292"/>
      <c r="C7" s="292"/>
      <c r="D7" s="292"/>
      <c r="E7" s="292"/>
      <c r="F7" s="292"/>
      <c r="G7" s="292"/>
      <c r="H7" s="109"/>
      <c r="I7" s="109"/>
      <c r="J7" s="109"/>
      <c r="K7" s="109"/>
      <c r="L7" s="109"/>
      <c r="M7" s="109"/>
      <c r="N7" s="109"/>
      <c r="O7" s="109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5" ht="13.5" thickBot="1">
      <c r="A9" s="30" t="s">
        <v>55</v>
      </c>
      <c r="D9" s="4"/>
      <c r="E9" s="30">
        <v>8.65</v>
      </c>
    </row>
    <row r="10" spans="1:16" ht="12.75" customHeight="1">
      <c r="A10" s="277" t="s">
        <v>56</v>
      </c>
      <c r="B10" s="280" t="s">
        <v>0</v>
      </c>
      <c r="C10" s="283" t="s">
        <v>57</v>
      </c>
      <c r="D10" s="286" t="s">
        <v>2</v>
      </c>
      <c r="E10" s="289" t="s">
        <v>58</v>
      </c>
      <c r="F10" s="217"/>
      <c r="G10" s="274" t="s">
        <v>74</v>
      </c>
      <c r="H10" s="274"/>
      <c r="I10" s="293" t="s">
        <v>8</v>
      </c>
      <c r="J10" s="294"/>
      <c r="K10" s="294"/>
      <c r="L10" s="294"/>
      <c r="M10" s="294"/>
      <c r="N10" s="295"/>
      <c r="O10" s="262" t="s">
        <v>59</v>
      </c>
      <c r="P10" s="262" t="s">
        <v>78</v>
      </c>
    </row>
    <row r="11" spans="1:16" ht="12.75">
      <c r="A11" s="278"/>
      <c r="B11" s="281"/>
      <c r="C11" s="284"/>
      <c r="D11" s="287"/>
      <c r="E11" s="290"/>
      <c r="F11" s="291"/>
      <c r="G11" s="275"/>
      <c r="H11" s="275"/>
      <c r="I11" s="296"/>
      <c r="J11" s="297"/>
      <c r="K11" s="297"/>
      <c r="L11" s="297"/>
      <c r="M11" s="297"/>
      <c r="N11" s="298"/>
      <c r="O11" s="263"/>
      <c r="P11" s="263"/>
    </row>
    <row r="12" spans="1:16" ht="26.25" customHeight="1">
      <c r="A12" s="278"/>
      <c r="B12" s="281"/>
      <c r="C12" s="284"/>
      <c r="D12" s="287"/>
      <c r="E12" s="265" t="s">
        <v>60</v>
      </c>
      <c r="F12" s="222"/>
      <c r="G12" s="32" t="s">
        <v>61</v>
      </c>
      <c r="H12" s="266" t="s">
        <v>5</v>
      </c>
      <c r="I12" s="268" t="s">
        <v>62</v>
      </c>
      <c r="J12" s="270" t="s">
        <v>30</v>
      </c>
      <c r="K12" s="270" t="s">
        <v>63</v>
      </c>
      <c r="L12" s="270" t="s">
        <v>35</v>
      </c>
      <c r="M12" s="270" t="s">
        <v>64</v>
      </c>
      <c r="N12" s="272" t="s">
        <v>37</v>
      </c>
      <c r="O12" s="263"/>
      <c r="P12" s="263"/>
    </row>
    <row r="13" spans="1:16" ht="66.75" customHeight="1" thickBot="1">
      <c r="A13" s="279"/>
      <c r="B13" s="282"/>
      <c r="C13" s="285"/>
      <c r="D13" s="288"/>
      <c r="E13" s="33" t="s">
        <v>65</v>
      </c>
      <c r="F13" s="34" t="s">
        <v>19</v>
      </c>
      <c r="G13" s="35" t="s">
        <v>75</v>
      </c>
      <c r="H13" s="267"/>
      <c r="I13" s="269"/>
      <c r="J13" s="271"/>
      <c r="K13" s="271"/>
      <c r="L13" s="271"/>
      <c r="M13" s="271"/>
      <c r="N13" s="273"/>
      <c r="O13" s="264"/>
      <c r="P13" s="264"/>
    </row>
    <row r="14" spans="1:16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7</v>
      </c>
      <c r="H14" s="38">
        <v>8</v>
      </c>
      <c r="I14" s="36">
        <v>9</v>
      </c>
      <c r="J14" s="37">
        <v>10</v>
      </c>
      <c r="K14" s="37">
        <v>11</v>
      </c>
      <c r="L14" s="37">
        <v>12</v>
      </c>
      <c r="M14" s="37">
        <v>13</v>
      </c>
      <c r="N14" s="39">
        <v>14</v>
      </c>
      <c r="O14" s="41">
        <v>15</v>
      </c>
      <c r="P14" s="41">
        <v>16</v>
      </c>
    </row>
    <row r="15" spans="1:16" ht="12.75" hidden="1">
      <c r="A15" s="8" t="s">
        <v>38</v>
      </c>
      <c r="B15" s="9"/>
      <c r="C15" s="31"/>
      <c r="D15" s="8"/>
      <c r="E15" s="9"/>
      <c r="F15" s="11"/>
      <c r="G15" s="42"/>
      <c r="H15" s="31"/>
      <c r="I15" s="8"/>
      <c r="J15" s="9"/>
      <c r="K15" s="9"/>
      <c r="L15" s="9"/>
      <c r="M15" s="9"/>
      <c r="N15" s="11"/>
      <c r="O15" s="43"/>
      <c r="P15" s="44"/>
    </row>
    <row r="16" spans="1:16" ht="12.75" hidden="1">
      <c r="A16" s="13" t="s">
        <v>39</v>
      </c>
      <c r="B16" s="14">
        <f>Лист1!B9</f>
        <v>925.4</v>
      </c>
      <c r="C16" s="45">
        <f>Лист1!C9</f>
        <v>8004.71</v>
      </c>
      <c r="D16" s="46">
        <f>Лист1!D9</f>
        <v>1928.1745448000001</v>
      </c>
      <c r="E16" s="15">
        <f>Лист1!S9</f>
        <v>5488.72</v>
      </c>
      <c r="F16" s="17">
        <f>Лист1!T9</f>
        <v>1075.21</v>
      </c>
      <c r="G16" s="47">
        <f>Лист1!AB9</f>
        <v>79.97</v>
      </c>
      <c r="H16" s="110">
        <f>Лист1!AC9</f>
        <v>3083.3545448</v>
      </c>
      <c r="I16" s="48">
        <f>Лист1!AG9</f>
        <v>555.24</v>
      </c>
      <c r="J16" s="15">
        <f>Лист1!AI9+Лист1!AJ9</f>
        <v>930.1417496</v>
      </c>
      <c r="K16" s="15">
        <f>Лист1!AK9+Лист1!AL9+Лист1!AM9+Лист1!AN9+Лист1!AO9+Лист1!AP9+Лист1!AR9+Лист1!AQ9+Лист1!AH9</f>
        <v>3266.10037474</v>
      </c>
      <c r="L16" s="16">
        <f>Лист1!AS9+Лист1!AT9+Лист1!AU9</f>
        <v>0</v>
      </c>
      <c r="M16" s="16">
        <f>Лист1!AX9</f>
        <v>0</v>
      </c>
      <c r="N16" s="111">
        <f>Лист1!BB9</f>
        <v>4751.48212434</v>
      </c>
      <c r="O16" s="49">
        <f>Лист1!BE9</f>
        <v>-1668.1275795400002</v>
      </c>
      <c r="P16" s="49">
        <f>Лист1!BF9</f>
        <v>-5408.75</v>
      </c>
    </row>
    <row r="17" spans="1:16" ht="12.75" hidden="1">
      <c r="A17" s="13" t="s">
        <v>40</v>
      </c>
      <c r="B17" s="14">
        <f>Лист1!B10</f>
        <v>925.4</v>
      </c>
      <c r="C17" s="45">
        <f>Лист1!C10</f>
        <v>8004.71</v>
      </c>
      <c r="D17" s="46">
        <f>Лист1!D10</f>
        <v>1928.1745448000001</v>
      </c>
      <c r="E17" s="15">
        <f>Лист1!S10</f>
        <v>5788.7300000000005</v>
      </c>
      <c r="F17" s="17">
        <f>Лист1!T10</f>
        <v>1075.21</v>
      </c>
      <c r="G17" s="47">
        <f>Лист1!AB10</f>
        <v>3432.63</v>
      </c>
      <c r="H17" s="110">
        <f>Лист1!AC10</f>
        <v>6436.0145448</v>
      </c>
      <c r="I17" s="48">
        <f>Лист1!AG10</f>
        <v>555.24</v>
      </c>
      <c r="J17" s="15">
        <f>Лист1!AI10+Лист1!AJ10</f>
        <v>930.1417496</v>
      </c>
      <c r="K17" s="15">
        <f>Лист1!AK10+Лист1!AL10+Лист1!AM10+Лист1!AN10+Лист1!AO10+Лист1!AP10+Лист1!AR10+Лист1!AQ10+Лист1!AH10</f>
        <v>3256.24301394</v>
      </c>
      <c r="L17" s="16">
        <f>Лист1!AS10+Лист1!AT10+Лист1!AU10</f>
        <v>3340.58</v>
      </c>
      <c r="M17" s="16">
        <f>Лист1!AX10</f>
        <v>0</v>
      </c>
      <c r="N17" s="111">
        <f>Лист1!BB10</f>
        <v>8082.2047635399995</v>
      </c>
      <c r="O17" s="49">
        <f>Лист1!BE10</f>
        <v>-1646.1902187399992</v>
      </c>
      <c r="P17" s="49">
        <f>Лист1!BF10</f>
        <v>-2356.1000000000004</v>
      </c>
    </row>
    <row r="18" spans="1:18" ht="13.5" hidden="1" thickBot="1">
      <c r="A18" s="50" t="s">
        <v>41</v>
      </c>
      <c r="B18" s="75">
        <f>Лист1!B11</f>
        <v>925.4</v>
      </c>
      <c r="C18" s="51">
        <f>Лист1!C11</f>
        <v>8004.71</v>
      </c>
      <c r="D18" s="76">
        <f>Лист1!D11</f>
        <v>1923.9320485</v>
      </c>
      <c r="E18" s="77">
        <f>Лист1!S11</f>
        <v>5480.13</v>
      </c>
      <c r="F18" s="79">
        <f>Лист1!T11</f>
        <v>1075.21</v>
      </c>
      <c r="G18" s="78">
        <f>Лист1!AB11</f>
        <v>4197.82</v>
      </c>
      <c r="H18" s="112">
        <f>Лист1!AC11</f>
        <v>7196.9620485</v>
      </c>
      <c r="I18" s="48">
        <f>Лист1!AG11</f>
        <v>555.24</v>
      </c>
      <c r="J18" s="15">
        <f>Лист1!AI11+Лист1!AJ11</f>
        <v>927.4336590399998</v>
      </c>
      <c r="K18" s="15">
        <f>Лист1!AK11+Лист1!AL11+Лист1!AM11+Лист1!AN11+Лист1!AO11+Лист1!AP11+Лист1!AR11+Лист1!AQ11+Лист1!AH11</f>
        <v>3251.065983942</v>
      </c>
      <c r="L18" s="16">
        <f>Лист1!AS11+Лист1!AT11+Лист1!AU11</f>
        <v>177</v>
      </c>
      <c r="M18" s="16">
        <f>Лист1!AX11</f>
        <v>0</v>
      </c>
      <c r="N18" s="111">
        <f>Лист1!BB11</f>
        <v>4910.739642982</v>
      </c>
      <c r="O18" s="49">
        <f>Лист1!BE11</f>
        <v>2286.2224055179995</v>
      </c>
      <c r="P18" s="49">
        <f>Лист1!BF11</f>
        <v>-1282.3100000000004</v>
      </c>
      <c r="Q18" s="1"/>
      <c r="R18" s="1"/>
    </row>
    <row r="19" spans="1:18" s="23" customFormat="1" ht="13.5" hidden="1" thickBot="1">
      <c r="A19" s="52" t="s">
        <v>3</v>
      </c>
      <c r="B19" s="83"/>
      <c r="C19" s="84">
        <f>SUM(C16:C18)</f>
        <v>24014.13</v>
      </c>
      <c r="D19" s="90">
        <f aca="true" t="shared" si="0" ref="D19:P19">SUM(D16:D18)</f>
        <v>5780.2811381</v>
      </c>
      <c r="E19" s="84">
        <f t="shared" si="0"/>
        <v>16757.58</v>
      </c>
      <c r="F19" s="85">
        <f t="shared" si="0"/>
        <v>3225.63</v>
      </c>
      <c r="G19" s="90">
        <f t="shared" si="0"/>
        <v>7710.42</v>
      </c>
      <c r="H19" s="85">
        <f t="shared" si="0"/>
        <v>16716.331138100002</v>
      </c>
      <c r="I19" s="89">
        <f t="shared" si="0"/>
        <v>1665.72</v>
      </c>
      <c r="J19" s="84">
        <f t="shared" si="0"/>
        <v>2787.7171582399997</v>
      </c>
      <c r="K19" s="84">
        <f t="shared" si="0"/>
        <v>9773.409372622</v>
      </c>
      <c r="L19" s="84">
        <f t="shared" si="0"/>
        <v>3517.58</v>
      </c>
      <c r="M19" s="84">
        <f t="shared" si="0"/>
        <v>0</v>
      </c>
      <c r="N19" s="84">
        <f t="shared" si="0"/>
        <v>17744.426530862</v>
      </c>
      <c r="O19" s="108">
        <f t="shared" si="0"/>
        <v>-1028.0953927619998</v>
      </c>
      <c r="P19" s="107">
        <f t="shared" si="0"/>
        <v>-9047.16</v>
      </c>
      <c r="Q19" s="59"/>
      <c r="R19" s="60"/>
    </row>
    <row r="20" spans="1:18" ht="12.75" hidden="1">
      <c r="A20" s="8" t="s">
        <v>42</v>
      </c>
      <c r="B20" s="80"/>
      <c r="C20" s="61"/>
      <c r="D20" s="62"/>
      <c r="E20" s="63"/>
      <c r="F20" s="64"/>
      <c r="G20" s="65"/>
      <c r="H20" s="113"/>
      <c r="I20" s="66"/>
      <c r="J20" s="63"/>
      <c r="K20" s="63"/>
      <c r="L20" s="81"/>
      <c r="M20" s="81"/>
      <c r="N20" s="114"/>
      <c r="O20" s="82"/>
      <c r="P20" s="82"/>
      <c r="Q20" s="1"/>
      <c r="R20" s="1"/>
    </row>
    <row r="21" spans="1:18" ht="12.75" hidden="1">
      <c r="A21" s="13" t="s">
        <v>43</v>
      </c>
      <c r="B21" s="14">
        <f>Лист1!B14</f>
        <v>925.4</v>
      </c>
      <c r="C21" s="45">
        <f>Лист1!C14</f>
        <v>8004.71</v>
      </c>
      <c r="D21" s="46">
        <f>Лист1!D14</f>
        <v>1000.58875</v>
      </c>
      <c r="E21" s="15">
        <f>Лист1!S14</f>
        <v>5473.16</v>
      </c>
      <c r="F21" s="17">
        <f>Лист1!T14</f>
        <v>1075.21</v>
      </c>
      <c r="G21" s="47">
        <f>Лист1!AB14</f>
        <v>4454.7</v>
      </c>
      <c r="H21" s="110">
        <f>Лист1!AC14</f>
        <v>6530.49875</v>
      </c>
      <c r="I21" s="48">
        <f>Лист1!AG14</f>
        <v>499.716</v>
      </c>
      <c r="J21" s="15">
        <f>Лист1!AI14+Лист1!AJ14</f>
        <v>804.7051653999998</v>
      </c>
      <c r="K21" s="15">
        <f>Лист1!AK14+Лист1!AL14+Лист1!AM14+Лист1!AN14+Лист1!AO14+Лист1!AP14+Лист1!AQ14+Лист1!AR14+Лист1!AH14</f>
        <v>2763.669695332</v>
      </c>
      <c r="L21" s="16">
        <f>Лист1!AS14+Лист1!AT14+Лист1!AU14</f>
        <v>6018.01</v>
      </c>
      <c r="M21" s="16">
        <f>Лист1!AX14</f>
        <v>302.11776000000003</v>
      </c>
      <c r="N21" s="111">
        <f>Лист1!BB14</f>
        <v>10388.218620732</v>
      </c>
      <c r="O21" s="49">
        <f>Лист1!BE14</f>
        <v>-3857.7198707319994</v>
      </c>
      <c r="P21" s="49">
        <f>Лист1!BF14</f>
        <v>-1018.46</v>
      </c>
      <c r="Q21" s="1"/>
      <c r="R21" s="1"/>
    </row>
    <row r="22" spans="1:18" ht="12.75" hidden="1">
      <c r="A22" s="13" t="s">
        <v>44</v>
      </c>
      <c r="B22" s="14">
        <f>Лист1!B15</f>
        <v>925.4</v>
      </c>
      <c r="C22" s="45">
        <f>Лист1!C15</f>
        <v>8004.71</v>
      </c>
      <c r="D22" s="46">
        <f>Лист1!D15</f>
        <v>1000.58875</v>
      </c>
      <c r="E22" s="15">
        <f>Лист1!S15</f>
        <v>5473.16</v>
      </c>
      <c r="F22" s="17">
        <f>Лист1!T15</f>
        <v>1075.21</v>
      </c>
      <c r="G22" s="47">
        <f>Лист1!AB15</f>
        <v>3172.0699999999997</v>
      </c>
      <c r="H22" s="110">
        <f>Лист1!AC15</f>
        <v>5247.86875</v>
      </c>
      <c r="I22" s="48">
        <f>Лист1!AG15</f>
        <v>499.716</v>
      </c>
      <c r="J22" s="15">
        <f>Лист1!AI15+Лист1!AJ15</f>
        <v>804.7287653999998</v>
      </c>
      <c r="K22" s="15">
        <f>Лист1!AK15+Лист1!AL15+Лист1!AM15+Лист1!AN15+Лист1!AO15+Лист1!AP15+Лист1!AQ15+Лист1!AR15+Лист1!AH15</f>
        <v>2767.659372352</v>
      </c>
      <c r="L22" s="16">
        <f>Лист1!AS15+Лист1!AT15+Лист1!AU15</f>
        <v>0</v>
      </c>
      <c r="M22" s="16">
        <f>Лист1!AX15</f>
        <v>242.05104</v>
      </c>
      <c r="N22" s="111">
        <f>Лист1!BB15</f>
        <v>4314.155177751999</v>
      </c>
      <c r="O22" s="49">
        <f>Лист1!BE15</f>
        <v>933.7135722480007</v>
      </c>
      <c r="P22" s="49">
        <f>Лист1!BF15</f>
        <v>-2301.09</v>
      </c>
      <c r="Q22" s="1"/>
      <c r="R22" s="1"/>
    </row>
    <row r="23" spans="1:18" ht="12.75" hidden="1">
      <c r="A23" s="13" t="s">
        <v>45</v>
      </c>
      <c r="B23" s="14">
        <f>Лист1!B16</f>
        <v>925.4</v>
      </c>
      <c r="C23" s="45">
        <f>Лист1!C16</f>
        <v>8004.71</v>
      </c>
      <c r="D23" s="46">
        <f>Лист1!D16</f>
        <v>1000.58875</v>
      </c>
      <c r="E23" s="15">
        <f>Лист1!S16</f>
        <v>5288.0599999999995</v>
      </c>
      <c r="F23" s="17">
        <f>Лист1!T16</f>
        <v>1241.1</v>
      </c>
      <c r="G23" s="47">
        <f>Лист1!AB16</f>
        <v>8909.849999999999</v>
      </c>
      <c r="H23" s="110">
        <f>Лист1!AC16</f>
        <v>11151.538749999998</v>
      </c>
      <c r="I23" s="48">
        <f>Лист1!AG16</f>
        <v>499.716</v>
      </c>
      <c r="J23" s="15">
        <f>Лист1!AI16+Лист1!AJ16</f>
        <v>805.1928535</v>
      </c>
      <c r="K23" s="15">
        <f>Лист1!AK16+Лист1!AL16+Лист1!AM16+Лист1!AN16+Лист1!AO16+Лист1!AP16+Лист1!AQ16+Лист1!AR16+Лист1!AH16</f>
        <v>2675.5969712919996</v>
      </c>
      <c r="L23" s="16">
        <f>Лист1!AS16+Лист1!AT16+Лист1!AU16</f>
        <v>8821.68</v>
      </c>
      <c r="M23" s="16">
        <f>Лист1!AX16</f>
        <v>227.77776</v>
      </c>
      <c r="N23" s="111">
        <f>Лист1!BB16</f>
        <v>13029.963584792</v>
      </c>
      <c r="O23" s="49">
        <f>Лист1!BE16</f>
        <v>-1878.424834792002</v>
      </c>
      <c r="P23" s="49">
        <f>Лист1!BF16</f>
        <v>3621.789999999999</v>
      </c>
      <c r="Q23" s="1"/>
      <c r="R23" s="1"/>
    </row>
    <row r="24" spans="1:18" ht="12.75" hidden="1">
      <c r="A24" s="13" t="s">
        <v>46</v>
      </c>
      <c r="B24" s="14">
        <f>Лист1!B17</f>
        <v>925.4</v>
      </c>
      <c r="C24" s="45">
        <f>Лист1!C17</f>
        <v>8004.71</v>
      </c>
      <c r="D24" s="46">
        <f>Лист1!D17</f>
        <v>1000.58875</v>
      </c>
      <c r="E24" s="15">
        <f>Лист1!S17</f>
        <v>5214.459999999999</v>
      </c>
      <c r="F24" s="17">
        <f>Лист1!T17</f>
        <v>1316.88</v>
      </c>
      <c r="G24" s="47">
        <f>Лист1!AB17</f>
        <v>3712.03</v>
      </c>
      <c r="H24" s="110">
        <f>Лист1!AC17</f>
        <v>6029.498750000001</v>
      </c>
      <c r="I24" s="48">
        <f>Лист1!AG17</f>
        <v>499.716</v>
      </c>
      <c r="J24" s="15">
        <f>Лист1!AI17+Лист1!AJ17</f>
        <v>829.2326170799998</v>
      </c>
      <c r="K24" s="15">
        <f>Лист1!AK17+Лист1!AL17+Лист1!AM17+Лист1!AN17+Лист1!AO17+Лист1!AP17+Лист1!AQ17+Лист1!AR17+Лист1!AH17</f>
        <v>2713.507259344</v>
      </c>
      <c r="L24" s="16">
        <f>Лист1!AS17+Лист1!AT17+Лист1!AU17</f>
        <v>483.8</v>
      </c>
      <c r="M24" s="16">
        <f>Лист1!AX17</f>
        <v>182.57904</v>
      </c>
      <c r="N24" s="111">
        <f>Лист1!BB17</f>
        <v>4708.834916423999</v>
      </c>
      <c r="O24" s="49">
        <f>Лист1!BE17</f>
        <v>1320.6638335760017</v>
      </c>
      <c r="P24" s="49">
        <f>Лист1!BF17</f>
        <v>-1502.429999999999</v>
      </c>
      <c r="Q24" s="1"/>
      <c r="R24" s="1"/>
    </row>
    <row r="25" spans="1:18" ht="12.75" hidden="1">
      <c r="A25" s="13" t="s">
        <v>47</v>
      </c>
      <c r="B25" s="14">
        <f>Лист1!B18</f>
        <v>925.4</v>
      </c>
      <c r="C25" s="45">
        <f>Лист1!C18</f>
        <v>8004.71</v>
      </c>
      <c r="D25" s="46">
        <f>Лист1!D18</f>
        <v>729.9999999999999</v>
      </c>
      <c r="E25" s="15">
        <f>Лист1!S18</f>
        <v>5790.320000000001</v>
      </c>
      <c r="F25" s="17">
        <f>Лист1!T18</f>
        <v>1484.39</v>
      </c>
      <c r="G25" s="47">
        <f>Лист1!AB18</f>
        <v>5502.969999999999</v>
      </c>
      <c r="H25" s="110">
        <f>Лист1!AC18</f>
        <v>7717.359999999999</v>
      </c>
      <c r="I25" s="48">
        <f>Лист1!AG18</f>
        <v>555.24</v>
      </c>
      <c r="J25" s="15">
        <f>Лист1!AI18+Лист1!AJ18</f>
        <v>928.1761999999999</v>
      </c>
      <c r="K25" s="15">
        <f>Лист1!AK18+Лист1!AL18+Лист1!AM18+Лист1!AN18+Лист1!AO18+Лист1!AP18+Лист1!AQ18+Лист1!AR18+Лист1!AH18</f>
        <v>3178.93408</v>
      </c>
      <c r="L25" s="16">
        <f>Лист1!AS18+Лист1!AT18+Лист1!AU18</f>
        <v>2691.7688</v>
      </c>
      <c r="M25" s="16">
        <f>Лист1!AX18</f>
        <v>156.41136000000003</v>
      </c>
      <c r="N25" s="111">
        <f>Лист1!BB18</f>
        <v>7510.5304399999995</v>
      </c>
      <c r="O25" s="49">
        <f>Лист1!BE18</f>
        <v>206.82955999999922</v>
      </c>
      <c r="P25" s="49">
        <f>Лист1!BF18</f>
        <v>-287.3500000000013</v>
      </c>
      <c r="Q25" s="1"/>
      <c r="R25" s="1"/>
    </row>
    <row r="26" spans="1:18" ht="12.75" hidden="1">
      <c r="A26" s="13" t="s">
        <v>48</v>
      </c>
      <c r="B26" s="14">
        <f>Лист1!B19</f>
        <v>925.4</v>
      </c>
      <c r="C26" s="45">
        <f>Лист1!C19</f>
        <v>8004.71</v>
      </c>
      <c r="D26" s="46">
        <f>Лист1!D19</f>
        <v>723.9100000000011</v>
      </c>
      <c r="E26" s="15">
        <f>Лист1!S19</f>
        <v>5796.41</v>
      </c>
      <c r="F26" s="17">
        <f>Лист1!T19</f>
        <v>1484.39</v>
      </c>
      <c r="G26" s="47">
        <f>Лист1!AB19</f>
        <v>5252.2300000000005</v>
      </c>
      <c r="H26" s="110">
        <f>Лист1!AC19</f>
        <v>7460.530000000002</v>
      </c>
      <c r="I26" s="48">
        <f>Лист1!AG19</f>
        <v>555.24</v>
      </c>
      <c r="J26" s="15">
        <f>Лист1!AI19+Лист1!AJ19</f>
        <v>928.1761999999999</v>
      </c>
      <c r="K26" s="15">
        <f>Лист1!AK19+Лист1!AL19+Лист1!AM19+Лист1!AN19+Лист1!AO19+Лист1!AP19+Лист1!AQ19+Лист1!AR19+Лист1!AH19</f>
        <v>3179.017366</v>
      </c>
      <c r="L26" s="16">
        <f>Лист1!AS19+Лист1!AT19+Лист1!AU19</f>
        <v>0</v>
      </c>
      <c r="M26" s="16">
        <f>Лист1!AX19</f>
        <v>138.56976</v>
      </c>
      <c r="N26" s="111">
        <f>Лист1!BB19</f>
        <v>4801.003326</v>
      </c>
      <c r="O26" s="49">
        <f>Лист1!BE19</f>
        <v>2659.5266740000015</v>
      </c>
      <c r="P26" s="49">
        <f>Лист1!BF19</f>
        <v>-544.1799999999994</v>
      </c>
      <c r="Q26" s="1"/>
      <c r="R26" s="1"/>
    </row>
    <row r="27" spans="1:18" ht="12.75" hidden="1">
      <c r="A27" s="13" t="s">
        <v>49</v>
      </c>
      <c r="B27" s="14">
        <f>Лист1!B20</f>
        <v>925.4</v>
      </c>
      <c r="C27" s="45">
        <f>Лист1!C20</f>
        <v>8004.71</v>
      </c>
      <c r="D27" s="46">
        <f>Лист1!D20</f>
        <v>729.350000000001</v>
      </c>
      <c r="E27" s="15">
        <f>Лист1!S20</f>
        <v>5699.63</v>
      </c>
      <c r="F27" s="17">
        <f>Лист1!T20</f>
        <v>1575.7299999999998</v>
      </c>
      <c r="G27" s="47">
        <f>Лист1!AB20</f>
        <v>5801.030000000001</v>
      </c>
      <c r="H27" s="110">
        <f>Лист1!AC20</f>
        <v>8106.1100000000015</v>
      </c>
      <c r="I27" s="48">
        <f>Лист1!AG20</f>
        <v>555.24</v>
      </c>
      <c r="J27" s="15">
        <f>Лист1!AI20+Лист1!AJ20</f>
        <v>914.9032803399998</v>
      </c>
      <c r="K27" s="15">
        <f>Лист1!AK20+Лист1!AL20+Лист1!AM20+Лист1!AN20+Лист1!AO20+Лист1!AP20+Лист1!AQ20+Лист1!AR20+Лист1!AH20</f>
        <v>3147.58508964</v>
      </c>
      <c r="L27" s="16">
        <f>Лист1!AS20+Лист1!AT20+Лист1!AU20</f>
        <v>1477.0768</v>
      </c>
      <c r="M27" s="16">
        <f>Лист1!AX20</f>
        <v>147.49056000000002</v>
      </c>
      <c r="N27" s="111">
        <f>Лист1!BB20</f>
        <v>6242.295729979999</v>
      </c>
      <c r="O27" s="49">
        <f>Лист1!BE20</f>
        <v>1863.8142700200024</v>
      </c>
      <c r="P27" s="49">
        <f>Лист1!BF20</f>
        <v>101.40000000000055</v>
      </c>
      <c r="Q27" s="1"/>
      <c r="R27" s="1"/>
    </row>
    <row r="28" spans="1:18" ht="12.75" hidden="1">
      <c r="A28" s="13" t="s">
        <v>50</v>
      </c>
      <c r="B28" s="14">
        <f>Лист1!B21</f>
        <v>925.4</v>
      </c>
      <c r="C28" s="45">
        <f>Лист1!C21</f>
        <v>8004.71</v>
      </c>
      <c r="D28" s="46">
        <f>Лист1!D21</f>
        <v>731.5600000000001</v>
      </c>
      <c r="E28" s="15">
        <f>Лист1!S21</f>
        <v>5660.049999999999</v>
      </c>
      <c r="F28" s="17">
        <f>Лист1!T21</f>
        <v>1613.1</v>
      </c>
      <c r="G28" s="47">
        <f>Лист1!AB21</f>
        <v>4982</v>
      </c>
      <c r="H28" s="110">
        <f>Лист1!AC21</f>
        <v>7326.66</v>
      </c>
      <c r="I28" s="48">
        <f>Лист1!AG21</f>
        <v>555.24</v>
      </c>
      <c r="J28" s="15">
        <f>Лист1!AI21+Лист1!AJ21</f>
        <v>914.4948828119999</v>
      </c>
      <c r="K28" s="15">
        <f>Лист1!AK21+Лист1!AL21+Лист1!AM21+Лист1!AN21+Лист1!AO21+Лист1!AP21+Лист1!AQ21+Лист1!AR21+Лист1!AH21</f>
        <v>10312.269497199999</v>
      </c>
      <c r="L28" s="16">
        <f>Лист1!AS21+Лист1!AT21+Лист1!AU21</f>
        <v>1321.6</v>
      </c>
      <c r="M28" s="16">
        <f>Лист1!AX21</f>
        <v>174.25295999999997</v>
      </c>
      <c r="N28" s="111">
        <f>Лист1!BB21</f>
        <v>13277.857340011999</v>
      </c>
      <c r="O28" s="49">
        <f>Лист1!BE21</f>
        <v>-5951.197340011999</v>
      </c>
      <c r="P28" s="49">
        <f>Лист1!BF21</f>
        <v>-678.0499999999993</v>
      </c>
      <c r="Q28" s="1"/>
      <c r="R28" s="1"/>
    </row>
    <row r="29" spans="1:18" ht="12.75" hidden="1">
      <c r="A29" s="13" t="s">
        <v>51</v>
      </c>
      <c r="B29" s="14">
        <f>Лист1!B22</f>
        <v>925.4</v>
      </c>
      <c r="C29" s="45">
        <f>Лист1!C22</f>
        <v>8004.71</v>
      </c>
      <c r="D29" s="46">
        <f>Лист1!D22</f>
        <v>719.3200000000003</v>
      </c>
      <c r="E29" s="15">
        <f>Лист1!S22</f>
        <v>5728.45</v>
      </c>
      <c r="F29" s="17">
        <f>Лист1!T22</f>
        <v>1556.94</v>
      </c>
      <c r="G29" s="47">
        <f>Лист1!AB22</f>
        <v>4250.8099999999995</v>
      </c>
      <c r="H29" s="110">
        <f>Лист1!AC22</f>
        <v>6527.07</v>
      </c>
      <c r="I29" s="48">
        <f>Лист1!AG22</f>
        <v>555.24</v>
      </c>
      <c r="J29" s="15">
        <f>Лист1!AI22+Лист1!AJ22</f>
        <v>914.337092858</v>
      </c>
      <c r="K29" s="15">
        <f>Лист1!AK22+Лист1!AL22+Лист1!AM22+Лист1!AN22+Лист1!AO22+Лист1!AP22+Лист1!AQ22+Лист1!AR22+Лист1!AH22</f>
        <v>3146.5183859116</v>
      </c>
      <c r="L29" s="16">
        <f>Лист1!AS22+Лист1!AT22+Лист1!AU22</f>
        <v>1514.0108</v>
      </c>
      <c r="M29" s="16">
        <f>Лист1!AX22</f>
        <v>207.55728000000005</v>
      </c>
      <c r="N29" s="111">
        <f>Лист1!BB22</f>
        <v>6337.6635587696</v>
      </c>
      <c r="O29" s="49">
        <f>Лист1!BE22</f>
        <v>189.40644123039965</v>
      </c>
      <c r="P29" s="49">
        <f>Лист1!BF22</f>
        <v>-1477.6400000000003</v>
      </c>
      <c r="Q29" s="1"/>
      <c r="R29" s="1"/>
    </row>
    <row r="30" spans="1:18" ht="12.75" hidden="1">
      <c r="A30" s="13" t="s">
        <v>39</v>
      </c>
      <c r="B30" s="14">
        <f>Лист1!B23</f>
        <v>925.4</v>
      </c>
      <c r="C30" s="45">
        <f>Лист1!C23</f>
        <v>8004.71</v>
      </c>
      <c r="D30" s="46">
        <f>Лист1!D23</f>
        <v>716.2700000000006</v>
      </c>
      <c r="E30" s="15">
        <f>Лист1!S23</f>
        <v>5745.540000000001</v>
      </c>
      <c r="F30" s="17">
        <f>Лист1!T23</f>
        <v>1542.9</v>
      </c>
      <c r="G30" s="47">
        <f>Лист1!AB23</f>
        <v>6652.450000000001</v>
      </c>
      <c r="H30" s="110">
        <f>Лист1!AC23</f>
        <v>8911.62</v>
      </c>
      <c r="I30" s="48">
        <f>Лист1!AG23</f>
        <v>555.24</v>
      </c>
      <c r="J30" s="15">
        <f>Лист1!AI23+Лист1!AJ23</f>
        <v>924.9002839999998</v>
      </c>
      <c r="K30" s="15">
        <f>Лист1!AK23+Лист1!AL23+Лист1!AM23+Лист1!AN23+Лист1!AO23+Лист1!AP23+Лист1!AQ23+Лист1!AR23+Лист1!AH23</f>
        <v>3173.56676</v>
      </c>
      <c r="L30" s="16">
        <f>Лист1!AS23+Лист1!AT23+Лист1!AU23</f>
        <v>0</v>
      </c>
      <c r="M30" s="16">
        <f>Лист1!AX23</f>
        <v>252.756</v>
      </c>
      <c r="N30" s="111">
        <f>Лист1!BB23</f>
        <v>4906.463044</v>
      </c>
      <c r="O30" s="49">
        <f>Лист1!BE23</f>
        <v>4005.1569560000007</v>
      </c>
      <c r="P30" s="49">
        <f>Лист1!BF23</f>
        <v>906.9099999999999</v>
      </c>
      <c r="Q30" s="1"/>
      <c r="R30" s="1"/>
    </row>
    <row r="31" spans="1:18" ht="12.75" hidden="1">
      <c r="A31" s="13" t="s">
        <v>40</v>
      </c>
      <c r="B31" s="14">
        <f>Лист1!B24</f>
        <v>925.4</v>
      </c>
      <c r="C31" s="45">
        <f>Лист1!C24</f>
        <v>8004.71</v>
      </c>
      <c r="D31" s="46">
        <f>Лист1!D24</f>
        <v>716.2700000000006</v>
      </c>
      <c r="E31" s="15">
        <f>Лист1!S24</f>
        <v>5745.540000000001</v>
      </c>
      <c r="F31" s="17">
        <f>Лист1!T24</f>
        <v>1542.9</v>
      </c>
      <c r="G31" s="47">
        <f>Лист1!AB24</f>
        <v>4832.339999999999</v>
      </c>
      <c r="H31" s="110">
        <f>Лист1!AC24</f>
        <v>7091.51</v>
      </c>
      <c r="I31" s="48">
        <f>Лист1!AG24</f>
        <v>555.24</v>
      </c>
      <c r="J31" s="15">
        <f>Лист1!AI24+Лист1!AJ24</f>
        <v>928.1761999999999</v>
      </c>
      <c r="K31" s="15">
        <f>Лист1!AK24+Лист1!AL24+Лист1!AM24+Лист1!AN24+Лист1!AO24+Лист1!AP24+Лист1!AQ24+Лист1!AR24+Лист1!AH24</f>
        <v>3177.08328</v>
      </c>
      <c r="L31" s="16">
        <f>Лист1!AS24+Лист1!AT24+Лист1!AU24</f>
        <v>264.32</v>
      </c>
      <c r="M31" s="16">
        <f>Лист1!AX24</f>
        <v>279.5184</v>
      </c>
      <c r="N31" s="111">
        <f>Лист1!BB24</f>
        <v>5204.337879999999</v>
      </c>
      <c r="O31" s="49">
        <f>Лист1!BE24</f>
        <v>1887.172120000001</v>
      </c>
      <c r="P31" s="49">
        <f>Лист1!BF24</f>
        <v>-913.2000000000016</v>
      </c>
      <c r="Q31" s="1"/>
      <c r="R31" s="1"/>
    </row>
    <row r="32" spans="1:18" ht="13.5" hidden="1" thickBot="1">
      <c r="A32" s="50" t="s">
        <v>41</v>
      </c>
      <c r="B32" s="14">
        <f>Лист1!B25</f>
        <v>925.4</v>
      </c>
      <c r="C32" s="45">
        <f>Лист1!C25</f>
        <v>8004.71</v>
      </c>
      <c r="D32" s="46">
        <f>Лист1!D25</f>
        <v>721.6</v>
      </c>
      <c r="E32" s="15">
        <f>Лист1!S25</f>
        <v>5715.6900000000005</v>
      </c>
      <c r="F32" s="17">
        <f>Лист1!T25</f>
        <v>1567.42</v>
      </c>
      <c r="G32" s="47">
        <f>Лист1!AB25</f>
        <v>8501.73</v>
      </c>
      <c r="H32" s="110">
        <f>Лист1!AC25</f>
        <v>10790.75</v>
      </c>
      <c r="I32" s="48">
        <f>Лист1!AG25</f>
        <v>555.24</v>
      </c>
      <c r="J32" s="15">
        <f>Лист1!AI25+Лист1!AJ25</f>
        <v>928.1761999999999</v>
      </c>
      <c r="K32" s="15">
        <f>Лист1!AK25+Лист1!AL25+Лист1!AM25+Лист1!AN25+Лист1!AO25+Лист1!AP25+Лист1!AQ25+Лист1!AR25+Лист1!AH25</f>
        <v>3177.08328</v>
      </c>
      <c r="L32" s="16">
        <f>Лист1!AS25+Лист1!AT25+Лист1!AU25</f>
        <v>0</v>
      </c>
      <c r="M32" s="16">
        <f>Лист1!AX25</f>
        <v>305.68608</v>
      </c>
      <c r="N32" s="111">
        <f>Лист1!BB25</f>
        <v>4966.18556</v>
      </c>
      <c r="O32" s="49">
        <f>Лист1!BE25</f>
        <v>5824.56444</v>
      </c>
      <c r="P32" s="49">
        <f>Лист1!BF25</f>
        <v>2786.039999999999</v>
      </c>
      <c r="Q32" s="1"/>
      <c r="R32" s="1"/>
    </row>
    <row r="33" spans="1:18" s="23" customFormat="1" ht="13.5" hidden="1" thickBot="1">
      <c r="A33" s="52" t="s">
        <v>3</v>
      </c>
      <c r="B33" s="53"/>
      <c r="C33" s="54">
        <f aca="true" t="shared" si="1" ref="C33:P33">SUM(C21:C32)</f>
        <v>96056.52000000002</v>
      </c>
      <c r="D33" s="55">
        <f t="shared" si="1"/>
        <v>9790.635000000004</v>
      </c>
      <c r="E33" s="54">
        <f t="shared" si="1"/>
        <v>67330.46999999999</v>
      </c>
      <c r="F33" s="56">
        <f t="shared" si="1"/>
        <v>17076.17</v>
      </c>
      <c r="G33" s="57">
        <f t="shared" si="1"/>
        <v>66024.20999999999</v>
      </c>
      <c r="H33" s="54">
        <f t="shared" si="1"/>
        <v>92891.015</v>
      </c>
      <c r="I33" s="55">
        <f t="shared" si="1"/>
        <v>6440.783999999999</v>
      </c>
      <c r="J33" s="54">
        <f t="shared" si="1"/>
        <v>10625.199741389997</v>
      </c>
      <c r="K33" s="54">
        <f t="shared" si="1"/>
        <v>43412.491037071595</v>
      </c>
      <c r="L33" s="54">
        <f t="shared" si="1"/>
        <v>22592.266399999997</v>
      </c>
      <c r="M33" s="54">
        <f t="shared" si="1"/>
        <v>2616.768</v>
      </c>
      <c r="N33" s="56">
        <f t="shared" si="1"/>
        <v>85687.50917846161</v>
      </c>
      <c r="O33" s="58">
        <f t="shared" si="1"/>
        <v>7203.505821538407</v>
      </c>
      <c r="P33" s="58">
        <f t="shared" si="1"/>
        <v>-1306.2600000000025</v>
      </c>
      <c r="Q33" s="60"/>
      <c r="R33" s="60"/>
    </row>
    <row r="34" spans="1:18" ht="13.5" thickBot="1">
      <c r="A34" s="104" t="s">
        <v>95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67"/>
      <c r="Q34" s="1"/>
      <c r="R34" s="1"/>
    </row>
    <row r="35" spans="1:18" s="23" customFormat="1" ht="13.5" thickBot="1">
      <c r="A35" s="68" t="s">
        <v>52</v>
      </c>
      <c r="B35" s="69"/>
      <c r="C35" s="70">
        <f>C19+C33</f>
        <v>120070.65000000002</v>
      </c>
      <c r="D35" s="71">
        <f aca="true" t="shared" si="2" ref="D35:P35">D19+D33</f>
        <v>15570.916138100005</v>
      </c>
      <c r="E35" s="69">
        <f t="shared" si="2"/>
        <v>84088.04999999999</v>
      </c>
      <c r="F35" s="70">
        <f t="shared" si="2"/>
        <v>20301.8</v>
      </c>
      <c r="G35" s="71">
        <f t="shared" si="2"/>
        <v>73734.62999999999</v>
      </c>
      <c r="H35" s="70">
        <f t="shared" si="2"/>
        <v>109607.3461381</v>
      </c>
      <c r="I35" s="71">
        <f t="shared" si="2"/>
        <v>8106.503999999999</v>
      </c>
      <c r="J35" s="69">
        <f t="shared" si="2"/>
        <v>13412.916899629996</v>
      </c>
      <c r="K35" s="69">
        <f t="shared" si="2"/>
        <v>53185.9004096936</v>
      </c>
      <c r="L35" s="69">
        <f t="shared" si="2"/>
        <v>26109.846399999995</v>
      </c>
      <c r="M35" s="69">
        <f t="shared" si="2"/>
        <v>2616.768</v>
      </c>
      <c r="N35" s="115">
        <f t="shared" si="2"/>
        <v>103431.93570932362</v>
      </c>
      <c r="O35" s="72">
        <f t="shared" si="2"/>
        <v>6175.410428776408</v>
      </c>
      <c r="P35" s="72">
        <f t="shared" si="2"/>
        <v>-10353.420000000002</v>
      </c>
      <c r="Q35" s="73"/>
      <c r="R35" s="60"/>
    </row>
    <row r="36" spans="1:18" ht="12.75">
      <c r="A36" s="8" t="s">
        <v>92</v>
      </c>
      <c r="B36" s="80"/>
      <c r="C36" s="61"/>
      <c r="D36" s="62"/>
      <c r="E36" s="63"/>
      <c r="F36" s="64"/>
      <c r="G36" s="65"/>
      <c r="H36" s="113"/>
      <c r="I36" s="66"/>
      <c r="J36" s="63"/>
      <c r="K36" s="63"/>
      <c r="L36" s="81"/>
      <c r="M36" s="81"/>
      <c r="N36" s="114"/>
      <c r="O36" s="82"/>
      <c r="P36" s="82"/>
      <c r="Q36" s="1"/>
      <c r="R36" s="1"/>
    </row>
    <row r="37" spans="1:18" ht="12.75">
      <c r="A37" s="13" t="s">
        <v>43</v>
      </c>
      <c r="B37" s="14">
        <f>Лист1!B30</f>
        <v>925.4</v>
      </c>
      <c r="C37" s="45">
        <f>Лист1!C30</f>
        <v>8004.71</v>
      </c>
      <c r="D37" s="46">
        <f>Лист1!D30</f>
        <v>727.32</v>
      </c>
      <c r="E37" s="15">
        <f>Лист1!S30</f>
        <v>5683.8</v>
      </c>
      <c r="F37" s="17">
        <f>Лист1!T30</f>
        <v>1593.5900000000001</v>
      </c>
      <c r="G37" s="47">
        <f>Лист1!AB30</f>
        <v>3978.2300000000005</v>
      </c>
      <c r="H37" s="110">
        <f>Лист1!AC30</f>
        <v>6299.140000000001</v>
      </c>
      <c r="I37" s="48">
        <f>Лист1!AG30</f>
        <v>555.24</v>
      </c>
      <c r="J37" s="15">
        <f>Лист1!AI30+Лист1!AJ30</f>
        <v>925.4</v>
      </c>
      <c r="K37" s="15">
        <f>Лист1!AK30+Лист1!AL30+Лист1!AM30+Лист1!AN30+Лист1!AO30+Лист1!AP30+Лист1!AQ30+Лист1!AR30+Лист1!AH30</f>
        <v>3174.122</v>
      </c>
      <c r="L37" s="16">
        <f>Лист1!AS30+Лист1!AT30+Лист1!AU30</f>
        <v>0</v>
      </c>
      <c r="M37" s="16">
        <f>Лист1!AX30</f>
        <v>320.03999999999996</v>
      </c>
      <c r="N37" s="111">
        <f>Лист1!BB30</f>
        <v>4974.802000000001</v>
      </c>
      <c r="O37" s="49">
        <f>Лист1!BE30</f>
        <v>1324.3380000000006</v>
      </c>
      <c r="P37" s="49">
        <f>Лист1!BF30</f>
        <v>-1705.5699999999997</v>
      </c>
      <c r="Q37" s="1"/>
      <c r="R37" s="1"/>
    </row>
    <row r="38" spans="1:18" ht="12.75">
      <c r="A38" s="13" t="s">
        <v>44</v>
      </c>
      <c r="B38" s="14">
        <f>Лист1!B31</f>
        <v>925.4</v>
      </c>
      <c r="C38" s="45">
        <f>Лист1!C31</f>
        <v>8004.71</v>
      </c>
      <c r="D38" s="46">
        <f>Лист1!D31</f>
        <v>727.32</v>
      </c>
      <c r="E38" s="15">
        <f>Лист1!S31</f>
        <v>5683.8</v>
      </c>
      <c r="F38" s="17">
        <f>Лист1!T31</f>
        <v>1593.5900000000001</v>
      </c>
      <c r="G38" s="47">
        <f>Лист1!AB31</f>
        <v>6209.16</v>
      </c>
      <c r="H38" s="110">
        <f>Лист1!AC31</f>
        <v>8530.07</v>
      </c>
      <c r="I38" s="48">
        <f>Лист1!AG31</f>
        <v>555.24</v>
      </c>
      <c r="J38" s="15">
        <f>Лист1!AI31+Лист1!AJ31</f>
        <v>925.4</v>
      </c>
      <c r="K38" s="15">
        <f>Лист1!AK31+Лист1!AL31+Лист1!AM31+Лист1!AN31+Лист1!AO31+Лист1!AP31+Лист1!AQ31+Лист1!AR31+Лист1!AH31</f>
        <v>4880.522</v>
      </c>
      <c r="L38" s="16">
        <f>Лист1!AS31+Лист1!AT31+Лист1!AU31</f>
        <v>7672</v>
      </c>
      <c r="M38" s="16">
        <f>Лист1!AX31</f>
        <v>256.40999999999997</v>
      </c>
      <c r="N38" s="111">
        <f>Лист1!BB31</f>
        <v>14289.572</v>
      </c>
      <c r="O38" s="49">
        <f>Лист1!BE31</f>
        <v>-5759.502</v>
      </c>
      <c r="P38" s="49">
        <f>Лист1!BF31</f>
        <v>525.3599999999997</v>
      </c>
      <c r="Q38" s="1"/>
      <c r="R38" s="1"/>
    </row>
    <row r="39" spans="1:18" ht="12.75">
      <c r="A39" s="13" t="s">
        <v>45</v>
      </c>
      <c r="B39" s="14">
        <f>Лист1!B32</f>
        <v>925.4</v>
      </c>
      <c r="C39" s="45">
        <f>Лист1!C32</f>
        <v>8004.71</v>
      </c>
      <c r="D39" s="46">
        <f>Лист1!D32</f>
        <v>727.32</v>
      </c>
      <c r="E39" s="15">
        <f>Лист1!S32</f>
        <v>5683.8</v>
      </c>
      <c r="F39" s="17">
        <f>Лист1!T32</f>
        <v>1593.5900000000001</v>
      </c>
      <c r="G39" s="47">
        <f>Лист1!AB32</f>
        <v>4638.320000000001</v>
      </c>
      <c r="H39" s="110">
        <f>Лист1!AC32</f>
        <v>6959.230000000001</v>
      </c>
      <c r="I39" s="48">
        <f>Лист1!AG32</f>
        <v>555.24</v>
      </c>
      <c r="J39" s="15">
        <f>Лист1!AI32+Лист1!AJ32</f>
        <v>925.4</v>
      </c>
      <c r="K39" s="15">
        <f>Лист1!AK32+Лист1!AL32+Лист1!AM32+Лист1!AN32+Лист1!AO32+Лист1!AP32+Лист1!AQ32+Лист1!AR32+Лист1!AH32</f>
        <v>3174.122</v>
      </c>
      <c r="L39" s="16">
        <f>Лист1!AS32+Лист1!AT32+Лист1!AU32</f>
        <v>1644</v>
      </c>
      <c r="M39" s="16">
        <f>Лист1!AX32</f>
        <v>241.28999999999996</v>
      </c>
      <c r="N39" s="111">
        <f>Лист1!BB32</f>
        <v>6540.052000000001</v>
      </c>
      <c r="O39" s="49">
        <f>Лист1!BE32</f>
        <v>419.1780000000008</v>
      </c>
      <c r="P39" s="49">
        <f>Лист1!BF32</f>
        <v>-1045.4799999999996</v>
      </c>
      <c r="Q39" s="1"/>
      <c r="R39" s="1"/>
    </row>
    <row r="40" spans="1:18" ht="12.75">
      <c r="A40" s="13" t="s">
        <v>46</v>
      </c>
      <c r="B40" s="14">
        <f>Лист1!B33</f>
        <v>925.4</v>
      </c>
      <c r="C40" s="45">
        <f>Лист1!C33</f>
        <v>8004.71</v>
      </c>
      <c r="D40" s="46">
        <f>Лист1!D33</f>
        <v>712.0199999999995</v>
      </c>
      <c r="E40" s="15">
        <f>Лист1!S33</f>
        <v>5769.300000000001</v>
      </c>
      <c r="F40" s="17">
        <f>Лист1!T33</f>
        <v>1523.39</v>
      </c>
      <c r="G40" s="47">
        <f>Лист1!AB33</f>
        <v>3712.03</v>
      </c>
      <c r="H40" s="110">
        <f>Лист1!AC33</f>
        <v>5947.4400000000005</v>
      </c>
      <c r="I40" s="48">
        <f>Лист1!AG33</f>
        <v>555.24</v>
      </c>
      <c r="J40" s="15">
        <f>Лист1!AI33+Лист1!AJ33</f>
        <v>925.4</v>
      </c>
      <c r="K40" s="15">
        <f>Лист1!AK33+Лист1!AL33+Лист1!AM33+Лист1!AN33+Лист1!AO33+Лист1!AP33+Лист1!AQ33+Лист1!AR33+Лист1!AH33</f>
        <v>3174.122</v>
      </c>
      <c r="L40" s="16">
        <f>Лист1!AS33+Лист1!AT33+Лист1!AU33</f>
        <v>1332</v>
      </c>
      <c r="M40" s="16">
        <f>Лист1!AX33</f>
        <v>193.41</v>
      </c>
      <c r="N40" s="111">
        <f>Лист1!BB33</f>
        <v>6180.1720000000005</v>
      </c>
      <c r="O40" s="49">
        <f>Лист1!BE33</f>
        <v>-232.73199999999997</v>
      </c>
      <c r="P40" s="49">
        <f>Лист1!BF33</f>
        <v>-2057.270000000001</v>
      </c>
      <c r="Q40" s="1"/>
      <c r="R40" s="1"/>
    </row>
    <row r="41" spans="1:18" ht="12.75">
      <c r="A41" s="13" t="s">
        <v>47</v>
      </c>
      <c r="B41" s="14">
        <f>Лист1!B34</f>
        <v>924.7</v>
      </c>
      <c r="C41" s="45">
        <f>Лист1!C34</f>
        <v>7998.655000000001</v>
      </c>
      <c r="D41" s="46">
        <f>Лист1!D34</f>
        <v>711.4750000000006</v>
      </c>
      <c r="E41" s="15">
        <f>Лист1!S34</f>
        <v>5766.53</v>
      </c>
      <c r="F41" s="17">
        <f>Лист1!T34</f>
        <v>1520.6499999999999</v>
      </c>
      <c r="G41" s="47">
        <f>Лист1!AB34</f>
        <v>4548.570000000001</v>
      </c>
      <c r="H41" s="110">
        <f>Лист1!AC34</f>
        <v>6780.6950000000015</v>
      </c>
      <c r="I41" s="48">
        <f>Лист1!AG34</f>
        <v>554.82</v>
      </c>
      <c r="J41" s="15">
        <f>Лист1!AI34+Лист1!AJ34</f>
        <v>924.7</v>
      </c>
      <c r="K41" s="15">
        <f>Лист1!AK34+Лист1!AL34+Лист1!AM34+Лист1!AN34+Лист1!AO34+Лист1!AP34+Лист1!AQ34+Лист1!AR34+Лист1!AH34</f>
        <v>3171.7210000000005</v>
      </c>
      <c r="L41" s="16">
        <f>Лист1!AS34+Лист1!AT34+Лист1!AU34</f>
        <v>4395</v>
      </c>
      <c r="M41" s="16">
        <f>Лист1!AX34</f>
        <v>165.69</v>
      </c>
      <c r="N41" s="111">
        <f>Лист1!BB34</f>
        <v>9211.931</v>
      </c>
      <c r="O41" s="49">
        <f>Лист1!BE34</f>
        <v>-2431.235999999999</v>
      </c>
      <c r="P41" s="49">
        <f>Лист1!BF34</f>
        <v>-1217.9599999999991</v>
      </c>
      <c r="Q41" s="1"/>
      <c r="R41" s="1"/>
    </row>
    <row r="42" spans="1:18" ht="12.75">
      <c r="A42" s="13" t="s">
        <v>48</v>
      </c>
      <c r="B42" s="14">
        <f>Лист1!B35</f>
        <v>924.7</v>
      </c>
      <c r="C42" s="45">
        <f>Лист1!C35</f>
        <v>7998.655000000001</v>
      </c>
      <c r="D42" s="46">
        <f>Лист1!D35</f>
        <v>711.4750000000006</v>
      </c>
      <c r="E42" s="15">
        <f>Лист1!S35</f>
        <v>5766.53</v>
      </c>
      <c r="F42" s="17">
        <f>Лист1!T35</f>
        <v>1520.6499999999999</v>
      </c>
      <c r="G42" s="47">
        <f>Лист1!AB35</f>
        <v>4620.73</v>
      </c>
      <c r="H42" s="110">
        <f>Лист1!AC35</f>
        <v>6852.855</v>
      </c>
      <c r="I42" s="48">
        <f>Лист1!AG35</f>
        <v>554.82</v>
      </c>
      <c r="J42" s="15">
        <f>Лист1!AI35+Лист1!AJ35</f>
        <v>924.7</v>
      </c>
      <c r="K42" s="15">
        <f>Лист1!AK35+Лист1!AL35+Лист1!AM35+Лист1!AN35+Лист1!AO35+Лист1!AP35+Лист1!AQ35+Лист1!AR35+Лист1!AH35</f>
        <v>3171.7210000000005</v>
      </c>
      <c r="L42" s="16">
        <f>Лист1!AS35+Лист1!AT35+Лист1!AU35</f>
        <v>0</v>
      </c>
      <c r="M42" s="16">
        <f>Лист1!AX35</f>
        <v>146.79</v>
      </c>
      <c r="N42" s="111">
        <f>Лист1!BB35</f>
        <v>4798.031</v>
      </c>
      <c r="O42" s="49">
        <f>Лист1!BE35</f>
        <v>2054.8239999999996</v>
      </c>
      <c r="P42" s="49">
        <f>Лист1!BF35</f>
        <v>-1145.8000000000002</v>
      </c>
      <c r="Q42" s="1"/>
      <c r="R42" s="1"/>
    </row>
    <row r="43" spans="1:18" ht="12.75">
      <c r="A43" s="13" t="s">
        <v>49</v>
      </c>
      <c r="B43" s="14">
        <f>Лист1!B36</f>
        <v>924.7</v>
      </c>
      <c r="C43" s="45">
        <f>Лист1!C36</f>
        <v>7998.655000000001</v>
      </c>
      <c r="D43" s="46">
        <f>Лист1!D36</f>
        <v>668.9750000000006</v>
      </c>
      <c r="E43" s="15">
        <f>Лист1!S36</f>
        <v>7329.68</v>
      </c>
      <c r="F43" s="17">
        <f>Лист1!T36</f>
        <v>0</v>
      </c>
      <c r="G43" s="47">
        <f>Лист1!AB36</f>
        <v>5679.12</v>
      </c>
      <c r="H43" s="110">
        <f>Лист1!AC36</f>
        <v>6348.095</v>
      </c>
      <c r="I43" s="48">
        <f>Лист1!AG36</f>
        <v>554.82</v>
      </c>
      <c r="J43" s="15">
        <f>Лист1!AI36+Лист1!AJ36</f>
        <v>924.7</v>
      </c>
      <c r="K43" s="15">
        <f>Лист1!AK36+Лист1!AL36+Лист1!AM36+Лист1!AN36+Лист1!AO36+Лист1!AP36+Лист1!AQ36+Лист1!AR36+Лист1!AH36</f>
        <v>3171.7210000000005</v>
      </c>
      <c r="L43" s="16">
        <f>Лист1!AS36+Лист1!AT36+Лист1!AU36</f>
        <v>1449.9958</v>
      </c>
      <c r="M43" s="16">
        <f>Лист1!AX36</f>
        <v>156.24</v>
      </c>
      <c r="N43" s="111">
        <f>Лист1!BB36</f>
        <v>6257.4767999999995</v>
      </c>
      <c r="O43" s="49">
        <f>Лист1!BE36</f>
        <v>90.6182000000008</v>
      </c>
      <c r="P43" s="49">
        <f>Лист1!BF36</f>
        <v>-1650.5600000000004</v>
      </c>
      <c r="Q43" s="1"/>
      <c r="R43" s="1"/>
    </row>
    <row r="44" spans="1:18" ht="12.75">
      <c r="A44" s="13" t="s">
        <v>50</v>
      </c>
      <c r="B44" s="14">
        <f>Лист1!B37</f>
        <v>924.7</v>
      </c>
      <c r="C44" s="45">
        <f>Лист1!C37</f>
        <v>7998.655000000001</v>
      </c>
      <c r="D44" s="46">
        <f>Лист1!D37</f>
        <v>666.5050000000008</v>
      </c>
      <c r="E44" s="15">
        <f>Лист1!S37</f>
        <v>7332.15</v>
      </c>
      <c r="F44" s="17">
        <f>Лист1!T37</f>
        <v>0</v>
      </c>
      <c r="G44" s="47">
        <f>Лист1!AB37</f>
        <v>6976.31</v>
      </c>
      <c r="H44" s="110">
        <f>Лист1!AC37</f>
        <v>7642.815000000001</v>
      </c>
      <c r="I44" s="48">
        <f>Лист1!AG37</f>
        <v>554.82</v>
      </c>
      <c r="J44" s="15">
        <f>Лист1!AI37+Лист1!AJ37</f>
        <v>924.7</v>
      </c>
      <c r="K44" s="15">
        <f>Лист1!AK37+Лист1!AL37+Лист1!AM37+Лист1!AN37+Лист1!AO37+Лист1!AP37+Лист1!AQ37+Лист1!AR37+Лист1!AH37</f>
        <v>3171.7210000000005</v>
      </c>
      <c r="L44" s="16">
        <f>Лист1!AS37+Лист1!AT37+Лист1!AU37</f>
        <v>3227.8</v>
      </c>
      <c r="M44" s="16">
        <f>Лист1!AX37</f>
        <v>184.58999999999997</v>
      </c>
      <c r="N44" s="111">
        <f>Лист1!BB37</f>
        <v>8063.631</v>
      </c>
      <c r="O44" s="49">
        <f>Лист1!BE37</f>
        <v>-420.8159999999989</v>
      </c>
      <c r="P44" s="49">
        <f>Лист1!BF37</f>
        <v>-355.83999999999924</v>
      </c>
      <c r="Q44" s="1"/>
      <c r="R44" s="1"/>
    </row>
    <row r="45" spans="1:18" ht="12.75">
      <c r="A45" s="13" t="s">
        <v>51</v>
      </c>
      <c r="B45" s="14">
        <f>Лист1!B38</f>
        <v>924.7</v>
      </c>
      <c r="C45" s="45">
        <f>Лист1!C38</f>
        <v>7998.655000000001</v>
      </c>
      <c r="D45" s="46">
        <f>Лист1!D38</f>
        <v>680.7850000000011</v>
      </c>
      <c r="E45" s="15">
        <f>Лист1!S38</f>
        <v>7317.87</v>
      </c>
      <c r="F45" s="17">
        <f>Лист1!T38</f>
        <v>0</v>
      </c>
      <c r="G45" s="47">
        <f>Лист1!AB38</f>
        <v>7136.77</v>
      </c>
      <c r="H45" s="110">
        <f>Лист1!AC38</f>
        <v>7817.555000000001</v>
      </c>
      <c r="I45" s="48">
        <f>Лист1!AG38</f>
        <v>554.82</v>
      </c>
      <c r="J45" s="15">
        <f>Лист1!AI38+Лист1!AJ38</f>
        <v>924.7</v>
      </c>
      <c r="K45" s="15">
        <f>Лист1!AK38+Лист1!AL38+Лист1!AM38+Лист1!AN38+Лист1!AO38+Лист1!AP38+Лист1!AQ38+Лист1!AR38+Лист1!AH38</f>
        <v>3171.7210000000005</v>
      </c>
      <c r="L45" s="16">
        <f>Лист1!AS38+Лист1!AT38+Лист1!AU38</f>
        <v>0</v>
      </c>
      <c r="M45" s="16">
        <f>Лист1!AX38</f>
        <v>219.87</v>
      </c>
      <c r="N45" s="111">
        <f>Лист1!BB38</f>
        <v>4871.111</v>
      </c>
      <c r="O45" s="49">
        <f>Лист1!BE38</f>
        <v>2946.4440000000013</v>
      </c>
      <c r="P45" s="49">
        <f>Лист1!BF38</f>
        <v>-181.09999999999945</v>
      </c>
      <c r="Q45" s="1"/>
      <c r="R45" s="1"/>
    </row>
    <row r="46" spans="1:18" ht="12.75">
      <c r="A46" s="13" t="s">
        <v>39</v>
      </c>
      <c r="B46" s="14">
        <f>Лист1!B39</f>
        <v>924.7</v>
      </c>
      <c r="C46" s="45">
        <f>Лист1!C39</f>
        <v>7998.655000000001</v>
      </c>
      <c r="D46" s="46">
        <f>Лист1!D39</f>
        <v>681.8050000000009</v>
      </c>
      <c r="E46" s="15">
        <f>Лист1!S39</f>
        <v>7316.849999999999</v>
      </c>
      <c r="F46" s="17">
        <f>Лист1!T39</f>
        <v>0</v>
      </c>
      <c r="G46" s="47">
        <f>Лист1!AB39</f>
        <v>5699.739999999999</v>
      </c>
      <c r="H46" s="110">
        <f>Лист1!AC39</f>
        <v>6381.545</v>
      </c>
      <c r="I46" s="48">
        <f>Лист1!AG39</f>
        <v>554.82</v>
      </c>
      <c r="J46" s="15">
        <f>Лист1!AI39+Лист1!AJ39</f>
        <v>924.7</v>
      </c>
      <c r="K46" s="15">
        <f>Лист1!AK39+Лист1!AL39+Лист1!AM39+Лист1!AN39+Лист1!AO39+Лист1!AP39+Лист1!AQ39+Лист1!AR39+Лист1!AH39</f>
        <v>3171.7210000000005</v>
      </c>
      <c r="L46" s="16">
        <f>Лист1!AS39+Лист1!AT39+Лист1!AU39</f>
        <v>63094</v>
      </c>
      <c r="M46" s="16">
        <f>Лист1!AX39</f>
        <v>267.75</v>
      </c>
      <c r="N46" s="111">
        <f>Лист1!BB39</f>
        <v>68012.991</v>
      </c>
      <c r="O46" s="49">
        <f>Лист1!BE39</f>
        <v>-61556.445999999996</v>
      </c>
      <c r="P46" s="49">
        <f>Лист1!BF39</f>
        <v>-1617.1100000000006</v>
      </c>
      <c r="Q46" s="1"/>
      <c r="R46" s="1"/>
    </row>
    <row r="47" spans="1:18" ht="12.75">
      <c r="A47" s="13" t="s">
        <v>40</v>
      </c>
      <c r="B47" s="14">
        <f>Лист1!B40</f>
        <v>924.7</v>
      </c>
      <c r="C47" s="45">
        <f>Лист1!C40</f>
        <v>7998.655000000001</v>
      </c>
      <c r="D47" s="46">
        <f>Лист1!D40</f>
        <v>681.8050000000009</v>
      </c>
      <c r="E47" s="15">
        <f>Лист1!S40</f>
        <v>7316.849999999999</v>
      </c>
      <c r="F47" s="17">
        <f>Лист1!T40</f>
        <v>0</v>
      </c>
      <c r="G47" s="47">
        <f>Лист1!AB40</f>
        <v>6959.51</v>
      </c>
      <c r="H47" s="110">
        <f>Лист1!AC40</f>
        <v>7641.315000000001</v>
      </c>
      <c r="I47" s="48">
        <f>Лист1!AG40</f>
        <v>554.82</v>
      </c>
      <c r="J47" s="15">
        <f>Лист1!AI40+Лист1!AJ40</f>
        <v>924.7</v>
      </c>
      <c r="K47" s="15">
        <f>Лист1!AK40+Лист1!AL40+Лист1!AM40+Лист1!AN40+Лист1!AO40+Лист1!AP40+Лист1!AQ40+Лист1!AR40+Лист1!AH40</f>
        <v>3171.7210000000005</v>
      </c>
      <c r="L47" s="16">
        <f>Лист1!AS40+Лист1!AT40+Лист1!AU40</f>
        <v>0</v>
      </c>
      <c r="M47" s="16">
        <f>Лист1!AX40</f>
        <v>296.09999999999997</v>
      </c>
      <c r="N47" s="111">
        <f>Лист1!BB40</f>
        <v>4947.341</v>
      </c>
      <c r="O47" s="49">
        <f>Лист1!BE40</f>
        <v>2768.974000000001</v>
      </c>
      <c r="P47" s="49">
        <f>Лист1!BF40</f>
        <v>-357.33999999999924</v>
      </c>
      <c r="Q47" s="1"/>
      <c r="R47" s="1"/>
    </row>
    <row r="48" spans="1:18" ht="13.5" thickBot="1">
      <c r="A48" s="50" t="s">
        <v>41</v>
      </c>
      <c r="B48" s="14">
        <f>Лист1!B41</f>
        <v>924.7</v>
      </c>
      <c r="C48" s="45">
        <f>Лист1!C41</f>
        <v>7998.655000000001</v>
      </c>
      <c r="D48" s="46">
        <f>Лист1!D41</f>
        <v>681.8050000000009</v>
      </c>
      <c r="E48" s="15">
        <f>Лист1!S41</f>
        <v>7316.849999999999</v>
      </c>
      <c r="F48" s="17">
        <f>Лист1!T41</f>
        <v>0</v>
      </c>
      <c r="G48" s="47">
        <f>Лист1!AB41</f>
        <v>8189.759999999999</v>
      </c>
      <c r="H48" s="110">
        <f>Лист1!AC41</f>
        <v>8871.565</v>
      </c>
      <c r="I48" s="48">
        <f>Лист1!AG41</f>
        <v>554.82</v>
      </c>
      <c r="J48" s="15">
        <f>Лист1!AI41+Лист1!AJ41</f>
        <v>924.7</v>
      </c>
      <c r="K48" s="15">
        <f>Лист1!AK41+Лист1!AL41+Лист1!AM41+Лист1!AN41+Лист1!AO41+Лист1!AP41+Лист1!AQ41+Лист1!AR41+Лист1!AH41</f>
        <v>3171.7210000000005</v>
      </c>
      <c r="L48" s="16">
        <f>Лист1!AS41+Лист1!AT41+Лист1!AU41</f>
        <v>6588.935799999999</v>
      </c>
      <c r="M48" s="16">
        <f>Лист1!AX41</f>
        <v>323.82</v>
      </c>
      <c r="N48" s="111">
        <f>Лист1!BB41</f>
        <v>11563.996799999999</v>
      </c>
      <c r="O48" s="49">
        <f>Лист1!BE41</f>
        <v>-2617.4317999999985</v>
      </c>
      <c r="P48" s="49">
        <f>Лист1!BF41</f>
        <v>872.9099999999999</v>
      </c>
      <c r="Q48" s="1"/>
      <c r="R48" s="1"/>
    </row>
    <row r="49" spans="1:18" s="23" customFormat="1" ht="13.5" thickBot="1">
      <c r="A49" s="52" t="s">
        <v>3</v>
      </c>
      <c r="B49" s="53"/>
      <c r="C49" s="54">
        <f aca="true" t="shared" si="3" ref="C49:P49">SUM(C37:C48)</f>
        <v>96008.08</v>
      </c>
      <c r="D49" s="55">
        <f t="shared" si="3"/>
        <v>8378.610000000006</v>
      </c>
      <c r="E49" s="54">
        <f t="shared" si="3"/>
        <v>78284.01000000001</v>
      </c>
      <c r="F49" s="56">
        <f t="shared" si="3"/>
        <v>9345.460000000001</v>
      </c>
      <c r="G49" s="57">
        <f t="shared" si="3"/>
        <v>68348.24999999999</v>
      </c>
      <c r="H49" s="54">
        <f t="shared" si="3"/>
        <v>86072.32000000002</v>
      </c>
      <c r="I49" s="55">
        <f t="shared" si="3"/>
        <v>6659.5199999999995</v>
      </c>
      <c r="J49" s="54">
        <f t="shared" si="3"/>
        <v>11099.200000000003</v>
      </c>
      <c r="K49" s="54">
        <f t="shared" si="3"/>
        <v>39776.656</v>
      </c>
      <c r="L49" s="54">
        <f t="shared" si="3"/>
        <v>89403.7316</v>
      </c>
      <c r="M49" s="54">
        <f t="shared" si="3"/>
        <v>2772</v>
      </c>
      <c r="N49" s="56">
        <f t="shared" si="3"/>
        <v>149711.10759999996</v>
      </c>
      <c r="O49" s="58">
        <f t="shared" si="3"/>
        <v>-63413.78759999999</v>
      </c>
      <c r="P49" s="58">
        <f t="shared" si="3"/>
        <v>-9935.759999999998</v>
      </c>
      <c r="Q49" s="60"/>
      <c r="R49" s="60"/>
    </row>
    <row r="50" spans="1:18" ht="13.5" thickBot="1">
      <c r="A50" s="104" t="s">
        <v>66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67"/>
      <c r="Q50" s="1"/>
      <c r="R50" s="1"/>
    </row>
    <row r="51" spans="1:18" s="23" customFormat="1" ht="13.5" thickBot="1">
      <c r="A51" s="68" t="s">
        <v>52</v>
      </c>
      <c r="B51" s="69"/>
      <c r="C51" s="70">
        <f>C35+C49</f>
        <v>216078.73000000004</v>
      </c>
      <c r="D51" s="71">
        <f aca="true" t="shared" si="4" ref="D51:P51">D35+D49</f>
        <v>23949.52613810001</v>
      </c>
      <c r="E51" s="69">
        <f t="shared" si="4"/>
        <v>162372.06</v>
      </c>
      <c r="F51" s="70">
        <f t="shared" si="4"/>
        <v>29647.260000000002</v>
      </c>
      <c r="G51" s="71">
        <f t="shared" si="4"/>
        <v>142082.87999999998</v>
      </c>
      <c r="H51" s="70">
        <f t="shared" si="4"/>
        <v>195679.66613810003</v>
      </c>
      <c r="I51" s="71">
        <f t="shared" si="4"/>
        <v>14766.023999999998</v>
      </c>
      <c r="J51" s="69">
        <f t="shared" si="4"/>
        <v>24512.116899629997</v>
      </c>
      <c r="K51" s="69">
        <f t="shared" si="4"/>
        <v>92962.5564096936</v>
      </c>
      <c r="L51" s="69">
        <f t="shared" si="4"/>
        <v>115513.578</v>
      </c>
      <c r="M51" s="69">
        <f t="shared" si="4"/>
        <v>5388.768</v>
      </c>
      <c r="N51" s="115">
        <f t="shared" si="4"/>
        <v>253143.04330932358</v>
      </c>
      <c r="O51" s="72">
        <f t="shared" si="4"/>
        <v>-57238.37717122358</v>
      </c>
      <c r="P51" s="72">
        <f t="shared" si="4"/>
        <v>-20289.18</v>
      </c>
      <c r="Q51" s="73"/>
      <c r="R51" s="60"/>
    </row>
    <row r="52" spans="1:18" s="23" customFormat="1" ht="12.75">
      <c r="A52" s="2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60"/>
    </row>
    <row r="53" spans="1:18" ht="12.75">
      <c r="A53" s="23" t="s">
        <v>67</v>
      </c>
      <c r="D53" s="2" t="s">
        <v>93</v>
      </c>
      <c r="Q53" s="1"/>
      <c r="R53" s="1"/>
    </row>
    <row r="54" spans="1:18" ht="12.75">
      <c r="A54" s="25" t="s">
        <v>68</v>
      </c>
      <c r="B54" s="25" t="s">
        <v>69</v>
      </c>
      <c r="C54" s="259" t="s">
        <v>70</v>
      </c>
      <c r="D54" s="259"/>
      <c r="Q54" s="1"/>
      <c r="R54" s="1"/>
    </row>
    <row r="55" spans="1:18" ht="12.75">
      <c r="A55" s="86">
        <v>59166.91</v>
      </c>
      <c r="B55" s="88">
        <v>6509</v>
      </c>
      <c r="C55" s="260">
        <f>A55-B55</f>
        <v>52657.91</v>
      </c>
      <c r="D55" s="261"/>
      <c r="Q55" s="1"/>
      <c r="R55" s="1"/>
    </row>
    <row r="56" spans="1:18" ht="12.75">
      <c r="A56" s="74"/>
      <c r="Q56" s="1"/>
      <c r="R56" s="1"/>
    </row>
    <row r="57" spans="1:18" ht="12.75">
      <c r="A57" s="74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96</v>
      </c>
    </row>
    <row r="62" ht="12.75">
      <c r="A62" s="2" t="s">
        <v>73</v>
      </c>
    </row>
  </sheetData>
  <sheetProtection/>
  <mergeCells count="21">
    <mergeCell ref="O10:O13"/>
    <mergeCell ref="G10:H11"/>
    <mergeCell ref="M12:M13"/>
    <mergeCell ref="A6:O6"/>
    <mergeCell ref="A10:A13"/>
    <mergeCell ref="B10:B13"/>
    <mergeCell ref="C10:C13"/>
    <mergeCell ref="D10:D13"/>
    <mergeCell ref="E10:F11"/>
    <mergeCell ref="A7:G7"/>
    <mergeCell ref="I10:N11"/>
    <mergeCell ref="C54:D54"/>
    <mergeCell ref="C55:D55"/>
    <mergeCell ref="P10:P13"/>
    <mergeCell ref="E12:F12"/>
    <mergeCell ref="H12:H13"/>
    <mergeCell ref="I12:I13"/>
    <mergeCell ref="J12:J13"/>
    <mergeCell ref="K12:K13"/>
    <mergeCell ref="L12:L13"/>
    <mergeCell ref="N12:N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4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24" sqref="AK24:BB24"/>
    </sheetView>
  </sheetViews>
  <sheetFormatPr defaultColWidth="9.00390625" defaultRowHeight="12.75"/>
  <cols>
    <col min="1" max="1" width="8.75390625" style="300" bestFit="1" customWidth="1"/>
    <col min="2" max="2" width="9.125" style="300" customWidth="1"/>
    <col min="3" max="3" width="11.375" style="300" customWidth="1"/>
    <col min="4" max="4" width="10.375" style="300" customWidth="1"/>
    <col min="5" max="5" width="10.125" style="300" bestFit="1" customWidth="1"/>
    <col min="6" max="6" width="9.125" style="300" customWidth="1"/>
    <col min="7" max="7" width="10.25390625" style="300" customWidth="1"/>
    <col min="8" max="8" width="9.125" style="300" customWidth="1"/>
    <col min="9" max="9" width="9.875" style="300" customWidth="1"/>
    <col min="10" max="10" width="9.125" style="300" customWidth="1"/>
    <col min="11" max="11" width="10.375" style="300" customWidth="1"/>
    <col min="12" max="12" width="9.125" style="300" customWidth="1"/>
    <col min="13" max="13" width="10.125" style="300" bestFit="1" customWidth="1"/>
    <col min="14" max="14" width="9.125" style="300" customWidth="1"/>
    <col min="15" max="15" width="10.125" style="300" bestFit="1" customWidth="1"/>
    <col min="16" max="18" width="9.125" style="300" customWidth="1"/>
    <col min="19" max="19" width="10.125" style="300" bestFit="1" customWidth="1"/>
    <col min="20" max="20" width="10.125" style="300" customWidth="1"/>
    <col min="21" max="21" width="10.125" style="300" bestFit="1" customWidth="1"/>
    <col min="22" max="22" width="10.25390625" style="300" customWidth="1"/>
    <col min="23" max="23" width="10.625" style="300" customWidth="1"/>
    <col min="24" max="24" width="10.125" style="300" customWidth="1"/>
    <col min="25" max="28" width="10.125" style="300" bestFit="1" customWidth="1"/>
    <col min="29" max="30" width="11.375" style="300" customWidth="1"/>
    <col min="31" max="31" width="9.25390625" style="300" bestFit="1" customWidth="1"/>
    <col min="32" max="32" width="10.125" style="300" bestFit="1" customWidth="1"/>
    <col min="33" max="33" width="12.00390625" style="300" customWidth="1"/>
    <col min="34" max="34" width="14.25390625" style="300" customWidth="1"/>
    <col min="35" max="35" width="9.25390625" style="300" bestFit="1" customWidth="1"/>
    <col min="36" max="36" width="12.625" style="300" customWidth="1"/>
    <col min="37" max="38" width="9.25390625" style="300" bestFit="1" customWidth="1"/>
    <col min="39" max="39" width="10.125" style="300" bestFit="1" customWidth="1"/>
    <col min="40" max="40" width="9.25390625" style="300" bestFit="1" customWidth="1"/>
    <col min="41" max="42" width="10.125" style="300" bestFit="1" customWidth="1"/>
    <col min="43" max="44" width="9.25390625" style="300" customWidth="1"/>
    <col min="45" max="45" width="10.125" style="300" bestFit="1" customWidth="1"/>
    <col min="46" max="46" width="11.625" style="300" customWidth="1"/>
    <col min="47" max="47" width="10.875" style="300" customWidth="1"/>
    <col min="48" max="48" width="10.625" style="300" customWidth="1"/>
    <col min="49" max="49" width="10.25390625" style="300" customWidth="1"/>
    <col min="50" max="50" width="10.625" style="300" customWidth="1"/>
    <col min="51" max="51" width="9.25390625" style="300" bestFit="1" customWidth="1"/>
    <col min="52" max="53" width="10.125" style="300" bestFit="1" customWidth="1"/>
    <col min="54" max="54" width="11.625" style="300" customWidth="1"/>
    <col min="55" max="55" width="11.75390625" style="300" customWidth="1"/>
    <col min="56" max="56" width="12.125" style="300" customWidth="1"/>
    <col min="57" max="57" width="13.625" style="300" customWidth="1"/>
    <col min="58" max="58" width="11.00390625" style="300" customWidth="1"/>
    <col min="59" max="59" width="11.375" style="300" customWidth="1"/>
    <col min="60" max="16384" width="9.125" style="300" customWidth="1"/>
  </cols>
  <sheetData>
    <row r="1" spans="1:18" ht="21" customHeight="1">
      <c r="A1" s="203" t="s">
        <v>97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99"/>
      <c r="P1" s="299"/>
      <c r="Q1" s="299"/>
      <c r="R1" s="299"/>
    </row>
    <row r="2" spans="1:18" ht="13.5" thickBot="1">
      <c r="A2" s="299"/>
      <c r="B2" s="301"/>
      <c r="C2" s="302"/>
      <c r="D2" s="302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59" ht="29.25" customHeight="1" thickBot="1">
      <c r="A3" s="204" t="s">
        <v>98</v>
      </c>
      <c r="B3" s="206" t="s">
        <v>0</v>
      </c>
      <c r="C3" s="208" t="s">
        <v>1</v>
      </c>
      <c r="D3" s="210" t="s">
        <v>2</v>
      </c>
      <c r="E3" s="204" t="s">
        <v>99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7"/>
      <c r="S3" s="204"/>
      <c r="T3" s="220"/>
      <c r="U3" s="204" t="s">
        <v>3</v>
      </c>
      <c r="V3" s="220"/>
      <c r="W3" s="227" t="s">
        <v>4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303"/>
      <c r="AJ3" s="304" t="s">
        <v>81</v>
      </c>
      <c r="AK3" s="194" t="s">
        <v>8</v>
      </c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6"/>
      <c r="BF3" s="307" t="s">
        <v>9</v>
      </c>
      <c r="BG3" s="308" t="s">
        <v>10</v>
      </c>
    </row>
    <row r="4" spans="1:59" ht="51.75" customHeight="1" hidden="1" thickBot="1">
      <c r="A4" s="205"/>
      <c r="B4" s="207"/>
      <c r="C4" s="209"/>
      <c r="D4" s="211"/>
      <c r="E4" s="205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  <c r="S4" s="218"/>
      <c r="T4" s="226"/>
      <c r="U4" s="218"/>
      <c r="V4" s="226"/>
      <c r="W4" s="229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309"/>
      <c r="AJ4" s="310"/>
      <c r="AK4" s="195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2"/>
      <c r="BF4" s="311"/>
      <c r="BG4" s="312"/>
    </row>
    <row r="5" spans="1:61" ht="19.5" customHeight="1">
      <c r="A5" s="205"/>
      <c r="B5" s="207"/>
      <c r="C5" s="209"/>
      <c r="D5" s="211"/>
      <c r="E5" s="313" t="s">
        <v>11</v>
      </c>
      <c r="F5" s="314"/>
      <c r="G5" s="313" t="s">
        <v>100</v>
      </c>
      <c r="H5" s="314"/>
      <c r="I5" s="313" t="s">
        <v>12</v>
      </c>
      <c r="J5" s="314"/>
      <c r="K5" s="313" t="s">
        <v>14</v>
      </c>
      <c r="L5" s="314"/>
      <c r="M5" s="313" t="s">
        <v>13</v>
      </c>
      <c r="N5" s="314"/>
      <c r="O5" s="315" t="s">
        <v>15</v>
      </c>
      <c r="P5" s="315"/>
      <c r="Q5" s="313" t="s">
        <v>101</v>
      </c>
      <c r="R5" s="314"/>
      <c r="S5" s="315" t="s">
        <v>102</v>
      </c>
      <c r="T5" s="314"/>
      <c r="U5" s="199" t="s">
        <v>18</v>
      </c>
      <c r="V5" s="234" t="s">
        <v>19</v>
      </c>
      <c r="W5" s="316" t="s">
        <v>20</v>
      </c>
      <c r="X5" s="316" t="s">
        <v>103</v>
      </c>
      <c r="Y5" s="316" t="s">
        <v>21</v>
      </c>
      <c r="Z5" s="316" t="s">
        <v>23</v>
      </c>
      <c r="AA5" s="316" t="s">
        <v>22</v>
      </c>
      <c r="AB5" s="316" t="s">
        <v>24</v>
      </c>
      <c r="AC5" s="316" t="s">
        <v>25</v>
      </c>
      <c r="AD5" s="317" t="s">
        <v>26</v>
      </c>
      <c r="AE5" s="317" t="s">
        <v>104</v>
      </c>
      <c r="AF5" s="318" t="s">
        <v>27</v>
      </c>
      <c r="AG5" s="319" t="s">
        <v>80</v>
      </c>
      <c r="AH5" s="320" t="s">
        <v>6</v>
      </c>
      <c r="AI5" s="321" t="s">
        <v>7</v>
      </c>
      <c r="AJ5" s="310"/>
      <c r="AK5" s="322" t="s">
        <v>105</v>
      </c>
      <c r="AL5" s="323" t="s">
        <v>106</v>
      </c>
      <c r="AM5" s="323" t="s">
        <v>107</v>
      </c>
      <c r="AN5" s="242" t="s">
        <v>108</v>
      </c>
      <c r="AO5" s="323" t="s">
        <v>109</v>
      </c>
      <c r="AP5" s="242" t="s">
        <v>110</v>
      </c>
      <c r="AQ5" s="242" t="s">
        <v>111</v>
      </c>
      <c r="AR5" s="242" t="s">
        <v>112</v>
      </c>
      <c r="AS5" s="242" t="s">
        <v>113</v>
      </c>
      <c r="AT5" s="242" t="s">
        <v>34</v>
      </c>
      <c r="AU5" s="324" t="s">
        <v>114</v>
      </c>
      <c r="AV5" s="192" t="s">
        <v>115</v>
      </c>
      <c r="AW5" s="324" t="s">
        <v>116</v>
      </c>
      <c r="AX5" s="325" t="s">
        <v>117</v>
      </c>
      <c r="AY5" s="326"/>
      <c r="AZ5" s="246" t="s">
        <v>17</v>
      </c>
      <c r="BA5" s="242" t="s">
        <v>36</v>
      </c>
      <c r="BB5" s="242" t="s">
        <v>31</v>
      </c>
      <c r="BC5" s="327" t="s">
        <v>37</v>
      </c>
      <c r="BD5" s="239" t="s">
        <v>83</v>
      </c>
      <c r="BE5" s="242" t="s">
        <v>84</v>
      </c>
      <c r="BF5" s="311"/>
      <c r="BG5" s="312"/>
      <c r="BH5" s="186"/>
      <c r="BI5" s="185"/>
    </row>
    <row r="6" spans="1:61" ht="56.25" customHeight="1" thickBot="1">
      <c r="A6" s="205"/>
      <c r="B6" s="207"/>
      <c r="C6" s="209"/>
      <c r="D6" s="211"/>
      <c r="E6" s="328"/>
      <c r="F6" s="329"/>
      <c r="G6" s="328"/>
      <c r="H6" s="329"/>
      <c r="I6" s="328"/>
      <c r="J6" s="329"/>
      <c r="K6" s="328"/>
      <c r="L6" s="329"/>
      <c r="M6" s="328"/>
      <c r="N6" s="329"/>
      <c r="O6" s="330"/>
      <c r="P6" s="330"/>
      <c r="Q6" s="328"/>
      <c r="R6" s="329"/>
      <c r="S6" s="331"/>
      <c r="T6" s="329"/>
      <c r="U6" s="332"/>
      <c r="V6" s="333"/>
      <c r="W6" s="334"/>
      <c r="X6" s="334"/>
      <c r="Y6" s="334"/>
      <c r="Z6" s="334"/>
      <c r="AA6" s="334"/>
      <c r="AB6" s="334"/>
      <c r="AC6" s="334"/>
      <c r="AD6" s="335"/>
      <c r="AE6" s="335"/>
      <c r="AF6" s="336"/>
      <c r="AG6" s="337"/>
      <c r="AH6" s="338"/>
      <c r="AI6" s="339"/>
      <c r="AJ6" s="340"/>
      <c r="AK6" s="254"/>
      <c r="AL6" s="256"/>
      <c r="AM6" s="256"/>
      <c r="AN6" s="189"/>
      <c r="AO6" s="256"/>
      <c r="AP6" s="189"/>
      <c r="AQ6" s="189"/>
      <c r="AR6" s="189"/>
      <c r="AS6" s="189"/>
      <c r="AT6" s="189"/>
      <c r="AU6" s="258"/>
      <c r="AV6" s="193"/>
      <c r="AW6" s="258"/>
      <c r="AX6" s="341"/>
      <c r="AY6" s="119" t="s">
        <v>118</v>
      </c>
      <c r="AZ6" s="247"/>
      <c r="BA6" s="189"/>
      <c r="BB6" s="189"/>
      <c r="BC6" s="342"/>
      <c r="BD6" s="241"/>
      <c r="BE6" s="189"/>
      <c r="BF6" s="343"/>
      <c r="BG6" s="344"/>
      <c r="BH6" s="186"/>
      <c r="BI6" s="185"/>
    </row>
    <row r="7" spans="1:61" ht="19.5" customHeight="1" thickBot="1">
      <c r="A7" s="345">
        <v>1</v>
      </c>
      <c r="B7" s="41">
        <v>2</v>
      </c>
      <c r="C7" s="41">
        <v>3</v>
      </c>
      <c r="D7" s="345">
        <v>4</v>
      </c>
      <c r="E7" s="41">
        <v>5</v>
      </c>
      <c r="F7" s="41">
        <v>6</v>
      </c>
      <c r="G7" s="345">
        <v>7</v>
      </c>
      <c r="H7" s="41">
        <v>8</v>
      </c>
      <c r="I7" s="41">
        <v>9</v>
      </c>
      <c r="J7" s="345">
        <v>10</v>
      </c>
      <c r="K7" s="41">
        <v>11</v>
      </c>
      <c r="L7" s="41">
        <v>12</v>
      </c>
      <c r="M7" s="345">
        <v>13</v>
      </c>
      <c r="N7" s="41">
        <v>14</v>
      </c>
      <c r="O7" s="41">
        <v>15</v>
      </c>
      <c r="P7" s="345">
        <v>16</v>
      </c>
      <c r="Q7" s="41">
        <v>17</v>
      </c>
      <c r="R7" s="41">
        <v>18</v>
      </c>
      <c r="S7" s="345">
        <v>19</v>
      </c>
      <c r="T7" s="41">
        <v>20</v>
      </c>
      <c r="U7" s="41">
        <v>21</v>
      </c>
      <c r="V7" s="345">
        <v>22</v>
      </c>
      <c r="W7" s="41">
        <v>23</v>
      </c>
      <c r="X7" s="345">
        <v>24</v>
      </c>
      <c r="Y7" s="41">
        <v>25</v>
      </c>
      <c r="Z7" s="345">
        <v>26</v>
      </c>
      <c r="AA7" s="41">
        <v>27</v>
      </c>
      <c r="AB7" s="345">
        <v>28</v>
      </c>
      <c r="AC7" s="41">
        <v>29</v>
      </c>
      <c r="AD7" s="345">
        <v>30</v>
      </c>
      <c r="AE7" s="345">
        <v>31</v>
      </c>
      <c r="AF7" s="41">
        <v>32</v>
      </c>
      <c r="AG7" s="345">
        <v>33</v>
      </c>
      <c r="AH7" s="41">
        <v>34</v>
      </c>
      <c r="AI7" s="345">
        <v>35</v>
      </c>
      <c r="AJ7" s="41">
        <v>36</v>
      </c>
      <c r="AK7" s="345">
        <v>37</v>
      </c>
      <c r="AL7" s="41">
        <v>38</v>
      </c>
      <c r="AM7" s="345">
        <v>39</v>
      </c>
      <c r="AN7" s="345">
        <v>40</v>
      </c>
      <c r="AO7" s="41">
        <v>41</v>
      </c>
      <c r="AP7" s="345">
        <v>42</v>
      </c>
      <c r="AQ7" s="41">
        <v>43</v>
      </c>
      <c r="AR7" s="345"/>
      <c r="AS7" s="345">
        <v>44</v>
      </c>
      <c r="AT7" s="41">
        <v>45</v>
      </c>
      <c r="AU7" s="345">
        <v>46</v>
      </c>
      <c r="AV7" s="41">
        <v>47</v>
      </c>
      <c r="AW7" s="345">
        <v>48</v>
      </c>
      <c r="AX7" s="345">
        <v>49</v>
      </c>
      <c r="AY7" s="41"/>
      <c r="AZ7" s="41">
        <v>50</v>
      </c>
      <c r="BA7" s="41">
        <v>51</v>
      </c>
      <c r="BB7" s="41">
        <v>52</v>
      </c>
      <c r="BC7" s="41">
        <v>53</v>
      </c>
      <c r="BD7" s="41">
        <v>54</v>
      </c>
      <c r="BE7" s="41"/>
      <c r="BF7" s="41">
        <v>55</v>
      </c>
      <c r="BG7" s="41">
        <v>56</v>
      </c>
      <c r="BH7" s="185"/>
      <c r="BI7" s="185"/>
    </row>
    <row r="8" spans="1:59" s="23" customFormat="1" ht="13.5" thickBot="1">
      <c r="A8" s="26" t="s">
        <v>52</v>
      </c>
      <c r="B8" s="346"/>
      <c r="C8" s="346">
        <f>Лист1!C44</f>
        <v>216078.73000000004</v>
      </c>
      <c r="D8" s="346">
        <f>Лист1!D44</f>
        <v>23949.52613810001</v>
      </c>
      <c r="E8" s="346">
        <f>Лист1!E44</f>
        <v>18712.5</v>
      </c>
      <c r="F8" s="346">
        <f>Лист1!F44</f>
        <v>3422.54</v>
      </c>
      <c r="G8" s="346">
        <f>0</f>
        <v>0</v>
      </c>
      <c r="H8" s="346">
        <f>0</f>
        <v>0</v>
      </c>
      <c r="I8" s="346">
        <f>Лист1!G44</f>
        <v>25331.199999999997</v>
      </c>
      <c r="J8" s="346">
        <f>Лист1!H44</f>
        <v>4634.41</v>
      </c>
      <c r="K8" s="346">
        <f>Лист1!K44</f>
        <v>42472.79</v>
      </c>
      <c r="L8" s="346">
        <f>Лист1!L44</f>
        <v>7714.93</v>
      </c>
      <c r="M8" s="346">
        <f>Лист1!I44</f>
        <v>60885.619999999995</v>
      </c>
      <c r="N8" s="346">
        <f>Лист1!J44</f>
        <v>11137.439999999999</v>
      </c>
      <c r="O8" s="346">
        <f>Лист1!M44</f>
        <v>14969.95</v>
      </c>
      <c r="P8" s="346">
        <f>Лист1!N44</f>
        <v>2737.94</v>
      </c>
      <c r="Q8" s="346">
        <f>'[2]Лист1'!O44</f>
        <v>0</v>
      </c>
      <c r="R8" s="346">
        <f>'[2]Лист1'!P44</f>
        <v>0</v>
      </c>
      <c r="S8" s="346">
        <f>'[2]Лист1'!Q44</f>
        <v>0</v>
      </c>
      <c r="T8" s="346">
        <f>'[2]Лист1'!R44</f>
        <v>0</v>
      </c>
      <c r="U8" s="346">
        <f>Лист1!S44</f>
        <v>162372.06</v>
      </c>
      <c r="V8" s="346">
        <f>Лист1!T44</f>
        <v>29647.260000000002</v>
      </c>
      <c r="W8" s="346">
        <f>Лист1!U44</f>
        <v>16398.03</v>
      </c>
      <c r="X8" s="346">
        <v>0</v>
      </c>
      <c r="Y8" s="346">
        <f>Лист1!V44</f>
        <v>22206.24</v>
      </c>
      <c r="Z8" s="346">
        <f>Лист1!X44</f>
        <v>36973.62</v>
      </c>
      <c r="AA8" s="346">
        <f>Лист1!W44</f>
        <v>53378.58</v>
      </c>
      <c r="AB8" s="346">
        <f>Лист1!Y44</f>
        <v>13126.41</v>
      </c>
      <c r="AC8" s="346">
        <f>'[3]Лист1'!Z42</f>
        <v>0</v>
      </c>
      <c r="AD8" s="346">
        <f>'[3]Лист1'!AA42</f>
        <v>0</v>
      </c>
      <c r="AE8" s="346">
        <f>0</f>
        <v>0</v>
      </c>
      <c r="AF8" s="346">
        <f>Лист1!AB44</f>
        <v>142082.87999999998</v>
      </c>
      <c r="AG8" s="346">
        <f>Лист1!AC44</f>
        <v>195679.66613810003</v>
      </c>
      <c r="AH8" s="346">
        <f>'[4]2010 печать'!AD44</f>
        <v>0</v>
      </c>
      <c r="AI8" s="346">
        <f>'[3]Лист1'!AE42</f>
        <v>0</v>
      </c>
      <c r="AJ8" s="346">
        <f>Лист1!AF44</f>
        <v>300</v>
      </c>
      <c r="AK8" s="346">
        <f>Лист1!AG44</f>
        <v>14766.023999999998</v>
      </c>
      <c r="AL8" s="346">
        <f>Лист1!AH44</f>
        <v>4947.8377648000005</v>
      </c>
      <c r="AM8" s="346">
        <f>Лист1!AI44+Лист1!AJ44</f>
        <v>24512.116899630004</v>
      </c>
      <c r="AN8" s="346">
        <v>0</v>
      </c>
      <c r="AO8" s="346">
        <f>Лист1!AK44+Лист1!AL44</f>
        <v>24448.953251814</v>
      </c>
      <c r="AP8" s="346">
        <f>Лист1!AM44+Лист1!AN44</f>
        <v>54694.0277930796</v>
      </c>
      <c r="AQ8" s="346">
        <v>0</v>
      </c>
      <c r="AR8" s="346">
        <v>0</v>
      </c>
      <c r="AS8" s="346">
        <v>0</v>
      </c>
      <c r="AT8" s="346">
        <f>Лист1!AO44</f>
        <v>1706.4</v>
      </c>
      <c r="AU8" s="346">
        <f>Лист1!AS44+Лист1!AU44</f>
        <v>110199.158</v>
      </c>
      <c r="AV8" s="346">
        <v>0</v>
      </c>
      <c r="AW8" s="346">
        <f>Лист1!AT44</f>
        <v>5314.419999999999</v>
      </c>
      <c r="AX8" s="346">
        <f>Лист1!AQ44+Лист1!AR44</f>
        <v>7165.3376</v>
      </c>
      <c r="AY8" s="347">
        <f>Лист1!AX44</f>
        <v>5388.768</v>
      </c>
      <c r="AZ8" s="347">
        <f>'[2]Лист1'!AY44</f>
        <v>0</v>
      </c>
      <c r="BA8" s="347">
        <f>'[5]Лист1'!AZ44</f>
        <v>0</v>
      </c>
      <c r="BB8" s="347">
        <v>0</v>
      </c>
      <c r="BC8" s="347">
        <f>Лист1!BB44</f>
        <v>253143.04330932358</v>
      </c>
      <c r="BD8" s="346">
        <f>'[1]Лист1'!BC44</f>
        <v>75</v>
      </c>
      <c r="BE8" s="346">
        <f>Лист1!BB44+Лист1!BC44</f>
        <v>253218.04330932358</v>
      </c>
      <c r="BF8" s="348">
        <f>Лист1!BE44</f>
        <v>-57238.37717122358</v>
      </c>
      <c r="BG8" s="348">
        <f>Лист1!BF44</f>
        <v>-20289.18</v>
      </c>
    </row>
    <row r="9" spans="1:59" ht="12.75">
      <c r="A9" s="5" t="s">
        <v>119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50"/>
      <c r="BF9" s="348"/>
      <c r="BG9" s="351"/>
    </row>
    <row r="10" spans="1:76" ht="12.75">
      <c r="A10" s="352" t="s">
        <v>43</v>
      </c>
      <c r="B10" s="353">
        <v>924.7</v>
      </c>
      <c r="C10" s="158">
        <f aca="true" t="shared" si="0" ref="C10:C16">B10*8.55</f>
        <v>7906.185000000001</v>
      </c>
      <c r="D10" s="175">
        <v>0</v>
      </c>
      <c r="E10" s="354">
        <v>0</v>
      </c>
      <c r="F10" s="354">
        <v>0</v>
      </c>
      <c r="G10" s="355">
        <v>4850.59</v>
      </c>
      <c r="H10" s="355">
        <v>0</v>
      </c>
      <c r="I10" s="355">
        <v>0</v>
      </c>
      <c r="J10" s="355">
        <v>0</v>
      </c>
      <c r="K10" s="355">
        <v>0</v>
      </c>
      <c r="L10" s="355">
        <v>0</v>
      </c>
      <c r="M10" s="355">
        <v>2355.32</v>
      </c>
      <c r="N10" s="355">
        <v>0</v>
      </c>
      <c r="O10" s="356">
        <v>816.73</v>
      </c>
      <c r="P10" s="357">
        <v>0</v>
      </c>
      <c r="Q10" s="358">
        <v>0</v>
      </c>
      <c r="R10" s="359">
        <v>0</v>
      </c>
      <c r="S10" s="360">
        <v>0</v>
      </c>
      <c r="T10" s="361">
        <v>0</v>
      </c>
      <c r="U10" s="362">
        <f aca="true" t="shared" si="1" ref="U10:V21">E10+G10+I10+K10+M10+O10+Q10+S10</f>
        <v>8022.639999999999</v>
      </c>
      <c r="V10" s="363">
        <f t="shared" si="1"/>
        <v>0</v>
      </c>
      <c r="W10" s="355">
        <v>600.96</v>
      </c>
      <c r="X10" s="355"/>
      <c r="Y10" s="355">
        <v>813.83</v>
      </c>
      <c r="Z10" s="355">
        <v>1345.22</v>
      </c>
      <c r="AA10" s="355">
        <v>1757</v>
      </c>
      <c r="AB10" s="355">
        <v>420.07</v>
      </c>
      <c r="AC10" s="355">
        <v>0</v>
      </c>
      <c r="AD10" s="354">
        <v>0</v>
      </c>
      <c r="AE10" s="364">
        <v>0</v>
      </c>
      <c r="AF10" s="364">
        <f>SUM(W10:AE10)</f>
        <v>4937.08</v>
      </c>
      <c r="AG10" s="365">
        <f>AF10+V10+D10</f>
        <v>4937.08</v>
      </c>
      <c r="AH10" s="366">
        <f aca="true" t="shared" si="2" ref="AH10:AI21">AC10</f>
        <v>0</v>
      </c>
      <c r="AI10" s="366">
        <f t="shared" si="2"/>
        <v>0</v>
      </c>
      <c r="AJ10" s="367">
        <f>'[6]Т01'!$I$150</f>
        <v>100</v>
      </c>
      <c r="AK10" s="368">
        <f aca="true" t="shared" si="3" ref="AK10:AK21">0.67*B10</f>
        <v>619.5490000000001</v>
      </c>
      <c r="AL10" s="368">
        <f aca="true" t="shared" si="4" ref="AL10:AL21">B10*0.2</f>
        <v>184.94000000000003</v>
      </c>
      <c r="AM10" s="368">
        <f aca="true" t="shared" si="5" ref="AM10:AM21">B10*1</f>
        <v>924.7</v>
      </c>
      <c r="AN10" s="368">
        <f aca="true" t="shared" si="6" ref="AN10:AN21">B10*0.21</f>
        <v>194.187</v>
      </c>
      <c r="AO10" s="368">
        <f aca="true" t="shared" si="7" ref="AO10:AO21">2.02*B10</f>
        <v>1867.894</v>
      </c>
      <c r="AP10" s="368">
        <f aca="true" t="shared" si="8" ref="AP10:AP21">B10*1.03</f>
        <v>952.441</v>
      </c>
      <c r="AQ10" s="368">
        <f aca="true" t="shared" si="9" ref="AQ10:AQ21">B10*0.75</f>
        <v>693.5250000000001</v>
      </c>
      <c r="AR10" s="368">
        <f aca="true" t="shared" si="10" ref="AR10:AR21">B10*0.75</f>
        <v>693.5250000000001</v>
      </c>
      <c r="AS10" s="368">
        <f>B10*1.15</f>
        <v>1063.405</v>
      </c>
      <c r="AT10" s="369"/>
      <c r="AU10" s="370"/>
      <c r="AV10" s="371"/>
      <c r="AW10" s="370"/>
      <c r="AX10" s="370">
        <f>350</f>
        <v>350</v>
      </c>
      <c r="AY10" s="369"/>
      <c r="AZ10" s="184"/>
      <c r="BA10" s="184"/>
      <c r="BB10" s="373">
        <f>BA10*0.18</f>
        <v>0</v>
      </c>
      <c r="BC10" s="373">
        <f>SUM(AK10:BB10)</f>
        <v>7544.166</v>
      </c>
      <c r="BD10" s="374">
        <f>'[6]Т01'!$R$150</f>
        <v>25</v>
      </c>
      <c r="BE10" s="374">
        <f>BC10+BD10</f>
        <v>7569.166</v>
      </c>
      <c r="BF10" s="374">
        <f>AG10+AJ10-BE10</f>
        <v>-2532.0860000000002</v>
      </c>
      <c r="BG10" s="374">
        <f>AF10-U10</f>
        <v>-3085.5599999999995</v>
      </c>
      <c r="BH10" s="374"/>
      <c r="BI10" s="374"/>
      <c r="BJ10" s="375"/>
      <c r="BK10" s="375"/>
      <c r="BL10" s="375"/>
      <c r="BM10" s="375"/>
      <c r="BN10" s="375"/>
      <c r="BO10" s="376"/>
      <c r="BP10" s="376"/>
      <c r="BQ10" s="373"/>
      <c r="BR10" s="348"/>
      <c r="BS10" s="348"/>
      <c r="BT10" s="351"/>
      <c r="BU10" s="377"/>
      <c r="BV10" s="378"/>
      <c r="BW10" s="379"/>
      <c r="BX10" s="380"/>
    </row>
    <row r="11" spans="1:74" ht="12.75">
      <c r="A11" s="352" t="s">
        <v>44</v>
      </c>
      <c r="B11" s="353">
        <v>924.7</v>
      </c>
      <c r="C11" s="158">
        <f t="shared" si="0"/>
        <v>7906.185000000001</v>
      </c>
      <c r="D11" s="175">
        <v>0</v>
      </c>
      <c r="E11" s="354">
        <v>0</v>
      </c>
      <c r="F11" s="354">
        <v>0</v>
      </c>
      <c r="G11" s="355">
        <v>4850.59</v>
      </c>
      <c r="H11" s="355">
        <v>0</v>
      </c>
      <c r="I11" s="355">
        <v>0</v>
      </c>
      <c r="J11" s="355">
        <v>0</v>
      </c>
      <c r="K11" s="355">
        <v>0</v>
      </c>
      <c r="L11" s="355">
        <v>0</v>
      </c>
      <c r="M11" s="355">
        <v>2355.32</v>
      </c>
      <c r="N11" s="355">
        <v>0</v>
      </c>
      <c r="O11" s="356">
        <v>816.73</v>
      </c>
      <c r="P11" s="381">
        <v>0</v>
      </c>
      <c r="Q11" s="354">
        <v>0</v>
      </c>
      <c r="R11" s="354">
        <v>0</v>
      </c>
      <c r="S11" s="354">
        <v>0</v>
      </c>
      <c r="T11" s="355">
        <v>0</v>
      </c>
      <c r="U11" s="382">
        <f t="shared" si="1"/>
        <v>8022.639999999999</v>
      </c>
      <c r="V11" s="363">
        <f t="shared" si="1"/>
        <v>0</v>
      </c>
      <c r="W11" s="355">
        <v>193.5</v>
      </c>
      <c r="X11" s="354">
        <v>3970.76</v>
      </c>
      <c r="Y11" s="355">
        <v>262.34</v>
      </c>
      <c r="Z11" s="355">
        <v>445.9</v>
      </c>
      <c r="AA11" s="355">
        <v>2496.48</v>
      </c>
      <c r="AB11" s="355">
        <v>814.37</v>
      </c>
      <c r="AC11" s="355">
        <v>0</v>
      </c>
      <c r="AD11" s="354">
        <v>0</v>
      </c>
      <c r="AE11" s="354">
        <v>0</v>
      </c>
      <c r="AF11" s="364">
        <f>SUM(W11:AE11)</f>
        <v>8183.349999999999</v>
      </c>
      <c r="AG11" s="365">
        <f>AF11+V11+D11</f>
        <v>8183.349999999999</v>
      </c>
      <c r="AH11" s="366">
        <f t="shared" si="2"/>
        <v>0</v>
      </c>
      <c r="AI11" s="366">
        <f t="shared" si="2"/>
        <v>0</v>
      </c>
      <c r="AJ11" s="367">
        <f>'[6]Т02'!$J$152</f>
        <v>100</v>
      </c>
      <c r="AK11" s="368">
        <f t="shared" si="3"/>
        <v>619.5490000000001</v>
      </c>
      <c r="AL11" s="368">
        <f t="shared" si="4"/>
        <v>184.94000000000003</v>
      </c>
      <c r="AM11" s="368">
        <f t="shared" si="5"/>
        <v>924.7</v>
      </c>
      <c r="AN11" s="368">
        <f t="shared" si="6"/>
        <v>194.187</v>
      </c>
      <c r="AO11" s="368">
        <f t="shared" si="7"/>
        <v>1867.894</v>
      </c>
      <c r="AP11" s="368">
        <f t="shared" si="8"/>
        <v>952.441</v>
      </c>
      <c r="AQ11" s="368">
        <f t="shared" si="9"/>
        <v>693.5250000000001</v>
      </c>
      <c r="AR11" s="368">
        <f t="shared" si="10"/>
        <v>693.5250000000001</v>
      </c>
      <c r="AS11" s="368">
        <f>B11*1.15</f>
        <v>1063.405</v>
      </c>
      <c r="AT11" s="368">
        <f>0.45*316</f>
        <v>142.20000000000002</v>
      </c>
      <c r="AU11" s="370"/>
      <c r="AV11" s="371"/>
      <c r="AW11" s="370"/>
      <c r="AX11" s="372">
        <f>33.84</f>
        <v>33.84</v>
      </c>
      <c r="AY11" s="369"/>
      <c r="AZ11" s="184"/>
      <c r="BA11" s="184"/>
      <c r="BB11" s="373">
        <f>BA11*0.18</f>
        <v>0</v>
      </c>
      <c r="BC11" s="373">
        <f>SUM(AK11:BB11)</f>
        <v>7370.206</v>
      </c>
      <c r="BD11" s="374">
        <f>'[6]Т02'!$S$151</f>
        <v>25</v>
      </c>
      <c r="BE11" s="374">
        <f aca="true" t="shared" si="11" ref="BE11:BE21">BC11+BD11</f>
        <v>7395.206</v>
      </c>
      <c r="BF11" s="374">
        <f aca="true" t="shared" si="12" ref="BF11:BF21">AG11+AJ11-BE11</f>
        <v>888.1439999999984</v>
      </c>
      <c r="BG11" s="374">
        <f aca="true" t="shared" si="13" ref="BG11:BG21">AF11-U11</f>
        <v>160.71000000000004</v>
      </c>
      <c r="BH11" s="374"/>
      <c r="BI11" s="374"/>
      <c r="BJ11" s="375"/>
      <c r="BK11" s="375"/>
      <c r="BL11" s="375"/>
      <c r="BM11" s="375"/>
      <c r="BN11" s="375"/>
      <c r="BO11" s="376"/>
      <c r="BP11" s="376"/>
      <c r="BQ11" s="373"/>
      <c r="BR11" s="348"/>
      <c r="BS11" s="348"/>
      <c r="BT11" s="351"/>
      <c r="BU11" s="378"/>
      <c r="BV11" s="383"/>
    </row>
    <row r="12" spans="1:73" ht="12.75">
      <c r="A12" s="352" t="s">
        <v>45</v>
      </c>
      <c r="B12" s="353">
        <v>924.7</v>
      </c>
      <c r="C12" s="158">
        <f t="shared" si="0"/>
        <v>7906.185000000001</v>
      </c>
      <c r="D12" s="175">
        <v>0</v>
      </c>
      <c r="E12" s="354">
        <v>0</v>
      </c>
      <c r="F12" s="354">
        <v>0</v>
      </c>
      <c r="G12" s="355">
        <v>4850.59</v>
      </c>
      <c r="H12" s="355">
        <v>0</v>
      </c>
      <c r="I12" s="355">
        <v>0</v>
      </c>
      <c r="J12" s="355">
        <v>0</v>
      </c>
      <c r="K12" s="355">
        <v>0</v>
      </c>
      <c r="L12" s="355">
        <v>0</v>
      </c>
      <c r="M12" s="355">
        <v>2355.32</v>
      </c>
      <c r="N12" s="355">
        <v>0</v>
      </c>
      <c r="O12" s="356">
        <v>816.73</v>
      </c>
      <c r="P12" s="384">
        <v>0</v>
      </c>
      <c r="Q12" s="385">
        <v>0</v>
      </c>
      <c r="R12" s="385">
        <v>0</v>
      </c>
      <c r="S12" s="385">
        <v>0</v>
      </c>
      <c r="T12" s="355">
        <v>0</v>
      </c>
      <c r="U12" s="355">
        <f t="shared" si="1"/>
        <v>8022.639999999999</v>
      </c>
      <c r="V12" s="386">
        <f t="shared" si="1"/>
        <v>0</v>
      </c>
      <c r="W12" s="387">
        <v>123.19</v>
      </c>
      <c r="X12" s="354">
        <v>4546.4</v>
      </c>
      <c r="Y12" s="355">
        <v>166.93</v>
      </c>
      <c r="Z12" s="355">
        <v>277.88</v>
      </c>
      <c r="AA12" s="355">
        <v>2369.42</v>
      </c>
      <c r="AB12" s="355">
        <v>785.64</v>
      </c>
      <c r="AC12" s="355">
        <v>0</v>
      </c>
      <c r="AD12" s="354">
        <v>0</v>
      </c>
      <c r="AE12" s="355">
        <v>0</v>
      </c>
      <c r="AF12" s="388">
        <f>SUM(W12:AE12)</f>
        <v>8269.46</v>
      </c>
      <c r="AG12" s="365">
        <f>AF12+V12+D12</f>
        <v>8269.46</v>
      </c>
      <c r="AH12" s="366">
        <f t="shared" si="2"/>
        <v>0</v>
      </c>
      <c r="AI12" s="366">
        <f t="shared" si="2"/>
        <v>0</v>
      </c>
      <c r="AJ12" s="367">
        <f>'[6]Т03'!$J$153</f>
        <v>100</v>
      </c>
      <c r="AK12" s="368">
        <f t="shared" si="3"/>
        <v>619.5490000000001</v>
      </c>
      <c r="AL12" s="368">
        <f t="shared" si="4"/>
        <v>184.94000000000003</v>
      </c>
      <c r="AM12" s="368">
        <f t="shared" si="5"/>
        <v>924.7</v>
      </c>
      <c r="AN12" s="368">
        <f t="shared" si="6"/>
        <v>194.187</v>
      </c>
      <c r="AO12" s="368">
        <f t="shared" si="7"/>
        <v>1867.894</v>
      </c>
      <c r="AP12" s="368">
        <f t="shared" si="8"/>
        <v>952.441</v>
      </c>
      <c r="AQ12" s="368">
        <f t="shared" si="9"/>
        <v>693.5250000000001</v>
      </c>
      <c r="AR12" s="368">
        <f t="shared" si="10"/>
        <v>693.5250000000001</v>
      </c>
      <c r="AS12" s="368">
        <f>B12*1.15</f>
        <v>1063.405</v>
      </c>
      <c r="AT12" s="368">
        <f>0.45*316</f>
        <v>142.20000000000002</v>
      </c>
      <c r="AU12" s="370"/>
      <c r="AV12" s="371"/>
      <c r="AW12" s="370"/>
      <c r="AX12" s="370"/>
      <c r="AY12" s="369"/>
      <c r="AZ12" s="184"/>
      <c r="BA12" s="184"/>
      <c r="BB12" s="373">
        <f>BA12*0.18</f>
        <v>0</v>
      </c>
      <c r="BC12" s="373">
        <f>SUM(AK12:BB12)</f>
        <v>7336.366</v>
      </c>
      <c r="BD12" s="374">
        <f>'[6]Т03'!$S$152</f>
        <v>25</v>
      </c>
      <c r="BE12" s="374">
        <f t="shared" si="11"/>
        <v>7361.366</v>
      </c>
      <c r="BF12" s="374">
        <f t="shared" si="12"/>
        <v>1008.0939999999991</v>
      </c>
      <c r="BG12" s="374">
        <f t="shared" si="13"/>
        <v>246.8199999999997</v>
      </c>
      <c r="BH12" s="374"/>
      <c r="BI12" s="374"/>
      <c r="BJ12" s="375"/>
      <c r="BK12" s="375"/>
      <c r="BL12" s="375"/>
      <c r="BM12" s="375"/>
      <c r="BN12" s="375"/>
      <c r="BO12" s="376"/>
      <c r="BP12" s="376"/>
      <c r="BQ12" s="373"/>
      <c r="BR12" s="348"/>
      <c r="BS12" s="348"/>
      <c r="BT12" s="378"/>
      <c r="BU12" s="383"/>
    </row>
    <row r="13" spans="1:75" ht="12.75">
      <c r="A13" s="352" t="s">
        <v>46</v>
      </c>
      <c r="B13" s="353">
        <v>924.7</v>
      </c>
      <c r="C13" s="158">
        <f t="shared" si="0"/>
        <v>7906.185000000001</v>
      </c>
      <c r="D13" s="389">
        <v>0</v>
      </c>
      <c r="E13" s="360">
        <v>0</v>
      </c>
      <c r="F13" s="354">
        <v>0</v>
      </c>
      <c r="G13" s="387">
        <v>4850.59</v>
      </c>
      <c r="H13" s="355">
        <v>0</v>
      </c>
      <c r="I13" s="355">
        <v>0</v>
      </c>
      <c r="J13" s="355">
        <v>0</v>
      </c>
      <c r="K13" s="355">
        <v>0</v>
      </c>
      <c r="L13" s="355">
        <v>0</v>
      </c>
      <c r="M13" s="355">
        <v>2355.32</v>
      </c>
      <c r="N13" s="355">
        <v>0</v>
      </c>
      <c r="O13" s="356">
        <v>816.73</v>
      </c>
      <c r="P13" s="357">
        <v>0</v>
      </c>
      <c r="Q13" s="384">
        <v>0</v>
      </c>
      <c r="R13" s="357">
        <v>0</v>
      </c>
      <c r="S13" s="390">
        <v>0</v>
      </c>
      <c r="T13" s="361">
        <v>0</v>
      </c>
      <c r="U13" s="382">
        <f t="shared" si="1"/>
        <v>8022.639999999999</v>
      </c>
      <c r="V13" s="386">
        <f t="shared" si="1"/>
        <v>0</v>
      </c>
      <c r="W13" s="355">
        <v>572.98</v>
      </c>
      <c r="X13" s="354">
        <v>5248.34</v>
      </c>
      <c r="Y13" s="355">
        <v>777.77</v>
      </c>
      <c r="Z13" s="355">
        <v>1293.5</v>
      </c>
      <c r="AA13" s="355">
        <v>4435.4</v>
      </c>
      <c r="AB13" s="354">
        <v>1350.23</v>
      </c>
      <c r="AC13" s="355">
        <v>0</v>
      </c>
      <c r="AD13" s="354">
        <v>0</v>
      </c>
      <c r="AE13" s="354">
        <v>0</v>
      </c>
      <c r="AF13" s="364">
        <f>SUM(W13:AD13)</f>
        <v>13678.22</v>
      </c>
      <c r="AG13" s="391">
        <f>AF13+V13+D13</f>
        <v>13678.22</v>
      </c>
      <c r="AH13" s="392">
        <f t="shared" si="2"/>
        <v>0</v>
      </c>
      <c r="AI13" s="392">
        <f t="shared" si="2"/>
        <v>0</v>
      </c>
      <c r="AJ13" s="393">
        <f>'[7]Т04'!$J$154</f>
        <v>100</v>
      </c>
      <c r="AK13" s="368">
        <f t="shared" si="3"/>
        <v>619.5490000000001</v>
      </c>
      <c r="AL13" s="368">
        <f t="shared" si="4"/>
        <v>184.94000000000003</v>
      </c>
      <c r="AM13" s="368">
        <f t="shared" si="5"/>
        <v>924.7</v>
      </c>
      <c r="AN13" s="368">
        <f t="shared" si="6"/>
        <v>194.187</v>
      </c>
      <c r="AO13" s="368">
        <f t="shared" si="7"/>
        <v>1867.894</v>
      </c>
      <c r="AP13" s="368">
        <f t="shared" si="8"/>
        <v>952.441</v>
      </c>
      <c r="AQ13" s="368">
        <f t="shared" si="9"/>
        <v>693.5250000000001</v>
      </c>
      <c r="AR13" s="368">
        <f t="shared" si="10"/>
        <v>693.5250000000001</v>
      </c>
      <c r="AS13" s="368"/>
      <c r="AT13" s="394">
        <f>0.45*316</f>
        <v>142.20000000000002</v>
      </c>
      <c r="AU13" s="395"/>
      <c r="AV13" s="395">
        <v>151</v>
      </c>
      <c r="AW13" s="395"/>
      <c r="AX13" s="395">
        <f>45</f>
        <v>45</v>
      </c>
      <c r="AY13" s="166"/>
      <c r="AZ13" s="166"/>
      <c r="BA13" s="394"/>
      <c r="BB13" s="394"/>
      <c r="BC13" s="385">
        <f>SUM(AK13:BB13)</f>
        <v>6468.961</v>
      </c>
      <c r="BD13" s="396">
        <f>'[6]Т04'!$S$154</f>
        <v>25</v>
      </c>
      <c r="BE13" s="374">
        <f t="shared" si="11"/>
        <v>6493.961</v>
      </c>
      <c r="BF13" s="374">
        <f t="shared" si="12"/>
        <v>7284.258999999999</v>
      </c>
      <c r="BG13" s="374">
        <f t="shared" si="13"/>
        <v>5655.58</v>
      </c>
      <c r="BH13" s="374"/>
      <c r="BI13" s="374"/>
      <c r="BJ13" s="375"/>
      <c r="BK13" s="375"/>
      <c r="BL13" s="375"/>
      <c r="BM13" s="375"/>
      <c r="BN13" s="375"/>
      <c r="BO13" s="376"/>
      <c r="BP13" s="376"/>
      <c r="BQ13" s="373"/>
      <c r="BR13" s="348"/>
      <c r="BS13" s="348"/>
      <c r="BT13" s="348"/>
      <c r="BU13" s="351"/>
      <c r="BV13" s="378"/>
      <c r="BW13" s="383"/>
    </row>
    <row r="14" spans="1:74" ht="12.75">
      <c r="A14" s="352" t="s">
        <v>47</v>
      </c>
      <c r="B14" s="397">
        <v>924.7</v>
      </c>
      <c r="C14" s="158">
        <f t="shared" si="0"/>
        <v>7906.185000000001</v>
      </c>
      <c r="D14" s="389">
        <v>0</v>
      </c>
      <c r="E14" s="398">
        <v>-1.34</v>
      </c>
      <c r="F14" s="354">
        <v>0</v>
      </c>
      <c r="G14" s="355">
        <v>4850.59</v>
      </c>
      <c r="H14" s="355">
        <v>0</v>
      </c>
      <c r="I14" s="355">
        <v>-1.81</v>
      </c>
      <c r="J14" s="355">
        <v>0</v>
      </c>
      <c r="K14" s="355">
        <v>-3.01</v>
      </c>
      <c r="L14" s="355">
        <v>0</v>
      </c>
      <c r="M14" s="355">
        <v>2350.97</v>
      </c>
      <c r="N14" s="355">
        <v>0</v>
      </c>
      <c r="O14" s="356">
        <v>815.66</v>
      </c>
      <c r="P14" s="357">
        <v>0</v>
      </c>
      <c r="Q14" s="385">
        <v>0</v>
      </c>
      <c r="R14" s="399">
        <v>0</v>
      </c>
      <c r="S14" s="385">
        <v>0</v>
      </c>
      <c r="T14" s="354">
        <v>0</v>
      </c>
      <c r="U14" s="360">
        <f t="shared" si="1"/>
        <v>8011.0599999999995</v>
      </c>
      <c r="V14" s="400">
        <f>F14+H14+J14+L14+N14++R14+T14</f>
        <v>0</v>
      </c>
      <c r="W14" s="355">
        <v>52.88</v>
      </c>
      <c r="X14" s="354">
        <v>4138.64</v>
      </c>
      <c r="Y14" s="355">
        <v>71.67</v>
      </c>
      <c r="Z14" s="355">
        <v>119.23</v>
      </c>
      <c r="AA14" s="355">
        <v>2089.94</v>
      </c>
      <c r="AB14" s="355">
        <v>704.66</v>
      </c>
      <c r="AC14" s="355">
        <v>0</v>
      </c>
      <c r="AD14" s="354">
        <v>0</v>
      </c>
      <c r="AE14" s="364">
        <v>0</v>
      </c>
      <c r="AF14" s="401">
        <f>SUM(W14:AE14)</f>
        <v>7177.02</v>
      </c>
      <c r="AG14" s="391">
        <f aca="true" t="shared" si="14" ref="AG14:AG21">D14+V14+AF14</f>
        <v>7177.02</v>
      </c>
      <c r="AH14" s="392">
        <f t="shared" si="2"/>
        <v>0</v>
      </c>
      <c r="AI14" s="392">
        <f t="shared" si="2"/>
        <v>0</v>
      </c>
      <c r="AJ14" s="393">
        <f>'[6]Т05'!$J$152</f>
        <v>100</v>
      </c>
      <c r="AK14" s="368">
        <f t="shared" si="3"/>
        <v>619.5490000000001</v>
      </c>
      <c r="AL14" s="368">
        <f t="shared" si="4"/>
        <v>184.94000000000003</v>
      </c>
      <c r="AM14" s="368">
        <f t="shared" si="5"/>
        <v>924.7</v>
      </c>
      <c r="AN14" s="368">
        <f t="shared" si="6"/>
        <v>194.187</v>
      </c>
      <c r="AO14" s="368">
        <f t="shared" si="7"/>
        <v>1867.894</v>
      </c>
      <c r="AP14" s="368">
        <f t="shared" si="8"/>
        <v>952.441</v>
      </c>
      <c r="AQ14" s="368">
        <f t="shared" si="9"/>
        <v>693.5250000000001</v>
      </c>
      <c r="AR14" s="368">
        <f t="shared" si="10"/>
        <v>693.5250000000001</v>
      </c>
      <c r="AS14" s="368"/>
      <c r="AT14" s="394">
        <f>0.45*316</f>
        <v>142.20000000000002</v>
      </c>
      <c r="AU14" s="395">
        <v>1038</v>
      </c>
      <c r="AV14" s="395"/>
      <c r="AW14" s="395">
        <v>9005</v>
      </c>
      <c r="AX14" s="395">
        <f>13+273+39.83+125</f>
        <v>450.83</v>
      </c>
      <c r="AY14" s="166"/>
      <c r="AZ14" s="166"/>
      <c r="BA14" s="394"/>
      <c r="BB14" s="394"/>
      <c r="BC14" s="385">
        <f>SUM(AK14:BB14)</f>
        <v>16766.791</v>
      </c>
      <c r="BD14" s="396">
        <f>'[6]Т05'!$S$152</f>
        <v>25</v>
      </c>
      <c r="BE14" s="374">
        <f t="shared" si="11"/>
        <v>16791.791</v>
      </c>
      <c r="BF14" s="374">
        <f t="shared" si="12"/>
        <v>-9514.771</v>
      </c>
      <c r="BG14" s="374">
        <f t="shared" si="13"/>
        <v>-834.039999999999</v>
      </c>
      <c r="BH14" s="374"/>
      <c r="BI14" s="374"/>
      <c r="BJ14" s="375"/>
      <c r="BK14" s="375"/>
      <c r="BL14" s="375"/>
      <c r="BM14" s="375"/>
      <c r="BN14" s="375"/>
      <c r="BO14" s="376"/>
      <c r="BP14" s="376"/>
      <c r="BQ14" s="373"/>
      <c r="BR14" s="348"/>
      <c r="BS14" s="348"/>
      <c r="BT14" s="351"/>
      <c r="BU14" s="378"/>
      <c r="BV14" s="383"/>
    </row>
    <row r="15" spans="1:74" ht="13.5" thickBot="1">
      <c r="A15" s="352" t="s">
        <v>48</v>
      </c>
      <c r="B15" s="353">
        <v>924.7</v>
      </c>
      <c r="C15" s="158">
        <f t="shared" si="0"/>
        <v>7906.185000000001</v>
      </c>
      <c r="D15" s="389">
        <v>0</v>
      </c>
      <c r="E15" s="402">
        <v>0</v>
      </c>
      <c r="F15" s="402"/>
      <c r="G15" s="402">
        <v>4850.59</v>
      </c>
      <c r="H15" s="402"/>
      <c r="I15" s="403">
        <v>0</v>
      </c>
      <c r="J15" s="403"/>
      <c r="K15" s="403">
        <v>0</v>
      </c>
      <c r="L15" s="403"/>
      <c r="M15" s="403">
        <v>2355.32</v>
      </c>
      <c r="N15" s="403"/>
      <c r="O15" s="403">
        <v>816.73</v>
      </c>
      <c r="P15" s="403"/>
      <c r="Q15" s="403">
        <v>0</v>
      </c>
      <c r="R15" s="404"/>
      <c r="S15" s="404">
        <v>0</v>
      </c>
      <c r="T15" s="403"/>
      <c r="U15" s="405">
        <f t="shared" si="1"/>
        <v>8022.639999999999</v>
      </c>
      <c r="V15" s="406">
        <f t="shared" si="1"/>
        <v>0</v>
      </c>
      <c r="W15" s="407">
        <v>-180.53</v>
      </c>
      <c r="X15" s="402">
        <v>4794.68</v>
      </c>
      <c r="Y15" s="402">
        <v>-244.6</v>
      </c>
      <c r="Z15" s="402">
        <v>-407.09</v>
      </c>
      <c r="AA15" s="402">
        <v>2112.42</v>
      </c>
      <c r="AB15" s="402">
        <v>788.51</v>
      </c>
      <c r="AC15" s="402">
        <v>0</v>
      </c>
      <c r="AD15" s="402">
        <v>0</v>
      </c>
      <c r="AE15" s="408">
        <v>0</v>
      </c>
      <c r="AF15" s="409">
        <f aca="true" t="shared" si="15" ref="AF15:AF21">SUM(W15:AE15)</f>
        <v>6863.39</v>
      </c>
      <c r="AG15" s="391">
        <f t="shared" si="14"/>
        <v>6863.39</v>
      </c>
      <c r="AH15" s="392">
        <f t="shared" si="2"/>
        <v>0</v>
      </c>
      <c r="AI15" s="392">
        <f t="shared" si="2"/>
        <v>0</v>
      </c>
      <c r="AJ15" s="393">
        <f>'[6]Т06'!$J$152</f>
        <v>100</v>
      </c>
      <c r="AK15" s="368">
        <f t="shared" si="3"/>
        <v>619.5490000000001</v>
      </c>
      <c r="AL15" s="368">
        <f t="shared" si="4"/>
        <v>184.94000000000003</v>
      </c>
      <c r="AM15" s="368">
        <f t="shared" si="5"/>
        <v>924.7</v>
      </c>
      <c r="AN15" s="368">
        <f t="shared" si="6"/>
        <v>194.187</v>
      </c>
      <c r="AO15" s="368">
        <f t="shared" si="7"/>
        <v>1867.894</v>
      </c>
      <c r="AP15" s="368">
        <f t="shared" si="8"/>
        <v>952.441</v>
      </c>
      <c r="AQ15" s="368">
        <f t="shared" si="9"/>
        <v>693.5250000000001</v>
      </c>
      <c r="AR15" s="368">
        <f t="shared" si="10"/>
        <v>693.5250000000001</v>
      </c>
      <c r="AS15" s="368"/>
      <c r="AT15" s="394">
        <f>0.45*316</f>
        <v>142.20000000000002</v>
      </c>
      <c r="AU15" s="395">
        <v>514</v>
      </c>
      <c r="AV15" s="395">
        <v>147</v>
      </c>
      <c r="AW15" s="395">
        <v>986</v>
      </c>
      <c r="AX15" s="395"/>
      <c r="AY15" s="368"/>
      <c r="AZ15" s="368"/>
      <c r="BA15" s="394"/>
      <c r="BB15" s="394"/>
      <c r="BC15" s="410">
        <f>SUM(AK15:BB15)</f>
        <v>7919.961</v>
      </c>
      <c r="BD15" s="396">
        <f>'[6]Т06'!$S$152</f>
        <v>25</v>
      </c>
      <c r="BE15" s="374">
        <f t="shared" si="11"/>
        <v>7944.961</v>
      </c>
      <c r="BF15" s="374">
        <f t="shared" si="12"/>
        <v>-981.5709999999999</v>
      </c>
      <c r="BG15" s="374">
        <f t="shared" si="13"/>
        <v>-1159.249999999999</v>
      </c>
      <c r="BH15" s="374"/>
      <c r="BI15" s="374"/>
      <c r="BJ15" s="375"/>
      <c r="BK15" s="375"/>
      <c r="BL15" s="375"/>
      <c r="BM15" s="375"/>
      <c r="BN15" s="375"/>
      <c r="BO15" s="376"/>
      <c r="BP15" s="376"/>
      <c r="BQ15" s="373"/>
      <c r="BR15" s="348"/>
      <c r="BS15" s="348"/>
      <c r="BT15" s="351"/>
      <c r="BU15" s="411"/>
      <c r="BV15" s="383"/>
    </row>
    <row r="16" spans="1:71" ht="12.75">
      <c r="A16" s="352" t="s">
        <v>49</v>
      </c>
      <c r="B16" s="353">
        <v>924.7</v>
      </c>
      <c r="C16" s="158">
        <f t="shared" si="0"/>
        <v>7906.185000000001</v>
      </c>
      <c r="D16" s="389">
        <v>0</v>
      </c>
      <c r="E16" s="412"/>
      <c r="F16" s="412"/>
      <c r="G16" s="412">
        <v>4857.48</v>
      </c>
      <c r="H16" s="412"/>
      <c r="I16" s="412"/>
      <c r="J16" s="412"/>
      <c r="K16" s="412"/>
      <c r="L16" s="412"/>
      <c r="M16" s="412">
        <v>2358.71</v>
      </c>
      <c r="N16" s="412"/>
      <c r="O16" s="412">
        <v>817.94</v>
      </c>
      <c r="P16" s="412"/>
      <c r="Q16" s="412"/>
      <c r="R16" s="412"/>
      <c r="S16" s="413"/>
      <c r="T16" s="407"/>
      <c r="U16" s="414">
        <f t="shared" si="1"/>
        <v>8034.129999999999</v>
      </c>
      <c r="V16" s="415">
        <f t="shared" si="1"/>
        <v>0</v>
      </c>
      <c r="W16" s="416">
        <v>0</v>
      </c>
      <c r="X16" s="412">
        <v>4892.87</v>
      </c>
      <c r="Y16" s="412">
        <v>0</v>
      </c>
      <c r="Z16" s="412">
        <v>0</v>
      </c>
      <c r="AA16" s="412">
        <v>2375.83</v>
      </c>
      <c r="AB16" s="412">
        <v>823.8</v>
      </c>
      <c r="AC16" s="402"/>
      <c r="AD16" s="412"/>
      <c r="AE16" s="413"/>
      <c r="AF16" s="409">
        <f t="shared" si="15"/>
        <v>8092.5</v>
      </c>
      <c r="AG16" s="417">
        <f t="shared" si="14"/>
        <v>8092.5</v>
      </c>
      <c r="AH16" s="392">
        <f t="shared" si="2"/>
        <v>0</v>
      </c>
      <c r="AI16" s="392">
        <f t="shared" si="2"/>
        <v>0</v>
      </c>
      <c r="AJ16" s="393">
        <f>'[6]Т07'!$J$156</f>
        <v>100</v>
      </c>
      <c r="AK16" s="368">
        <f t="shared" si="3"/>
        <v>619.5490000000001</v>
      </c>
      <c r="AL16" s="368">
        <f t="shared" si="4"/>
        <v>184.94000000000003</v>
      </c>
      <c r="AM16" s="368">
        <f t="shared" si="5"/>
        <v>924.7</v>
      </c>
      <c r="AN16" s="368">
        <f t="shared" si="6"/>
        <v>194.187</v>
      </c>
      <c r="AO16" s="368">
        <f t="shared" si="7"/>
        <v>1867.894</v>
      </c>
      <c r="AP16" s="368">
        <f t="shared" si="8"/>
        <v>952.441</v>
      </c>
      <c r="AQ16" s="368">
        <f t="shared" si="9"/>
        <v>693.5250000000001</v>
      </c>
      <c r="AR16" s="368">
        <f t="shared" si="10"/>
        <v>693.5250000000001</v>
      </c>
      <c r="AS16" s="368"/>
      <c r="AT16" s="394">
        <f>0.45*316</f>
        <v>142.20000000000002</v>
      </c>
      <c r="AU16" s="395"/>
      <c r="AV16" s="395"/>
      <c r="AW16" s="395"/>
      <c r="AX16" s="395">
        <f>111.43+9.43</f>
        <v>120.86000000000001</v>
      </c>
      <c r="AY16" s="166"/>
      <c r="AZ16" s="166"/>
      <c r="BA16" s="394"/>
      <c r="BB16" s="394"/>
      <c r="BC16" s="385">
        <f>SUM(AK16:BB16)</f>
        <v>6393.821</v>
      </c>
      <c r="BD16" s="396">
        <f>'[6]Т07'!$S$156</f>
        <v>25</v>
      </c>
      <c r="BE16" s="374">
        <f t="shared" si="11"/>
        <v>6418.821</v>
      </c>
      <c r="BF16" s="374">
        <f t="shared" si="12"/>
        <v>1773.679</v>
      </c>
      <c r="BG16" s="374">
        <f t="shared" si="13"/>
        <v>58.3700000000008</v>
      </c>
      <c r="BH16" s="374"/>
      <c r="BI16" s="374"/>
      <c r="BJ16" s="375"/>
      <c r="BK16" s="375"/>
      <c r="BL16" s="375"/>
      <c r="BM16" s="375"/>
      <c r="BN16" s="375"/>
      <c r="BO16" s="376"/>
      <c r="BP16" s="376"/>
      <c r="BQ16" s="373"/>
      <c r="BR16" s="348"/>
      <c r="BS16" s="348"/>
    </row>
    <row r="17" spans="1:71" ht="12.75">
      <c r="A17" s="352" t="s">
        <v>50</v>
      </c>
      <c r="B17" s="353">
        <v>924.7</v>
      </c>
      <c r="C17" s="158">
        <f>B17*8.55</f>
        <v>7906.185000000001</v>
      </c>
      <c r="D17" s="389">
        <v>0</v>
      </c>
      <c r="E17" s="412"/>
      <c r="F17" s="412"/>
      <c r="G17" s="412">
        <v>4872.25</v>
      </c>
      <c r="H17" s="412"/>
      <c r="I17" s="412"/>
      <c r="J17" s="412"/>
      <c r="K17" s="412"/>
      <c r="L17" s="412"/>
      <c r="M17" s="412">
        <v>2365.96</v>
      </c>
      <c r="N17" s="412"/>
      <c r="O17" s="412">
        <v>820.53</v>
      </c>
      <c r="P17" s="412"/>
      <c r="Q17" s="412"/>
      <c r="R17" s="412"/>
      <c r="S17" s="413"/>
      <c r="T17" s="408"/>
      <c r="U17" s="418">
        <f t="shared" si="1"/>
        <v>8058.74</v>
      </c>
      <c r="V17" s="419">
        <f t="shared" si="1"/>
        <v>0</v>
      </c>
      <c r="W17" s="412">
        <v>0</v>
      </c>
      <c r="X17" s="412">
        <v>5491.63</v>
      </c>
      <c r="Y17" s="412">
        <v>0</v>
      </c>
      <c r="Z17" s="412">
        <v>0</v>
      </c>
      <c r="AA17" s="412">
        <v>2666.51</v>
      </c>
      <c r="AB17" s="412">
        <v>924.38</v>
      </c>
      <c r="AC17" s="412"/>
      <c r="AD17" s="412"/>
      <c r="AE17" s="413"/>
      <c r="AF17" s="409">
        <f t="shared" si="15"/>
        <v>9082.52</v>
      </c>
      <c r="AG17" s="417">
        <f t="shared" si="14"/>
        <v>9082.52</v>
      </c>
      <c r="AH17" s="392">
        <f t="shared" si="2"/>
        <v>0</v>
      </c>
      <c r="AI17" s="392">
        <f t="shared" si="2"/>
        <v>0</v>
      </c>
      <c r="AJ17" s="393">
        <f>'[6]Т08'!$J$160</f>
        <v>100</v>
      </c>
      <c r="AK17" s="368">
        <f t="shared" si="3"/>
        <v>619.5490000000001</v>
      </c>
      <c r="AL17" s="368">
        <f t="shared" si="4"/>
        <v>184.94000000000003</v>
      </c>
      <c r="AM17" s="368">
        <f t="shared" si="5"/>
        <v>924.7</v>
      </c>
      <c r="AN17" s="368">
        <f t="shared" si="6"/>
        <v>194.187</v>
      </c>
      <c r="AO17" s="368">
        <f t="shared" si="7"/>
        <v>1867.894</v>
      </c>
      <c r="AP17" s="368">
        <f t="shared" si="8"/>
        <v>952.441</v>
      </c>
      <c r="AQ17" s="368">
        <f t="shared" si="9"/>
        <v>693.5250000000001</v>
      </c>
      <c r="AR17" s="368">
        <f t="shared" si="10"/>
        <v>693.5250000000001</v>
      </c>
      <c r="AS17" s="368"/>
      <c r="AT17" s="394">
        <f>0.45*316</f>
        <v>142.20000000000002</v>
      </c>
      <c r="AU17" s="395"/>
      <c r="AV17" s="395"/>
      <c r="AW17" s="395">
        <v>676</v>
      </c>
      <c r="AX17" s="395"/>
      <c r="AY17" s="166"/>
      <c r="AZ17" s="166"/>
      <c r="BA17" s="394"/>
      <c r="BB17" s="394"/>
      <c r="BC17" s="385">
        <f>SUM(AK17:BB17)</f>
        <v>6948.961</v>
      </c>
      <c r="BD17" s="396">
        <f>'[6]Т08'!$S$160</f>
        <v>25</v>
      </c>
      <c r="BE17" s="374">
        <f t="shared" si="11"/>
        <v>6973.961</v>
      </c>
      <c r="BF17" s="374">
        <f t="shared" si="12"/>
        <v>2208.559</v>
      </c>
      <c r="BG17" s="374">
        <f t="shared" si="13"/>
        <v>1023.7800000000007</v>
      </c>
      <c r="BH17" s="374"/>
      <c r="BI17" s="374"/>
      <c r="BJ17" s="375"/>
      <c r="BK17" s="375"/>
      <c r="BL17" s="375"/>
      <c r="BM17" s="375"/>
      <c r="BN17" s="375"/>
      <c r="BO17" s="376"/>
      <c r="BP17" s="376"/>
      <c r="BQ17" s="373"/>
      <c r="BR17" s="348"/>
      <c r="BS17" s="348"/>
    </row>
    <row r="18" spans="1:71" ht="12.75">
      <c r="A18" s="352" t="s">
        <v>51</v>
      </c>
      <c r="B18" s="353">
        <v>924.7</v>
      </c>
      <c r="C18" s="158">
        <f>B18*8.55</f>
        <v>7906.185000000001</v>
      </c>
      <c r="D18" s="389">
        <v>0</v>
      </c>
      <c r="E18" s="412"/>
      <c r="F18" s="412"/>
      <c r="G18" s="412">
        <v>4879.66</v>
      </c>
      <c r="H18" s="412"/>
      <c r="I18" s="412"/>
      <c r="J18" s="412"/>
      <c r="K18" s="412"/>
      <c r="L18" s="412"/>
      <c r="M18" s="412">
        <v>2369.6</v>
      </c>
      <c r="N18" s="412"/>
      <c r="O18" s="412">
        <v>821.83</v>
      </c>
      <c r="P18" s="412"/>
      <c r="Q18" s="412"/>
      <c r="R18" s="412"/>
      <c r="S18" s="413"/>
      <c r="T18" s="420"/>
      <c r="U18" s="420">
        <f t="shared" si="1"/>
        <v>8071.09</v>
      </c>
      <c r="V18" s="421">
        <f t="shared" si="1"/>
        <v>0</v>
      </c>
      <c r="W18" s="412">
        <v>-60.87</v>
      </c>
      <c r="X18" s="412">
        <v>3923.91</v>
      </c>
      <c r="Y18" s="412">
        <v>-82.52</v>
      </c>
      <c r="Z18" s="412">
        <v>-137.3</v>
      </c>
      <c r="AA18" s="412">
        <v>1884.18</v>
      </c>
      <c r="AB18" s="412">
        <v>678.03</v>
      </c>
      <c r="AC18" s="412"/>
      <c r="AD18" s="412"/>
      <c r="AE18" s="413"/>
      <c r="AF18" s="409">
        <f t="shared" si="15"/>
        <v>6205.429999999999</v>
      </c>
      <c r="AG18" s="417">
        <f t="shared" si="14"/>
        <v>6205.429999999999</v>
      </c>
      <c r="AH18" s="392">
        <f t="shared" si="2"/>
        <v>0</v>
      </c>
      <c r="AI18" s="392">
        <f t="shared" si="2"/>
        <v>0</v>
      </c>
      <c r="AJ18" s="393">
        <f>'[6]Т09'!$J$160</f>
        <v>100</v>
      </c>
      <c r="AK18" s="368">
        <f t="shared" si="3"/>
        <v>619.5490000000001</v>
      </c>
      <c r="AL18" s="368">
        <f t="shared" si="4"/>
        <v>184.94000000000003</v>
      </c>
      <c r="AM18" s="368">
        <f t="shared" si="5"/>
        <v>924.7</v>
      </c>
      <c r="AN18" s="368">
        <f t="shared" si="6"/>
        <v>194.187</v>
      </c>
      <c r="AO18" s="368">
        <f t="shared" si="7"/>
        <v>1867.894</v>
      </c>
      <c r="AP18" s="368">
        <f t="shared" si="8"/>
        <v>952.441</v>
      </c>
      <c r="AQ18" s="368">
        <f t="shared" si="9"/>
        <v>693.5250000000001</v>
      </c>
      <c r="AR18" s="368">
        <f t="shared" si="10"/>
        <v>693.5250000000001</v>
      </c>
      <c r="AS18" s="368"/>
      <c r="AT18" s="394">
        <f>0.45*316</f>
        <v>142.20000000000002</v>
      </c>
      <c r="AU18" s="395"/>
      <c r="AV18" s="395"/>
      <c r="AW18" s="395"/>
      <c r="AX18" s="395"/>
      <c r="AY18" s="166"/>
      <c r="AZ18" s="166"/>
      <c r="BA18" s="394"/>
      <c r="BB18" s="394"/>
      <c r="BC18" s="385">
        <f>SUM(AK18:BB18)</f>
        <v>6272.961</v>
      </c>
      <c r="BD18" s="396">
        <f>'[6]Т08'!$S$160</f>
        <v>25</v>
      </c>
      <c r="BE18" s="374">
        <f t="shared" si="11"/>
        <v>6297.961</v>
      </c>
      <c r="BF18" s="374">
        <f t="shared" si="12"/>
        <v>7.468999999999141</v>
      </c>
      <c r="BG18" s="374">
        <f t="shared" si="13"/>
        <v>-1865.6600000000008</v>
      </c>
      <c r="BH18" s="374"/>
      <c r="BI18" s="374"/>
      <c r="BJ18" s="375"/>
      <c r="BK18" s="375"/>
      <c r="BL18" s="375"/>
      <c r="BM18" s="375"/>
      <c r="BN18" s="375"/>
      <c r="BO18" s="376"/>
      <c r="BP18" s="376"/>
      <c r="BQ18" s="373"/>
      <c r="BR18" s="422"/>
      <c r="BS18" s="73"/>
    </row>
    <row r="19" spans="1:68" ht="12.75">
      <c r="A19" s="352" t="s">
        <v>39</v>
      </c>
      <c r="B19" s="353">
        <v>924.7</v>
      </c>
      <c r="C19" s="158">
        <f>B19*8.55</f>
        <v>7906.185000000001</v>
      </c>
      <c r="D19" s="423">
        <v>0</v>
      </c>
      <c r="E19" s="402"/>
      <c r="F19" s="402"/>
      <c r="G19" s="402">
        <v>4879.66</v>
      </c>
      <c r="H19" s="402"/>
      <c r="I19" s="402"/>
      <c r="J19" s="402"/>
      <c r="K19" s="402"/>
      <c r="L19" s="402"/>
      <c r="M19" s="402">
        <v>2369.6</v>
      </c>
      <c r="N19" s="402"/>
      <c r="O19" s="402">
        <v>821.83</v>
      </c>
      <c r="P19" s="402"/>
      <c r="Q19" s="402"/>
      <c r="R19" s="402"/>
      <c r="S19" s="408"/>
      <c r="T19" s="424"/>
      <c r="U19" s="425">
        <f t="shared" si="1"/>
        <v>8071.09</v>
      </c>
      <c r="V19" s="426">
        <f t="shared" si="1"/>
        <v>0</v>
      </c>
      <c r="W19" s="402">
        <v>0</v>
      </c>
      <c r="X19" s="402">
        <v>3851.45</v>
      </c>
      <c r="Y19" s="402">
        <v>0</v>
      </c>
      <c r="Z19" s="402">
        <v>0</v>
      </c>
      <c r="AA19" s="402">
        <v>1870.18</v>
      </c>
      <c r="AB19" s="402">
        <v>648.53</v>
      </c>
      <c r="AC19" s="402"/>
      <c r="AD19" s="402"/>
      <c r="AE19" s="408"/>
      <c r="AF19" s="409">
        <f t="shared" si="15"/>
        <v>6370.16</v>
      </c>
      <c r="AG19" s="417">
        <f t="shared" si="14"/>
        <v>6370.16</v>
      </c>
      <c r="AH19" s="392">
        <f t="shared" si="2"/>
        <v>0</v>
      </c>
      <c r="AI19" s="392">
        <f t="shared" si="2"/>
        <v>0</v>
      </c>
      <c r="AJ19" s="393">
        <f>'[8]Т10'!$J$160</f>
        <v>100</v>
      </c>
      <c r="AK19" s="368">
        <f t="shared" si="3"/>
        <v>619.5490000000001</v>
      </c>
      <c r="AL19" s="368">
        <f t="shared" si="4"/>
        <v>184.94000000000003</v>
      </c>
      <c r="AM19" s="368">
        <f t="shared" si="5"/>
        <v>924.7</v>
      </c>
      <c r="AN19" s="368">
        <f t="shared" si="6"/>
        <v>194.187</v>
      </c>
      <c r="AO19" s="368">
        <f t="shared" si="7"/>
        <v>1867.894</v>
      </c>
      <c r="AP19" s="368">
        <f t="shared" si="8"/>
        <v>952.441</v>
      </c>
      <c r="AQ19" s="368">
        <f t="shared" si="9"/>
        <v>693.5250000000001</v>
      </c>
      <c r="AR19" s="368">
        <f t="shared" si="10"/>
        <v>693.5250000000001</v>
      </c>
      <c r="AS19" s="427">
        <f>B19*1.15</f>
        <v>1063.405</v>
      </c>
      <c r="AT19" s="394">
        <f>0.45*316</f>
        <v>142.20000000000002</v>
      </c>
      <c r="AU19" s="395">
        <v>2772</v>
      </c>
      <c r="AV19" s="395"/>
      <c r="AW19" s="395"/>
      <c r="AX19" s="395">
        <f>298</f>
        <v>298</v>
      </c>
      <c r="AY19" s="166"/>
      <c r="AZ19" s="166"/>
      <c r="BA19" s="394"/>
      <c r="BB19" s="394"/>
      <c r="BC19" s="385">
        <f>SUM(AK19:BB19)</f>
        <v>10406.366</v>
      </c>
      <c r="BD19" s="396">
        <f>'[8]Т10'!$S$160</f>
        <v>25</v>
      </c>
      <c r="BE19" s="374">
        <f t="shared" si="11"/>
        <v>10431.366</v>
      </c>
      <c r="BF19" s="374">
        <f t="shared" si="12"/>
        <v>-3961.206</v>
      </c>
      <c r="BG19" s="374">
        <f t="shared" si="13"/>
        <v>-1700.9300000000003</v>
      </c>
      <c r="BH19" s="374"/>
      <c r="BI19" s="374"/>
      <c r="BJ19" s="375"/>
      <c r="BK19" s="375"/>
      <c r="BL19" s="375"/>
      <c r="BM19" s="375"/>
      <c r="BN19" s="375"/>
      <c r="BO19" s="376"/>
      <c r="BP19" s="428"/>
    </row>
    <row r="20" spans="1:68" ht="12.75">
      <c r="A20" s="352" t="s">
        <v>40</v>
      </c>
      <c r="B20" s="353">
        <v>924.7</v>
      </c>
      <c r="C20" s="158">
        <f>B20*8.55</f>
        <v>7906.185000000001</v>
      </c>
      <c r="D20" s="429">
        <v>0</v>
      </c>
      <c r="E20" s="402"/>
      <c r="F20" s="402"/>
      <c r="G20" s="402">
        <v>4879.66</v>
      </c>
      <c r="H20" s="402"/>
      <c r="I20" s="402"/>
      <c r="J20" s="402"/>
      <c r="K20" s="402"/>
      <c r="L20" s="402"/>
      <c r="M20" s="402">
        <v>2369.6</v>
      </c>
      <c r="N20" s="402"/>
      <c r="O20" s="402">
        <v>821.83</v>
      </c>
      <c r="P20" s="402"/>
      <c r="Q20" s="402"/>
      <c r="R20" s="402"/>
      <c r="S20" s="408"/>
      <c r="T20" s="424"/>
      <c r="U20" s="425">
        <f t="shared" si="1"/>
        <v>8071.09</v>
      </c>
      <c r="V20" s="426">
        <f t="shared" si="1"/>
        <v>0</v>
      </c>
      <c r="W20" s="402">
        <v>0</v>
      </c>
      <c r="X20" s="402">
        <v>4847.57</v>
      </c>
      <c r="Y20" s="402">
        <v>0</v>
      </c>
      <c r="Z20" s="402">
        <v>0</v>
      </c>
      <c r="AA20" s="402">
        <v>2354.34</v>
      </c>
      <c r="AB20" s="402">
        <v>816.82</v>
      </c>
      <c r="AC20" s="402"/>
      <c r="AD20" s="402"/>
      <c r="AE20" s="408"/>
      <c r="AF20" s="409">
        <f t="shared" si="15"/>
        <v>8018.73</v>
      </c>
      <c r="AG20" s="417">
        <f t="shared" si="14"/>
        <v>8018.73</v>
      </c>
      <c r="AH20" s="392">
        <f t="shared" si="2"/>
        <v>0</v>
      </c>
      <c r="AI20" s="392">
        <f t="shared" si="2"/>
        <v>0</v>
      </c>
      <c r="AJ20" s="393">
        <f>'[8]Т11'!$J$160</f>
        <v>100</v>
      </c>
      <c r="AK20" s="368">
        <f t="shared" si="3"/>
        <v>619.5490000000001</v>
      </c>
      <c r="AL20" s="368">
        <f t="shared" si="4"/>
        <v>184.94000000000003</v>
      </c>
      <c r="AM20" s="368">
        <f t="shared" si="5"/>
        <v>924.7</v>
      </c>
      <c r="AN20" s="368">
        <f t="shared" si="6"/>
        <v>194.187</v>
      </c>
      <c r="AO20" s="368">
        <f t="shared" si="7"/>
        <v>1867.894</v>
      </c>
      <c r="AP20" s="368">
        <f t="shared" si="8"/>
        <v>952.441</v>
      </c>
      <c r="AQ20" s="368">
        <f t="shared" si="9"/>
        <v>693.5250000000001</v>
      </c>
      <c r="AR20" s="368">
        <f t="shared" si="10"/>
        <v>693.5250000000001</v>
      </c>
      <c r="AS20" s="427">
        <f>B20*1.15</f>
        <v>1063.405</v>
      </c>
      <c r="AT20" s="394">
        <f>0.45*316</f>
        <v>142.20000000000002</v>
      </c>
      <c r="AU20" s="395">
        <v>931</v>
      </c>
      <c r="AV20" s="395"/>
      <c r="AW20" s="395"/>
      <c r="AX20" s="395">
        <f>119</f>
        <v>119</v>
      </c>
      <c r="AY20" s="166"/>
      <c r="AZ20" s="166"/>
      <c r="BA20" s="394"/>
      <c r="BB20" s="394"/>
      <c r="BC20" s="385">
        <f>SUM(AK20:BB20)</f>
        <v>8386.366</v>
      </c>
      <c r="BD20" s="396">
        <f>'[8]Т11'!$S$160</f>
        <v>25</v>
      </c>
      <c r="BE20" s="374">
        <f t="shared" si="11"/>
        <v>8411.366</v>
      </c>
      <c r="BF20" s="374">
        <f t="shared" si="12"/>
        <v>-292.6360000000004</v>
      </c>
      <c r="BG20" s="374">
        <f t="shared" si="13"/>
        <v>-52.36000000000058</v>
      </c>
      <c r="BH20" s="374"/>
      <c r="BI20" s="374"/>
      <c r="BJ20" s="375"/>
      <c r="BK20" s="375"/>
      <c r="BL20" s="375"/>
      <c r="BM20" s="375"/>
      <c r="BN20" s="375"/>
      <c r="BO20" s="430"/>
      <c r="BP20" s="428"/>
    </row>
    <row r="21" spans="1:68" ht="13.5" thickBot="1">
      <c r="A21" s="352" t="s">
        <v>41</v>
      </c>
      <c r="B21" s="353">
        <v>924.7</v>
      </c>
      <c r="C21" s="158">
        <f>B21*8.55</f>
        <v>7906.185000000001</v>
      </c>
      <c r="D21" s="429">
        <v>0</v>
      </c>
      <c r="E21" s="431"/>
      <c r="F21" s="431"/>
      <c r="G21" s="431">
        <v>4879.66</v>
      </c>
      <c r="H21" s="431"/>
      <c r="I21" s="431"/>
      <c r="J21" s="431"/>
      <c r="K21" s="431"/>
      <c r="L21" s="431"/>
      <c r="M21" s="431">
        <v>2369.6</v>
      </c>
      <c r="N21" s="431"/>
      <c r="O21" s="431">
        <v>821.83</v>
      </c>
      <c r="P21" s="431"/>
      <c r="Q21" s="431"/>
      <c r="R21" s="431"/>
      <c r="S21" s="432"/>
      <c r="T21" s="433"/>
      <c r="U21" s="425">
        <f t="shared" si="1"/>
        <v>8071.09</v>
      </c>
      <c r="V21" s="426">
        <f t="shared" si="1"/>
        <v>0</v>
      </c>
      <c r="W21" s="402">
        <v>0</v>
      </c>
      <c r="X21" s="402">
        <v>4432.36</v>
      </c>
      <c r="Y21" s="402">
        <v>0</v>
      </c>
      <c r="Z21" s="402">
        <v>0</v>
      </c>
      <c r="AA21" s="402">
        <v>2152.29</v>
      </c>
      <c r="AB21" s="402">
        <v>746.42</v>
      </c>
      <c r="AC21" s="402"/>
      <c r="AD21" s="402"/>
      <c r="AE21" s="408"/>
      <c r="AF21" s="409">
        <f t="shared" si="15"/>
        <v>7331.07</v>
      </c>
      <c r="AG21" s="417">
        <f t="shared" si="14"/>
        <v>7331.07</v>
      </c>
      <c r="AH21" s="392">
        <f t="shared" si="2"/>
        <v>0</v>
      </c>
      <c r="AI21" s="392">
        <f t="shared" si="2"/>
        <v>0</v>
      </c>
      <c r="AJ21" s="393">
        <f>'[8]Т12'!$J$184</f>
        <v>100</v>
      </c>
      <c r="AK21" s="368">
        <f t="shared" si="3"/>
        <v>619.5490000000001</v>
      </c>
      <c r="AL21" s="368">
        <f t="shared" si="4"/>
        <v>184.94000000000003</v>
      </c>
      <c r="AM21" s="368">
        <f t="shared" si="5"/>
        <v>924.7</v>
      </c>
      <c r="AN21" s="368">
        <f t="shared" si="6"/>
        <v>194.187</v>
      </c>
      <c r="AO21" s="368">
        <f t="shared" si="7"/>
        <v>1867.894</v>
      </c>
      <c r="AP21" s="368">
        <f t="shared" si="8"/>
        <v>952.441</v>
      </c>
      <c r="AQ21" s="368">
        <f t="shared" si="9"/>
        <v>693.5250000000001</v>
      </c>
      <c r="AR21" s="368">
        <f t="shared" si="10"/>
        <v>693.5250000000001</v>
      </c>
      <c r="AS21" s="427">
        <f>B21*1.15</f>
        <v>1063.405</v>
      </c>
      <c r="AT21" s="394">
        <f>0.45*316</f>
        <v>142.20000000000002</v>
      </c>
      <c r="AU21" s="395"/>
      <c r="AV21" s="395"/>
      <c r="AW21" s="395"/>
      <c r="AX21" s="395"/>
      <c r="AY21" s="166"/>
      <c r="AZ21" s="166"/>
      <c r="BA21" s="394"/>
      <c r="BB21" s="394"/>
      <c r="BC21" s="385">
        <f>SUM(AK21:BB21)</f>
        <v>7336.366</v>
      </c>
      <c r="BD21" s="396">
        <f>'[8]Т12'!$S$184</f>
        <v>25</v>
      </c>
      <c r="BE21" s="374">
        <f t="shared" si="11"/>
        <v>7361.366</v>
      </c>
      <c r="BF21" s="374">
        <f t="shared" si="12"/>
        <v>69.70399999999972</v>
      </c>
      <c r="BG21" s="374">
        <f t="shared" si="13"/>
        <v>-740.0200000000004</v>
      </c>
      <c r="BH21" s="374"/>
      <c r="BI21" s="374"/>
      <c r="BJ21" s="375"/>
      <c r="BK21" s="375"/>
      <c r="BL21" s="375"/>
      <c r="BM21" s="375"/>
      <c r="BN21" s="375"/>
      <c r="BO21" s="430"/>
      <c r="BP21" s="428"/>
    </row>
    <row r="22" spans="1:61" s="23" customFormat="1" ht="13.5" thickBot="1">
      <c r="A22" s="434" t="s">
        <v>3</v>
      </c>
      <c r="B22" s="435"/>
      <c r="C22" s="436">
        <f aca="true" t="shared" si="16" ref="C22:BF22">SUM(C10:C21)</f>
        <v>94874.21999999999</v>
      </c>
      <c r="D22" s="436">
        <f t="shared" si="16"/>
        <v>0</v>
      </c>
      <c r="E22" s="436">
        <f t="shared" si="16"/>
        <v>-1.34</v>
      </c>
      <c r="F22" s="436">
        <f t="shared" si="16"/>
        <v>0</v>
      </c>
      <c r="G22" s="436">
        <f t="shared" si="16"/>
        <v>58351.91000000002</v>
      </c>
      <c r="H22" s="436">
        <f t="shared" si="16"/>
        <v>0</v>
      </c>
      <c r="I22" s="436">
        <f t="shared" si="16"/>
        <v>-1.81</v>
      </c>
      <c r="J22" s="436">
        <f t="shared" si="16"/>
        <v>0</v>
      </c>
      <c r="K22" s="436">
        <f t="shared" si="16"/>
        <v>-3.01</v>
      </c>
      <c r="L22" s="436">
        <f t="shared" si="16"/>
        <v>0</v>
      </c>
      <c r="M22" s="436">
        <f t="shared" si="16"/>
        <v>28330.639999999992</v>
      </c>
      <c r="N22" s="436">
        <f t="shared" si="16"/>
        <v>0</v>
      </c>
      <c r="O22" s="436">
        <f t="shared" si="16"/>
        <v>9825.1</v>
      </c>
      <c r="P22" s="436">
        <f t="shared" si="16"/>
        <v>0</v>
      </c>
      <c r="Q22" s="436">
        <f t="shared" si="16"/>
        <v>0</v>
      </c>
      <c r="R22" s="436">
        <f t="shared" si="16"/>
        <v>0</v>
      </c>
      <c r="S22" s="436">
        <f t="shared" si="16"/>
        <v>0</v>
      </c>
      <c r="T22" s="436">
        <f t="shared" si="16"/>
        <v>0</v>
      </c>
      <c r="U22" s="436">
        <f t="shared" si="16"/>
        <v>96501.48999999998</v>
      </c>
      <c r="V22" s="436">
        <f t="shared" si="16"/>
        <v>0</v>
      </c>
      <c r="W22" s="436">
        <f t="shared" si="16"/>
        <v>1302.1100000000004</v>
      </c>
      <c r="X22" s="436">
        <f t="shared" si="16"/>
        <v>50138.60999999999</v>
      </c>
      <c r="Y22" s="436">
        <f t="shared" si="16"/>
        <v>1765.42</v>
      </c>
      <c r="Z22" s="436">
        <f t="shared" si="16"/>
        <v>2937.3399999999997</v>
      </c>
      <c r="AA22" s="436">
        <f t="shared" si="16"/>
        <v>28563.99</v>
      </c>
      <c r="AB22" s="436">
        <f t="shared" si="16"/>
        <v>9501.46</v>
      </c>
      <c r="AC22" s="436">
        <f t="shared" si="16"/>
        <v>0</v>
      </c>
      <c r="AD22" s="436">
        <f t="shared" si="16"/>
        <v>0</v>
      </c>
      <c r="AE22" s="436">
        <f t="shared" si="16"/>
        <v>0</v>
      </c>
      <c r="AF22" s="436">
        <f t="shared" si="16"/>
        <v>94208.93</v>
      </c>
      <c r="AG22" s="436">
        <f t="shared" si="16"/>
        <v>94208.93</v>
      </c>
      <c r="AH22" s="436">
        <f t="shared" si="16"/>
        <v>0</v>
      </c>
      <c r="AI22" s="436">
        <f t="shared" si="16"/>
        <v>0</v>
      </c>
      <c r="AJ22" s="436">
        <f t="shared" si="16"/>
        <v>1200</v>
      </c>
      <c r="AK22" s="436">
        <f t="shared" si="16"/>
        <v>7434.588000000001</v>
      </c>
      <c r="AL22" s="436">
        <f t="shared" si="16"/>
        <v>2219.28</v>
      </c>
      <c r="AM22" s="436">
        <f t="shared" si="16"/>
        <v>11096.400000000001</v>
      </c>
      <c r="AN22" s="436">
        <f t="shared" si="16"/>
        <v>2330.2439999999997</v>
      </c>
      <c r="AO22" s="436">
        <f t="shared" si="16"/>
        <v>22414.728</v>
      </c>
      <c r="AP22" s="436">
        <f t="shared" si="16"/>
        <v>11429.292000000001</v>
      </c>
      <c r="AQ22" s="436">
        <f t="shared" si="16"/>
        <v>8322.3</v>
      </c>
      <c r="AR22" s="436">
        <f t="shared" si="16"/>
        <v>8322.3</v>
      </c>
      <c r="AS22" s="436">
        <f t="shared" si="16"/>
        <v>6380.429999999999</v>
      </c>
      <c r="AT22" s="436">
        <f t="shared" si="16"/>
        <v>1564.2000000000003</v>
      </c>
      <c r="AU22" s="436">
        <f t="shared" si="16"/>
        <v>5255</v>
      </c>
      <c r="AV22" s="436">
        <f t="shared" si="16"/>
        <v>298</v>
      </c>
      <c r="AW22" s="436">
        <f t="shared" si="16"/>
        <v>10667</v>
      </c>
      <c r="AX22" s="436">
        <f t="shared" si="16"/>
        <v>1417.5300000000002</v>
      </c>
      <c r="AY22" s="436">
        <f t="shared" si="16"/>
        <v>0</v>
      </c>
      <c r="AZ22" s="436">
        <f t="shared" si="16"/>
        <v>0</v>
      </c>
      <c r="BA22" s="436">
        <f t="shared" si="16"/>
        <v>0</v>
      </c>
      <c r="BB22" s="436">
        <f t="shared" si="16"/>
        <v>0</v>
      </c>
      <c r="BC22" s="436">
        <f t="shared" si="16"/>
        <v>99151.29199999997</v>
      </c>
      <c r="BD22" s="436">
        <f t="shared" si="16"/>
        <v>300</v>
      </c>
      <c r="BE22" s="436">
        <f t="shared" si="16"/>
        <v>99451.29199999997</v>
      </c>
      <c r="BF22" s="436">
        <f t="shared" si="16"/>
        <v>-4042.3620000000055</v>
      </c>
      <c r="BG22" s="436">
        <f>SUM(BG10:BG21)</f>
        <v>-2292.5599999999986</v>
      </c>
      <c r="BI22" s="60"/>
    </row>
    <row r="23" spans="1:61" s="23" customFormat="1" ht="13.5" thickBot="1">
      <c r="A23" s="437"/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9"/>
      <c r="BF23" s="438"/>
      <c r="BG23" s="440"/>
      <c r="BI23" s="60"/>
    </row>
    <row r="24" spans="1:59" s="23" customFormat="1" ht="13.5" thickBot="1">
      <c r="A24" s="26" t="s">
        <v>52</v>
      </c>
      <c r="B24" s="438"/>
      <c r="C24" s="441">
        <f aca="true" t="shared" si="17" ref="C24:L24">C22+C8</f>
        <v>310952.95</v>
      </c>
      <c r="D24" s="441">
        <f t="shared" si="17"/>
        <v>23949.52613810001</v>
      </c>
      <c r="E24" s="441">
        <f t="shared" si="17"/>
        <v>18711.16</v>
      </c>
      <c r="F24" s="441">
        <f t="shared" si="17"/>
        <v>3422.54</v>
      </c>
      <c r="G24" s="441">
        <f t="shared" si="17"/>
        <v>58351.91000000002</v>
      </c>
      <c r="H24" s="441">
        <f t="shared" si="17"/>
        <v>0</v>
      </c>
      <c r="I24" s="441">
        <f t="shared" si="17"/>
        <v>25329.389999999996</v>
      </c>
      <c r="J24" s="441">
        <f t="shared" si="17"/>
        <v>4634.41</v>
      </c>
      <c r="K24" s="441">
        <f t="shared" si="17"/>
        <v>42469.78</v>
      </c>
      <c r="L24" s="441">
        <f t="shared" si="17"/>
        <v>7714.93</v>
      </c>
      <c r="M24" s="441" t="e">
        <f>#REF!</f>
        <v>#REF!</v>
      </c>
      <c r="N24" s="441">
        <f aca="true" t="shared" si="18" ref="N24:BG24">N22+N8</f>
        <v>11137.439999999999</v>
      </c>
      <c r="O24" s="441">
        <f t="shared" si="18"/>
        <v>24795.050000000003</v>
      </c>
      <c r="P24" s="441">
        <f t="shared" si="18"/>
        <v>2737.94</v>
      </c>
      <c r="Q24" s="441">
        <f t="shared" si="18"/>
        <v>0</v>
      </c>
      <c r="R24" s="441">
        <f t="shared" si="18"/>
        <v>0</v>
      </c>
      <c r="S24" s="441">
        <f t="shared" si="18"/>
        <v>0</v>
      </c>
      <c r="T24" s="441">
        <f t="shared" si="18"/>
        <v>0</v>
      </c>
      <c r="U24" s="441">
        <f t="shared" si="18"/>
        <v>258873.55</v>
      </c>
      <c r="V24" s="441">
        <f t="shared" si="18"/>
        <v>29647.260000000002</v>
      </c>
      <c r="W24" s="441">
        <f t="shared" si="18"/>
        <v>17700.14</v>
      </c>
      <c r="X24" s="441">
        <f t="shared" si="18"/>
        <v>50138.60999999999</v>
      </c>
      <c r="Y24" s="441">
        <f t="shared" si="18"/>
        <v>23971.660000000003</v>
      </c>
      <c r="Z24" s="441">
        <f t="shared" si="18"/>
        <v>39910.96</v>
      </c>
      <c r="AA24" s="441">
        <f t="shared" si="18"/>
        <v>81942.57</v>
      </c>
      <c r="AB24" s="441">
        <f t="shared" si="18"/>
        <v>22627.87</v>
      </c>
      <c r="AC24" s="441">
        <f t="shared" si="18"/>
        <v>0</v>
      </c>
      <c r="AD24" s="441">
        <f t="shared" si="18"/>
        <v>0</v>
      </c>
      <c r="AE24" s="441">
        <f t="shared" si="18"/>
        <v>0</v>
      </c>
      <c r="AF24" s="441">
        <f t="shared" si="18"/>
        <v>236291.80999999997</v>
      </c>
      <c r="AG24" s="441">
        <f t="shared" si="18"/>
        <v>289888.5961381</v>
      </c>
      <c r="AH24" s="441">
        <f t="shared" si="18"/>
        <v>0</v>
      </c>
      <c r="AI24" s="441">
        <f t="shared" si="18"/>
        <v>0</v>
      </c>
      <c r="AJ24" s="441">
        <f t="shared" si="18"/>
        <v>1500</v>
      </c>
      <c r="AK24" s="441">
        <f t="shared" si="18"/>
        <v>22200.611999999997</v>
      </c>
      <c r="AL24" s="441">
        <f t="shared" si="18"/>
        <v>7167.117764800001</v>
      </c>
      <c r="AM24" s="441">
        <f t="shared" si="18"/>
        <v>35608.516899630005</v>
      </c>
      <c r="AN24" s="441">
        <f t="shared" si="18"/>
        <v>2330.2439999999997</v>
      </c>
      <c r="AO24" s="441">
        <f t="shared" si="18"/>
        <v>46863.681251814</v>
      </c>
      <c r="AP24" s="441">
        <f t="shared" si="18"/>
        <v>66123.3197930796</v>
      </c>
      <c r="AQ24" s="441">
        <f t="shared" si="18"/>
        <v>8322.3</v>
      </c>
      <c r="AR24" s="441">
        <f t="shared" si="18"/>
        <v>8322.3</v>
      </c>
      <c r="AS24" s="441">
        <f t="shared" si="18"/>
        <v>6380.429999999999</v>
      </c>
      <c r="AT24" s="441">
        <f t="shared" si="18"/>
        <v>3270.6000000000004</v>
      </c>
      <c r="AU24" s="441">
        <f t="shared" si="18"/>
        <v>115454.158</v>
      </c>
      <c r="AV24" s="441">
        <f t="shared" si="18"/>
        <v>298</v>
      </c>
      <c r="AW24" s="442">
        <f t="shared" si="18"/>
        <v>15981.419999999998</v>
      </c>
      <c r="AX24" s="442">
        <f t="shared" si="18"/>
        <v>8582.8676</v>
      </c>
      <c r="AY24" s="442">
        <f t="shared" si="18"/>
        <v>5388.768</v>
      </c>
      <c r="AZ24" s="442">
        <f t="shared" si="18"/>
        <v>0</v>
      </c>
      <c r="BA24" s="442">
        <f t="shared" si="18"/>
        <v>0</v>
      </c>
      <c r="BB24" s="442">
        <f t="shared" si="18"/>
        <v>0</v>
      </c>
      <c r="BC24" s="442">
        <f t="shared" si="18"/>
        <v>352294.33530932356</v>
      </c>
      <c r="BD24" s="442">
        <f t="shared" si="18"/>
        <v>375</v>
      </c>
      <c r="BE24" s="442">
        <f t="shared" si="18"/>
        <v>352669.33530932356</v>
      </c>
      <c r="BF24" s="442">
        <f t="shared" si="18"/>
        <v>-61280.73917122359</v>
      </c>
      <c r="BG24" s="442">
        <f t="shared" si="18"/>
        <v>-22581.739999999998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4">
      <selection activeCell="A6" sqref="A6:G6"/>
    </sheetView>
  </sheetViews>
  <sheetFormatPr defaultColWidth="9.00390625" defaultRowHeight="12.75"/>
  <cols>
    <col min="1" max="1" width="10.00390625" style="300" customWidth="1"/>
    <col min="2" max="2" width="10.625" style="300" customWidth="1"/>
    <col min="3" max="3" width="11.875" style="300" customWidth="1"/>
    <col min="4" max="4" width="9.75390625" style="300" customWidth="1"/>
    <col min="5" max="5" width="11.625" style="300" customWidth="1"/>
    <col min="6" max="6" width="9.125" style="300" customWidth="1"/>
    <col min="7" max="7" width="11.00390625" style="300" customWidth="1"/>
    <col min="8" max="8" width="10.625" style="300" customWidth="1"/>
    <col min="9" max="9" width="8.625" style="300" customWidth="1"/>
    <col min="10" max="10" width="9.25390625" style="300" customWidth="1"/>
    <col min="11" max="11" width="8.625" style="300" customWidth="1"/>
    <col min="12" max="13" width="10.125" style="300" customWidth="1"/>
    <col min="14" max="14" width="10.625" style="300" customWidth="1"/>
    <col min="15" max="15" width="10.875" style="300" customWidth="1"/>
    <col min="16" max="16" width="10.375" style="300" customWidth="1"/>
    <col min="17" max="17" width="10.75390625" style="300" customWidth="1"/>
    <col min="18" max="16384" width="9.125" style="300" customWidth="1"/>
  </cols>
  <sheetData>
    <row r="1" spans="2:9" ht="20.25" customHeight="1">
      <c r="B1" s="443" t="s">
        <v>53</v>
      </c>
      <c r="C1" s="443"/>
      <c r="D1" s="443"/>
      <c r="E1" s="443"/>
      <c r="F1" s="443"/>
      <c r="G1" s="443"/>
      <c r="H1" s="443"/>
      <c r="I1" s="28"/>
    </row>
    <row r="2" spans="2:12" ht="21" customHeight="1">
      <c r="B2" s="443" t="s">
        <v>54</v>
      </c>
      <c r="C2" s="443"/>
      <c r="D2" s="443"/>
      <c r="E2" s="443"/>
      <c r="F2" s="443"/>
      <c r="G2" s="443"/>
      <c r="H2" s="443"/>
      <c r="I2" s="28"/>
      <c r="K2" s="299"/>
      <c r="L2" s="299"/>
    </row>
    <row r="5" spans="1:14" ht="12.75">
      <c r="A5" s="276" t="s">
        <v>128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2.75">
      <c r="A6" s="444" t="s">
        <v>120</v>
      </c>
      <c r="B6" s="444"/>
      <c r="C6" s="444"/>
      <c r="D6" s="444"/>
      <c r="E6" s="444"/>
      <c r="F6" s="444"/>
      <c r="G6" s="444"/>
      <c r="H6" s="109"/>
      <c r="I6" s="109"/>
      <c r="J6" s="109"/>
      <c r="K6" s="109"/>
      <c r="L6" s="109"/>
      <c r="M6" s="109"/>
      <c r="N6" s="109"/>
    </row>
    <row r="7" spans="1:15" ht="13.5" thickBot="1">
      <c r="A7" s="445" t="s">
        <v>55</v>
      </c>
      <c r="B7" s="445"/>
      <c r="C7" s="445"/>
      <c r="D7" s="445"/>
      <c r="E7" s="445">
        <v>8.55</v>
      </c>
      <c r="F7" s="445"/>
      <c r="I7" s="446"/>
      <c r="J7" s="446"/>
      <c r="K7" s="446"/>
      <c r="L7" s="446"/>
      <c r="M7" s="446"/>
      <c r="N7" s="446"/>
      <c r="O7" s="446"/>
    </row>
    <row r="8" spans="1:17" ht="12.75" customHeight="1">
      <c r="A8" s="277" t="s">
        <v>56</v>
      </c>
      <c r="B8" s="280" t="s">
        <v>0</v>
      </c>
      <c r="C8" s="283" t="s">
        <v>129</v>
      </c>
      <c r="D8" s="286" t="s">
        <v>2</v>
      </c>
      <c r="E8" s="289" t="s">
        <v>58</v>
      </c>
      <c r="F8" s="217"/>
      <c r="G8" s="447" t="s">
        <v>121</v>
      </c>
      <c r="H8" s="448"/>
      <c r="I8" s="449"/>
      <c r="J8" s="450" t="s">
        <v>8</v>
      </c>
      <c r="K8" s="451"/>
      <c r="L8" s="451"/>
      <c r="M8" s="451"/>
      <c r="N8" s="451"/>
      <c r="O8" s="452"/>
      <c r="P8" s="453" t="s">
        <v>59</v>
      </c>
      <c r="Q8" s="453" t="s">
        <v>10</v>
      </c>
    </row>
    <row r="9" spans="1:17" ht="12.75">
      <c r="A9" s="278"/>
      <c r="B9" s="281"/>
      <c r="C9" s="284"/>
      <c r="D9" s="287"/>
      <c r="E9" s="290"/>
      <c r="F9" s="291"/>
      <c r="G9" s="454"/>
      <c r="H9" s="455"/>
      <c r="I9" s="456"/>
      <c r="J9" s="457"/>
      <c r="K9" s="458"/>
      <c r="L9" s="458"/>
      <c r="M9" s="458"/>
      <c r="N9" s="458"/>
      <c r="O9" s="255"/>
      <c r="P9" s="459"/>
      <c r="Q9" s="459"/>
    </row>
    <row r="10" spans="1:17" ht="26.25" customHeight="1">
      <c r="A10" s="278"/>
      <c r="B10" s="281"/>
      <c r="C10" s="284"/>
      <c r="D10" s="287"/>
      <c r="E10" s="265" t="s">
        <v>60</v>
      </c>
      <c r="F10" s="222"/>
      <c r="G10" s="460" t="s">
        <v>61</v>
      </c>
      <c r="H10" s="272" t="s">
        <v>5</v>
      </c>
      <c r="I10" s="461" t="s">
        <v>122</v>
      </c>
      <c r="J10" s="268" t="s">
        <v>62</v>
      </c>
      <c r="K10" s="270" t="s">
        <v>123</v>
      </c>
      <c r="L10" s="270" t="s">
        <v>63</v>
      </c>
      <c r="M10" s="270" t="s">
        <v>35</v>
      </c>
      <c r="N10" s="271" t="s">
        <v>124</v>
      </c>
      <c r="O10" s="273" t="s">
        <v>37</v>
      </c>
      <c r="P10" s="459"/>
      <c r="Q10" s="459"/>
    </row>
    <row r="11" spans="1:17" ht="66.75" customHeight="1" thickBot="1">
      <c r="A11" s="279"/>
      <c r="B11" s="282"/>
      <c r="C11" s="285"/>
      <c r="D11" s="288"/>
      <c r="E11" s="33" t="s">
        <v>65</v>
      </c>
      <c r="F11" s="34" t="s">
        <v>19</v>
      </c>
      <c r="G11" s="187" t="s">
        <v>125</v>
      </c>
      <c r="H11" s="273"/>
      <c r="I11" s="462"/>
      <c r="J11" s="269"/>
      <c r="K11" s="271"/>
      <c r="L11" s="271"/>
      <c r="M11" s="271"/>
      <c r="N11" s="463"/>
      <c r="O11" s="464"/>
      <c r="P11" s="465"/>
      <c r="Q11" s="465"/>
    </row>
    <row r="12" spans="1:17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6">
        <v>9</v>
      </c>
      <c r="J12" s="37">
        <v>10</v>
      </c>
      <c r="K12" s="36">
        <v>11</v>
      </c>
      <c r="L12" s="37">
        <v>12</v>
      </c>
      <c r="M12" s="36">
        <v>13</v>
      </c>
      <c r="N12" s="37">
        <v>14</v>
      </c>
      <c r="O12" s="36">
        <v>15</v>
      </c>
      <c r="P12" s="37">
        <v>16</v>
      </c>
      <c r="Q12" s="36">
        <v>17</v>
      </c>
    </row>
    <row r="13" spans="1:17" ht="13.5" thickBot="1">
      <c r="A13" s="466" t="s">
        <v>95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8"/>
      <c r="P13" s="469"/>
      <c r="Q13" s="469"/>
    </row>
    <row r="14" spans="1:19" s="23" customFormat="1" ht="13.5" thickBot="1">
      <c r="A14" s="68" t="s">
        <v>52</v>
      </c>
      <c r="B14" s="69"/>
      <c r="C14" s="70">
        <f>'2011 полн'!C8</f>
        <v>216078.73000000004</v>
      </c>
      <c r="D14" s="70">
        <f>'2011 полн'!D8</f>
        <v>23949.52613810001</v>
      </c>
      <c r="E14" s="70">
        <f>'2011 полн'!U8</f>
        <v>162372.06</v>
      </c>
      <c r="F14" s="70">
        <f>'2011 полн'!V8</f>
        <v>29647.260000000002</v>
      </c>
      <c r="G14" s="70">
        <f>'2011 полн'!AF8</f>
        <v>142082.87999999998</v>
      </c>
      <c r="H14" s="70">
        <f>'2011 полн'!AG8</f>
        <v>195679.66613810003</v>
      </c>
      <c r="I14" s="70">
        <f>'2011 полн'!AJ8</f>
        <v>300</v>
      </c>
      <c r="J14" s="70">
        <f>'2011 полн'!AK8</f>
        <v>14766.023999999998</v>
      </c>
      <c r="K14" s="70">
        <f>'2011 полн'!AL8</f>
        <v>4947.8377648000005</v>
      </c>
      <c r="L14" s="70">
        <f>'2011 полн'!AM8+'2011 полн'!AO8+'2011 полн'!AP8+'2011 полн'!AQ8+'2011 полн'!AT8+'2011 полн'!AX8+'2011 полн'!AY8</f>
        <v>117915.60354452359</v>
      </c>
      <c r="M14" s="70">
        <f>'2011 полн'!AU8+'2011 полн'!AV8+'2011 полн'!AW8</f>
        <v>115513.578</v>
      </c>
      <c r="N14" s="70">
        <f>'2011 полн'!BD8</f>
        <v>75</v>
      </c>
      <c r="O14" s="70">
        <f>'2011 полн'!BE8</f>
        <v>253218.04330932358</v>
      </c>
      <c r="P14" s="70">
        <f>'2011 полн'!BF8</f>
        <v>-57238.37717122358</v>
      </c>
      <c r="Q14" s="70">
        <f>'2011 полн'!BG8</f>
        <v>-20289.18</v>
      </c>
      <c r="R14" s="73"/>
      <c r="S14" s="60"/>
    </row>
    <row r="15" spans="1:19" ht="12.75">
      <c r="A15" s="8" t="s">
        <v>119</v>
      </c>
      <c r="B15" s="470"/>
      <c r="C15" s="61"/>
      <c r="D15" s="62"/>
      <c r="E15" s="471"/>
      <c r="F15" s="472"/>
      <c r="G15" s="473"/>
      <c r="H15" s="472"/>
      <c r="I15" s="474"/>
      <c r="J15" s="473"/>
      <c r="K15" s="475"/>
      <c r="L15" s="475"/>
      <c r="M15" s="476"/>
      <c r="N15" s="477"/>
      <c r="O15" s="478"/>
      <c r="P15" s="479"/>
      <c r="Q15" s="479"/>
      <c r="R15" s="299"/>
      <c r="S15" s="299"/>
    </row>
    <row r="16" spans="1:19" ht="12.75">
      <c r="A16" s="352" t="s">
        <v>43</v>
      </c>
      <c r="B16" s="480">
        <f>'2011 полн'!B10</f>
        <v>924.7</v>
      </c>
      <c r="C16" s="480">
        <f>'2011 полн'!C10</f>
        <v>7906.185000000001</v>
      </c>
      <c r="D16" s="46">
        <f>'2011 полн'!D10</f>
        <v>0</v>
      </c>
      <c r="E16" s="475">
        <f>'2011 полн'!U10</f>
        <v>8022.639999999999</v>
      </c>
      <c r="F16" s="475">
        <f>'2011 полн'!V10</f>
        <v>0</v>
      </c>
      <c r="G16" s="481">
        <f>'2011 полн'!AF10</f>
        <v>4937.08</v>
      </c>
      <c r="H16" s="481">
        <f>'2011 полн'!AG10</f>
        <v>4937.08</v>
      </c>
      <c r="I16" s="481">
        <f>'2011 полн'!AJ10</f>
        <v>100</v>
      </c>
      <c r="J16" s="481">
        <f>'2011 полн'!AK10</f>
        <v>619.5490000000001</v>
      </c>
      <c r="K16" s="481">
        <f>'2011 полн'!AL10</f>
        <v>184.94000000000003</v>
      </c>
      <c r="L16" s="475">
        <f>'2011 полн'!AM10+'2011 полн'!AN10+'2011 полн'!AO10+'2011 полн'!AP10+'2011 полн'!AQ10+'2011 полн'!AR10+'2011 полн'!AS10+'2011 полн'!AT10+'2011 полн'!AX10</f>
        <v>6739.676999999999</v>
      </c>
      <c r="M16" s="476">
        <f>'2011 полн'!AU10+'2011 полн'!AV10+'2011 полн'!AW10</f>
        <v>0</v>
      </c>
      <c r="N16" s="482">
        <f>'2011 полн'!BD10</f>
        <v>25</v>
      </c>
      <c r="O16" s="478">
        <f>'2011 полн'!BE10</f>
        <v>7569.166</v>
      </c>
      <c r="P16" s="479">
        <f>'2011 полн'!BF10</f>
        <v>-2532.0860000000002</v>
      </c>
      <c r="Q16" s="479">
        <f>'2011 полн'!BG10</f>
        <v>-3085.5599999999995</v>
      </c>
      <c r="R16" s="299"/>
      <c r="S16" s="299"/>
    </row>
    <row r="17" spans="1:19" ht="12.75">
      <c r="A17" s="352" t="s">
        <v>44</v>
      </c>
      <c r="B17" s="480">
        <f>'2011 полн'!B11</f>
        <v>924.7</v>
      </c>
      <c r="C17" s="480">
        <f>'2011 полн'!C11</f>
        <v>7906.185000000001</v>
      </c>
      <c r="D17" s="46">
        <f>'2011 полн'!D11</f>
        <v>0</v>
      </c>
      <c r="E17" s="475">
        <f>'2011 полн'!U11</f>
        <v>8022.639999999999</v>
      </c>
      <c r="F17" s="475">
        <f>'2011 полн'!V11</f>
        <v>0</v>
      </c>
      <c r="G17" s="481">
        <f>'2011 полн'!AF11</f>
        <v>8183.349999999999</v>
      </c>
      <c r="H17" s="481">
        <f>'2011 полн'!AG11</f>
        <v>8183.349999999999</v>
      </c>
      <c r="I17" s="481">
        <f>'2011 полн'!AJ11</f>
        <v>100</v>
      </c>
      <c r="J17" s="481">
        <f>'2011 полн'!AK11</f>
        <v>619.5490000000001</v>
      </c>
      <c r="K17" s="481">
        <f>'2011 полн'!AL11</f>
        <v>184.94000000000003</v>
      </c>
      <c r="L17" s="475">
        <f>'2011 полн'!AM11+'2011 полн'!AN11+'2011 полн'!AO11+'2011 полн'!AP11+'2011 полн'!AQ11+'2011 полн'!AR11+'2011 полн'!AS11+'2011 полн'!AT11+'2011 полн'!AX11</f>
        <v>6565.716999999999</v>
      </c>
      <c r="M17" s="476">
        <f>'2011 полн'!AU11+'2011 полн'!AV11+'2011 полн'!AW11</f>
        <v>0</v>
      </c>
      <c r="N17" s="482">
        <f>'2011 полн'!BD11</f>
        <v>25</v>
      </c>
      <c r="O17" s="478">
        <f>'2011 полн'!BE11</f>
        <v>7395.206</v>
      </c>
      <c r="P17" s="479">
        <f>'2011 полн'!BF11</f>
        <v>888.1439999999984</v>
      </c>
      <c r="Q17" s="479">
        <f>'2011 полн'!BG11</f>
        <v>160.71000000000004</v>
      </c>
      <c r="R17" s="299"/>
      <c r="S17" s="299"/>
    </row>
    <row r="18" spans="1:19" ht="12.75">
      <c r="A18" s="352" t="s">
        <v>45</v>
      </c>
      <c r="B18" s="480">
        <f>'2011 полн'!B12</f>
        <v>924.7</v>
      </c>
      <c r="C18" s="480">
        <f>'2011 полн'!C12</f>
        <v>7906.185000000001</v>
      </c>
      <c r="D18" s="46">
        <f>'2011 полн'!D12</f>
        <v>0</v>
      </c>
      <c r="E18" s="475">
        <f>'2011 полн'!U12</f>
        <v>8022.639999999999</v>
      </c>
      <c r="F18" s="475">
        <f>'2011 полн'!V12</f>
        <v>0</v>
      </c>
      <c r="G18" s="481">
        <f>'2011 полн'!AF12</f>
        <v>8269.46</v>
      </c>
      <c r="H18" s="481">
        <f>'2011 полн'!AG12</f>
        <v>8269.46</v>
      </c>
      <c r="I18" s="481">
        <f>'2011 полн'!AJ12</f>
        <v>100</v>
      </c>
      <c r="J18" s="481">
        <f>'2011 полн'!AK12</f>
        <v>619.5490000000001</v>
      </c>
      <c r="K18" s="481">
        <f>'2011 полн'!AL12</f>
        <v>184.94000000000003</v>
      </c>
      <c r="L18" s="475">
        <f>'2011 полн'!AM12+'2011 полн'!AN12+'2011 полн'!AO12+'2011 полн'!AP12+'2011 полн'!AQ12+'2011 полн'!AR12+'2011 полн'!AS12+'2011 полн'!AT12+'2011 полн'!AX12</f>
        <v>6531.876999999999</v>
      </c>
      <c r="M18" s="476">
        <f>'2011 полн'!AU12+'2011 полн'!AV12+'2011 полн'!AW12</f>
        <v>0</v>
      </c>
      <c r="N18" s="482">
        <f>'2011 полн'!BD12</f>
        <v>25</v>
      </c>
      <c r="O18" s="478">
        <f>'2011 полн'!BE12</f>
        <v>7361.366</v>
      </c>
      <c r="P18" s="479">
        <f>'2011 полн'!BF12</f>
        <v>1008.0939999999991</v>
      </c>
      <c r="Q18" s="479">
        <f>'2011 полн'!BG12</f>
        <v>246.8199999999997</v>
      </c>
      <c r="R18" s="299"/>
      <c r="S18" s="299"/>
    </row>
    <row r="19" spans="1:19" ht="12.75">
      <c r="A19" s="352" t="s">
        <v>46</v>
      </c>
      <c r="B19" s="480">
        <f>'2011 полн'!B13</f>
        <v>924.7</v>
      </c>
      <c r="C19" s="480">
        <f>'2011 полн'!C13</f>
        <v>7906.185000000001</v>
      </c>
      <c r="D19" s="46">
        <f>'2011 полн'!D13</f>
        <v>0</v>
      </c>
      <c r="E19" s="475">
        <f>'2011 полн'!U13</f>
        <v>8022.639999999999</v>
      </c>
      <c r="F19" s="475">
        <f>'2011 полн'!V13</f>
        <v>0</v>
      </c>
      <c r="G19" s="481">
        <f>'2011 полн'!AF13</f>
        <v>13678.22</v>
      </c>
      <c r="H19" s="481">
        <f>'2011 полн'!AG13</f>
        <v>13678.22</v>
      </c>
      <c r="I19" s="481">
        <f>'2011 полн'!AJ13</f>
        <v>100</v>
      </c>
      <c r="J19" s="481">
        <f>'2011 полн'!AK13</f>
        <v>619.5490000000001</v>
      </c>
      <c r="K19" s="481">
        <f>'2011 полн'!AL13</f>
        <v>184.94000000000003</v>
      </c>
      <c r="L19" s="475">
        <f>'2011 полн'!AM13+'2011 полн'!AN13+'2011 полн'!AO13+'2011 полн'!AP13+'2011 полн'!AQ13+'2011 полн'!AR13+'2011 полн'!AS13+'2011 полн'!AT13+'2011 полн'!AX13</f>
        <v>5513.471999999999</v>
      </c>
      <c r="M19" s="476">
        <f>'2011 полн'!AU13+'2011 полн'!AV13+'2011 полн'!AW13</f>
        <v>151</v>
      </c>
      <c r="N19" s="482">
        <f>'2011 полн'!BD13</f>
        <v>25</v>
      </c>
      <c r="O19" s="478">
        <f>'2011 полн'!BE13</f>
        <v>6493.961</v>
      </c>
      <c r="P19" s="479">
        <f>'2011 полн'!BF13</f>
        <v>7284.258999999999</v>
      </c>
      <c r="Q19" s="479">
        <f>'2011 полн'!BG13</f>
        <v>5655.58</v>
      </c>
      <c r="R19" s="299"/>
      <c r="S19" s="299"/>
    </row>
    <row r="20" spans="1:19" ht="12.75">
      <c r="A20" s="352" t="s">
        <v>47</v>
      </c>
      <c r="B20" s="480">
        <f>'2011 полн'!B14</f>
        <v>924.7</v>
      </c>
      <c r="C20" s="480">
        <f>'2011 полн'!C14</f>
        <v>7906.185000000001</v>
      </c>
      <c r="D20" s="46">
        <f>'2011 полн'!D14</f>
        <v>0</v>
      </c>
      <c r="E20" s="475">
        <f>'2011 полн'!U14</f>
        <v>8011.0599999999995</v>
      </c>
      <c r="F20" s="475">
        <f>'2011 полн'!V14</f>
        <v>0</v>
      </c>
      <c r="G20" s="481">
        <f>'2011 полн'!AF14</f>
        <v>7177.02</v>
      </c>
      <c r="H20" s="481">
        <f>'2011 полн'!AG14</f>
        <v>7177.02</v>
      </c>
      <c r="I20" s="481">
        <f>'2011 полн'!AJ14</f>
        <v>100</v>
      </c>
      <c r="J20" s="481">
        <f>'2011 полн'!AK14</f>
        <v>619.5490000000001</v>
      </c>
      <c r="K20" s="481">
        <f>'2011 полн'!AL14</f>
        <v>184.94000000000003</v>
      </c>
      <c r="L20" s="475">
        <f>'2011 полн'!AM14+'2011 полн'!AN14+'2011 полн'!AO14+'2011 полн'!AP14+'2011 полн'!AQ14+'2011 полн'!AR14+'2011 полн'!AS14+'2011 полн'!AT14+'2011 полн'!AX14</f>
        <v>5919.301999999999</v>
      </c>
      <c r="M20" s="476">
        <f>'2011 полн'!AU14+'2011 полн'!AV14+'2011 полн'!AW14</f>
        <v>10043</v>
      </c>
      <c r="N20" s="482">
        <f>'2011 полн'!BD14</f>
        <v>25</v>
      </c>
      <c r="O20" s="478">
        <f>'2011 полн'!BE14</f>
        <v>16791.791</v>
      </c>
      <c r="P20" s="479">
        <f>'2011 полн'!BF14</f>
        <v>-9514.771</v>
      </c>
      <c r="Q20" s="479">
        <f>'2011 полн'!BG14</f>
        <v>-834.039999999999</v>
      </c>
      <c r="R20" s="299"/>
      <c r="S20" s="299"/>
    </row>
    <row r="21" spans="1:19" ht="12.75">
      <c r="A21" s="352" t="s">
        <v>48</v>
      </c>
      <c r="B21" s="480">
        <f>'2011 полн'!B15</f>
        <v>924.7</v>
      </c>
      <c r="C21" s="480">
        <f>'2011 полн'!C15</f>
        <v>7906.185000000001</v>
      </c>
      <c r="D21" s="46">
        <f>'2011 полн'!D15</f>
        <v>0</v>
      </c>
      <c r="E21" s="475">
        <f>'2011 полн'!U15</f>
        <v>8022.639999999999</v>
      </c>
      <c r="F21" s="475">
        <f>'2011 полн'!V15</f>
        <v>0</v>
      </c>
      <c r="G21" s="481">
        <f>'2011 полн'!AF15</f>
        <v>6863.39</v>
      </c>
      <c r="H21" s="481">
        <f>'2011 полн'!AG15</f>
        <v>6863.39</v>
      </c>
      <c r="I21" s="481">
        <f>'2011 полн'!AJ15</f>
        <v>100</v>
      </c>
      <c r="J21" s="481">
        <f>'2011 полн'!AK15</f>
        <v>619.5490000000001</v>
      </c>
      <c r="K21" s="481">
        <f>'2011 полн'!AL15</f>
        <v>184.94000000000003</v>
      </c>
      <c r="L21" s="475">
        <f>'2011 полн'!AM15+'2011 полн'!AN15+'2011 полн'!AO15+'2011 полн'!AP15+'2011 полн'!AQ15+'2011 полн'!AR15+'2011 полн'!AS15+'2011 полн'!AT15+'2011 полн'!AX15</f>
        <v>5468.471999999999</v>
      </c>
      <c r="M21" s="476">
        <f>'2011 полн'!AU15+'2011 полн'!AV15+'2011 полн'!AW15</f>
        <v>1647</v>
      </c>
      <c r="N21" s="482">
        <f>'2011 полн'!BD15</f>
        <v>25</v>
      </c>
      <c r="O21" s="478">
        <f>'2011 полн'!BE15</f>
        <v>7944.961</v>
      </c>
      <c r="P21" s="479">
        <f>'2011 полн'!BF15</f>
        <v>-981.5709999999999</v>
      </c>
      <c r="Q21" s="479">
        <f>'2011 полн'!BG15</f>
        <v>-1159.249999999999</v>
      </c>
      <c r="R21" s="299"/>
      <c r="S21" s="299"/>
    </row>
    <row r="22" spans="1:17" ht="12.75">
      <c r="A22" s="352" t="s">
        <v>49</v>
      </c>
      <c r="B22" s="480">
        <f>'2011 полн'!B16</f>
        <v>924.7</v>
      </c>
      <c r="C22" s="480">
        <f>'2011 полн'!C16</f>
        <v>7906.185000000001</v>
      </c>
      <c r="D22" s="46">
        <f>'2011 полн'!D16</f>
        <v>0</v>
      </c>
      <c r="E22" s="475">
        <f>'2011 полн'!U16</f>
        <v>8034.129999999999</v>
      </c>
      <c r="F22" s="475">
        <f>'2011 полн'!V16</f>
        <v>0</v>
      </c>
      <c r="G22" s="481">
        <f>'2011 полн'!AF16</f>
        <v>8092.5</v>
      </c>
      <c r="H22" s="481">
        <f>'2011 полн'!AG16</f>
        <v>8092.5</v>
      </c>
      <c r="I22" s="481">
        <f>'2011 полн'!AJ16</f>
        <v>100</v>
      </c>
      <c r="J22" s="481">
        <f>'2011 полн'!AK16</f>
        <v>619.5490000000001</v>
      </c>
      <c r="K22" s="481">
        <f>'2011 полн'!AL16</f>
        <v>184.94000000000003</v>
      </c>
      <c r="L22" s="475">
        <f>'2011 полн'!AM16+'2011 полн'!AN16+'2011 полн'!AO16+'2011 полн'!AP16+'2011 полн'!AQ16+'2011 полн'!AR16+'2011 полн'!AS16+'2011 полн'!AT16+'2011 полн'!AX16</f>
        <v>5589.3319999999985</v>
      </c>
      <c r="M22" s="476">
        <f>'2011 полн'!AU16+'2011 полн'!AV16+'2011 полн'!AW16</f>
        <v>0</v>
      </c>
      <c r="N22" s="482">
        <f>'2011 полн'!BD16</f>
        <v>25</v>
      </c>
      <c r="O22" s="478">
        <f>'2011 полн'!BE16</f>
        <v>6418.821</v>
      </c>
      <c r="P22" s="479">
        <f>'2011 полн'!BF16</f>
        <v>1773.679</v>
      </c>
      <c r="Q22" s="479">
        <f>'2011 полн'!BG16</f>
        <v>58.3700000000008</v>
      </c>
    </row>
    <row r="23" spans="1:17" ht="12.75">
      <c r="A23" s="352" t="s">
        <v>50</v>
      </c>
      <c r="B23" s="480">
        <f>'2011 полн'!B17</f>
        <v>924.7</v>
      </c>
      <c r="C23" s="480">
        <f>'2011 полн'!C17</f>
        <v>7906.185000000001</v>
      </c>
      <c r="D23" s="46">
        <f>'2011 полн'!D17</f>
        <v>0</v>
      </c>
      <c r="E23" s="475">
        <f>'2011 полн'!U17</f>
        <v>8058.74</v>
      </c>
      <c r="F23" s="475">
        <f>'2011 полн'!V17</f>
        <v>0</v>
      </c>
      <c r="G23" s="481">
        <f>'2011 полн'!AF17</f>
        <v>9082.52</v>
      </c>
      <c r="H23" s="481">
        <f>'2011 полн'!AG17</f>
        <v>9082.52</v>
      </c>
      <c r="I23" s="481">
        <f>'2011 полн'!AJ17</f>
        <v>100</v>
      </c>
      <c r="J23" s="481">
        <f>'2011 полн'!AK17</f>
        <v>619.5490000000001</v>
      </c>
      <c r="K23" s="481">
        <f>'2011 полн'!AL17</f>
        <v>184.94000000000003</v>
      </c>
      <c r="L23" s="475">
        <f>'2011 полн'!AM17+'2011 полн'!AN17+'2011 полн'!AO17+'2011 полн'!AP17+'2011 полн'!AQ17+'2011 полн'!AR17+'2011 полн'!AS17+'2011 полн'!AT17+'2011 полн'!AX17</f>
        <v>5468.471999999999</v>
      </c>
      <c r="M23" s="476">
        <f>'2011 полн'!AU17+'2011 полн'!AV17+'2011 полн'!AW17</f>
        <v>676</v>
      </c>
      <c r="N23" s="482">
        <f>'2011 полн'!BD17</f>
        <v>25</v>
      </c>
      <c r="O23" s="478">
        <f>'2011 полн'!BE17</f>
        <v>6973.961</v>
      </c>
      <c r="P23" s="479">
        <f>'2011 полн'!BF17</f>
        <v>2208.559</v>
      </c>
      <c r="Q23" s="479">
        <f>'2011 полн'!BG17</f>
        <v>1023.7800000000007</v>
      </c>
    </row>
    <row r="24" spans="1:17" ht="12.75">
      <c r="A24" s="352" t="s">
        <v>51</v>
      </c>
      <c r="B24" s="480">
        <f>'2011 полн'!B18</f>
        <v>924.7</v>
      </c>
      <c r="C24" s="480">
        <f>'2011 полн'!C18</f>
        <v>7906.185000000001</v>
      </c>
      <c r="D24" s="46">
        <f>'2011 полн'!D18</f>
        <v>0</v>
      </c>
      <c r="E24" s="475">
        <f>'2011 полн'!U18</f>
        <v>8071.09</v>
      </c>
      <c r="F24" s="475">
        <f>'2011 полн'!V18</f>
        <v>0</v>
      </c>
      <c r="G24" s="481">
        <f>'2011 полн'!AF18</f>
        <v>6205.429999999999</v>
      </c>
      <c r="H24" s="481">
        <f>'2011 полн'!AG18</f>
        <v>6205.429999999999</v>
      </c>
      <c r="I24" s="481">
        <f>'2011 полн'!AJ18</f>
        <v>100</v>
      </c>
      <c r="J24" s="481">
        <f>'2011 полн'!AK18</f>
        <v>619.5490000000001</v>
      </c>
      <c r="K24" s="481">
        <f>'2011 полн'!AL18</f>
        <v>184.94000000000003</v>
      </c>
      <c r="L24" s="475">
        <f>'2011 полн'!AM18+'2011 полн'!AN18+'2011 полн'!AO18+'2011 полн'!AP18+'2011 полн'!AQ18+'2011 полн'!AR18+'2011 полн'!AS18+'2011 полн'!AT18+'2011 полн'!AX18</f>
        <v>5468.471999999999</v>
      </c>
      <c r="M24" s="476">
        <f>'2011 полн'!AU18+'2011 полн'!AV18+'2011 полн'!AW18</f>
        <v>0</v>
      </c>
      <c r="N24" s="482">
        <f>'2011 полн'!BD18</f>
        <v>25</v>
      </c>
      <c r="O24" s="478">
        <f>'2011 полн'!BE18</f>
        <v>6297.961</v>
      </c>
      <c r="P24" s="479">
        <f>'2011 полн'!BF18</f>
        <v>7.468999999999141</v>
      </c>
      <c r="Q24" s="479">
        <f>'2011 полн'!BG18</f>
        <v>-1865.6600000000008</v>
      </c>
    </row>
    <row r="25" spans="1:17" ht="12.75">
      <c r="A25" s="352" t="s">
        <v>39</v>
      </c>
      <c r="B25" s="480">
        <f>'2011 полн'!B19</f>
        <v>924.7</v>
      </c>
      <c r="C25" s="480">
        <f>'2011 полн'!C19</f>
        <v>7906.185000000001</v>
      </c>
      <c r="D25" s="46">
        <f>'2011 полн'!D19</f>
        <v>0</v>
      </c>
      <c r="E25" s="475">
        <f>'2011 полн'!U19</f>
        <v>8071.09</v>
      </c>
      <c r="F25" s="475">
        <f>'2011 полн'!V19</f>
        <v>0</v>
      </c>
      <c r="G25" s="481">
        <f>'2011 полн'!AF19</f>
        <v>6370.16</v>
      </c>
      <c r="H25" s="481">
        <f>'2011 полн'!AG19</f>
        <v>6370.16</v>
      </c>
      <c r="I25" s="481">
        <f>'2011 полн'!AJ19</f>
        <v>100</v>
      </c>
      <c r="J25" s="481">
        <f>'2011 полн'!AK19</f>
        <v>619.5490000000001</v>
      </c>
      <c r="K25" s="481">
        <f>'2011 полн'!AL19</f>
        <v>184.94000000000003</v>
      </c>
      <c r="L25" s="475">
        <f>'2011 полн'!AM19+'2011 полн'!AN19+'2011 полн'!AO19+'2011 полн'!AP19+'2011 полн'!AQ19+'2011 полн'!AR19+'2011 полн'!AS19+'2011 полн'!AT19+'2011 полн'!AX19</f>
        <v>6829.876999999999</v>
      </c>
      <c r="M25" s="476">
        <f>'2011 полн'!AU19+'2011 полн'!AV19+'2011 полн'!AW19</f>
        <v>2772</v>
      </c>
      <c r="N25" s="482">
        <f>'2011 полн'!BD19</f>
        <v>25</v>
      </c>
      <c r="O25" s="478">
        <f>'2011 полн'!BE19</f>
        <v>10431.366</v>
      </c>
      <c r="P25" s="479">
        <f>'2011 полн'!BF19</f>
        <v>-3961.206</v>
      </c>
      <c r="Q25" s="479">
        <f>'2011 полн'!BG19</f>
        <v>-1700.9300000000003</v>
      </c>
    </row>
    <row r="26" spans="1:17" ht="12.75">
      <c r="A26" s="352" t="s">
        <v>40</v>
      </c>
      <c r="B26" s="480">
        <f>'2011 полн'!B20</f>
        <v>924.7</v>
      </c>
      <c r="C26" s="480">
        <f>'2011 полн'!C20</f>
        <v>7906.185000000001</v>
      </c>
      <c r="D26" s="46">
        <f>'2011 полн'!D20</f>
        <v>0</v>
      </c>
      <c r="E26" s="475">
        <f>'2011 полн'!U20</f>
        <v>8071.09</v>
      </c>
      <c r="F26" s="475">
        <f>'2011 полн'!V20</f>
        <v>0</v>
      </c>
      <c r="G26" s="481">
        <f>'2011 полн'!AF20</f>
        <v>8018.73</v>
      </c>
      <c r="H26" s="481">
        <f>'2011 полн'!AG20</f>
        <v>8018.73</v>
      </c>
      <c r="I26" s="481">
        <f>'2011 полн'!AJ20</f>
        <v>100</v>
      </c>
      <c r="J26" s="481">
        <f>'2011 полн'!AK20</f>
        <v>619.5490000000001</v>
      </c>
      <c r="K26" s="481">
        <f>'2011 полн'!AL20</f>
        <v>184.94000000000003</v>
      </c>
      <c r="L26" s="475">
        <f>'2011 полн'!AM20+'2011 полн'!AN20+'2011 полн'!AO20+'2011 полн'!AP20+'2011 полн'!AQ20+'2011 полн'!AR20+'2011 полн'!AS20+'2011 полн'!AT20+'2011 полн'!AX20</f>
        <v>6650.876999999999</v>
      </c>
      <c r="M26" s="476">
        <f>'2011 полн'!AU20+'2011 полн'!AV20+'2011 полн'!AW20</f>
        <v>931</v>
      </c>
      <c r="N26" s="482">
        <f>'2011 полн'!BD20</f>
        <v>25</v>
      </c>
      <c r="O26" s="478">
        <f>'2011 полн'!BE20</f>
        <v>8411.366</v>
      </c>
      <c r="P26" s="479">
        <f>'2011 полн'!BF20</f>
        <v>-292.6360000000004</v>
      </c>
      <c r="Q26" s="479">
        <f>'2011 полн'!BG20</f>
        <v>-52.36000000000058</v>
      </c>
    </row>
    <row r="27" spans="1:17" ht="13.5" thickBot="1">
      <c r="A27" s="483" t="s">
        <v>41</v>
      </c>
      <c r="B27" s="480">
        <f>'2011 полн'!B21</f>
        <v>924.7</v>
      </c>
      <c r="C27" s="480">
        <f>'2011 полн'!C21</f>
        <v>7906.185000000001</v>
      </c>
      <c r="D27" s="46">
        <f>'2011 полн'!D21</f>
        <v>0</v>
      </c>
      <c r="E27" s="475">
        <f>'2011 полн'!U21</f>
        <v>8071.09</v>
      </c>
      <c r="F27" s="475">
        <f>'2011 полн'!V21</f>
        <v>0</v>
      </c>
      <c r="G27" s="481">
        <f>'2011 полн'!AF21</f>
        <v>7331.07</v>
      </c>
      <c r="H27" s="481">
        <f>'2011 полн'!AG21</f>
        <v>7331.07</v>
      </c>
      <c r="I27" s="481">
        <f>'2011 полн'!AJ21</f>
        <v>100</v>
      </c>
      <c r="J27" s="481">
        <f>'2011 полн'!AK21</f>
        <v>619.5490000000001</v>
      </c>
      <c r="K27" s="481">
        <f>'2011 полн'!AL21</f>
        <v>184.94000000000003</v>
      </c>
      <c r="L27" s="475">
        <f>'2011 полн'!AM21+'2011 полн'!AN21+'2011 полн'!AO21+'2011 полн'!AP21+'2011 полн'!AQ21+'2011 полн'!AR21+'2011 полн'!AS21+'2011 полн'!AT21+'2011 полн'!AX21</f>
        <v>6531.876999999999</v>
      </c>
      <c r="M27" s="476">
        <f>'2011 полн'!AU21+'2011 полн'!AV21+'2011 полн'!AW21</f>
        <v>0</v>
      </c>
      <c r="N27" s="482">
        <f>'2011 полн'!BD21</f>
        <v>25</v>
      </c>
      <c r="O27" s="478">
        <f>'2011 полн'!BE21</f>
        <v>7361.366</v>
      </c>
      <c r="P27" s="479">
        <f>'2011 полн'!BF21</f>
        <v>69.70399999999972</v>
      </c>
      <c r="Q27" s="479">
        <f>'2011 полн'!BG21</f>
        <v>-740.0200000000004</v>
      </c>
    </row>
    <row r="28" spans="1:19" s="23" customFormat="1" ht="13.5" thickBot="1">
      <c r="A28" s="52" t="s">
        <v>3</v>
      </c>
      <c r="B28" s="53"/>
      <c r="C28" s="58">
        <f aca="true" t="shared" si="0" ref="C28:Q28">SUM(C16:C27)</f>
        <v>94874.21999999999</v>
      </c>
      <c r="D28" s="58">
        <f t="shared" si="0"/>
        <v>0</v>
      </c>
      <c r="E28" s="58">
        <f t="shared" si="0"/>
        <v>96501.48999999998</v>
      </c>
      <c r="F28" s="58">
        <f t="shared" si="0"/>
        <v>0</v>
      </c>
      <c r="G28" s="484">
        <f>'[9]2011 полн'!AF22</f>
        <v>119347.64</v>
      </c>
      <c r="H28" s="58">
        <f t="shared" si="0"/>
        <v>94208.93</v>
      </c>
      <c r="I28" s="58">
        <f t="shared" si="0"/>
        <v>1200</v>
      </c>
      <c r="J28" s="58">
        <f t="shared" si="0"/>
        <v>7434.588000000001</v>
      </c>
      <c r="K28" s="58">
        <f t="shared" si="0"/>
        <v>2219.28</v>
      </c>
      <c r="L28" s="58">
        <f t="shared" si="0"/>
        <v>73277.42399999998</v>
      </c>
      <c r="M28" s="58">
        <f t="shared" si="0"/>
        <v>16220</v>
      </c>
      <c r="N28" s="58">
        <f t="shared" si="0"/>
        <v>300</v>
      </c>
      <c r="O28" s="58">
        <f t="shared" si="0"/>
        <v>99451.29199999997</v>
      </c>
      <c r="P28" s="58">
        <f t="shared" si="0"/>
        <v>-4042.3620000000055</v>
      </c>
      <c r="Q28" s="58">
        <f t="shared" si="0"/>
        <v>-2292.5599999999986</v>
      </c>
      <c r="R28" s="60"/>
      <c r="S28" s="60"/>
    </row>
    <row r="29" spans="1:17" ht="13.5" thickBot="1">
      <c r="A29" s="466" t="s">
        <v>66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8"/>
      <c r="P29" s="469"/>
      <c r="Q29" s="469"/>
    </row>
    <row r="30" spans="1:19" s="23" customFormat="1" ht="13.5" thickBot="1">
      <c r="A30" s="68" t="s">
        <v>52</v>
      </c>
      <c r="B30" s="69"/>
      <c r="C30" s="70">
        <f aca="true" t="shared" si="1" ref="C30:Q30">C28+C14</f>
        <v>310952.95</v>
      </c>
      <c r="D30" s="70">
        <f t="shared" si="1"/>
        <v>23949.52613810001</v>
      </c>
      <c r="E30" s="70">
        <f t="shared" si="1"/>
        <v>258873.55</v>
      </c>
      <c r="F30" s="70">
        <f t="shared" si="1"/>
        <v>29647.260000000002</v>
      </c>
      <c r="G30" s="70">
        <f t="shared" si="1"/>
        <v>261430.51999999996</v>
      </c>
      <c r="H30" s="70">
        <f t="shared" si="1"/>
        <v>289888.5961381</v>
      </c>
      <c r="I30" s="70">
        <f t="shared" si="1"/>
        <v>1500</v>
      </c>
      <c r="J30" s="70">
        <f t="shared" si="1"/>
        <v>22200.611999999997</v>
      </c>
      <c r="K30" s="70">
        <f t="shared" si="1"/>
        <v>7167.117764800001</v>
      </c>
      <c r="L30" s="70">
        <f t="shared" si="1"/>
        <v>191193.0275445236</v>
      </c>
      <c r="M30" s="70">
        <f t="shared" si="1"/>
        <v>131733.57799999998</v>
      </c>
      <c r="N30" s="70">
        <f t="shared" si="1"/>
        <v>375</v>
      </c>
      <c r="O30" s="70">
        <f t="shared" si="1"/>
        <v>352669.33530932356</v>
      </c>
      <c r="P30" s="70">
        <f t="shared" si="1"/>
        <v>-61280.73917122359</v>
      </c>
      <c r="Q30" s="70">
        <f t="shared" si="1"/>
        <v>-22581.739999999998</v>
      </c>
      <c r="R30" s="73"/>
      <c r="S30" s="60"/>
    </row>
    <row r="32" spans="1:18" ht="12.75">
      <c r="A32" s="23" t="s">
        <v>67</v>
      </c>
      <c r="D32" s="485" t="s">
        <v>126</v>
      </c>
      <c r="Q32" s="299"/>
      <c r="R32" s="299"/>
    </row>
    <row r="33" spans="1:18" ht="12.75">
      <c r="A33" s="349" t="s">
        <v>68</v>
      </c>
      <c r="B33" s="349" t="s">
        <v>69</v>
      </c>
      <c r="C33" s="486" t="s">
        <v>70</v>
      </c>
      <c r="D33" s="486"/>
      <c r="Q33" s="299"/>
      <c r="R33" s="299"/>
    </row>
    <row r="34" spans="1:18" ht="12.75">
      <c r="A34" s="487">
        <v>81019.89</v>
      </c>
      <c r="B34" s="487">
        <v>6509</v>
      </c>
      <c r="C34" s="488">
        <f>A34-B34</f>
        <v>74510.89</v>
      </c>
      <c r="D34" s="489"/>
      <c r="Q34" s="299"/>
      <c r="R34" s="299"/>
    </row>
    <row r="35" spans="1:18" ht="12.75">
      <c r="A35" s="74"/>
      <c r="Q35" s="299"/>
      <c r="R35" s="299"/>
    </row>
    <row r="36" spans="1:18" ht="12.75">
      <c r="A36" s="300" t="s">
        <v>71</v>
      </c>
      <c r="G36" s="300" t="s">
        <v>72</v>
      </c>
      <c r="Q36" s="299"/>
      <c r="R36" s="299"/>
    </row>
    <row r="37" ht="12.75">
      <c r="A37" s="299"/>
    </row>
    <row r="38" ht="12.75">
      <c r="A38" s="485" t="s">
        <v>127</v>
      </c>
    </row>
    <row r="39" ht="12.75">
      <c r="A39" s="300" t="s">
        <v>73</v>
      </c>
    </row>
  </sheetData>
  <sheetProtection/>
  <mergeCells count="28">
    <mergeCell ref="N10:N11"/>
    <mergeCell ref="O10:O11"/>
    <mergeCell ref="A13:N13"/>
    <mergeCell ref="A29:N29"/>
    <mergeCell ref="C33:D33"/>
    <mergeCell ref="C34:D34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2010-05-14T05:17:05Z</cp:lastPrinted>
  <dcterms:created xsi:type="dcterms:W3CDTF">2010-04-03T04:08:20Z</dcterms:created>
  <dcterms:modified xsi:type="dcterms:W3CDTF">2012-05-21T05:00:11Z</dcterms:modified>
  <cp:category/>
  <cp:version/>
  <cp:contentType/>
  <cp:contentStatus/>
</cp:coreProperties>
</file>