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<sst xmlns="http://schemas.openxmlformats.org/spreadsheetml/2006/main" count="178" uniqueCount="95">
  <si>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</si>
  <si>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</si>
  <si>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</si>
  <si>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</si>
  <si>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</si>
  <si>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</si>
  <si>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</si>
  <si>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</si>
  <si>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</si>
  <si>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</si>
  <si>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</si>
  <si>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</si>
  <si>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</si>
  <si>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</si>
  <si>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</si>
  <si>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</si>
  <si>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</si>
  <si>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</si>
  <si>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</si>
  <si>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</si>
  <si>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</si>
  <si>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</si>
  <si>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</si>
  <si>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</si>
  <si>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</si>
  <si>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</si>
  <si>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</si>
  <si>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</si>
  <si>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</si>
  <si>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</si>
  <si>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</si>
  <si>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</si>
  <si>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</si>
  <si>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</si>
  <si>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</si>
  <si>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</si>
  <si>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</si>
  <si>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</si>
  <si>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</si>
  <si>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</si>
  <si>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</si>
  <si>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</si>
  <si>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</si>
  <si>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</si>
  <si>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</si>
  <si>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</si>
  <si>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</si>
  <si>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</si>
  <si>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</si>
  <si>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</si>
  <si>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</si>
  <si>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</si>
  <si>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</si>
  <si>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</si>
  <si>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</si>
  <si>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</si>
  <si>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</si>
  <si>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</si>
  <si>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</si>
  <si>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</si>
  <si>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</si>
  <si>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</si>
  <si>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</si>
  <si>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</si>
  <si>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</si>
  <si>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</si>
  <si>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</si>
  <si>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</si>
  <si>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</si>
  <si>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</si>
  <si>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</si>
  <si>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</si>
  <si>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</si>
  <si>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О.А. Хильчук</t>
  </si>
  <si>
    <t>тел. 3-48-80</t>
  </si>
  <si>
    <t xml:space="preserve">Собрано квартплаты </t>
  </si>
  <si>
    <t>содержанию и тек.рем.</t>
  </si>
  <si>
    <t>Лицевой счет по адресу г. Таштагол, ул. Ленина, д. 48</t>
  </si>
  <si>
    <t>Выписка по лицевому счету по адресу г. Таштагол, ул. Ленина, д. 48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</si>
  <si>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</si>
  <si>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</si>
  <si>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</si>
  <si>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</si>
  <si>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</si>
  <si>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</si>
  <si>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</si>
  <si>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</si>
  <si>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</si>
  <si>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</si>
  <si>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</si>
  <si>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</si>
  <si>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</si>
  <si>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</si>
  <si>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на 01.01.2011 г.</t>
  </si>
  <si>
    <t>*по состоянию на 01.01.2011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</si>
</sst>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2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0" borderId="0">
      <alignment horizontal="left" vertical="center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24" borderId="11" xfId="0" applyNumberFormat="1" applyFont="1" applyFill="1" applyBorder="1" applyAlignment="1">
      <alignment wrapText="1"/>
    </xf>
    <xf numFmtId="4" fontId="1" fillId="22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4" fontId="2" fillId="0" borderId="32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0" fontId="1" fillId="0" borderId="24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29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31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wrapText="1"/>
    </xf>
    <xf numFmtId="4" fontId="0" fillId="0" borderId="11" xfId="0" applyNumberFormat="1" applyFont="1" applyBorder="1" applyAlignment="1">
      <alignment horizontal="right"/>
    </xf>
    <xf numFmtId="4" fontId="1" fillId="24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" fontId="0" fillId="24" borderId="11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0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right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4" fontId="1" fillId="24" borderId="26" xfId="0" applyNumberFormat="1" applyFont="1" applyFill="1" applyBorder="1" applyAlignment="1">
      <alignment horizontal="right" wrapText="1"/>
    </xf>
    <xf numFmtId="4" fontId="1" fillId="24" borderId="27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24" borderId="36" xfId="0" applyFont="1" applyFill="1" applyBorder="1" applyAlignment="1">
      <alignment/>
    </xf>
    <xf numFmtId="4" fontId="1" fillId="24" borderId="20" xfId="0" applyNumberFormat="1" applyFont="1" applyFill="1" applyBorder="1" applyAlignment="1">
      <alignment horizontal="right"/>
    </xf>
    <xf numFmtId="4" fontId="1" fillId="24" borderId="30" xfId="0" applyNumberFormat="1" applyFont="1" applyFill="1" applyBorder="1" applyAlignment="1">
      <alignment horizontal="right"/>
    </xf>
    <xf numFmtId="0" fontId="1" fillId="24" borderId="27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" fontId="1" fillId="24" borderId="27" xfId="0" applyNumberFormat="1" applyFont="1" applyFill="1" applyBorder="1" applyAlignment="1">
      <alignment horizontal="right" wrapText="1"/>
    </xf>
    <xf numFmtId="4" fontId="1" fillId="24" borderId="26" xfId="0" applyNumberFormat="1" applyFont="1" applyFill="1" applyBorder="1" applyAlignment="1">
      <alignment horizontal="right"/>
    </xf>
    <xf numFmtId="4" fontId="1" fillId="24" borderId="15" xfId="0" applyNumberFormat="1" applyFont="1" applyFill="1" applyBorder="1" applyAlignment="1">
      <alignment horizontal="right"/>
    </xf>
    <xf numFmtId="4" fontId="1" fillId="24" borderId="14" xfId="0" applyNumberFormat="1" applyFont="1" applyFill="1" applyBorder="1" applyAlignment="1">
      <alignment horizontal="right"/>
    </xf>
    <xf numFmtId="4" fontId="1" fillId="22" borderId="11" xfId="0" applyNumberFormat="1" applyFont="1" applyFill="1" applyBorder="1" applyAlignment="1">
      <alignment horizontal="right" wrapText="1"/>
    </xf>
    <xf numFmtId="4" fontId="0" fillId="24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24" borderId="4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24" borderId="41" xfId="0" applyNumberFormat="1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2" fontId="25" fillId="0" borderId="4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2" fillId="0" borderId="30" xfId="33" applyNumberFormat="1" applyFont="1" applyFill="1" applyBorder="1" applyAlignment="1">
      <alignment horizontal="center" vertical="center" wrapText="1"/>
      <protection/>
    </xf>
    <xf numFmtId="4" fontId="2" fillId="22" borderId="13" xfId="33" applyNumberFormat="1" applyFont="1" applyFill="1" applyBorder="1" applyAlignment="1">
      <alignment horizontal="center" vertical="center" wrapText="1"/>
      <protection/>
    </xf>
    <xf numFmtId="4" fontId="0" fillId="7" borderId="15" xfId="0" applyNumberFormat="1" applyFont="1" applyFill="1" applyBorder="1" applyAlignment="1">
      <alignment horizontal="center"/>
    </xf>
    <xf numFmtId="4" fontId="0" fillId="22" borderId="33" xfId="0" applyNumberFormat="1" applyFont="1" applyFill="1" applyBorder="1" applyAlignment="1">
      <alignment/>
    </xf>
    <xf numFmtId="4" fontId="0" fillId="22" borderId="20" xfId="0" applyNumberFormat="1" applyFont="1" applyFill="1" applyBorder="1" applyAlignment="1">
      <alignment/>
    </xf>
    <xf numFmtId="4" fontId="0" fillId="22" borderId="11" xfId="0" applyNumberFormat="1" applyFont="1" applyFill="1" applyBorder="1" applyAlignment="1">
      <alignment/>
    </xf>
    <xf numFmtId="4" fontId="0" fillId="4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26" fillId="0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5" borderId="32" xfId="0" applyNumberFormat="1" applyFont="1" applyFill="1" applyBorder="1" applyAlignment="1">
      <alignment/>
    </xf>
    <xf numFmtId="4" fontId="0" fillId="3" borderId="32" xfId="0" applyNumberFormat="1" applyFont="1" applyFill="1" applyBorder="1" applyAlignment="1">
      <alignment horizontal="right"/>
    </xf>
    <xf numFmtId="4" fontId="0" fillId="3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0" fillId="22" borderId="32" xfId="0" applyNumberFormat="1" applyFont="1" applyFill="1" applyBorder="1" applyAlignment="1">
      <alignment/>
    </xf>
    <xf numFmtId="4" fontId="1" fillId="4" borderId="25" xfId="0" applyNumberFormat="1" applyFont="1" applyFill="1" applyBorder="1" applyAlignment="1">
      <alignment wrapText="1"/>
    </xf>
    <xf numFmtId="4" fontId="1" fillId="24" borderId="25" xfId="0" applyNumberFormat="1" applyFont="1" applyFill="1" applyBorder="1" applyAlignment="1">
      <alignment wrapText="1"/>
    </xf>
    <xf numFmtId="4" fontId="1" fillId="0" borderId="27" xfId="0" applyNumberFormat="1" applyFont="1" applyFill="1" applyBorder="1" applyAlignment="1">
      <alignment wrapText="1"/>
    </xf>
    <xf numFmtId="4" fontId="2" fillId="0" borderId="13" xfId="33" applyNumberFormat="1" applyFont="1" applyFill="1" applyBorder="1" applyAlignment="1">
      <alignment vertical="center" wrapText="1"/>
      <protection/>
    </xf>
    <xf numFmtId="0" fontId="0" fillId="24" borderId="13" xfId="0" applyFont="1" applyFill="1" applyBorder="1" applyAlignment="1">
      <alignment horizontal="right" vertical="center" wrapText="1"/>
    </xf>
    <xf numFmtId="0" fontId="0" fillId="24" borderId="30" xfId="0" applyFont="1" applyFill="1" applyBorder="1" applyAlignment="1">
      <alignment horizontal="right" vertical="center" wrapText="1"/>
    </xf>
    <xf numFmtId="0" fontId="0" fillId="24" borderId="13" xfId="0" applyFont="1" applyFill="1" applyBorder="1" applyAlignment="1">
      <alignment vertical="center" wrapText="1"/>
    </xf>
    <xf numFmtId="4" fontId="0" fillId="24" borderId="13" xfId="0" applyNumberFormat="1" applyFont="1" applyFill="1" applyBorder="1" applyAlignment="1">
      <alignment/>
    </xf>
    <xf numFmtId="0" fontId="0" fillId="22" borderId="13" xfId="0" applyFont="1" applyFill="1" applyBorder="1" applyAlignment="1">
      <alignment vertical="center" wrapText="1"/>
    </xf>
    <xf numFmtId="4" fontId="0" fillId="22" borderId="13" xfId="0" applyNumberFormat="1" applyFont="1" applyFill="1" applyBorder="1" applyAlignment="1">
      <alignment/>
    </xf>
    <xf numFmtId="4" fontId="1" fillId="22" borderId="13" xfId="0" applyNumberFormat="1" applyFont="1" applyFill="1" applyBorder="1" applyAlignment="1">
      <alignment/>
    </xf>
    <xf numFmtId="4" fontId="0" fillId="22" borderId="13" xfId="0" applyNumberFormat="1" applyFont="1" applyFill="1" applyBorder="1" applyAlignment="1">
      <alignment horizontal="right"/>
    </xf>
    <xf numFmtId="4" fontId="0" fillId="4" borderId="13" xfId="0" applyNumberFormat="1" applyFont="1" applyFill="1" applyBorder="1" applyAlignment="1">
      <alignment horizontal="right"/>
    </xf>
    <xf numFmtId="4" fontId="0" fillId="4" borderId="13" xfId="0" applyNumberFormat="1" applyFont="1" applyFill="1" applyBorder="1" applyAlignment="1">
      <alignment horizontal="right" vertical="center" wrapText="1"/>
    </xf>
    <xf numFmtId="4" fontId="0" fillId="24" borderId="13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25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3" borderId="4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2" fillId="22" borderId="11" xfId="33" applyNumberFormat="1" applyFont="1" applyFill="1" applyBorder="1" applyAlignment="1">
      <alignment horizontal="center" vertical="center" wrapText="1"/>
      <protection/>
    </xf>
    <xf numFmtId="4" fontId="0" fillId="0" borderId="44" xfId="0" applyNumberFormat="1" applyFont="1" applyFill="1" applyBorder="1" applyAlignment="1">
      <alignment horizontal="right"/>
    </xf>
    <xf numFmtId="4" fontId="0" fillId="3" borderId="17" xfId="0" applyNumberFormat="1" applyFont="1" applyFill="1" applyBorder="1" applyAlignment="1">
      <alignment horizontal="right"/>
    </xf>
    <xf numFmtId="0" fontId="0" fillId="0" borderId="45" xfId="0" applyFont="1" applyFill="1" applyBorder="1" applyAlignment="1">
      <alignment/>
    </xf>
    <xf numFmtId="4" fontId="2" fillId="0" borderId="20" xfId="33" applyNumberFormat="1" applyFont="1" applyFill="1" applyBorder="1" applyAlignment="1">
      <alignment horizontal="center" vertical="center" wrapText="1"/>
      <protection/>
    </xf>
    <xf numFmtId="4" fontId="27" fillId="0" borderId="32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 horizontal="right"/>
    </xf>
    <xf numFmtId="4" fontId="1" fillId="4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4" borderId="11" xfId="0" applyNumberFormat="1" applyFont="1" applyFill="1" applyBorder="1" applyAlignment="1">
      <alignment horizontal="right" wrapText="1"/>
    </xf>
    <xf numFmtId="0" fontId="1" fillId="0" borderId="42" xfId="0" applyFont="1" applyFill="1" applyBorder="1" applyAlignment="1">
      <alignment/>
    </xf>
    <xf numFmtId="4" fontId="1" fillId="4" borderId="17" xfId="0" applyNumberFormat="1" applyFont="1" applyFill="1" applyBorder="1" applyAlignment="1">
      <alignment horizontal="right"/>
    </xf>
    <xf numFmtId="4" fontId="1" fillId="24" borderId="17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0" fillId="24" borderId="21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4" fontId="0" fillId="0" borderId="47" xfId="0" applyNumberFormat="1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4" fontId="27" fillId="25" borderId="32" xfId="0" applyNumberFormat="1" applyFont="1" applyFill="1" applyBorder="1" applyAlignment="1">
      <alignment/>
    </xf>
    <xf numFmtId="4" fontId="2" fillId="0" borderId="11" xfId="53" applyNumberFormat="1" applyFont="1" applyFill="1" applyBorder="1" applyAlignment="1">
      <alignment horizontal="right"/>
      <protection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2" fontId="1" fillId="25" borderId="48" xfId="0" applyNumberFormat="1" applyFont="1" applyFill="1" applyBorder="1" applyAlignment="1">
      <alignment horizontal="center" vertical="center" wrapText="1"/>
    </xf>
    <xf numFmtId="2" fontId="1" fillId="25" borderId="40" xfId="0" applyNumberFormat="1" applyFont="1" applyFill="1" applyBorder="1" applyAlignment="1">
      <alignment horizontal="center" vertical="center" wrapText="1"/>
    </xf>
    <xf numFmtId="2" fontId="1" fillId="25" borderId="41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25" fillId="0" borderId="48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2" fontId="24" fillId="22" borderId="48" xfId="0" applyNumberFormat="1" applyFont="1" applyFill="1" applyBorder="1" applyAlignment="1">
      <alignment horizontal="center" vertical="center" wrapText="1"/>
    </xf>
    <xf numFmtId="2" fontId="24" fillId="22" borderId="40" xfId="0" applyNumberFormat="1" applyFont="1" applyFill="1" applyBorder="1" applyAlignment="1">
      <alignment horizontal="center" vertical="center" wrapText="1"/>
    </xf>
    <xf numFmtId="2" fontId="24" fillId="22" borderId="41" xfId="0" applyNumberFormat="1" applyFont="1" applyFill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2" fontId="1" fillId="4" borderId="21" xfId="0" applyNumberFormat="1" applyFont="1" applyFill="1" applyBorder="1" applyAlignment="1">
      <alignment horizontal="center" vertical="center" wrapText="1"/>
    </xf>
    <xf numFmtId="2" fontId="1" fillId="4" borderId="53" xfId="0" applyNumberFormat="1" applyFont="1" applyFill="1" applyBorder="1" applyAlignment="1">
      <alignment horizontal="center" vertical="center" wrapText="1"/>
    </xf>
    <xf numFmtId="2" fontId="1" fillId="4" borderId="48" xfId="0" applyNumberFormat="1" applyFont="1" applyFill="1" applyBorder="1" applyAlignment="1">
      <alignment horizontal="center" vertical="center" wrapText="1"/>
    </xf>
    <xf numFmtId="2" fontId="1" fillId="4" borderId="41" xfId="0" applyNumberFormat="1" applyFont="1" applyFill="1" applyBorder="1" applyAlignment="1">
      <alignment horizontal="center" vertical="center" wrapText="1"/>
    </xf>
    <xf numFmtId="2" fontId="1" fillId="24" borderId="46" xfId="0" applyNumberFormat="1" applyFont="1" applyFill="1" applyBorder="1" applyAlignment="1">
      <alignment horizontal="center" vertical="center" wrapText="1"/>
    </xf>
    <xf numFmtId="2" fontId="1" fillId="24" borderId="54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22" borderId="39" xfId="0" applyNumberFormat="1" applyFont="1" applyFill="1" applyBorder="1" applyAlignment="1">
      <alignment horizontal="center" vertical="center" wrapText="1"/>
    </xf>
    <xf numFmtId="2" fontId="1" fillId="22" borderId="42" xfId="0" applyNumberFormat="1" applyFont="1" applyFill="1" applyBorder="1" applyAlignment="1">
      <alignment horizontal="center" vertical="center" wrapText="1"/>
    </xf>
    <xf numFmtId="2" fontId="1" fillId="22" borderId="51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textRotation="90"/>
    </xf>
    <xf numFmtId="0" fontId="1" fillId="0" borderId="42" xfId="0" applyFont="1" applyFill="1" applyBorder="1" applyAlignment="1">
      <alignment horizontal="center" textRotation="90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22" borderId="48" xfId="0" applyNumberFormat="1" applyFont="1" applyFill="1" applyBorder="1" applyAlignment="1">
      <alignment horizontal="center" vertical="center" wrapText="1"/>
    </xf>
    <xf numFmtId="2" fontId="1" fillId="22" borderId="40" xfId="0" applyNumberFormat="1" applyFont="1" applyFill="1" applyBorder="1" applyAlignment="1">
      <alignment horizontal="center" vertical="center" wrapText="1"/>
    </xf>
    <xf numFmtId="2" fontId="1" fillId="22" borderId="41" xfId="0" applyNumberFormat="1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textRotation="90"/>
    </xf>
    <xf numFmtId="0" fontId="1" fillId="7" borderId="40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22" borderId="48" xfId="0" applyNumberFormat="1" applyFont="1" applyFill="1" applyBorder="1" applyAlignment="1">
      <alignment horizontal="center" vertical="center" wrapText="1"/>
    </xf>
    <xf numFmtId="4" fontId="1" fillId="22" borderId="4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43" fontId="0" fillId="0" borderId="32" xfId="60" applyFont="1" applyFill="1" applyBorder="1" applyAlignment="1">
      <alignment horizontal="center"/>
    </xf>
    <xf numFmtId="43" fontId="0" fillId="0" borderId="20" xfId="6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2" fontId="1" fillId="24" borderId="32" xfId="0" applyNumberFormat="1" applyFont="1" applyFill="1" applyBorder="1" applyAlignment="1">
      <alignment horizontal="center" vertical="center" textRotation="90" wrapText="1"/>
    </xf>
    <xf numFmtId="2" fontId="1" fillId="24" borderId="61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24" borderId="15" xfId="0" applyNumberFormat="1" applyFont="1" applyFill="1" applyBorder="1" applyAlignment="1">
      <alignment horizontal="center" vertical="center" textRotation="90" wrapText="1"/>
    </xf>
    <xf numFmtId="2" fontId="1" fillId="24" borderId="22" xfId="0" applyNumberFormat="1" applyFont="1" applyFill="1" applyBorder="1" applyAlignment="1">
      <alignment horizontal="center" vertical="center" textRotation="90" wrapText="1"/>
    </xf>
    <xf numFmtId="0" fontId="1" fillId="0" borderId="38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65" xfId="0" applyNumberFormat="1" applyFont="1" applyFill="1" applyBorder="1" applyAlignment="1">
      <alignment horizontal="center" vertical="center" textRotation="90" wrapText="1"/>
    </xf>
    <xf numFmtId="4" fontId="1" fillId="0" borderId="32" xfId="0" applyNumberFormat="1" applyFont="1" applyFill="1" applyBorder="1" applyAlignment="1">
      <alignment horizontal="center" vertical="center" textRotation="90" wrapText="1"/>
    </xf>
    <xf numFmtId="4" fontId="1" fillId="0" borderId="61" xfId="0" applyNumberFormat="1" applyFont="1" applyFill="1" applyBorder="1" applyAlignment="1">
      <alignment horizontal="center" vertical="center" textRotation="90" wrapText="1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Q19">
      <selection activeCell="B41" sqref="B41:BC41"/>
    </sheetView>
  </sheetViews>
  <sheetFormatPr defaultColWidth="9.125" defaultRowHeight="12.75"/>
  <cols>
    <col min="1" max="1" width="8.75390625" style="2" bestFit="1" customWidth="1"/>
    <col min="2" max="2" width="9.375" style="2" bestFit="1" customWidth="1"/>
    <col min="3" max="3" width="12.00390625" style="2" customWidth="1"/>
    <col min="4" max="4" width="10.375" style="2" customWidth="1"/>
    <col min="5" max="5" width="8.875" style="2" customWidth="1"/>
    <col min="6" max="6" width="9.00390625" style="2" customWidth="1"/>
    <col min="7" max="7" width="9.87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10.25390625" style="2" customWidth="1"/>
    <col min="46" max="47" width="10.125" style="2" bestFit="1" customWidth="1"/>
    <col min="48" max="48" width="10.375" style="2" customWidth="1"/>
    <col min="49" max="49" width="10.75390625" style="2" customWidth="1"/>
    <col min="50" max="50" width="14.00390625" style="2" customWidth="1"/>
    <col min="51" max="51" width="9.125" style="2" customWidth="1"/>
    <col min="52" max="52" width="11.00390625" style="2" customWidth="1"/>
    <col min="53" max="53" width="9.125" style="2" customWidth="1"/>
    <col min="54" max="54" width="12.00390625" style="2" customWidth="1"/>
    <col min="55" max="55" width="9.125" style="2" customWidth="1"/>
    <col min="56" max="56" width="10.875" style="2" customWidth="1"/>
    <col min="57" max="57" width="10.75390625" style="2" customWidth="1"/>
    <col min="58" max="58" width="10.25390625" style="2" customWidth="1"/>
    <col min="59" max="16384" width="9.125" style="2" customWidth="1"/>
  </cols>
  <sheetData>
    <row r="1" spans="1:18" ht="12.75">
      <c r="A1" s="252" t="s">
        <v>77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213" t="s">
        <v>79</v>
      </c>
      <c r="B3" s="254" t="s">
        <v>0</v>
      </c>
      <c r="C3" s="256" t="s">
        <v>1</v>
      </c>
      <c r="D3" s="258" t="s">
        <v>2</v>
      </c>
      <c r="E3" s="213" t="s">
        <v>11</v>
      </c>
      <c r="F3" s="219"/>
      <c r="G3" s="213" t="s">
        <v>12</v>
      </c>
      <c r="H3" s="112"/>
      <c r="I3" s="213" t="s">
        <v>13</v>
      </c>
      <c r="J3" s="112"/>
      <c r="K3" s="213" t="s">
        <v>14</v>
      </c>
      <c r="L3" s="112"/>
      <c r="M3" s="111" t="s">
        <v>15</v>
      </c>
      <c r="N3" s="112"/>
      <c r="O3" s="213" t="s">
        <v>16</v>
      </c>
      <c r="P3" s="112"/>
      <c r="Q3" s="213" t="s">
        <v>17</v>
      </c>
      <c r="R3" s="112"/>
      <c r="S3" s="213" t="s">
        <v>3</v>
      </c>
      <c r="T3" s="111"/>
      <c r="U3" s="243" t="s">
        <v>4</v>
      </c>
      <c r="V3" s="244"/>
      <c r="W3" s="244"/>
      <c r="X3" s="244"/>
      <c r="Y3" s="244"/>
      <c r="Z3" s="244"/>
      <c r="AA3" s="244"/>
      <c r="AB3" s="244"/>
      <c r="AC3" s="247" t="s">
        <v>80</v>
      </c>
      <c r="AD3" s="233" t="s">
        <v>6</v>
      </c>
      <c r="AE3" s="233" t="s">
        <v>7</v>
      </c>
      <c r="AF3" s="216" t="s">
        <v>81</v>
      </c>
      <c r="AG3" s="195" t="s">
        <v>8</v>
      </c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7"/>
      <c r="BC3" s="201" t="s">
        <v>82</v>
      </c>
      <c r="BD3" s="202"/>
      <c r="BE3" s="203" t="s">
        <v>9</v>
      </c>
      <c r="BF3" s="203" t="s">
        <v>10</v>
      </c>
    </row>
    <row r="4" spans="1:58" ht="36" customHeight="1" thickBot="1">
      <c r="A4" s="253"/>
      <c r="B4" s="255"/>
      <c r="C4" s="257"/>
      <c r="D4" s="259"/>
      <c r="E4" s="220"/>
      <c r="F4" s="221"/>
      <c r="G4" s="214"/>
      <c r="H4" s="215"/>
      <c r="I4" s="214"/>
      <c r="J4" s="215"/>
      <c r="K4" s="214"/>
      <c r="L4" s="215"/>
      <c r="M4" s="110"/>
      <c r="N4" s="212"/>
      <c r="O4" s="214"/>
      <c r="P4" s="215"/>
      <c r="Q4" s="214"/>
      <c r="R4" s="215"/>
      <c r="S4" s="214"/>
      <c r="T4" s="242"/>
      <c r="U4" s="245"/>
      <c r="V4" s="246"/>
      <c r="W4" s="246"/>
      <c r="X4" s="246"/>
      <c r="Y4" s="246"/>
      <c r="Z4" s="246"/>
      <c r="AA4" s="246"/>
      <c r="AB4" s="246"/>
      <c r="AC4" s="248"/>
      <c r="AD4" s="234"/>
      <c r="AE4" s="234"/>
      <c r="AF4" s="217"/>
      <c r="AG4" s="198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200"/>
      <c r="BC4" s="206" t="s">
        <v>83</v>
      </c>
      <c r="BD4" s="193" t="s">
        <v>84</v>
      </c>
      <c r="BE4" s="204"/>
      <c r="BF4" s="204"/>
    </row>
    <row r="5" spans="1:58" ht="29.25" customHeight="1" thickBot="1">
      <c r="A5" s="253"/>
      <c r="B5" s="255"/>
      <c r="C5" s="257"/>
      <c r="D5" s="259"/>
      <c r="E5" s="236" t="s">
        <v>18</v>
      </c>
      <c r="F5" s="228" t="s">
        <v>19</v>
      </c>
      <c r="G5" s="228" t="s">
        <v>18</v>
      </c>
      <c r="H5" s="228" t="s">
        <v>19</v>
      </c>
      <c r="I5" s="228" t="s">
        <v>18</v>
      </c>
      <c r="J5" s="228" t="s">
        <v>19</v>
      </c>
      <c r="K5" s="228" t="s">
        <v>18</v>
      </c>
      <c r="L5" s="228" t="s">
        <v>19</v>
      </c>
      <c r="M5" s="228" t="s">
        <v>18</v>
      </c>
      <c r="N5" s="228" t="s">
        <v>19</v>
      </c>
      <c r="O5" s="228" t="s">
        <v>18</v>
      </c>
      <c r="P5" s="228" t="s">
        <v>19</v>
      </c>
      <c r="Q5" s="228" t="s">
        <v>18</v>
      </c>
      <c r="R5" s="228" t="s">
        <v>19</v>
      </c>
      <c r="S5" s="228" t="s">
        <v>18</v>
      </c>
      <c r="T5" s="250" t="s">
        <v>19</v>
      </c>
      <c r="U5" s="230" t="s">
        <v>20</v>
      </c>
      <c r="V5" s="230" t="s">
        <v>21</v>
      </c>
      <c r="W5" s="230" t="s">
        <v>22</v>
      </c>
      <c r="X5" s="230" t="s">
        <v>23</v>
      </c>
      <c r="Y5" s="230" t="s">
        <v>24</v>
      </c>
      <c r="Z5" s="230" t="s">
        <v>25</v>
      </c>
      <c r="AA5" s="230" t="s">
        <v>26</v>
      </c>
      <c r="AB5" s="232" t="s">
        <v>27</v>
      </c>
      <c r="AC5" s="248"/>
      <c r="AD5" s="234"/>
      <c r="AE5" s="234"/>
      <c r="AF5" s="217"/>
      <c r="AG5" s="238" t="s">
        <v>28</v>
      </c>
      <c r="AH5" s="240" t="s">
        <v>29</v>
      </c>
      <c r="AI5" s="240" t="s">
        <v>30</v>
      </c>
      <c r="AJ5" s="209" t="s">
        <v>31</v>
      </c>
      <c r="AK5" s="240" t="s">
        <v>32</v>
      </c>
      <c r="AL5" s="209" t="s">
        <v>31</v>
      </c>
      <c r="AM5" s="209" t="s">
        <v>33</v>
      </c>
      <c r="AN5" s="209" t="s">
        <v>31</v>
      </c>
      <c r="AO5" s="209" t="s">
        <v>34</v>
      </c>
      <c r="AP5" s="209" t="s">
        <v>31</v>
      </c>
      <c r="AQ5" s="222" t="s">
        <v>85</v>
      </c>
      <c r="AR5" s="224" t="s">
        <v>31</v>
      </c>
      <c r="AS5" s="226" t="s">
        <v>86</v>
      </c>
      <c r="AT5" s="226" t="s">
        <v>87</v>
      </c>
      <c r="AU5" s="113" t="s">
        <v>31</v>
      </c>
      <c r="AV5" s="201" t="s">
        <v>88</v>
      </c>
      <c r="AW5" s="210"/>
      <c r="AX5" s="202"/>
      <c r="AY5" s="211" t="s">
        <v>17</v>
      </c>
      <c r="AZ5" s="193" t="s">
        <v>36</v>
      </c>
      <c r="BA5" s="193" t="s">
        <v>31</v>
      </c>
      <c r="BB5" s="193" t="s">
        <v>37</v>
      </c>
      <c r="BC5" s="207"/>
      <c r="BD5" s="209"/>
      <c r="BE5" s="204"/>
      <c r="BF5" s="204"/>
    </row>
    <row r="6" spans="1:58" ht="54" customHeight="1" thickBot="1">
      <c r="A6" s="253"/>
      <c r="B6" s="255"/>
      <c r="C6" s="257"/>
      <c r="D6" s="259"/>
      <c r="E6" s="237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51"/>
      <c r="U6" s="231"/>
      <c r="V6" s="231"/>
      <c r="W6" s="231"/>
      <c r="X6" s="231"/>
      <c r="Y6" s="231"/>
      <c r="Z6" s="231"/>
      <c r="AA6" s="231"/>
      <c r="AB6" s="198"/>
      <c r="AC6" s="249"/>
      <c r="AD6" s="235"/>
      <c r="AE6" s="235"/>
      <c r="AF6" s="218"/>
      <c r="AG6" s="239"/>
      <c r="AH6" s="241"/>
      <c r="AI6" s="241"/>
      <c r="AJ6" s="194"/>
      <c r="AK6" s="241"/>
      <c r="AL6" s="194"/>
      <c r="AM6" s="194"/>
      <c r="AN6" s="194"/>
      <c r="AO6" s="194"/>
      <c r="AP6" s="194"/>
      <c r="AQ6" s="223"/>
      <c r="AR6" s="225"/>
      <c r="AS6" s="227"/>
      <c r="AT6" s="227"/>
      <c r="AU6" s="115"/>
      <c r="AV6" s="114" t="s">
        <v>89</v>
      </c>
      <c r="AW6" s="114" t="s">
        <v>90</v>
      </c>
      <c r="AX6" s="114" t="s">
        <v>91</v>
      </c>
      <c r="AY6" s="118"/>
      <c r="AZ6" s="194"/>
      <c r="BA6" s="194"/>
      <c r="BB6" s="194"/>
      <c r="BC6" s="208"/>
      <c r="BD6" s="194"/>
      <c r="BE6" s="205"/>
      <c r="BF6" s="205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116">
        <v>43</v>
      </c>
      <c r="AR7" s="117">
        <v>44</v>
      </c>
      <c r="AS7" s="119">
        <v>45</v>
      </c>
      <c r="AT7" s="10">
        <v>46</v>
      </c>
      <c r="AU7" s="119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20"/>
    </row>
    <row r="8" spans="1:58" ht="12.75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21"/>
      <c r="AR8" s="121"/>
      <c r="AS8" s="6"/>
      <c r="AT8" s="6"/>
      <c r="AU8" s="6"/>
      <c r="AV8" s="7"/>
      <c r="AW8" s="7"/>
      <c r="AX8" s="7"/>
      <c r="AY8" s="7"/>
      <c r="AZ8" s="122"/>
      <c r="BA8" s="1"/>
      <c r="BB8" s="1"/>
      <c r="BC8" s="1"/>
      <c r="BD8" s="1"/>
      <c r="BE8" s="1"/>
      <c r="BF8" s="120"/>
    </row>
    <row r="9" spans="1:58" s="138" customFormat="1" ht="12.75">
      <c r="A9" s="123" t="s">
        <v>39</v>
      </c>
      <c r="B9" s="80">
        <v>4342.4</v>
      </c>
      <c r="C9" s="124">
        <f>B9*8.65</f>
        <v>37561.759999999995</v>
      </c>
      <c r="D9" s="125">
        <f>C9*0.24088</f>
        <v>9047.8767488</v>
      </c>
      <c r="E9" s="81">
        <v>2864.93</v>
      </c>
      <c r="F9" s="81">
        <v>798.4</v>
      </c>
      <c r="G9" s="81">
        <v>3867.73</v>
      </c>
      <c r="H9" s="81">
        <v>1077.84</v>
      </c>
      <c r="I9" s="81">
        <v>9311.15</v>
      </c>
      <c r="J9" s="81">
        <v>2594.8</v>
      </c>
      <c r="K9" s="81">
        <v>6446.22</v>
      </c>
      <c r="L9" s="81">
        <v>1796.4</v>
      </c>
      <c r="M9" s="78">
        <v>2291.95</v>
      </c>
      <c r="N9" s="78">
        <v>638.73</v>
      </c>
      <c r="O9" s="81">
        <v>0</v>
      </c>
      <c r="P9" s="81">
        <v>0</v>
      </c>
      <c r="Q9" s="81">
        <v>0</v>
      </c>
      <c r="R9" s="81">
        <v>0</v>
      </c>
      <c r="S9" s="81">
        <f>E9+G9+I9+K9+M9+O9+Q9</f>
        <v>24781.98</v>
      </c>
      <c r="T9" s="126">
        <f>P9+N9+L9+J9+H9+F9+R9</f>
        <v>6906.17</v>
      </c>
      <c r="U9" s="81">
        <v>75.17</v>
      </c>
      <c r="V9" s="81">
        <v>101.47</v>
      </c>
      <c r="W9" s="81">
        <v>244.29</v>
      </c>
      <c r="X9" s="81">
        <v>169.12</v>
      </c>
      <c r="Y9" s="81">
        <v>60.13</v>
      </c>
      <c r="Z9" s="89">
        <v>0</v>
      </c>
      <c r="AA9" s="89">
        <v>0</v>
      </c>
      <c r="AB9" s="89">
        <f>SUM(U9:AA9)</f>
        <v>650.18</v>
      </c>
      <c r="AC9" s="127">
        <f>D9+T9+AB9</f>
        <v>16604.2267488</v>
      </c>
      <c r="AD9" s="128">
        <f>P9+Z9</f>
        <v>0</v>
      </c>
      <c r="AE9" s="129">
        <f>R9+AA9</f>
        <v>0</v>
      </c>
      <c r="AF9" s="129"/>
      <c r="AG9" s="24">
        <f>0.6*B9</f>
        <v>2605.4399999999996</v>
      </c>
      <c r="AH9" s="24">
        <f>B9*0.2*1.05826</f>
        <v>919.0776448</v>
      </c>
      <c r="AI9" s="24">
        <f>0.8518*B9-0.01</f>
        <v>3698.8463199999997</v>
      </c>
      <c r="AJ9" s="24">
        <f>AI9*0.18</f>
        <v>665.7923375999999</v>
      </c>
      <c r="AK9" s="24">
        <f>1.04*B9*0.9531</f>
        <v>4304.291097599999</v>
      </c>
      <c r="AL9" s="24">
        <f>AK9*0.18</f>
        <v>774.7723975679999</v>
      </c>
      <c r="AM9" s="24">
        <f>(1.91)*B9*0.9531</f>
        <v>7904.996150399998</v>
      </c>
      <c r="AN9" s="24">
        <f>AM9*0.18</f>
        <v>1422.8993070719996</v>
      </c>
      <c r="AO9" s="24"/>
      <c r="AP9" s="24">
        <f>AO9*0.18</f>
        <v>0</v>
      </c>
      <c r="AQ9" s="130"/>
      <c r="AR9" s="130"/>
      <c r="AS9" s="86">
        <v>12941.31</v>
      </c>
      <c r="AT9" s="86"/>
      <c r="AU9" s="86">
        <f>(AS9+AT9)*0.18</f>
        <v>2329.4357999999997</v>
      </c>
      <c r="AV9" s="131"/>
      <c r="AW9" s="189"/>
      <c r="AX9" s="24">
        <f>AW9*1.12*1.18</f>
        <v>0</v>
      </c>
      <c r="AY9" s="133"/>
      <c r="AZ9" s="173"/>
      <c r="BA9" s="134">
        <f>AZ9*0.18</f>
        <v>0</v>
      </c>
      <c r="BB9" s="134">
        <f>SUM(AG9:BA9)-AV9-AW9</f>
        <v>37566.86105504</v>
      </c>
      <c r="BC9" s="135"/>
      <c r="BD9" s="17">
        <f>BB9-(AF9-BC9)</f>
        <v>37566.86105504</v>
      </c>
      <c r="BE9" s="136">
        <f>AC9-BB9</f>
        <v>-20962.634306239997</v>
      </c>
      <c r="BF9" s="137">
        <f>AB9-S9</f>
        <v>-24131.8</v>
      </c>
    </row>
    <row r="10" spans="1:58" ht="12.75">
      <c r="A10" s="13" t="s">
        <v>40</v>
      </c>
      <c r="B10" s="80">
        <v>4342.4</v>
      </c>
      <c r="C10" s="124">
        <f>B10*8.65</f>
        <v>37561.759999999995</v>
      </c>
      <c r="D10" s="125">
        <f>C10*0.24088</f>
        <v>9047.8767488</v>
      </c>
      <c r="E10" s="81">
        <v>2748.63</v>
      </c>
      <c r="F10" s="81">
        <v>786.45</v>
      </c>
      <c r="G10" s="81">
        <v>3710.56</v>
      </c>
      <c r="H10" s="81">
        <v>1061.73</v>
      </c>
      <c r="I10" s="81">
        <v>8932.93</v>
      </c>
      <c r="J10" s="81">
        <v>2555.93</v>
      </c>
      <c r="K10" s="81">
        <v>6184.4</v>
      </c>
      <c r="L10" s="81">
        <v>1769.44</v>
      </c>
      <c r="M10" s="78">
        <v>2198.84</v>
      </c>
      <c r="N10" s="78">
        <v>629.14</v>
      </c>
      <c r="O10" s="81">
        <v>0</v>
      </c>
      <c r="P10" s="81">
        <v>0</v>
      </c>
      <c r="Q10" s="81">
        <v>0</v>
      </c>
      <c r="R10" s="81">
        <v>0</v>
      </c>
      <c r="S10" s="81">
        <f>E10+G10+I10+K10+M10+O10+Q10</f>
        <v>23775.36</v>
      </c>
      <c r="T10" s="126">
        <f>P10+N10+L10+J10+H10+F10+R10</f>
        <v>6802.69</v>
      </c>
      <c r="U10" s="81">
        <v>2269.27</v>
      </c>
      <c r="V10" s="81">
        <v>3063.49</v>
      </c>
      <c r="W10" s="81">
        <v>7657.19</v>
      </c>
      <c r="X10" s="81">
        <v>5105.76</v>
      </c>
      <c r="Y10" s="81">
        <v>1815.43</v>
      </c>
      <c r="Z10" s="81">
        <v>0</v>
      </c>
      <c r="AA10" s="89">
        <v>0</v>
      </c>
      <c r="AB10" s="139">
        <f>SUM(U10:AA10)</f>
        <v>19911.14</v>
      </c>
      <c r="AC10" s="140">
        <f>D10+T10+AB10</f>
        <v>35761.7067488</v>
      </c>
      <c r="AD10" s="129">
        <f>P10+Z10</f>
        <v>0</v>
      </c>
      <c r="AE10" s="129">
        <f>R10+AA10</f>
        <v>0</v>
      </c>
      <c r="AF10" s="129"/>
      <c r="AG10" s="24">
        <f>0.6*B10</f>
        <v>2605.4399999999996</v>
      </c>
      <c r="AH10" s="24">
        <f>B10*0.201</f>
        <v>872.8224</v>
      </c>
      <c r="AI10" s="24">
        <f>0.8518*B10-0.01</f>
        <v>3698.8463199999997</v>
      </c>
      <c r="AJ10" s="24">
        <f>AI10*0.18</f>
        <v>665.7923375999999</v>
      </c>
      <c r="AK10" s="24">
        <f>1.04*B10*0.9531</f>
        <v>4304.291097599999</v>
      </c>
      <c r="AL10" s="24">
        <f>AK10*0.18</f>
        <v>774.7723975679999</v>
      </c>
      <c r="AM10" s="24">
        <f>(1.91)*B10*0.9531</f>
        <v>7904.996150399998</v>
      </c>
      <c r="AN10" s="24">
        <f>AM10*0.18</f>
        <v>1422.8993070719996</v>
      </c>
      <c r="AO10" s="24"/>
      <c r="AP10" s="24">
        <f>AO10*0.18</f>
        <v>0</v>
      </c>
      <c r="AQ10" s="130"/>
      <c r="AR10" s="130"/>
      <c r="AS10" s="86">
        <v>1930</v>
      </c>
      <c r="AT10" s="86"/>
      <c r="AU10" s="86">
        <f>(AS10+AT10)*0.18</f>
        <v>347.4</v>
      </c>
      <c r="AV10" s="131"/>
      <c r="AW10" s="189"/>
      <c r="AX10" s="24">
        <f>AW10*1.12*1.18</f>
        <v>0</v>
      </c>
      <c r="AY10" s="133"/>
      <c r="AZ10" s="173"/>
      <c r="BA10" s="134">
        <f>AZ10*0.18</f>
        <v>0</v>
      </c>
      <c r="BB10" s="134">
        <f>SUM(AG10:BA10)-AV10-AW10</f>
        <v>24527.26001024</v>
      </c>
      <c r="BC10" s="135"/>
      <c r="BD10" s="17">
        <f>BB10-(AF10-BC10)</f>
        <v>24527.26001024</v>
      </c>
      <c r="BE10" s="136">
        <f>AC10-BB10</f>
        <v>11234.446738560004</v>
      </c>
      <c r="BF10" s="136">
        <f>AB10-S10</f>
        <v>-3864.220000000001</v>
      </c>
    </row>
    <row r="11" spans="1:58" ht="13.5" thickBot="1">
      <c r="A11" s="49" t="s">
        <v>41</v>
      </c>
      <c r="B11" s="80">
        <v>4342.4</v>
      </c>
      <c r="C11" s="124">
        <f>B11*8.65</f>
        <v>37561.759999999995</v>
      </c>
      <c r="D11" s="125">
        <f>C11*0.24035</f>
        <v>9027.969016</v>
      </c>
      <c r="E11" s="81">
        <v>2784.17</v>
      </c>
      <c r="F11" s="81">
        <v>788.72</v>
      </c>
      <c r="G11" s="81">
        <v>3758.65</v>
      </c>
      <c r="H11" s="81">
        <v>1064.78</v>
      </c>
      <c r="I11" s="81">
        <v>9048.63</v>
      </c>
      <c r="J11" s="81">
        <v>2563.29</v>
      </c>
      <c r="K11" s="81">
        <v>6264.49</v>
      </c>
      <c r="L11" s="81">
        <v>1774.56</v>
      </c>
      <c r="M11" s="78">
        <v>2227.34</v>
      </c>
      <c r="N11" s="82">
        <v>630.96</v>
      </c>
      <c r="O11" s="89">
        <v>0</v>
      </c>
      <c r="P11" s="89">
        <v>0</v>
      </c>
      <c r="Q11" s="89">
        <v>0</v>
      </c>
      <c r="R11" s="89">
        <v>0</v>
      </c>
      <c r="S11" s="81">
        <f>E11+G11+I11+K11+M11+O11+Q11</f>
        <v>24083.28</v>
      </c>
      <c r="T11" s="126">
        <f>P11+N11+L11+J11+H11+F11+R11</f>
        <v>6822.3099999999995</v>
      </c>
      <c r="U11" s="81">
        <v>3071.34</v>
      </c>
      <c r="V11" s="81">
        <v>4146.33</v>
      </c>
      <c r="W11" s="81">
        <v>10099.68</v>
      </c>
      <c r="X11" s="81">
        <v>6910.63</v>
      </c>
      <c r="Y11" s="81">
        <v>2457.1</v>
      </c>
      <c r="Z11" s="81">
        <v>0</v>
      </c>
      <c r="AA11" s="89">
        <v>0</v>
      </c>
      <c r="AB11" s="139">
        <f>SUM(U11:AA11)</f>
        <v>26685.079999999998</v>
      </c>
      <c r="AC11" s="140">
        <f>D11+T11+AB11</f>
        <v>42535.359015999995</v>
      </c>
      <c r="AD11" s="129">
        <f>P11+Z11</f>
        <v>0</v>
      </c>
      <c r="AE11" s="129">
        <f>R11+AA11</f>
        <v>0</v>
      </c>
      <c r="AF11" s="129"/>
      <c r="AG11" s="24">
        <f>0.6*B11</f>
        <v>2605.4399999999996</v>
      </c>
      <c r="AH11" s="24">
        <f>B11*0.2*1.02524</f>
        <v>890.4004352</v>
      </c>
      <c r="AI11" s="24">
        <f>0.84932*B11</f>
        <v>3688.0871679999996</v>
      </c>
      <c r="AJ11" s="24">
        <f>AI11*0.18</f>
        <v>663.85569024</v>
      </c>
      <c r="AK11" s="24">
        <f>1.04*B11*0.95033</f>
        <v>4291.781511679999</v>
      </c>
      <c r="AL11" s="24">
        <f>AK11*0.18</f>
        <v>772.5206721023999</v>
      </c>
      <c r="AM11" s="24">
        <f>(1.91)*B11*0.95033-0.1</f>
        <v>7881.921814719998</v>
      </c>
      <c r="AN11" s="24">
        <f>AM11*0.18</f>
        <v>1418.7459266495996</v>
      </c>
      <c r="AO11" s="24"/>
      <c r="AP11" s="24">
        <f>AO11*0.18</f>
        <v>0</v>
      </c>
      <c r="AQ11" s="130"/>
      <c r="AR11" s="130"/>
      <c r="AS11" s="86">
        <v>8081</v>
      </c>
      <c r="AT11" s="86"/>
      <c r="AU11" s="86">
        <f>(AS11+AT11)*0.18</f>
        <v>1454.58</v>
      </c>
      <c r="AV11" s="131"/>
      <c r="AW11" s="189"/>
      <c r="AX11" s="24">
        <f>AW11*1.12*1.18</f>
        <v>0</v>
      </c>
      <c r="AY11" s="133"/>
      <c r="AZ11" s="173"/>
      <c r="BA11" s="134">
        <f>AZ11*0.18</f>
        <v>0</v>
      </c>
      <c r="BB11" s="134">
        <f>SUM(AG11:BA11)-AV11-AW11</f>
        <v>31748.333218592</v>
      </c>
      <c r="BC11" s="135"/>
      <c r="BD11" s="17">
        <f>BB11-(AF11-BC11)</f>
        <v>31748.333218592</v>
      </c>
      <c r="BE11" s="136">
        <f>AC11-BB11</f>
        <v>10787.025797407994</v>
      </c>
      <c r="BF11" s="136">
        <f>AB11-S11</f>
        <v>2601.7999999999993</v>
      </c>
    </row>
    <row r="12" spans="1:58" s="23" customFormat="1" ht="15" customHeight="1" thickBot="1">
      <c r="A12" s="50" t="s">
        <v>3</v>
      </c>
      <c r="B12" s="75"/>
      <c r="C12" s="75">
        <f>SUM(C9:C11)</f>
        <v>112685.27999999998</v>
      </c>
      <c r="D12" s="75">
        <f aca="true" t="shared" si="0" ref="D12:BD12">SUM(D9:D11)</f>
        <v>27123.722513599998</v>
      </c>
      <c r="E12" s="75">
        <f t="shared" si="0"/>
        <v>8397.73</v>
      </c>
      <c r="F12" s="75">
        <f t="shared" si="0"/>
        <v>2373.5699999999997</v>
      </c>
      <c r="G12" s="75">
        <f t="shared" si="0"/>
        <v>11336.94</v>
      </c>
      <c r="H12" s="75">
        <f t="shared" si="0"/>
        <v>3204.3499999999995</v>
      </c>
      <c r="I12" s="75">
        <f t="shared" si="0"/>
        <v>27292.71</v>
      </c>
      <c r="J12" s="75">
        <f t="shared" si="0"/>
        <v>7714.0199999999995</v>
      </c>
      <c r="K12" s="75">
        <f t="shared" si="0"/>
        <v>18895.11</v>
      </c>
      <c r="L12" s="75">
        <f t="shared" si="0"/>
        <v>5340.4</v>
      </c>
      <c r="M12" s="75">
        <f t="shared" si="0"/>
        <v>6718.13</v>
      </c>
      <c r="N12" s="75">
        <f t="shared" si="0"/>
        <v>1898.83</v>
      </c>
      <c r="O12" s="75">
        <f t="shared" si="0"/>
        <v>0</v>
      </c>
      <c r="P12" s="75">
        <f t="shared" si="0"/>
        <v>0</v>
      </c>
      <c r="Q12" s="75">
        <f t="shared" si="0"/>
        <v>0</v>
      </c>
      <c r="R12" s="75">
        <f t="shared" si="0"/>
        <v>0</v>
      </c>
      <c r="S12" s="75">
        <f t="shared" si="0"/>
        <v>72640.62</v>
      </c>
      <c r="T12" s="75">
        <f t="shared" si="0"/>
        <v>20531.17</v>
      </c>
      <c r="U12" s="75">
        <f t="shared" si="0"/>
        <v>5415.780000000001</v>
      </c>
      <c r="V12" s="75">
        <f t="shared" si="0"/>
        <v>7311.289999999999</v>
      </c>
      <c r="W12" s="75">
        <f t="shared" si="0"/>
        <v>18001.16</v>
      </c>
      <c r="X12" s="75">
        <f t="shared" si="0"/>
        <v>12185.51</v>
      </c>
      <c r="Y12" s="75">
        <f t="shared" si="0"/>
        <v>4332.66</v>
      </c>
      <c r="Z12" s="75">
        <f t="shared" si="0"/>
        <v>0</v>
      </c>
      <c r="AA12" s="75">
        <f t="shared" si="0"/>
        <v>0</v>
      </c>
      <c r="AB12" s="75">
        <f t="shared" si="0"/>
        <v>47246.399999999994</v>
      </c>
      <c r="AC12" s="75">
        <f t="shared" si="0"/>
        <v>94901.2925136</v>
      </c>
      <c r="AD12" s="75">
        <f t="shared" si="0"/>
        <v>0</v>
      </c>
      <c r="AE12" s="75">
        <f t="shared" si="0"/>
        <v>0</v>
      </c>
      <c r="AF12" s="75">
        <f t="shared" si="0"/>
        <v>0</v>
      </c>
      <c r="AG12" s="75">
        <f t="shared" si="0"/>
        <v>7816.319999999999</v>
      </c>
      <c r="AH12" s="75">
        <f t="shared" si="0"/>
        <v>2682.30048</v>
      </c>
      <c r="AI12" s="75">
        <f t="shared" si="0"/>
        <v>11085.779808</v>
      </c>
      <c r="AJ12" s="75">
        <f t="shared" si="0"/>
        <v>1995.4403654399998</v>
      </c>
      <c r="AK12" s="75">
        <f t="shared" si="0"/>
        <v>12900.363706879998</v>
      </c>
      <c r="AL12" s="75">
        <f t="shared" si="0"/>
        <v>2322.0654672384</v>
      </c>
      <c r="AM12" s="75">
        <f t="shared" si="0"/>
        <v>23691.914115519994</v>
      </c>
      <c r="AN12" s="75">
        <f t="shared" si="0"/>
        <v>4264.544540793599</v>
      </c>
      <c r="AO12" s="75">
        <f t="shared" si="0"/>
        <v>0</v>
      </c>
      <c r="AP12" s="75">
        <f t="shared" si="0"/>
        <v>0</v>
      </c>
      <c r="AQ12" s="141">
        <f t="shared" si="0"/>
        <v>0</v>
      </c>
      <c r="AR12" s="141">
        <f t="shared" si="0"/>
        <v>0</v>
      </c>
      <c r="AS12" s="142">
        <f t="shared" si="0"/>
        <v>22952.309999999998</v>
      </c>
      <c r="AT12" s="142">
        <f t="shared" si="0"/>
        <v>0</v>
      </c>
      <c r="AU12" s="142">
        <f t="shared" si="0"/>
        <v>4131.4158</v>
      </c>
      <c r="AV12" s="75">
        <f t="shared" si="0"/>
        <v>0</v>
      </c>
      <c r="AW12" s="75">
        <f t="shared" si="0"/>
        <v>0</v>
      </c>
      <c r="AX12" s="75">
        <f t="shared" si="0"/>
        <v>0</v>
      </c>
      <c r="AY12" s="75">
        <f t="shared" si="0"/>
        <v>0</v>
      </c>
      <c r="AZ12" s="75">
        <f t="shared" si="0"/>
        <v>0</v>
      </c>
      <c r="BA12" s="75">
        <f t="shared" si="0"/>
        <v>0</v>
      </c>
      <c r="BB12" s="75">
        <f t="shared" si="0"/>
        <v>93842.454283872</v>
      </c>
      <c r="BC12" s="75">
        <f t="shared" si="0"/>
        <v>0</v>
      </c>
      <c r="BD12" s="75">
        <f t="shared" si="0"/>
        <v>93842.454283872</v>
      </c>
      <c r="BE12" s="75">
        <f>SUM(BE9:BE11)</f>
        <v>1058.8382297280004</v>
      </c>
      <c r="BF12" s="143">
        <f>SUM(BF9:BF11)</f>
        <v>-25394.22</v>
      </c>
    </row>
    <row r="13" spans="1:58" ht="15" customHeight="1">
      <c r="A13" s="8" t="s">
        <v>42</v>
      </c>
      <c r="B13" s="72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6"/>
      <c r="P13" s="147"/>
      <c r="Q13" s="148"/>
      <c r="R13" s="148"/>
      <c r="S13" s="148"/>
      <c r="T13" s="148"/>
      <c r="U13" s="149"/>
      <c r="V13" s="149"/>
      <c r="W13" s="149"/>
      <c r="X13" s="149"/>
      <c r="Y13" s="149"/>
      <c r="Z13" s="149"/>
      <c r="AA13" s="150"/>
      <c r="AB13" s="150"/>
      <c r="AC13" s="151"/>
      <c r="AD13" s="152"/>
      <c r="AE13" s="152"/>
      <c r="AF13" s="60"/>
      <c r="AG13" s="60"/>
      <c r="AH13" s="60"/>
      <c r="AI13" s="60"/>
      <c r="AJ13" s="60"/>
      <c r="AK13" s="60"/>
      <c r="AL13" s="60"/>
      <c r="AM13" s="60"/>
      <c r="AN13" s="73"/>
      <c r="AO13" s="73"/>
      <c r="AP13" s="73"/>
      <c r="AQ13" s="153"/>
      <c r="AR13" s="154"/>
      <c r="AS13" s="108"/>
      <c r="AT13" s="108"/>
      <c r="AU13" s="155"/>
      <c r="AV13" s="60"/>
      <c r="AW13" s="60"/>
      <c r="AX13" s="61"/>
      <c r="AY13" s="1"/>
      <c r="AZ13" s="1"/>
      <c r="BA13" s="1"/>
      <c r="BB13" s="1"/>
      <c r="BC13" s="1"/>
      <c r="BD13" s="1"/>
      <c r="BE13" s="1"/>
      <c r="BF13" s="120"/>
    </row>
    <row r="14" spans="1:58" ht="12.75">
      <c r="A14" s="13" t="s">
        <v>43</v>
      </c>
      <c r="B14" s="87">
        <v>4342.4</v>
      </c>
      <c r="C14" s="124">
        <f aca="true" t="shared" si="1" ref="C14:C25">B14*8.65</f>
        <v>37561.759999999995</v>
      </c>
      <c r="D14" s="125">
        <f>C14*0.125</f>
        <v>4695.219999999999</v>
      </c>
      <c r="E14" s="81">
        <v>2820.1</v>
      </c>
      <c r="F14" s="81">
        <v>775.69</v>
      </c>
      <c r="G14" s="81">
        <v>3807.15</v>
      </c>
      <c r="H14" s="81">
        <v>1047.18</v>
      </c>
      <c r="I14" s="81">
        <v>9165.32</v>
      </c>
      <c r="J14" s="81">
        <v>2520.95</v>
      </c>
      <c r="K14" s="81">
        <v>6345.29</v>
      </c>
      <c r="L14" s="81">
        <v>1745.25</v>
      </c>
      <c r="M14" s="78">
        <v>2256.04</v>
      </c>
      <c r="N14" s="82">
        <v>620.54</v>
      </c>
      <c r="O14" s="89">
        <v>0</v>
      </c>
      <c r="P14" s="89">
        <v>0</v>
      </c>
      <c r="Q14" s="89">
        <v>0</v>
      </c>
      <c r="R14" s="89">
        <v>0</v>
      </c>
      <c r="S14" s="81">
        <f aca="true" t="shared" si="2" ref="S14:S25">E14+G14+I14+K14+M14+O14+Q14</f>
        <v>24393.9</v>
      </c>
      <c r="T14" s="126">
        <f aca="true" t="shared" si="3" ref="T14:T25">P14+N14+L14+J14+H14+F14+R14</f>
        <v>6709.610000000001</v>
      </c>
      <c r="U14" s="81">
        <v>1997.57</v>
      </c>
      <c r="V14" s="81">
        <v>2696.77</v>
      </c>
      <c r="W14" s="81">
        <v>6106.16</v>
      </c>
      <c r="X14" s="81">
        <v>4494.68</v>
      </c>
      <c r="Y14" s="81">
        <v>1598.12</v>
      </c>
      <c r="Z14" s="81">
        <v>0</v>
      </c>
      <c r="AA14" s="89">
        <v>0</v>
      </c>
      <c r="AB14" s="156">
        <f aca="true" t="shared" si="4" ref="AB14:AB22">SUM(U14:AA14)</f>
        <v>16893.3</v>
      </c>
      <c r="AC14" s="140">
        <f aca="true" t="shared" si="5" ref="AC14:AC22">D14+T14+AB14</f>
        <v>28298.129999999997</v>
      </c>
      <c r="AD14" s="129">
        <f aca="true" t="shared" si="6" ref="AD14:AD25">P14+Z14</f>
        <v>0</v>
      </c>
      <c r="AE14" s="129">
        <f aca="true" t="shared" si="7" ref="AE14:AE25">R14+AA14</f>
        <v>0</v>
      </c>
      <c r="AF14" s="129"/>
      <c r="AG14" s="24">
        <f>0.6*B14*0.9</f>
        <v>2344.8959999999997</v>
      </c>
      <c r="AH14" s="24">
        <f>B14*0.2*0.891</f>
        <v>773.81568</v>
      </c>
      <c r="AI14" s="24">
        <f>0.85*B14*0.867-0.02</f>
        <v>3200.1116799999995</v>
      </c>
      <c r="AJ14" s="24">
        <f aca="true" t="shared" si="8" ref="AJ14:AJ25">AI14*0.18</f>
        <v>576.0201023999999</v>
      </c>
      <c r="AK14" s="24">
        <f>0.83*B14*0.8685</f>
        <v>3130.2407519999997</v>
      </c>
      <c r="AL14" s="24">
        <f aca="true" t="shared" si="9" ref="AL14:AL25">AK14*0.18</f>
        <v>563.4433353599999</v>
      </c>
      <c r="AM14" s="24">
        <f>1.91*B14*0.8686</f>
        <v>7204.154502399999</v>
      </c>
      <c r="AN14" s="24">
        <f aca="true" t="shared" si="10" ref="AN14:AN25">AM14*0.18</f>
        <v>1296.7478104319998</v>
      </c>
      <c r="AO14" s="24"/>
      <c r="AP14" s="24">
        <f aca="true" t="shared" si="11" ref="AP14:AR25">AO14*0.18</f>
        <v>0</v>
      </c>
      <c r="AQ14" s="130"/>
      <c r="AR14" s="130">
        <f>AQ14*0.18</f>
        <v>0</v>
      </c>
      <c r="AS14" s="86">
        <v>20890</v>
      </c>
      <c r="AT14" s="86"/>
      <c r="AU14" s="86">
        <f>(AS14+AT14)*0.18+0.01</f>
        <v>3760.21</v>
      </c>
      <c r="AV14" s="131"/>
      <c r="AW14" s="189">
        <v>0</v>
      </c>
      <c r="AX14" s="24">
        <f aca="true" t="shared" si="12" ref="AX14:AX25">AW14*1.12*1.18</f>
        <v>0</v>
      </c>
      <c r="AY14" s="133"/>
      <c r="AZ14" s="173"/>
      <c r="BA14" s="134">
        <f aca="true" t="shared" si="13" ref="BA14:BA19">AZ14*0.18</f>
        <v>0</v>
      </c>
      <c r="BB14" s="134">
        <f>SUM(AG14:AU14)</f>
        <v>43739.63986259199</v>
      </c>
      <c r="BC14" s="135"/>
      <c r="BD14" s="157">
        <f aca="true" t="shared" si="14" ref="BD14:BD19">BB14-(AF14-BC14)</f>
        <v>43739.63986259199</v>
      </c>
      <c r="BE14" s="136">
        <f aca="true" t="shared" si="15" ref="BE14:BE25">(AC14-BB14)+(AF14-BC14)</f>
        <v>-15441.509862591993</v>
      </c>
      <c r="BF14" s="136">
        <f aca="true" t="shared" si="16" ref="BF14:BF20">AB14-S14</f>
        <v>-7500.600000000002</v>
      </c>
    </row>
    <row r="15" spans="1:58" ht="12.75">
      <c r="A15" s="13" t="s">
        <v>44</v>
      </c>
      <c r="B15" s="87">
        <v>4342.4</v>
      </c>
      <c r="C15" s="124">
        <f t="shared" si="1"/>
        <v>37561.759999999995</v>
      </c>
      <c r="D15" s="125">
        <f>C15*0.125</f>
        <v>4695.219999999999</v>
      </c>
      <c r="E15" s="81">
        <v>2796.63</v>
      </c>
      <c r="F15" s="81">
        <v>791.33</v>
      </c>
      <c r="G15" s="81">
        <v>3775.5</v>
      </c>
      <c r="H15" s="81">
        <v>1068.29</v>
      </c>
      <c r="I15" s="81">
        <v>9081.19</v>
      </c>
      <c r="J15" s="81">
        <v>2571.78</v>
      </c>
      <c r="K15" s="81">
        <v>6292.51</v>
      </c>
      <c r="L15" s="81">
        <v>1780.44</v>
      </c>
      <c r="M15" s="78">
        <v>2237.29</v>
      </c>
      <c r="N15" s="82">
        <v>633.05</v>
      </c>
      <c r="O15" s="89">
        <v>0</v>
      </c>
      <c r="P15" s="89">
        <v>0</v>
      </c>
      <c r="Q15" s="89">
        <v>0</v>
      </c>
      <c r="R15" s="89">
        <v>0</v>
      </c>
      <c r="S15" s="81">
        <f t="shared" si="2"/>
        <v>24183.120000000003</v>
      </c>
      <c r="T15" s="126">
        <f t="shared" si="3"/>
        <v>6844.89</v>
      </c>
      <c r="U15" s="81">
        <v>2217.58</v>
      </c>
      <c r="V15" s="81">
        <v>2993.68</v>
      </c>
      <c r="W15" s="81">
        <v>7226.09</v>
      </c>
      <c r="X15" s="81">
        <v>4989.64</v>
      </c>
      <c r="Y15" s="81">
        <v>1773.96</v>
      </c>
      <c r="Z15" s="81">
        <v>0</v>
      </c>
      <c r="AA15" s="89">
        <v>0</v>
      </c>
      <c r="AB15" s="139">
        <f t="shared" si="4"/>
        <v>19200.95</v>
      </c>
      <c r="AC15" s="140">
        <f t="shared" si="5"/>
        <v>30741.06</v>
      </c>
      <c r="AD15" s="129">
        <f t="shared" si="6"/>
        <v>0</v>
      </c>
      <c r="AE15" s="129">
        <f t="shared" si="7"/>
        <v>0</v>
      </c>
      <c r="AF15" s="129"/>
      <c r="AG15" s="24">
        <f>0.6*B15*0.9</f>
        <v>2344.8959999999997</v>
      </c>
      <c r="AH15" s="24">
        <f>B15*0.2*0.9153</f>
        <v>794.919744</v>
      </c>
      <c r="AI15" s="24">
        <f>0.85*B15*0.867</f>
        <v>3200.1316799999995</v>
      </c>
      <c r="AJ15" s="24">
        <f t="shared" si="8"/>
        <v>576.0237023999999</v>
      </c>
      <c r="AK15" s="24">
        <f>0.83*B15*0.8684</f>
        <v>3129.8803327999995</v>
      </c>
      <c r="AL15" s="24">
        <f t="shared" si="9"/>
        <v>563.3784599039999</v>
      </c>
      <c r="AM15" s="24">
        <f>(1.91)*B15*0.8684</f>
        <v>7202.4957055999985</v>
      </c>
      <c r="AN15" s="24">
        <f t="shared" si="10"/>
        <v>1296.4492270079998</v>
      </c>
      <c r="AO15" s="24"/>
      <c r="AP15" s="24">
        <f t="shared" si="11"/>
        <v>0</v>
      </c>
      <c r="AQ15" s="130"/>
      <c r="AR15" s="130">
        <f>AQ15*0.18</f>
        <v>0</v>
      </c>
      <c r="AS15" s="86">
        <v>5036</v>
      </c>
      <c r="AT15" s="86"/>
      <c r="AU15" s="86">
        <f aca="true" t="shared" si="17" ref="AU15:AU25">(AS15+AT15)*0.18</f>
        <v>906.48</v>
      </c>
      <c r="AV15" s="131"/>
      <c r="AW15" s="189">
        <v>7</v>
      </c>
      <c r="AX15" s="24">
        <f t="shared" si="12"/>
        <v>9.2512</v>
      </c>
      <c r="AY15" s="133"/>
      <c r="AZ15" s="173"/>
      <c r="BA15" s="134">
        <f t="shared" si="13"/>
        <v>0</v>
      </c>
      <c r="BB15" s="134">
        <f>SUM(AG15:AU15)+AY15</f>
        <v>25050.654851712</v>
      </c>
      <c r="BC15" s="158"/>
      <c r="BD15" s="157">
        <f t="shared" si="14"/>
        <v>25050.654851712</v>
      </c>
      <c r="BE15" s="136">
        <f t="shared" si="15"/>
        <v>5690.405148288002</v>
      </c>
      <c r="BF15" s="136">
        <f t="shared" si="16"/>
        <v>-4982.170000000002</v>
      </c>
    </row>
    <row r="16" spans="1:58" ht="13.5" thickBot="1">
      <c r="A16" s="159" t="s">
        <v>45</v>
      </c>
      <c r="B16" s="160">
        <v>4342.44</v>
      </c>
      <c r="C16" s="124">
        <f t="shared" si="1"/>
        <v>37562.106</v>
      </c>
      <c r="D16" s="125">
        <f>C16*0.125</f>
        <v>4695.26325</v>
      </c>
      <c r="E16" s="81">
        <v>2638.54</v>
      </c>
      <c r="F16" s="81">
        <v>875.34</v>
      </c>
      <c r="G16" s="81">
        <v>3562.03</v>
      </c>
      <c r="H16" s="81">
        <v>1181.68</v>
      </c>
      <c r="I16" s="81">
        <v>8575.23</v>
      </c>
      <c r="J16" s="81">
        <v>2844.77</v>
      </c>
      <c r="K16" s="81">
        <v>5936.77</v>
      </c>
      <c r="L16" s="81">
        <v>1969.44</v>
      </c>
      <c r="M16" s="78">
        <v>2110.81</v>
      </c>
      <c r="N16" s="82">
        <v>700.25</v>
      </c>
      <c r="O16" s="89">
        <v>0</v>
      </c>
      <c r="P16" s="89">
        <v>0</v>
      </c>
      <c r="Q16" s="89">
        <v>0</v>
      </c>
      <c r="R16" s="89">
        <v>0</v>
      </c>
      <c r="S16" s="81">
        <f t="shared" si="2"/>
        <v>22823.38</v>
      </c>
      <c r="T16" s="126">
        <f t="shared" si="3"/>
        <v>7571.4800000000005</v>
      </c>
      <c r="U16" s="83">
        <v>3018.06</v>
      </c>
      <c r="V16" s="83">
        <v>4074.5</v>
      </c>
      <c r="W16" s="83">
        <v>9790.7</v>
      </c>
      <c r="X16" s="83">
        <v>6790.81</v>
      </c>
      <c r="Y16" s="83">
        <v>2414.43</v>
      </c>
      <c r="Z16" s="83">
        <v>0</v>
      </c>
      <c r="AA16" s="161">
        <v>0</v>
      </c>
      <c r="AB16" s="156">
        <f t="shared" si="4"/>
        <v>26088.500000000004</v>
      </c>
      <c r="AC16" s="140">
        <f t="shared" si="5"/>
        <v>38355.24325</v>
      </c>
      <c r="AD16" s="129">
        <f t="shared" si="6"/>
        <v>0</v>
      </c>
      <c r="AE16" s="129">
        <f t="shared" si="7"/>
        <v>0</v>
      </c>
      <c r="AF16" s="129"/>
      <c r="AG16" s="24">
        <f>0.6*B16*0.9</f>
        <v>2344.9175999999998</v>
      </c>
      <c r="AH16" s="162">
        <f>B16*0.2*0.9082</f>
        <v>788.7608015999999</v>
      </c>
      <c r="AI16" s="24">
        <f>0.85*B16*0.8675</f>
        <v>3202.006695</v>
      </c>
      <c r="AJ16" s="24">
        <f t="shared" si="8"/>
        <v>576.3612051</v>
      </c>
      <c r="AK16" s="162">
        <f>0.83*B16*0.838</f>
        <v>3020.3407175999996</v>
      </c>
      <c r="AL16" s="24">
        <f t="shared" si="9"/>
        <v>543.661329168</v>
      </c>
      <c r="AM16" s="24">
        <f>1.91*B16*0.8381</f>
        <v>6951.252021239999</v>
      </c>
      <c r="AN16" s="24">
        <f t="shared" si="10"/>
        <v>1251.2253638231998</v>
      </c>
      <c r="AO16" s="24"/>
      <c r="AP16" s="24">
        <f t="shared" si="11"/>
        <v>0</v>
      </c>
      <c r="AQ16" s="130">
        <f>6006.31+1299.09+0.01</f>
        <v>7305.410000000001</v>
      </c>
      <c r="AR16" s="130">
        <f>AQ16*0.18</f>
        <v>1314.9738</v>
      </c>
      <c r="AS16" s="86">
        <v>19596</v>
      </c>
      <c r="AT16" s="86"/>
      <c r="AU16" s="86">
        <f t="shared" si="17"/>
        <v>3527.2799999999997</v>
      </c>
      <c r="AV16" s="131"/>
      <c r="AW16" s="189">
        <v>14</v>
      </c>
      <c r="AX16" s="24">
        <f t="shared" si="12"/>
        <v>18.5024</v>
      </c>
      <c r="AY16" s="133"/>
      <c r="AZ16" s="173"/>
      <c r="BA16" s="134">
        <f t="shared" si="13"/>
        <v>0</v>
      </c>
      <c r="BB16" s="134">
        <f>SUM(AG16:AU16)</f>
        <v>50422.1895335312</v>
      </c>
      <c r="BC16" s="158"/>
      <c r="BD16" s="157">
        <f t="shared" si="14"/>
        <v>50422.1895335312</v>
      </c>
      <c r="BE16" s="164">
        <f t="shared" si="15"/>
        <v>-12066.9462835312</v>
      </c>
      <c r="BF16" s="164">
        <f t="shared" si="16"/>
        <v>3265.1200000000026</v>
      </c>
    </row>
    <row r="17" spans="1:58" ht="13.5" thickBot="1">
      <c r="A17" s="165" t="s">
        <v>46</v>
      </c>
      <c r="B17" s="166">
        <v>4342.44</v>
      </c>
      <c r="C17" s="124">
        <f t="shared" si="1"/>
        <v>37562.106</v>
      </c>
      <c r="D17" s="125">
        <f>C17*0.125</f>
        <v>4695.26325</v>
      </c>
      <c r="E17" s="83">
        <v>2800.36</v>
      </c>
      <c r="F17" s="83">
        <v>793.47</v>
      </c>
      <c r="G17" s="83">
        <v>3780.51</v>
      </c>
      <c r="H17" s="83">
        <v>1071.18</v>
      </c>
      <c r="I17" s="83">
        <v>9101.16</v>
      </c>
      <c r="J17" s="83">
        <v>2578.72</v>
      </c>
      <c r="K17" s="83">
        <v>6300.87</v>
      </c>
      <c r="L17" s="83">
        <v>1785.25</v>
      </c>
      <c r="M17" s="84">
        <v>2240.28</v>
      </c>
      <c r="N17" s="85">
        <v>634.76</v>
      </c>
      <c r="O17" s="161">
        <v>0</v>
      </c>
      <c r="P17" s="161">
        <v>0</v>
      </c>
      <c r="Q17" s="161">
        <v>0</v>
      </c>
      <c r="R17" s="161">
        <v>0</v>
      </c>
      <c r="S17" s="81">
        <f t="shared" si="2"/>
        <v>24223.18</v>
      </c>
      <c r="T17" s="126">
        <f t="shared" si="3"/>
        <v>6863.38</v>
      </c>
      <c r="U17" s="81">
        <v>2804.65</v>
      </c>
      <c r="V17" s="81">
        <v>3786.26</v>
      </c>
      <c r="W17" s="81">
        <v>9111.85</v>
      </c>
      <c r="X17" s="81">
        <v>6310.54</v>
      </c>
      <c r="Y17" s="81">
        <v>2243.7</v>
      </c>
      <c r="Z17" s="81">
        <v>0</v>
      </c>
      <c r="AA17" s="81">
        <v>0</v>
      </c>
      <c r="AB17" s="156">
        <f t="shared" si="4"/>
        <v>24257</v>
      </c>
      <c r="AC17" s="140">
        <f t="shared" si="5"/>
        <v>35815.64325</v>
      </c>
      <c r="AD17" s="129">
        <f t="shared" si="6"/>
        <v>0</v>
      </c>
      <c r="AE17" s="129">
        <f t="shared" si="7"/>
        <v>0</v>
      </c>
      <c r="AF17" s="129"/>
      <c r="AG17" s="24">
        <f>0.6*B17*0.9</f>
        <v>2344.9175999999998</v>
      </c>
      <c r="AH17" s="162">
        <f>B17*0.2*0.9234</f>
        <v>801.9618191999999</v>
      </c>
      <c r="AI17" s="24">
        <f>0.85*B17*0.8934</f>
        <v>3297.6055115999998</v>
      </c>
      <c r="AJ17" s="24">
        <f t="shared" si="8"/>
        <v>593.568992088</v>
      </c>
      <c r="AK17" s="24">
        <f>0.83*B17*0.8498</f>
        <v>3062.8705749599994</v>
      </c>
      <c r="AL17" s="24">
        <f t="shared" si="9"/>
        <v>551.3167034927999</v>
      </c>
      <c r="AM17" s="24">
        <f>(1.91)*B17*0.8498</f>
        <v>7048.292527919999</v>
      </c>
      <c r="AN17" s="24">
        <f t="shared" si="10"/>
        <v>1268.6926550255998</v>
      </c>
      <c r="AO17" s="24"/>
      <c r="AP17" s="24">
        <f t="shared" si="11"/>
        <v>0</v>
      </c>
      <c r="AQ17" s="130">
        <v>18018.94</v>
      </c>
      <c r="AR17" s="130">
        <f t="shared" si="11"/>
        <v>3243.4091999999996</v>
      </c>
      <c r="AS17" s="86">
        <v>1974.87</v>
      </c>
      <c r="AT17" s="86"/>
      <c r="AU17" s="86">
        <f t="shared" si="17"/>
        <v>355.47659999999996</v>
      </c>
      <c r="AV17" s="131"/>
      <c r="AW17" s="132">
        <v>106</v>
      </c>
      <c r="AX17" s="24">
        <f t="shared" si="12"/>
        <v>140.08960000000002</v>
      </c>
      <c r="AY17" s="167">
        <v>27.753600000000002</v>
      </c>
      <c r="AZ17" s="133"/>
      <c r="BA17" s="134">
        <f t="shared" si="13"/>
        <v>0</v>
      </c>
      <c r="BB17" s="134">
        <f aca="true" t="shared" si="18" ref="BB17:BB22">SUM(AG17:BA17)-AV17-AW17</f>
        <v>42729.765384286395</v>
      </c>
      <c r="BC17" s="158"/>
      <c r="BD17" s="157">
        <f t="shared" si="14"/>
        <v>42729.765384286395</v>
      </c>
      <c r="BE17" s="164">
        <f t="shared" si="15"/>
        <v>-6914.122134286394</v>
      </c>
      <c r="BF17" s="164">
        <f t="shared" si="16"/>
        <v>33.81999999999971</v>
      </c>
    </row>
    <row r="18" spans="1:58" ht="13.5" thickBot="1">
      <c r="A18" s="13" t="s">
        <v>47</v>
      </c>
      <c r="B18" s="160">
        <v>4342.4</v>
      </c>
      <c r="C18" s="124">
        <f t="shared" si="1"/>
        <v>37561.759999999995</v>
      </c>
      <c r="D18" s="168">
        <f aca="true" t="shared" si="19" ref="D18:D25">C18-E18-F18-G18-H18-I18-J18-K18-L18-M18-N18</f>
        <v>3694.46</v>
      </c>
      <c r="E18" s="83">
        <v>3025.61</v>
      </c>
      <c r="F18" s="83">
        <v>883.7</v>
      </c>
      <c r="G18" s="83">
        <v>4097.05</v>
      </c>
      <c r="H18" s="83">
        <v>1197.8</v>
      </c>
      <c r="I18" s="83">
        <v>9845.71</v>
      </c>
      <c r="J18" s="83">
        <v>2876.81</v>
      </c>
      <c r="K18" s="83">
        <v>6820.09</v>
      </c>
      <c r="L18" s="83">
        <v>1993.12</v>
      </c>
      <c r="M18" s="84">
        <v>2420.5</v>
      </c>
      <c r="N18" s="85">
        <v>706.91</v>
      </c>
      <c r="O18" s="161">
        <v>0</v>
      </c>
      <c r="P18" s="161">
        <v>0</v>
      </c>
      <c r="Q18" s="161">
        <v>0</v>
      </c>
      <c r="R18" s="161">
        <v>0</v>
      </c>
      <c r="S18" s="81">
        <f t="shared" si="2"/>
        <v>26208.96</v>
      </c>
      <c r="T18" s="126">
        <f t="shared" si="3"/>
        <v>7658.34</v>
      </c>
      <c r="U18" s="83">
        <v>2731.11</v>
      </c>
      <c r="V18" s="83">
        <v>3686.98</v>
      </c>
      <c r="W18" s="83">
        <v>8875.98</v>
      </c>
      <c r="X18" s="83">
        <v>6144.99</v>
      </c>
      <c r="Y18" s="83">
        <v>2184.82</v>
      </c>
      <c r="Z18" s="83">
        <v>0</v>
      </c>
      <c r="AA18" s="161">
        <v>0</v>
      </c>
      <c r="AB18" s="156">
        <f t="shared" si="4"/>
        <v>23623.879999999997</v>
      </c>
      <c r="AC18" s="140">
        <f t="shared" si="5"/>
        <v>34976.67999999999</v>
      </c>
      <c r="AD18" s="129">
        <f t="shared" si="6"/>
        <v>0</v>
      </c>
      <c r="AE18" s="129">
        <f t="shared" si="7"/>
        <v>0</v>
      </c>
      <c r="AF18" s="129"/>
      <c r="AG18" s="24">
        <f aca="true" t="shared" si="20" ref="AG18:AG25">0.6*B18</f>
        <v>2605.4399999999996</v>
      </c>
      <c r="AH18" s="24">
        <f>B18*0.2*1.01</f>
        <v>877.1648</v>
      </c>
      <c r="AI18" s="24">
        <f>0.85*B18</f>
        <v>3691.0399999999995</v>
      </c>
      <c r="AJ18" s="24">
        <f t="shared" si="8"/>
        <v>664.3871999999999</v>
      </c>
      <c r="AK18" s="24">
        <f>0.83*B18</f>
        <v>3604.1919999999996</v>
      </c>
      <c r="AL18" s="24">
        <f t="shared" si="9"/>
        <v>648.7545599999999</v>
      </c>
      <c r="AM18" s="24">
        <f>(1.91)*B18</f>
        <v>8293.983999999999</v>
      </c>
      <c r="AN18" s="24">
        <f t="shared" si="10"/>
        <v>1492.9171199999996</v>
      </c>
      <c r="AO18" s="24"/>
      <c r="AP18" s="24">
        <f t="shared" si="11"/>
        <v>0</v>
      </c>
      <c r="AQ18" s="130">
        <v>4237.3</v>
      </c>
      <c r="AR18" s="130">
        <f t="shared" si="11"/>
        <v>762.714</v>
      </c>
      <c r="AS18" s="86">
        <f>21700.67</f>
        <v>21700.67</v>
      </c>
      <c r="AT18" s="86"/>
      <c r="AU18" s="86">
        <f t="shared" si="17"/>
        <v>3906.1205999999997</v>
      </c>
      <c r="AV18" s="131"/>
      <c r="AW18" s="190">
        <v>15</v>
      </c>
      <c r="AX18" s="24">
        <f t="shared" si="12"/>
        <v>19.823999999999998</v>
      </c>
      <c r="AY18" s="133"/>
      <c r="AZ18" s="173"/>
      <c r="BA18" s="134">
        <f t="shared" si="13"/>
        <v>0</v>
      </c>
      <c r="BB18" s="134">
        <f t="shared" si="18"/>
        <v>52504.508279999995</v>
      </c>
      <c r="BC18" s="158"/>
      <c r="BD18" s="157">
        <f t="shared" si="14"/>
        <v>52504.508279999995</v>
      </c>
      <c r="BE18" s="164">
        <f t="shared" si="15"/>
        <v>-17527.82828</v>
      </c>
      <c r="BF18" s="164">
        <f t="shared" si="16"/>
        <v>-2585.0800000000017</v>
      </c>
    </row>
    <row r="19" spans="1:58" ht="13.5" thickBot="1">
      <c r="A19" s="159" t="s">
        <v>48</v>
      </c>
      <c r="B19" s="160">
        <v>4342.4</v>
      </c>
      <c r="C19" s="124">
        <f t="shared" si="1"/>
        <v>37561.759999999995</v>
      </c>
      <c r="D19" s="168">
        <f t="shared" si="19"/>
        <v>4689.699999999998</v>
      </c>
      <c r="E19" s="83">
        <v>2910.54</v>
      </c>
      <c r="F19" s="83">
        <v>883.7</v>
      </c>
      <c r="G19" s="83">
        <v>3941.72</v>
      </c>
      <c r="H19" s="83">
        <v>1197.8</v>
      </c>
      <c r="I19" s="83">
        <v>9471.77</v>
      </c>
      <c r="J19" s="83">
        <v>2876.81</v>
      </c>
      <c r="K19" s="83">
        <v>6561.2</v>
      </c>
      <c r="L19" s="83">
        <v>1993.12</v>
      </c>
      <c r="M19" s="84">
        <v>2328.49</v>
      </c>
      <c r="N19" s="85">
        <v>706.91</v>
      </c>
      <c r="O19" s="161">
        <v>0</v>
      </c>
      <c r="P19" s="161">
        <v>0</v>
      </c>
      <c r="Q19" s="161">
        <v>0</v>
      </c>
      <c r="R19" s="161">
        <v>0</v>
      </c>
      <c r="S19" s="81">
        <f t="shared" si="2"/>
        <v>25213.72</v>
      </c>
      <c r="T19" s="126">
        <f t="shared" si="3"/>
        <v>7658.34</v>
      </c>
      <c r="U19" s="83">
        <v>2614.05</v>
      </c>
      <c r="V19" s="83">
        <v>3538.07</v>
      </c>
      <c r="W19" s="83">
        <v>8499.87</v>
      </c>
      <c r="X19" s="83">
        <v>5890.37</v>
      </c>
      <c r="Y19" s="83">
        <v>2091.32</v>
      </c>
      <c r="Z19" s="83">
        <v>0</v>
      </c>
      <c r="AA19" s="161">
        <v>0</v>
      </c>
      <c r="AB19" s="156">
        <f t="shared" si="4"/>
        <v>22633.68</v>
      </c>
      <c r="AC19" s="140">
        <f t="shared" si="5"/>
        <v>34981.72</v>
      </c>
      <c r="AD19" s="129">
        <f t="shared" si="6"/>
        <v>0</v>
      </c>
      <c r="AE19" s="129">
        <f t="shared" si="7"/>
        <v>0</v>
      </c>
      <c r="AF19" s="129"/>
      <c r="AG19" s="24">
        <f t="shared" si="20"/>
        <v>2605.4399999999996</v>
      </c>
      <c r="AH19" s="24">
        <f>B19*0.2*1.01045</f>
        <v>877.5556160000001</v>
      </c>
      <c r="AI19" s="24">
        <f>0.85*B19</f>
        <v>3691.0399999999995</v>
      </c>
      <c r="AJ19" s="24">
        <f t="shared" si="8"/>
        <v>664.3871999999999</v>
      </c>
      <c r="AK19" s="24">
        <f>0.83*B19</f>
        <v>3604.1919999999996</v>
      </c>
      <c r="AL19" s="24">
        <f t="shared" si="9"/>
        <v>648.7545599999999</v>
      </c>
      <c r="AM19" s="24">
        <f>(1.91)*B19</f>
        <v>8293.983999999999</v>
      </c>
      <c r="AN19" s="24">
        <f t="shared" si="10"/>
        <v>1492.9171199999996</v>
      </c>
      <c r="AO19" s="24"/>
      <c r="AP19" s="24">
        <f t="shared" si="11"/>
        <v>0</v>
      </c>
      <c r="AQ19" s="130">
        <f>1313.35+6594</f>
        <v>7907.35</v>
      </c>
      <c r="AR19" s="130">
        <f t="shared" si="11"/>
        <v>1423.323</v>
      </c>
      <c r="AS19" s="86">
        <v>5931.81</v>
      </c>
      <c r="AT19" s="86"/>
      <c r="AU19" s="86">
        <f t="shared" si="17"/>
        <v>1067.7258</v>
      </c>
      <c r="AV19" s="131"/>
      <c r="AW19" s="190">
        <v>4357</v>
      </c>
      <c r="AX19" s="24">
        <f t="shared" si="12"/>
        <v>5758.2112</v>
      </c>
      <c r="AY19" s="133"/>
      <c r="AZ19" s="173"/>
      <c r="BA19" s="134">
        <f t="shared" si="13"/>
        <v>0</v>
      </c>
      <c r="BB19" s="134">
        <f t="shared" si="18"/>
        <v>43966.690495999996</v>
      </c>
      <c r="BC19" s="158"/>
      <c r="BD19" s="157">
        <f t="shared" si="14"/>
        <v>43966.690495999996</v>
      </c>
      <c r="BE19" s="164">
        <f t="shared" si="15"/>
        <v>-8984.970495999994</v>
      </c>
      <c r="BF19" s="164">
        <f t="shared" si="16"/>
        <v>-2580.040000000001</v>
      </c>
    </row>
    <row r="20" spans="1:58" ht="13.5" thickBot="1">
      <c r="A20" s="165" t="s">
        <v>49</v>
      </c>
      <c r="B20" s="87">
        <v>4338.84</v>
      </c>
      <c r="C20" s="124">
        <f t="shared" si="1"/>
        <v>37530.966</v>
      </c>
      <c r="D20" s="168">
        <f t="shared" si="19"/>
        <v>3482.766000000011</v>
      </c>
      <c r="E20" s="83">
        <v>3075.38</v>
      </c>
      <c r="F20" s="83">
        <v>854.84</v>
      </c>
      <c r="G20" s="83">
        <v>4164.24</v>
      </c>
      <c r="H20" s="83">
        <v>1158.82</v>
      </c>
      <c r="I20" s="83">
        <v>10007.49</v>
      </c>
      <c r="J20" s="83">
        <v>2783</v>
      </c>
      <c r="K20" s="83">
        <v>6932.09</v>
      </c>
      <c r="L20" s="83">
        <v>1928.18</v>
      </c>
      <c r="M20" s="84">
        <v>2460.31</v>
      </c>
      <c r="N20" s="85">
        <v>683.85</v>
      </c>
      <c r="O20" s="161">
        <v>0</v>
      </c>
      <c r="P20" s="161">
        <v>0</v>
      </c>
      <c r="Q20" s="161">
        <v>0</v>
      </c>
      <c r="R20" s="161">
        <v>0</v>
      </c>
      <c r="S20" s="81">
        <f t="shared" si="2"/>
        <v>26639.510000000002</v>
      </c>
      <c r="T20" s="126">
        <f t="shared" si="3"/>
        <v>7408.6900000000005</v>
      </c>
      <c r="U20" s="83">
        <v>3025.99</v>
      </c>
      <c r="V20" s="83">
        <v>4095.74</v>
      </c>
      <c r="W20" s="83">
        <v>9842.43</v>
      </c>
      <c r="X20" s="83">
        <v>6819.02</v>
      </c>
      <c r="Y20" s="83">
        <v>2420.83</v>
      </c>
      <c r="Z20" s="83">
        <v>0</v>
      </c>
      <c r="AA20" s="161">
        <v>0</v>
      </c>
      <c r="AB20" s="156">
        <f t="shared" si="4"/>
        <v>26204.010000000002</v>
      </c>
      <c r="AC20" s="140">
        <f t="shared" si="5"/>
        <v>37095.466000000015</v>
      </c>
      <c r="AD20" s="129">
        <f t="shared" si="6"/>
        <v>0</v>
      </c>
      <c r="AE20" s="129">
        <f t="shared" si="7"/>
        <v>0</v>
      </c>
      <c r="AF20" s="129"/>
      <c r="AG20" s="24">
        <f t="shared" si="20"/>
        <v>2603.304</v>
      </c>
      <c r="AH20" s="24">
        <f>B20*0.2*0.99426</f>
        <v>862.7870116800001</v>
      </c>
      <c r="AI20" s="24">
        <f>0.85*B20*0.9857</f>
        <v>3635.2753998000003</v>
      </c>
      <c r="AJ20" s="24">
        <f t="shared" si="8"/>
        <v>654.349571964</v>
      </c>
      <c r="AK20" s="24">
        <f>0.83*B20*0.9905</f>
        <v>3567.0254466</v>
      </c>
      <c r="AL20" s="24">
        <f t="shared" si="9"/>
        <v>642.064580388</v>
      </c>
      <c r="AM20" s="24">
        <f>(1.91)*B20*0.9905</f>
        <v>8208.4561482</v>
      </c>
      <c r="AN20" s="24">
        <f t="shared" si="10"/>
        <v>1477.522106676</v>
      </c>
      <c r="AO20" s="24"/>
      <c r="AP20" s="24">
        <f t="shared" si="11"/>
        <v>0</v>
      </c>
      <c r="AQ20" s="130"/>
      <c r="AR20" s="130">
        <f t="shared" si="11"/>
        <v>0</v>
      </c>
      <c r="AS20" s="86">
        <v>1202</v>
      </c>
      <c r="AT20" s="86"/>
      <c r="AU20" s="86">
        <f t="shared" si="17"/>
        <v>216.35999999999999</v>
      </c>
      <c r="AV20" s="131"/>
      <c r="AW20" s="190">
        <v>177</v>
      </c>
      <c r="AX20" s="24">
        <f t="shared" si="12"/>
        <v>233.9232</v>
      </c>
      <c r="AY20" s="133"/>
      <c r="AZ20" s="173"/>
      <c r="BA20" s="134">
        <f aca="true" t="shared" si="21" ref="BA20:BA25">AZ20*0.18</f>
        <v>0</v>
      </c>
      <c r="BB20" s="134">
        <f t="shared" si="18"/>
        <v>23303.067465308002</v>
      </c>
      <c r="BC20" s="158"/>
      <c r="BD20" s="17">
        <f aca="true" t="shared" si="22" ref="BD20:BD25">BB20-(AF20-BC20)</f>
        <v>23303.067465308002</v>
      </c>
      <c r="BE20" s="164">
        <f t="shared" si="15"/>
        <v>13792.398534692013</v>
      </c>
      <c r="BF20" s="164">
        <f t="shared" si="16"/>
        <v>-435.5</v>
      </c>
    </row>
    <row r="21" spans="1:58" ht="13.5" thickBot="1">
      <c r="A21" s="13" t="s">
        <v>50</v>
      </c>
      <c r="B21" s="87">
        <v>4338.84</v>
      </c>
      <c r="C21" s="124">
        <f t="shared" si="1"/>
        <v>37530.966</v>
      </c>
      <c r="D21" s="168">
        <f t="shared" si="19"/>
        <v>3470.415999999995</v>
      </c>
      <c r="E21" s="83">
        <v>3048.9</v>
      </c>
      <c r="F21" s="83">
        <v>882.76</v>
      </c>
      <c r="G21" s="83">
        <v>4128.45</v>
      </c>
      <c r="H21" s="83">
        <v>1196.52</v>
      </c>
      <c r="I21" s="83">
        <v>9921.41</v>
      </c>
      <c r="J21" s="83">
        <v>2873.73</v>
      </c>
      <c r="K21" s="83">
        <v>6872.47</v>
      </c>
      <c r="L21" s="83">
        <v>1991</v>
      </c>
      <c r="M21" s="84">
        <v>2439.16</v>
      </c>
      <c r="N21" s="85">
        <v>706.15</v>
      </c>
      <c r="O21" s="161">
        <v>0</v>
      </c>
      <c r="P21" s="161">
        <v>0</v>
      </c>
      <c r="Q21" s="83">
        <v>0</v>
      </c>
      <c r="R21" s="83">
        <v>0</v>
      </c>
      <c r="S21" s="81">
        <f t="shared" si="2"/>
        <v>26410.390000000003</v>
      </c>
      <c r="T21" s="126">
        <f t="shared" si="3"/>
        <v>7650.16</v>
      </c>
      <c r="U21" s="83">
        <v>2902.99</v>
      </c>
      <c r="V21" s="83">
        <v>3931.91</v>
      </c>
      <c r="W21" s="83">
        <v>9441.2</v>
      </c>
      <c r="X21" s="83">
        <v>6544.57</v>
      </c>
      <c r="Y21" s="83">
        <v>2322.36</v>
      </c>
      <c r="Z21" s="83">
        <v>0</v>
      </c>
      <c r="AA21" s="161">
        <v>0</v>
      </c>
      <c r="AB21" s="156">
        <f t="shared" si="4"/>
        <v>25143.03</v>
      </c>
      <c r="AC21" s="140">
        <f t="shared" si="5"/>
        <v>36263.60599999999</v>
      </c>
      <c r="AD21" s="129">
        <f t="shared" si="6"/>
        <v>0</v>
      </c>
      <c r="AE21" s="129">
        <f t="shared" si="7"/>
        <v>0</v>
      </c>
      <c r="AF21" s="129"/>
      <c r="AG21" s="24">
        <f t="shared" si="20"/>
        <v>2603.304</v>
      </c>
      <c r="AH21" s="24">
        <f>B21*0.2*0.99875</f>
        <v>866.68329</v>
      </c>
      <c r="AI21" s="24">
        <f>0.85*B21*0.98526</f>
        <v>3633.65267364</v>
      </c>
      <c r="AJ21" s="24">
        <f t="shared" si="8"/>
        <v>654.0574812552</v>
      </c>
      <c r="AK21" s="24">
        <f>0.83*B21*0.99</f>
        <v>3565.224828</v>
      </c>
      <c r="AL21" s="24">
        <f t="shared" si="9"/>
        <v>641.74046904</v>
      </c>
      <c r="AM21" s="24">
        <f>(1.91)*B21*0.99</f>
        <v>8204.312556</v>
      </c>
      <c r="AN21" s="24">
        <f t="shared" si="10"/>
        <v>1476.7762600800002</v>
      </c>
      <c r="AO21" s="24"/>
      <c r="AP21" s="24">
        <f t="shared" si="11"/>
        <v>0</v>
      </c>
      <c r="AQ21" s="130">
        <f>6257.29+1353.27</f>
        <v>7610.5599999999995</v>
      </c>
      <c r="AR21" s="130">
        <f t="shared" si="11"/>
        <v>1369.9008</v>
      </c>
      <c r="AS21" s="86"/>
      <c r="AT21" s="86"/>
      <c r="AU21" s="86">
        <f t="shared" si="17"/>
        <v>0</v>
      </c>
      <c r="AV21" s="131"/>
      <c r="AW21" s="190">
        <v>48</v>
      </c>
      <c r="AX21" s="24">
        <f t="shared" si="12"/>
        <v>63.436800000000005</v>
      </c>
      <c r="AY21" s="133"/>
      <c r="AZ21" s="173"/>
      <c r="BA21" s="134">
        <f t="shared" si="21"/>
        <v>0</v>
      </c>
      <c r="BB21" s="134">
        <f t="shared" si="18"/>
        <v>30689.6491580152</v>
      </c>
      <c r="BC21" s="158"/>
      <c r="BD21" s="17">
        <f t="shared" si="22"/>
        <v>30689.6491580152</v>
      </c>
      <c r="BE21" s="164">
        <f t="shared" si="15"/>
        <v>5573.956841984793</v>
      </c>
      <c r="BF21" s="137">
        <f>AB21-S21</f>
        <v>-1267.3600000000042</v>
      </c>
    </row>
    <row r="22" spans="1:58" ht="13.5" thickBot="1">
      <c r="A22" s="159" t="s">
        <v>51</v>
      </c>
      <c r="B22" s="80">
        <v>4338.84</v>
      </c>
      <c r="C22" s="124">
        <f t="shared" si="1"/>
        <v>37530.966</v>
      </c>
      <c r="D22" s="168">
        <f t="shared" si="19"/>
        <v>3471.1459999999984</v>
      </c>
      <c r="E22" s="81">
        <v>3048.8</v>
      </c>
      <c r="F22" s="81">
        <v>882.76</v>
      </c>
      <c r="G22" s="81">
        <v>4128.35</v>
      </c>
      <c r="H22" s="81">
        <v>1196.52</v>
      </c>
      <c r="I22" s="81">
        <v>9921.14</v>
      </c>
      <c r="J22" s="81">
        <v>2873.73</v>
      </c>
      <c r="K22" s="81">
        <v>6872.3</v>
      </c>
      <c r="L22" s="81">
        <v>1990.99</v>
      </c>
      <c r="M22" s="78">
        <v>2439.08</v>
      </c>
      <c r="N22" s="82">
        <v>706.15</v>
      </c>
      <c r="O22" s="89">
        <v>0</v>
      </c>
      <c r="P22" s="89">
        <v>0</v>
      </c>
      <c r="Q22" s="89">
        <v>0</v>
      </c>
      <c r="R22" s="89">
        <v>0</v>
      </c>
      <c r="S22" s="81">
        <f t="shared" si="2"/>
        <v>26409.67</v>
      </c>
      <c r="T22" s="126">
        <f t="shared" si="3"/>
        <v>7650.15</v>
      </c>
      <c r="U22" s="81">
        <v>2834.06</v>
      </c>
      <c r="V22" s="81">
        <v>3793.65</v>
      </c>
      <c r="W22" s="81">
        <v>8941.81</v>
      </c>
      <c r="X22" s="81">
        <v>6232.25</v>
      </c>
      <c r="Y22" s="81">
        <v>2292.16</v>
      </c>
      <c r="Z22" s="81">
        <v>0</v>
      </c>
      <c r="AA22" s="89">
        <v>0</v>
      </c>
      <c r="AB22" s="156">
        <f t="shared" si="4"/>
        <v>24093.93</v>
      </c>
      <c r="AC22" s="140">
        <f t="shared" si="5"/>
        <v>35215.225999999995</v>
      </c>
      <c r="AD22" s="129">
        <f t="shared" si="6"/>
        <v>0</v>
      </c>
      <c r="AE22" s="129">
        <f t="shared" si="7"/>
        <v>0</v>
      </c>
      <c r="AF22" s="129"/>
      <c r="AG22" s="24">
        <f t="shared" si="20"/>
        <v>2603.304</v>
      </c>
      <c r="AH22" s="24">
        <f>B22*0.2*0.9997</f>
        <v>867.5076696000001</v>
      </c>
      <c r="AI22" s="24">
        <f>0.85*B22*0.98509</f>
        <v>3633.02571126</v>
      </c>
      <c r="AJ22" s="24">
        <f t="shared" si="8"/>
        <v>653.9446280268</v>
      </c>
      <c r="AK22" s="24">
        <f>0.83*B22*0.98981</f>
        <v>3564.540592932</v>
      </c>
      <c r="AL22" s="24">
        <f t="shared" si="9"/>
        <v>641.61730672776</v>
      </c>
      <c r="AM22" s="24">
        <f>(1.91)*B22*0.9898</f>
        <v>8202.65511912</v>
      </c>
      <c r="AN22" s="24">
        <f t="shared" si="10"/>
        <v>1476.4779214415998</v>
      </c>
      <c r="AO22" s="24"/>
      <c r="AP22" s="24">
        <f t="shared" si="11"/>
        <v>0</v>
      </c>
      <c r="AQ22" s="130"/>
      <c r="AR22" s="130">
        <f t="shared" si="11"/>
        <v>0</v>
      </c>
      <c r="AS22" s="86"/>
      <c r="AT22" s="86"/>
      <c r="AU22" s="86">
        <f t="shared" si="17"/>
        <v>0</v>
      </c>
      <c r="AV22" s="131"/>
      <c r="AW22" s="190">
        <v>110</v>
      </c>
      <c r="AX22" s="24">
        <f t="shared" si="12"/>
        <v>145.376</v>
      </c>
      <c r="AY22" s="133"/>
      <c r="AZ22" s="173"/>
      <c r="BA22" s="134">
        <f t="shared" si="21"/>
        <v>0</v>
      </c>
      <c r="BB22" s="134">
        <f t="shared" si="18"/>
        <v>21788.448949108162</v>
      </c>
      <c r="BC22" s="158"/>
      <c r="BD22" s="169">
        <f t="shared" si="22"/>
        <v>21788.448949108162</v>
      </c>
      <c r="BE22" s="164">
        <f t="shared" si="15"/>
        <v>13426.777050891833</v>
      </c>
      <c r="BF22" s="170">
        <f>AB22-S22</f>
        <v>-2315.739999999998</v>
      </c>
    </row>
    <row r="23" spans="1:58" ht="12.75">
      <c r="A23" s="171" t="s">
        <v>39</v>
      </c>
      <c r="B23" s="80">
        <v>4338.84</v>
      </c>
      <c r="C23" s="172">
        <f t="shared" si="1"/>
        <v>37530.966</v>
      </c>
      <c r="D23" s="168">
        <f t="shared" si="19"/>
        <v>3480.486000000003</v>
      </c>
      <c r="E23" s="88">
        <v>3044</v>
      </c>
      <c r="F23" s="81">
        <v>884.35</v>
      </c>
      <c r="G23" s="81">
        <v>4122.03</v>
      </c>
      <c r="H23" s="81">
        <v>1198.66</v>
      </c>
      <c r="I23" s="81">
        <v>9905.68</v>
      </c>
      <c r="J23" s="81">
        <v>2878.89</v>
      </c>
      <c r="K23" s="81">
        <v>6861.63</v>
      </c>
      <c r="L23" s="81">
        <v>1994.58</v>
      </c>
      <c r="M23" s="81">
        <v>2453.23</v>
      </c>
      <c r="N23" s="89">
        <v>707.43</v>
      </c>
      <c r="O23" s="89">
        <v>0</v>
      </c>
      <c r="P23" s="89">
        <v>0</v>
      </c>
      <c r="Q23" s="81">
        <v>0</v>
      </c>
      <c r="R23" s="81">
        <v>0</v>
      </c>
      <c r="S23" s="81">
        <f t="shared" si="2"/>
        <v>26386.57</v>
      </c>
      <c r="T23" s="126">
        <f t="shared" si="3"/>
        <v>7663.91</v>
      </c>
      <c r="U23" s="90">
        <f>2557.16+1073.8</f>
        <v>3630.96</v>
      </c>
      <c r="V23" s="81">
        <f>3461.12+1453.87</f>
        <v>4914.99</v>
      </c>
      <c r="W23" s="81">
        <f>8319.8+3533.67</f>
        <v>11853.47</v>
      </c>
      <c r="X23" s="81">
        <f>5762.51+2420.27</f>
        <v>8182.780000000001</v>
      </c>
      <c r="Y23" s="81">
        <f>2045.78+859.1</f>
        <v>2904.88</v>
      </c>
      <c r="Z23" s="81">
        <v>0</v>
      </c>
      <c r="AA23" s="89">
        <v>0</v>
      </c>
      <c r="AB23" s="89">
        <f>SUM(U23:AA23)</f>
        <v>31487.079999999998</v>
      </c>
      <c r="AC23" s="140">
        <f>AB23+T23+D23</f>
        <v>42631.476</v>
      </c>
      <c r="AD23" s="129">
        <f t="shared" si="6"/>
        <v>0</v>
      </c>
      <c r="AE23" s="129">
        <f t="shared" si="7"/>
        <v>0</v>
      </c>
      <c r="AF23" s="129"/>
      <c r="AG23" s="24">
        <f t="shared" si="20"/>
        <v>2603.304</v>
      </c>
      <c r="AH23" s="24">
        <f>B23*0.2</f>
        <v>867.768</v>
      </c>
      <c r="AI23" s="24">
        <f>0.847*B23</f>
        <v>3674.99748</v>
      </c>
      <c r="AJ23" s="24">
        <f t="shared" si="8"/>
        <v>661.4995464</v>
      </c>
      <c r="AK23" s="24">
        <f>0.83*B23</f>
        <v>3601.2372</v>
      </c>
      <c r="AL23" s="24">
        <f t="shared" si="9"/>
        <v>648.2226959999999</v>
      </c>
      <c r="AM23" s="24">
        <f>(2.25/1.18)*B23</f>
        <v>8273.21186440678</v>
      </c>
      <c r="AN23" s="24">
        <f t="shared" si="10"/>
        <v>1489.1781355932203</v>
      </c>
      <c r="AO23" s="24"/>
      <c r="AP23" s="24">
        <f t="shared" si="11"/>
        <v>0</v>
      </c>
      <c r="AQ23" s="130"/>
      <c r="AR23" s="130">
        <f t="shared" si="11"/>
        <v>0</v>
      </c>
      <c r="AS23" s="86">
        <v>8836.4</v>
      </c>
      <c r="AT23" s="86"/>
      <c r="AU23" s="86">
        <f t="shared" si="17"/>
        <v>1590.552</v>
      </c>
      <c r="AV23" s="131"/>
      <c r="AW23" s="189">
        <v>185</v>
      </c>
      <c r="AX23" s="24">
        <f t="shared" si="12"/>
        <v>244.496</v>
      </c>
      <c r="AY23" s="133"/>
      <c r="AZ23" s="191">
        <v>39836</v>
      </c>
      <c r="BA23" s="134">
        <f t="shared" si="21"/>
        <v>7170.48</v>
      </c>
      <c r="BB23" s="134">
        <f>SUM(AG23:AU23)+AX23+AY23+AZ23+BA23</f>
        <v>79497.3469224</v>
      </c>
      <c r="BC23" s="158"/>
      <c r="BD23" s="174">
        <f t="shared" si="22"/>
        <v>79497.3469224</v>
      </c>
      <c r="BE23" s="136">
        <f t="shared" si="15"/>
        <v>-36865.8709224</v>
      </c>
      <c r="BF23" s="136">
        <f>AB23-S23</f>
        <v>5100.509999999998</v>
      </c>
    </row>
    <row r="24" spans="1:58" ht="12.75">
      <c r="A24" s="13" t="s">
        <v>40</v>
      </c>
      <c r="B24" s="87">
        <v>4338.84</v>
      </c>
      <c r="C24" s="172">
        <f t="shared" si="1"/>
        <v>37530.966</v>
      </c>
      <c r="D24" s="168">
        <f t="shared" si="19"/>
        <v>3521.156</v>
      </c>
      <c r="E24" s="81">
        <v>3040.54</v>
      </c>
      <c r="F24" s="81">
        <v>885.14</v>
      </c>
      <c r="G24" s="81">
        <v>4117.5</v>
      </c>
      <c r="H24" s="81">
        <v>1199.72</v>
      </c>
      <c r="I24" s="81">
        <v>9894.6</v>
      </c>
      <c r="J24" s="81">
        <v>2881.44</v>
      </c>
      <c r="K24" s="81">
        <v>6853.99</v>
      </c>
      <c r="L24" s="81">
        <v>1996.35</v>
      </c>
      <c r="M24" s="78">
        <v>2432.48</v>
      </c>
      <c r="N24" s="82">
        <v>708.05</v>
      </c>
      <c r="O24" s="89">
        <v>0</v>
      </c>
      <c r="P24" s="89">
        <v>0</v>
      </c>
      <c r="Q24" s="89">
        <v>0</v>
      </c>
      <c r="R24" s="89">
        <v>0</v>
      </c>
      <c r="S24" s="81">
        <f t="shared" si="2"/>
        <v>26339.109999999997</v>
      </c>
      <c r="T24" s="126">
        <f t="shared" si="3"/>
        <v>7670.700000000001</v>
      </c>
      <c r="U24" s="81">
        <v>3049.72</v>
      </c>
      <c r="V24" s="81">
        <v>4130.16</v>
      </c>
      <c r="W24" s="81">
        <v>9924.77</v>
      </c>
      <c r="X24" s="81">
        <v>6875.13</v>
      </c>
      <c r="Y24" s="81">
        <v>2439.78</v>
      </c>
      <c r="Z24" s="81">
        <v>0</v>
      </c>
      <c r="AA24" s="89">
        <v>0</v>
      </c>
      <c r="AB24" s="89">
        <f>SUM(U24:AA24)</f>
        <v>26419.56</v>
      </c>
      <c r="AC24" s="140">
        <f>D24+T24+AB24</f>
        <v>37611.416</v>
      </c>
      <c r="AD24" s="129">
        <f t="shared" si="6"/>
        <v>0</v>
      </c>
      <c r="AE24" s="129">
        <f t="shared" si="7"/>
        <v>0</v>
      </c>
      <c r="AF24" s="129"/>
      <c r="AG24" s="24">
        <f t="shared" si="20"/>
        <v>2603.304</v>
      </c>
      <c r="AH24" s="24">
        <f>B24*0.2</f>
        <v>867.768</v>
      </c>
      <c r="AI24" s="24">
        <f>0.85*B24</f>
        <v>3688.014</v>
      </c>
      <c r="AJ24" s="24">
        <f t="shared" si="8"/>
        <v>663.84252</v>
      </c>
      <c r="AK24" s="24">
        <f>0.83*B24</f>
        <v>3601.2372</v>
      </c>
      <c r="AL24" s="24">
        <f t="shared" si="9"/>
        <v>648.2226959999999</v>
      </c>
      <c r="AM24" s="24">
        <f>(1.91)*B24</f>
        <v>8287.1844</v>
      </c>
      <c r="AN24" s="24">
        <f t="shared" si="10"/>
        <v>1491.693192</v>
      </c>
      <c r="AO24" s="24"/>
      <c r="AP24" s="24">
        <f t="shared" si="11"/>
        <v>0</v>
      </c>
      <c r="AQ24" s="130"/>
      <c r="AR24" s="130">
        <f t="shared" si="11"/>
        <v>0</v>
      </c>
      <c r="AS24" s="86">
        <v>3359</v>
      </c>
      <c r="AT24" s="86"/>
      <c r="AU24" s="86">
        <f t="shared" si="17"/>
        <v>604.62</v>
      </c>
      <c r="AV24" s="131"/>
      <c r="AW24" s="189">
        <v>205</v>
      </c>
      <c r="AX24" s="24">
        <f t="shared" si="12"/>
        <v>270.928</v>
      </c>
      <c r="AY24" s="133"/>
      <c r="AZ24" s="191">
        <v>39836</v>
      </c>
      <c r="BA24" s="134">
        <f t="shared" si="21"/>
        <v>7170.48</v>
      </c>
      <c r="BB24" s="134">
        <f>SUM(AG24:AU24)+AX24+AY24+AZ24+BA24</f>
        <v>73092.294008</v>
      </c>
      <c r="BC24" s="135"/>
      <c r="BD24" s="61">
        <f t="shared" si="22"/>
        <v>73092.294008</v>
      </c>
      <c r="BE24" s="136">
        <f t="shared" si="15"/>
        <v>-35480.878008</v>
      </c>
      <c r="BF24" s="136">
        <f>AB24-S24</f>
        <v>80.45000000000437</v>
      </c>
    </row>
    <row r="25" spans="1:58" s="138" customFormat="1" ht="12.75">
      <c r="A25" s="123" t="s">
        <v>41</v>
      </c>
      <c r="B25" s="80">
        <v>4338.84</v>
      </c>
      <c r="C25" s="172">
        <f t="shared" si="1"/>
        <v>37530.966</v>
      </c>
      <c r="D25" s="168">
        <f t="shared" si="19"/>
        <v>3878.6559999999936</v>
      </c>
      <c r="E25" s="81">
        <v>3018.65</v>
      </c>
      <c r="F25" s="81">
        <v>865.73</v>
      </c>
      <c r="G25" s="81">
        <v>4087.95</v>
      </c>
      <c r="H25" s="81">
        <v>1173.43</v>
      </c>
      <c r="I25" s="81">
        <v>9823.45</v>
      </c>
      <c r="J25" s="81">
        <v>2818.28</v>
      </c>
      <c r="K25" s="81">
        <v>6804.74</v>
      </c>
      <c r="L25" s="81">
        <v>1952.59</v>
      </c>
      <c r="M25" s="78">
        <v>2414.95</v>
      </c>
      <c r="N25" s="82">
        <v>692.54</v>
      </c>
      <c r="O25" s="89">
        <v>0</v>
      </c>
      <c r="P25" s="89">
        <v>0</v>
      </c>
      <c r="Q25" s="89"/>
      <c r="R25" s="89"/>
      <c r="S25" s="81">
        <f t="shared" si="2"/>
        <v>26149.74</v>
      </c>
      <c r="T25" s="126">
        <f t="shared" si="3"/>
        <v>7502.57</v>
      </c>
      <c r="U25" s="81">
        <v>3122.55</v>
      </c>
      <c r="V25" s="81">
        <v>4241.34</v>
      </c>
      <c r="W25" s="81">
        <v>10323.89</v>
      </c>
      <c r="X25" s="81">
        <v>7142.7</v>
      </c>
      <c r="Y25" s="81">
        <v>2498.06</v>
      </c>
      <c r="Z25" s="81">
        <v>0</v>
      </c>
      <c r="AA25" s="89">
        <v>0</v>
      </c>
      <c r="AB25" s="89">
        <f>SUM(U25:AA25)</f>
        <v>27328.54</v>
      </c>
      <c r="AC25" s="140">
        <f>D25+T25+AB25</f>
        <v>38709.765999999996</v>
      </c>
      <c r="AD25" s="129">
        <f t="shared" si="6"/>
        <v>0</v>
      </c>
      <c r="AE25" s="129">
        <f t="shared" si="7"/>
        <v>0</v>
      </c>
      <c r="AF25" s="129"/>
      <c r="AG25" s="24">
        <f t="shared" si="20"/>
        <v>2603.304</v>
      </c>
      <c r="AH25" s="24">
        <f>B25*0.2</f>
        <v>867.768</v>
      </c>
      <c r="AI25" s="24">
        <f>0.85*B25</f>
        <v>3688.014</v>
      </c>
      <c r="AJ25" s="24">
        <f t="shared" si="8"/>
        <v>663.84252</v>
      </c>
      <c r="AK25" s="24">
        <f>0.83*B25</f>
        <v>3601.2372</v>
      </c>
      <c r="AL25" s="24">
        <f t="shared" si="9"/>
        <v>648.2226959999999</v>
      </c>
      <c r="AM25" s="24">
        <f>(1.91)*B25</f>
        <v>8287.1844</v>
      </c>
      <c r="AN25" s="24">
        <f t="shared" si="10"/>
        <v>1491.693192</v>
      </c>
      <c r="AO25" s="24"/>
      <c r="AP25" s="24">
        <f t="shared" si="11"/>
        <v>0</v>
      </c>
      <c r="AQ25" s="130"/>
      <c r="AR25" s="130">
        <f t="shared" si="11"/>
        <v>0</v>
      </c>
      <c r="AS25" s="86">
        <v>5272</v>
      </c>
      <c r="AT25" s="86">
        <f>200</f>
        <v>200</v>
      </c>
      <c r="AU25" s="86">
        <f t="shared" si="17"/>
        <v>984.9599999999999</v>
      </c>
      <c r="AV25" s="131"/>
      <c r="AW25" s="189">
        <v>148</v>
      </c>
      <c r="AX25" s="24">
        <f t="shared" si="12"/>
        <v>195.5968</v>
      </c>
      <c r="AY25" s="133"/>
      <c r="AZ25" s="191">
        <v>39836</v>
      </c>
      <c r="BA25" s="134">
        <f t="shared" si="21"/>
        <v>7170.48</v>
      </c>
      <c r="BB25" s="134">
        <f>SUM(AG25:BA25)-AV25-AW25</f>
        <v>75510.302808</v>
      </c>
      <c r="BC25" s="135"/>
      <c r="BD25" s="79">
        <f t="shared" si="22"/>
        <v>75510.302808</v>
      </c>
      <c r="BE25" s="136">
        <f t="shared" si="15"/>
        <v>-36800.536808</v>
      </c>
      <c r="BF25" s="136">
        <f>AB25-S25</f>
        <v>1178.7999999999993</v>
      </c>
    </row>
    <row r="26" spans="1:58" s="23" customFormat="1" ht="12.75">
      <c r="A26" s="18" t="s">
        <v>3</v>
      </c>
      <c r="B26" s="19"/>
      <c r="C26" s="19">
        <f>SUM(C14:C25)</f>
        <v>450557.04800000007</v>
      </c>
      <c r="D26" s="19">
        <f aca="true" t="shared" si="23" ref="D26:BF26">SUM(D14:D25)</f>
        <v>48469.7525</v>
      </c>
      <c r="E26" s="19">
        <f t="shared" si="23"/>
        <v>35268.05</v>
      </c>
      <c r="F26" s="19">
        <f t="shared" si="23"/>
        <v>10258.81</v>
      </c>
      <c r="G26" s="19">
        <f t="shared" si="23"/>
        <v>47712.48</v>
      </c>
      <c r="H26" s="19">
        <f t="shared" si="23"/>
        <v>13887.6</v>
      </c>
      <c r="I26" s="19">
        <f t="shared" si="23"/>
        <v>114714.15000000001</v>
      </c>
      <c r="J26" s="19">
        <f t="shared" si="23"/>
        <v>33378.909999999996</v>
      </c>
      <c r="K26" s="19">
        <f t="shared" si="23"/>
        <v>79453.95000000001</v>
      </c>
      <c r="L26" s="19">
        <f t="shared" si="23"/>
        <v>23120.31</v>
      </c>
      <c r="M26" s="19">
        <f t="shared" si="23"/>
        <v>28232.62</v>
      </c>
      <c r="N26" s="19">
        <f t="shared" si="23"/>
        <v>8206.59</v>
      </c>
      <c r="O26" s="19">
        <f t="shared" si="23"/>
        <v>0</v>
      </c>
      <c r="P26" s="19">
        <f t="shared" si="23"/>
        <v>0</v>
      </c>
      <c r="Q26" s="19">
        <f t="shared" si="23"/>
        <v>0</v>
      </c>
      <c r="R26" s="19">
        <f t="shared" si="23"/>
        <v>0</v>
      </c>
      <c r="S26" s="19">
        <f t="shared" si="23"/>
        <v>305381.25</v>
      </c>
      <c r="T26" s="19">
        <f t="shared" si="23"/>
        <v>88852.22</v>
      </c>
      <c r="U26" s="19">
        <f t="shared" si="23"/>
        <v>33949.29</v>
      </c>
      <c r="V26" s="19">
        <f t="shared" si="23"/>
        <v>45884.05</v>
      </c>
      <c r="W26" s="19">
        <f t="shared" si="23"/>
        <v>109938.22</v>
      </c>
      <c r="X26" s="19">
        <f t="shared" si="23"/>
        <v>76417.48</v>
      </c>
      <c r="Y26" s="19">
        <f t="shared" si="23"/>
        <v>27184.420000000002</v>
      </c>
      <c r="Z26" s="19">
        <f t="shared" si="23"/>
        <v>0</v>
      </c>
      <c r="AA26" s="19">
        <f t="shared" si="23"/>
        <v>0</v>
      </c>
      <c r="AB26" s="19">
        <f t="shared" si="23"/>
        <v>293373.45999999996</v>
      </c>
      <c r="AC26" s="19">
        <f t="shared" si="23"/>
        <v>430695.43249999994</v>
      </c>
      <c r="AD26" s="19">
        <f t="shared" si="23"/>
        <v>0</v>
      </c>
      <c r="AE26" s="19">
        <f t="shared" si="23"/>
        <v>0</v>
      </c>
      <c r="AF26" s="19">
        <f t="shared" si="23"/>
        <v>0</v>
      </c>
      <c r="AG26" s="19">
        <f t="shared" si="23"/>
        <v>30210.331199999997</v>
      </c>
      <c r="AH26" s="19">
        <f t="shared" si="23"/>
        <v>10114.46043208</v>
      </c>
      <c r="AI26" s="19">
        <f t="shared" si="23"/>
        <v>42234.91483130001</v>
      </c>
      <c r="AJ26" s="19">
        <f t="shared" si="23"/>
        <v>7602.284669634002</v>
      </c>
      <c r="AK26" s="19">
        <f t="shared" si="23"/>
        <v>41052.218844892006</v>
      </c>
      <c r="AL26" s="19">
        <f t="shared" si="23"/>
        <v>7389.399392080558</v>
      </c>
      <c r="AM26" s="19">
        <f t="shared" si="23"/>
        <v>94457.16724488676</v>
      </c>
      <c r="AN26" s="19">
        <f t="shared" si="23"/>
        <v>17002.29010407962</v>
      </c>
      <c r="AO26" s="19">
        <f t="shared" si="23"/>
        <v>0</v>
      </c>
      <c r="AP26" s="19">
        <f t="shared" si="23"/>
        <v>0</v>
      </c>
      <c r="AQ26" s="175">
        <f t="shared" si="23"/>
        <v>45079.56</v>
      </c>
      <c r="AR26" s="175">
        <f t="shared" si="23"/>
        <v>8114.3207999999995</v>
      </c>
      <c r="AS26" s="20">
        <f t="shared" si="23"/>
        <v>93798.75</v>
      </c>
      <c r="AT26" s="20">
        <f t="shared" si="23"/>
        <v>200</v>
      </c>
      <c r="AU26" s="20">
        <f t="shared" si="23"/>
        <v>16919.785000000003</v>
      </c>
      <c r="AV26" s="19">
        <f t="shared" si="23"/>
        <v>0</v>
      </c>
      <c r="AW26" s="19">
        <f t="shared" si="23"/>
        <v>5372</v>
      </c>
      <c r="AX26" s="19">
        <f t="shared" si="23"/>
        <v>7099.635200000001</v>
      </c>
      <c r="AY26" s="19">
        <f t="shared" si="23"/>
        <v>27.753600000000002</v>
      </c>
      <c r="AZ26" s="19">
        <f t="shared" si="23"/>
        <v>119508</v>
      </c>
      <c r="BA26" s="19">
        <f t="shared" si="23"/>
        <v>21511.44</v>
      </c>
      <c r="BB26" s="19">
        <f t="shared" si="23"/>
        <v>562294.557718953</v>
      </c>
      <c r="BC26" s="19">
        <f t="shared" si="23"/>
        <v>0</v>
      </c>
      <c r="BD26" s="19">
        <f t="shared" si="23"/>
        <v>562294.557718953</v>
      </c>
      <c r="BE26" s="19">
        <f t="shared" si="23"/>
        <v>-131599.12521895295</v>
      </c>
      <c r="BF26" s="176">
        <f t="shared" si="23"/>
        <v>-12007.790000000005</v>
      </c>
    </row>
    <row r="27" spans="1:58" s="23" customFormat="1" ht="12.75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/>
      <c r="V27" s="21"/>
      <c r="W27" s="21"/>
      <c r="X27" s="21"/>
      <c r="Y27" s="21"/>
      <c r="Z27" s="21"/>
      <c r="AA27" s="21"/>
      <c r="AB27" s="21"/>
      <c r="AC27" s="21"/>
      <c r="AD27" s="107"/>
      <c r="AE27" s="107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77"/>
      <c r="AQ27" s="177"/>
      <c r="AR27" s="177"/>
      <c r="AS27" s="77"/>
      <c r="AT27" s="77"/>
      <c r="AU27" s="77"/>
      <c r="AV27" s="22"/>
      <c r="AW27" s="22"/>
      <c r="AX27" s="91"/>
      <c r="AY27" s="57"/>
      <c r="AZ27" s="57"/>
      <c r="BA27" s="57"/>
      <c r="BB27" s="57"/>
      <c r="BC27" s="57"/>
      <c r="BD27" s="57"/>
      <c r="BE27" s="57"/>
      <c r="BF27" s="178"/>
    </row>
    <row r="28" spans="1:58" s="23" customFormat="1" ht="13.5" thickBot="1">
      <c r="A28" s="26" t="s">
        <v>52</v>
      </c>
      <c r="B28" s="27"/>
      <c r="C28" s="27">
        <f>C12+C26</f>
        <v>563242.3280000001</v>
      </c>
      <c r="D28" s="27">
        <f aca="true" t="shared" si="24" ref="D28:BF28">D12+D26</f>
        <v>75593.4750136</v>
      </c>
      <c r="E28" s="27">
        <f t="shared" si="24"/>
        <v>43665.78</v>
      </c>
      <c r="F28" s="27">
        <f t="shared" si="24"/>
        <v>12632.38</v>
      </c>
      <c r="G28" s="27">
        <f t="shared" si="24"/>
        <v>59049.420000000006</v>
      </c>
      <c r="H28" s="27">
        <f t="shared" si="24"/>
        <v>17091.95</v>
      </c>
      <c r="I28" s="27">
        <f t="shared" si="24"/>
        <v>142006.86000000002</v>
      </c>
      <c r="J28" s="27">
        <f t="shared" si="24"/>
        <v>41092.92999999999</v>
      </c>
      <c r="K28" s="27">
        <f t="shared" si="24"/>
        <v>98349.06000000001</v>
      </c>
      <c r="L28" s="27">
        <f t="shared" si="24"/>
        <v>28460.71</v>
      </c>
      <c r="M28" s="27">
        <f t="shared" si="24"/>
        <v>34950.75</v>
      </c>
      <c r="N28" s="27">
        <f t="shared" si="24"/>
        <v>10105.42</v>
      </c>
      <c r="O28" s="27">
        <f t="shared" si="24"/>
        <v>0</v>
      </c>
      <c r="P28" s="27">
        <f t="shared" si="24"/>
        <v>0</v>
      </c>
      <c r="Q28" s="27">
        <f t="shared" si="24"/>
        <v>0</v>
      </c>
      <c r="R28" s="27">
        <f t="shared" si="24"/>
        <v>0</v>
      </c>
      <c r="S28" s="27">
        <f t="shared" si="24"/>
        <v>378021.87</v>
      </c>
      <c r="T28" s="27">
        <f t="shared" si="24"/>
        <v>109383.39</v>
      </c>
      <c r="U28" s="27">
        <f t="shared" si="24"/>
        <v>39365.07</v>
      </c>
      <c r="V28" s="27">
        <f t="shared" si="24"/>
        <v>53195.340000000004</v>
      </c>
      <c r="W28" s="27">
        <f t="shared" si="24"/>
        <v>127939.38</v>
      </c>
      <c r="X28" s="27">
        <f t="shared" si="24"/>
        <v>88602.98999999999</v>
      </c>
      <c r="Y28" s="27">
        <f t="shared" si="24"/>
        <v>31517.08</v>
      </c>
      <c r="Z28" s="27">
        <f t="shared" si="24"/>
        <v>0</v>
      </c>
      <c r="AA28" s="27">
        <f t="shared" si="24"/>
        <v>0</v>
      </c>
      <c r="AB28" s="27">
        <f t="shared" si="24"/>
        <v>340619.86</v>
      </c>
      <c r="AC28" s="27">
        <f t="shared" si="24"/>
        <v>525596.7250136</v>
      </c>
      <c r="AD28" s="27">
        <f t="shared" si="24"/>
        <v>0</v>
      </c>
      <c r="AE28" s="27">
        <f t="shared" si="24"/>
        <v>0</v>
      </c>
      <c r="AF28" s="27">
        <f t="shared" si="24"/>
        <v>0</v>
      </c>
      <c r="AG28" s="27">
        <f t="shared" si="24"/>
        <v>38026.65119999999</v>
      </c>
      <c r="AH28" s="27">
        <f t="shared" si="24"/>
        <v>12796.76091208</v>
      </c>
      <c r="AI28" s="27">
        <f t="shared" si="24"/>
        <v>53320.69463930001</v>
      </c>
      <c r="AJ28" s="27">
        <f>AJ12+AJ26</f>
        <v>9597.725035074001</v>
      </c>
      <c r="AK28" s="27">
        <f t="shared" si="24"/>
        <v>53952.58255177201</v>
      </c>
      <c r="AL28" s="27">
        <f t="shared" si="24"/>
        <v>9711.464859318958</v>
      </c>
      <c r="AM28" s="27">
        <f t="shared" si="24"/>
        <v>118149.08136040675</v>
      </c>
      <c r="AN28" s="27">
        <f t="shared" si="24"/>
        <v>21266.83464487322</v>
      </c>
      <c r="AO28" s="27">
        <f t="shared" si="24"/>
        <v>0</v>
      </c>
      <c r="AP28" s="27">
        <f t="shared" si="24"/>
        <v>0</v>
      </c>
      <c r="AQ28" s="179">
        <f t="shared" si="24"/>
        <v>45079.56</v>
      </c>
      <c r="AR28" s="179">
        <f t="shared" si="24"/>
        <v>8114.3207999999995</v>
      </c>
      <c r="AS28" s="180">
        <f t="shared" si="24"/>
        <v>116751.06</v>
      </c>
      <c r="AT28" s="180">
        <f t="shared" si="24"/>
        <v>200</v>
      </c>
      <c r="AU28" s="180">
        <f t="shared" si="24"/>
        <v>21051.200800000002</v>
      </c>
      <c r="AV28" s="27">
        <f t="shared" si="24"/>
        <v>0</v>
      </c>
      <c r="AW28" s="27">
        <f t="shared" si="24"/>
        <v>5372</v>
      </c>
      <c r="AX28" s="27">
        <f t="shared" si="24"/>
        <v>7099.635200000001</v>
      </c>
      <c r="AY28" s="27">
        <f t="shared" si="24"/>
        <v>27.753600000000002</v>
      </c>
      <c r="AZ28" s="27">
        <f t="shared" si="24"/>
        <v>119508</v>
      </c>
      <c r="BA28" s="27">
        <f t="shared" si="24"/>
        <v>21511.44</v>
      </c>
      <c r="BB28" s="27">
        <f t="shared" si="24"/>
        <v>656137.012002825</v>
      </c>
      <c r="BC28" s="27">
        <f t="shared" si="24"/>
        <v>0</v>
      </c>
      <c r="BD28" s="27">
        <f t="shared" si="24"/>
        <v>656137.012002825</v>
      </c>
      <c r="BE28" s="27">
        <f t="shared" si="24"/>
        <v>-130540.28698922494</v>
      </c>
      <c r="BF28" s="27">
        <f t="shared" si="24"/>
        <v>-37402.01000000001</v>
      </c>
    </row>
    <row r="29" spans="1:58" ht="15" customHeight="1">
      <c r="A29" s="8" t="s">
        <v>92</v>
      </c>
      <c r="B29" s="72"/>
      <c r="C29" s="144"/>
      <c r="D29" s="144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6"/>
      <c r="P29" s="147"/>
      <c r="Q29" s="148"/>
      <c r="R29" s="148"/>
      <c r="S29" s="148"/>
      <c r="T29" s="148"/>
      <c r="U29" s="149"/>
      <c r="V29" s="149"/>
      <c r="W29" s="149"/>
      <c r="X29" s="149"/>
      <c r="Y29" s="149"/>
      <c r="Z29" s="149"/>
      <c r="AA29" s="150"/>
      <c r="AB29" s="150"/>
      <c r="AC29" s="151"/>
      <c r="AD29" s="152"/>
      <c r="AE29" s="152"/>
      <c r="AF29" s="60"/>
      <c r="AG29" s="60"/>
      <c r="AH29" s="60"/>
      <c r="AI29" s="60"/>
      <c r="AJ29" s="60"/>
      <c r="AK29" s="60"/>
      <c r="AL29" s="60"/>
      <c r="AM29" s="60"/>
      <c r="AN29" s="73"/>
      <c r="AO29" s="73"/>
      <c r="AP29" s="73"/>
      <c r="AQ29" s="153"/>
      <c r="AR29" s="154"/>
      <c r="AS29" s="108"/>
      <c r="AT29" s="108"/>
      <c r="AU29" s="155"/>
      <c r="AV29" s="60"/>
      <c r="AW29" s="60"/>
      <c r="AX29" s="61"/>
      <c r="AY29" s="1"/>
      <c r="AZ29" s="1"/>
      <c r="BA29" s="1"/>
      <c r="BB29" s="1"/>
      <c r="BC29" s="1"/>
      <c r="BD29" s="1"/>
      <c r="BE29" s="1"/>
      <c r="BF29" s="120"/>
    </row>
    <row r="30" spans="1:58" ht="12.75">
      <c r="A30" s="13" t="s">
        <v>43</v>
      </c>
      <c r="B30" s="80">
        <v>4338.84</v>
      </c>
      <c r="C30" s="172">
        <f aca="true" t="shared" si="25" ref="C30:C41">B30*8.65</f>
        <v>37530.966</v>
      </c>
      <c r="D30" s="168">
        <f aca="true" t="shared" si="26" ref="D30:D41">C30-E30-F30-G30-H30-I30-J30-K30-L30-M30-N30</f>
        <v>3521.9360000000033</v>
      </c>
      <c r="E30" s="81">
        <v>3061.42</v>
      </c>
      <c r="F30" s="81">
        <v>864.17</v>
      </c>
      <c r="G30" s="81">
        <v>4145.71</v>
      </c>
      <c r="H30" s="81">
        <v>1171.39</v>
      </c>
      <c r="I30" s="81">
        <v>9962.47</v>
      </c>
      <c r="J30" s="81">
        <v>2813.27</v>
      </c>
      <c r="K30" s="81">
        <v>6901</v>
      </c>
      <c r="L30" s="81">
        <v>1949.14</v>
      </c>
      <c r="M30" s="78">
        <v>2449.12</v>
      </c>
      <c r="N30" s="82">
        <v>691.34</v>
      </c>
      <c r="O30" s="89">
        <v>0</v>
      </c>
      <c r="P30" s="89">
        <v>0</v>
      </c>
      <c r="Q30" s="89"/>
      <c r="R30" s="89"/>
      <c r="S30" s="81">
        <f aca="true" t="shared" si="27" ref="S30:S41">E30+G30+I30+K30+M30+O30+Q30</f>
        <v>26519.719999999998</v>
      </c>
      <c r="T30" s="126">
        <f aca="true" t="shared" si="28" ref="T30:T41">P30+N30+L30+J30+H30+F30+R30</f>
        <v>7489.31</v>
      </c>
      <c r="U30" s="81">
        <v>2604.53</v>
      </c>
      <c r="V30" s="81">
        <v>3525.79</v>
      </c>
      <c r="W30" s="81">
        <v>8474.05</v>
      </c>
      <c r="X30" s="81">
        <v>5869.82</v>
      </c>
      <c r="Y30" s="81">
        <v>2083.67</v>
      </c>
      <c r="Z30" s="81">
        <v>0</v>
      </c>
      <c r="AA30" s="89">
        <v>0</v>
      </c>
      <c r="AB30" s="89">
        <f>SUM(U30:AA30)</f>
        <v>22557.86</v>
      </c>
      <c r="AC30" s="140">
        <f aca="true" t="shared" si="29" ref="AC30:AC41">D30+T30+AB30</f>
        <v>33569.106</v>
      </c>
      <c r="AD30" s="129">
        <f aca="true" t="shared" si="30" ref="AD30:AD41">P30+Z30</f>
        <v>0</v>
      </c>
      <c r="AE30" s="129">
        <f aca="true" t="shared" si="31" ref="AE30:AE41">R30+AA30</f>
        <v>0</v>
      </c>
      <c r="AF30" s="129"/>
      <c r="AG30" s="24">
        <f aca="true" t="shared" si="32" ref="AG30:AG41">0.6*B30</f>
        <v>2603.304</v>
      </c>
      <c r="AH30" s="24">
        <f aca="true" t="shared" si="33" ref="AH30:AH41">B30*0.2</f>
        <v>867.768</v>
      </c>
      <c r="AI30" s="24">
        <f aca="true" t="shared" si="34" ref="AI30:AI41">1*B30</f>
        <v>4338.84</v>
      </c>
      <c r="AJ30" s="24">
        <v>0</v>
      </c>
      <c r="AK30" s="24">
        <f aca="true" t="shared" si="35" ref="AK30:AK41">0.98*B30</f>
        <v>4252.0632000000005</v>
      </c>
      <c r="AL30" s="24">
        <v>0</v>
      </c>
      <c r="AM30" s="24">
        <f aca="true" t="shared" si="36" ref="AM30:AM41">2.25*B30</f>
        <v>9762.39</v>
      </c>
      <c r="AN30" s="24">
        <v>0</v>
      </c>
      <c r="AO30" s="24"/>
      <c r="AP30" s="24">
        <v>0</v>
      </c>
      <c r="AQ30" s="130"/>
      <c r="AR30" s="130"/>
      <c r="AS30" s="86">
        <v>10675</v>
      </c>
      <c r="AT30" s="86"/>
      <c r="AU30" s="86">
        <f aca="true" t="shared" si="37" ref="AU30:AU35">AT30*0.18</f>
        <v>0</v>
      </c>
      <c r="AV30" s="131"/>
      <c r="AW30" s="189">
        <v>82</v>
      </c>
      <c r="AX30" s="24">
        <f aca="true" t="shared" si="38" ref="AX30:AX41">AW30*1.4</f>
        <v>114.8</v>
      </c>
      <c r="AY30" s="133"/>
      <c r="AZ30" s="173"/>
      <c r="BA30" s="134">
        <f aca="true" t="shared" si="39" ref="BA30:BA41">AZ30*0.18</f>
        <v>0</v>
      </c>
      <c r="BB30" s="134">
        <f aca="true" t="shared" si="40" ref="BB30:BB41">SUM(AG30:BA30)-AV30-AW30</f>
        <v>32614.1652</v>
      </c>
      <c r="BC30" s="135"/>
      <c r="BD30" s="157"/>
      <c r="BE30" s="136">
        <f>(AC30-BB30)+(AF30-BC30)</f>
        <v>954.9408000000003</v>
      </c>
      <c r="BF30" s="136">
        <f>AB30-S30</f>
        <v>-3961.859999999997</v>
      </c>
    </row>
    <row r="31" spans="1:58" ht="12.75">
      <c r="A31" s="13" t="s">
        <v>44</v>
      </c>
      <c r="B31" s="87">
        <v>4338.84</v>
      </c>
      <c r="C31" s="172">
        <f t="shared" si="25"/>
        <v>37530.966</v>
      </c>
      <c r="D31" s="168">
        <f t="shared" si="26"/>
        <v>3573.4959999999965</v>
      </c>
      <c r="E31" s="88">
        <v>3079.74</v>
      </c>
      <c r="F31" s="81">
        <v>839.9</v>
      </c>
      <c r="G31" s="81">
        <v>4170.62</v>
      </c>
      <c r="H31" s="81">
        <v>1138.42</v>
      </c>
      <c r="I31" s="81">
        <v>10022.19</v>
      </c>
      <c r="J31" s="81">
        <v>2734.19</v>
      </c>
      <c r="K31" s="81">
        <v>6942.39</v>
      </c>
      <c r="L31" s="81">
        <v>1894.33</v>
      </c>
      <c r="M31" s="78">
        <v>2463.82</v>
      </c>
      <c r="N31" s="82">
        <v>671.87</v>
      </c>
      <c r="O31" s="89">
        <v>0</v>
      </c>
      <c r="P31" s="89">
        <v>0</v>
      </c>
      <c r="Q31" s="81">
        <v>0</v>
      </c>
      <c r="R31" s="89">
        <v>0</v>
      </c>
      <c r="S31" s="81">
        <f t="shared" si="27"/>
        <v>26678.76</v>
      </c>
      <c r="T31" s="126">
        <f t="shared" si="28"/>
        <v>7278.709999999999</v>
      </c>
      <c r="U31" s="81">
        <v>2530.69</v>
      </c>
      <c r="V31" s="81">
        <v>3426.88</v>
      </c>
      <c r="W31" s="81">
        <v>8235.32</v>
      </c>
      <c r="X31" s="81">
        <v>18223.66</v>
      </c>
      <c r="Y31" s="81">
        <v>2024.62</v>
      </c>
      <c r="Z31" s="81">
        <v>0</v>
      </c>
      <c r="AA31" s="89">
        <v>0</v>
      </c>
      <c r="AB31" s="89">
        <f>SUM(U31:AA31)</f>
        <v>34441.17</v>
      </c>
      <c r="AC31" s="140">
        <f t="shared" si="29"/>
        <v>45293.37599999999</v>
      </c>
      <c r="AD31" s="129">
        <f t="shared" si="30"/>
        <v>0</v>
      </c>
      <c r="AE31" s="129">
        <f t="shared" si="31"/>
        <v>0</v>
      </c>
      <c r="AF31" s="129"/>
      <c r="AG31" s="24">
        <f t="shared" si="32"/>
        <v>2603.304</v>
      </c>
      <c r="AH31" s="24">
        <f t="shared" si="33"/>
        <v>867.768</v>
      </c>
      <c r="AI31" s="24">
        <f t="shared" si="34"/>
        <v>4338.84</v>
      </c>
      <c r="AJ31" s="24">
        <v>0</v>
      </c>
      <c r="AK31" s="24">
        <f t="shared" si="35"/>
        <v>4252.0632000000005</v>
      </c>
      <c r="AL31" s="24">
        <v>0</v>
      </c>
      <c r="AM31" s="24">
        <f t="shared" si="36"/>
        <v>9762.39</v>
      </c>
      <c r="AN31" s="24">
        <v>0</v>
      </c>
      <c r="AO31" s="24">
        <f>888*5.4</f>
        <v>4795.200000000001</v>
      </c>
      <c r="AP31" s="24"/>
      <c r="AQ31" s="130"/>
      <c r="AR31" s="130"/>
      <c r="AS31" s="86">
        <v>542</v>
      </c>
      <c r="AT31" s="86"/>
      <c r="AU31" s="86">
        <f t="shared" si="37"/>
        <v>0</v>
      </c>
      <c r="AV31" s="131"/>
      <c r="AW31" s="189">
        <v>136</v>
      </c>
      <c r="AX31" s="24">
        <f t="shared" si="38"/>
        <v>190.39999999999998</v>
      </c>
      <c r="AY31" s="133"/>
      <c r="AZ31" s="173"/>
      <c r="BA31" s="134">
        <f t="shared" si="39"/>
        <v>0</v>
      </c>
      <c r="BB31" s="134">
        <f t="shared" si="40"/>
        <v>27351.965200000002</v>
      </c>
      <c r="BC31" s="135"/>
      <c r="BD31" s="157"/>
      <c r="BE31" s="136">
        <f aca="true" t="shared" si="41" ref="BE31:BE41">(AC31-BB31)+(AF31-BC31)</f>
        <v>17941.410799999987</v>
      </c>
      <c r="BF31" s="136">
        <f aca="true" t="shared" si="42" ref="BF31:BF41">AB31-S31</f>
        <v>7762.41</v>
      </c>
    </row>
    <row r="32" spans="1:58" ht="13.5" thickBot="1">
      <c r="A32" s="159" t="s">
        <v>45</v>
      </c>
      <c r="B32" s="80">
        <v>4338.84</v>
      </c>
      <c r="C32" s="172">
        <f t="shared" si="25"/>
        <v>37530.966</v>
      </c>
      <c r="D32" s="168">
        <f t="shared" si="26"/>
        <v>3521.9460000000004</v>
      </c>
      <c r="E32" s="81">
        <v>3068.11</v>
      </c>
      <c r="F32" s="81">
        <v>857.48</v>
      </c>
      <c r="G32" s="81">
        <v>4154.85</v>
      </c>
      <c r="H32" s="81">
        <v>1162.25</v>
      </c>
      <c r="I32" s="81">
        <v>9984.31</v>
      </c>
      <c r="J32" s="81">
        <v>2791.43</v>
      </c>
      <c r="K32" s="81">
        <v>6916.14</v>
      </c>
      <c r="L32" s="81">
        <v>1933.99</v>
      </c>
      <c r="M32" s="78">
        <v>2454.52</v>
      </c>
      <c r="N32" s="82">
        <v>685.94</v>
      </c>
      <c r="O32" s="89">
        <v>0</v>
      </c>
      <c r="P32" s="89">
        <v>0</v>
      </c>
      <c r="Q32" s="89">
        <v>0</v>
      </c>
      <c r="R32" s="89">
        <v>0</v>
      </c>
      <c r="S32" s="81">
        <f t="shared" si="27"/>
        <v>26577.93</v>
      </c>
      <c r="T32" s="126">
        <f t="shared" si="28"/>
        <v>7431.09</v>
      </c>
      <c r="U32" s="81">
        <v>3333.41</v>
      </c>
      <c r="V32" s="81">
        <v>4513.55</v>
      </c>
      <c r="W32" s="81">
        <v>10847.03</v>
      </c>
      <c r="X32" s="81">
        <v>7513.62</v>
      </c>
      <c r="Y32" s="81">
        <v>2666.69</v>
      </c>
      <c r="Z32" s="81">
        <v>0</v>
      </c>
      <c r="AA32" s="89">
        <v>0</v>
      </c>
      <c r="AB32" s="89">
        <f>SUM(U32:AA32)</f>
        <v>28874.3</v>
      </c>
      <c r="AC32" s="140">
        <f t="shared" si="29"/>
        <v>39827.335999999996</v>
      </c>
      <c r="AD32" s="129">
        <f t="shared" si="30"/>
        <v>0</v>
      </c>
      <c r="AE32" s="129">
        <f t="shared" si="31"/>
        <v>0</v>
      </c>
      <c r="AF32" s="129"/>
      <c r="AG32" s="24">
        <f t="shared" si="32"/>
        <v>2603.304</v>
      </c>
      <c r="AH32" s="24">
        <f t="shared" si="33"/>
        <v>867.768</v>
      </c>
      <c r="AI32" s="24">
        <f t="shared" si="34"/>
        <v>4338.84</v>
      </c>
      <c r="AJ32" s="24">
        <v>0</v>
      </c>
      <c r="AK32" s="24">
        <f t="shared" si="35"/>
        <v>4252.0632000000005</v>
      </c>
      <c r="AL32" s="24">
        <v>0</v>
      </c>
      <c r="AM32" s="24">
        <f t="shared" si="36"/>
        <v>9762.39</v>
      </c>
      <c r="AN32" s="24">
        <v>0</v>
      </c>
      <c r="AO32" s="24"/>
      <c r="AP32" s="24"/>
      <c r="AQ32" s="130"/>
      <c r="AR32" s="130"/>
      <c r="AS32" s="86">
        <v>3707</v>
      </c>
      <c r="AT32" s="86"/>
      <c r="AU32" s="86">
        <f t="shared" si="37"/>
        <v>0</v>
      </c>
      <c r="AV32" s="131"/>
      <c r="AW32" s="189">
        <v>3</v>
      </c>
      <c r="AX32" s="24">
        <f t="shared" si="38"/>
        <v>4.199999999999999</v>
      </c>
      <c r="AY32" s="133"/>
      <c r="AZ32" s="173"/>
      <c r="BA32" s="134">
        <f t="shared" si="39"/>
        <v>0</v>
      </c>
      <c r="BB32" s="134">
        <f t="shared" si="40"/>
        <v>25535.5652</v>
      </c>
      <c r="BC32" s="135"/>
      <c r="BD32" s="163"/>
      <c r="BE32" s="136">
        <f t="shared" si="41"/>
        <v>14291.770799999995</v>
      </c>
      <c r="BF32" s="136">
        <f t="shared" si="42"/>
        <v>2296.369999999999</v>
      </c>
    </row>
    <row r="33" spans="1:58" ht="12.75">
      <c r="A33" s="165" t="s">
        <v>46</v>
      </c>
      <c r="B33" s="80">
        <v>4338.84</v>
      </c>
      <c r="C33" s="172">
        <f t="shared" si="25"/>
        <v>37530.966</v>
      </c>
      <c r="D33" s="168">
        <f t="shared" si="26"/>
        <v>3521.9460000000004</v>
      </c>
      <c r="E33" s="81">
        <v>3068.11</v>
      </c>
      <c r="F33" s="81">
        <v>857.48</v>
      </c>
      <c r="G33" s="81">
        <v>4154.85</v>
      </c>
      <c r="H33" s="81">
        <v>1162.25</v>
      </c>
      <c r="I33" s="81">
        <v>9984.31</v>
      </c>
      <c r="J33" s="81">
        <v>2791.43</v>
      </c>
      <c r="K33" s="81">
        <v>6916.14</v>
      </c>
      <c r="L33" s="81">
        <v>1933.99</v>
      </c>
      <c r="M33" s="78">
        <v>2454.52</v>
      </c>
      <c r="N33" s="82">
        <v>685.94</v>
      </c>
      <c r="O33" s="89">
        <v>0</v>
      </c>
      <c r="P33" s="89">
        <v>0</v>
      </c>
      <c r="Q33" s="89"/>
      <c r="R33" s="89"/>
      <c r="S33" s="81">
        <f t="shared" si="27"/>
        <v>26577.93</v>
      </c>
      <c r="T33" s="126">
        <f t="shared" si="28"/>
        <v>7431.09</v>
      </c>
      <c r="U33" s="81">
        <v>2804.65</v>
      </c>
      <c r="V33" s="81">
        <v>3786.26</v>
      </c>
      <c r="W33" s="81">
        <v>9111.85</v>
      </c>
      <c r="X33" s="81">
        <v>6310.54</v>
      </c>
      <c r="Y33" s="81">
        <v>2243.7</v>
      </c>
      <c r="Z33" s="81">
        <v>0</v>
      </c>
      <c r="AA33" s="89">
        <v>0</v>
      </c>
      <c r="AB33" s="89">
        <f>SUM(U33:AA33)</f>
        <v>24257</v>
      </c>
      <c r="AC33" s="140">
        <f t="shared" si="29"/>
        <v>35210.036</v>
      </c>
      <c r="AD33" s="129">
        <f t="shared" si="30"/>
        <v>0</v>
      </c>
      <c r="AE33" s="129">
        <f t="shared" si="31"/>
        <v>0</v>
      </c>
      <c r="AF33" s="129"/>
      <c r="AG33" s="24">
        <f t="shared" si="32"/>
        <v>2603.304</v>
      </c>
      <c r="AH33" s="24">
        <f t="shared" si="33"/>
        <v>867.768</v>
      </c>
      <c r="AI33" s="24">
        <f t="shared" si="34"/>
        <v>4338.84</v>
      </c>
      <c r="AJ33" s="24">
        <v>0</v>
      </c>
      <c r="AK33" s="24">
        <f t="shared" si="35"/>
        <v>4252.0632000000005</v>
      </c>
      <c r="AL33" s="24">
        <v>0</v>
      </c>
      <c r="AM33" s="24">
        <f t="shared" si="36"/>
        <v>9762.39</v>
      </c>
      <c r="AN33" s="24">
        <v>0</v>
      </c>
      <c r="AO33" s="24"/>
      <c r="AP33" s="24"/>
      <c r="AQ33" s="130">
        <f>9000</f>
        <v>9000</v>
      </c>
      <c r="AR33" s="130"/>
      <c r="AS33" s="86">
        <v>1998</v>
      </c>
      <c r="AT33" s="86">
        <f>6600+183+198+82+384+32+50+940+384+1176+1068+1092+680+72+119+35+122+6600+1650</f>
        <v>21467</v>
      </c>
      <c r="AU33" s="86">
        <f t="shared" si="37"/>
        <v>3864.06</v>
      </c>
      <c r="AV33" s="131"/>
      <c r="AW33" s="189">
        <v>-5276</v>
      </c>
      <c r="AX33" s="24">
        <f t="shared" si="38"/>
        <v>-7386.4</v>
      </c>
      <c r="AY33" s="133"/>
      <c r="AZ33" s="173"/>
      <c r="BA33" s="134">
        <f t="shared" si="39"/>
        <v>0</v>
      </c>
      <c r="BB33" s="134">
        <f t="shared" si="40"/>
        <v>50767.0252</v>
      </c>
      <c r="BC33" s="135"/>
      <c r="BD33" s="79"/>
      <c r="BE33" s="136">
        <f t="shared" si="41"/>
        <v>-15556.989199999996</v>
      </c>
      <c r="BF33" s="136">
        <f t="shared" si="42"/>
        <v>-2320.9300000000003</v>
      </c>
    </row>
    <row r="34" spans="1:58" ht="12.75">
      <c r="A34" s="13" t="s">
        <v>47</v>
      </c>
      <c r="B34" s="80">
        <v>4340.74</v>
      </c>
      <c r="C34" s="172">
        <f t="shared" si="25"/>
        <v>37547.401</v>
      </c>
      <c r="D34" s="168">
        <f t="shared" si="26"/>
        <v>3522.540999999996</v>
      </c>
      <c r="E34" s="81">
        <v>3069.95</v>
      </c>
      <c r="F34" s="81">
        <v>857.48</v>
      </c>
      <c r="G34" s="81">
        <v>4157.32</v>
      </c>
      <c r="H34" s="81">
        <v>1162.25</v>
      </c>
      <c r="I34" s="81">
        <v>9990.29</v>
      </c>
      <c r="J34" s="81">
        <v>2791.43</v>
      </c>
      <c r="K34" s="81">
        <v>6920.2</v>
      </c>
      <c r="L34" s="81">
        <v>1933.99</v>
      </c>
      <c r="M34" s="78">
        <v>2456.01</v>
      </c>
      <c r="N34" s="82">
        <v>685.94</v>
      </c>
      <c r="O34" s="89">
        <v>0</v>
      </c>
      <c r="P34" s="89">
        <v>0</v>
      </c>
      <c r="Q34" s="89"/>
      <c r="R34" s="89"/>
      <c r="S34" s="81">
        <f t="shared" si="27"/>
        <v>26593.770000000004</v>
      </c>
      <c r="T34" s="126">
        <f t="shared" si="28"/>
        <v>7431.09</v>
      </c>
      <c r="U34" s="181">
        <v>3522.51</v>
      </c>
      <c r="V34" s="181">
        <v>4771.09</v>
      </c>
      <c r="W34" s="181">
        <v>11463.21</v>
      </c>
      <c r="X34" s="181">
        <v>-4577.85</v>
      </c>
      <c r="Y34" s="181">
        <v>2818.01</v>
      </c>
      <c r="Z34" s="181">
        <v>0</v>
      </c>
      <c r="AA34" s="182">
        <v>0</v>
      </c>
      <c r="AB34" s="89">
        <f aca="true" t="shared" si="43" ref="AB34:AB41">SUM(U34:AA34)</f>
        <v>17996.969999999998</v>
      </c>
      <c r="AC34" s="140">
        <f t="shared" si="29"/>
        <v>28950.600999999995</v>
      </c>
      <c r="AD34" s="129">
        <f t="shared" si="30"/>
        <v>0</v>
      </c>
      <c r="AE34" s="129">
        <f t="shared" si="31"/>
        <v>0</v>
      </c>
      <c r="AF34" s="129"/>
      <c r="AG34" s="24">
        <f t="shared" si="32"/>
        <v>2604.444</v>
      </c>
      <c r="AH34" s="24">
        <f t="shared" si="33"/>
        <v>868.148</v>
      </c>
      <c r="AI34" s="24">
        <f t="shared" si="34"/>
        <v>4340.74</v>
      </c>
      <c r="AJ34" s="24">
        <v>0</v>
      </c>
      <c r="AK34" s="24">
        <f t="shared" si="35"/>
        <v>4253.9252</v>
      </c>
      <c r="AL34" s="24">
        <v>0</v>
      </c>
      <c r="AM34" s="24">
        <f t="shared" si="36"/>
        <v>9766.664999999999</v>
      </c>
      <c r="AN34" s="24">
        <v>0</v>
      </c>
      <c r="AO34" s="24"/>
      <c r="AP34" s="24"/>
      <c r="AQ34" s="130"/>
      <c r="AR34" s="130"/>
      <c r="AS34" s="86">
        <v>13259</v>
      </c>
      <c r="AT34" s="86"/>
      <c r="AU34" s="86">
        <f t="shared" si="37"/>
        <v>0</v>
      </c>
      <c r="AV34" s="131"/>
      <c r="AW34" s="189">
        <v>5694</v>
      </c>
      <c r="AX34" s="24">
        <f t="shared" si="38"/>
        <v>7971.599999999999</v>
      </c>
      <c r="AY34" s="133"/>
      <c r="AZ34" s="173"/>
      <c r="BA34" s="134">
        <f t="shared" si="39"/>
        <v>0</v>
      </c>
      <c r="BB34" s="134">
        <f t="shared" si="40"/>
        <v>43064.5222</v>
      </c>
      <c r="BC34" s="135"/>
      <c r="BD34" s="17"/>
      <c r="BE34" s="136">
        <f t="shared" si="41"/>
        <v>-14113.921200000004</v>
      </c>
      <c r="BF34" s="136">
        <f t="shared" si="42"/>
        <v>-8596.800000000007</v>
      </c>
    </row>
    <row r="35" spans="1:58" ht="13.5" thickBot="1">
      <c r="A35" s="159" t="s">
        <v>48</v>
      </c>
      <c r="B35" s="80">
        <v>4340.74</v>
      </c>
      <c r="C35" s="172">
        <f t="shared" si="25"/>
        <v>37547.401</v>
      </c>
      <c r="D35" s="168">
        <f t="shared" si="26"/>
        <v>3518.8609999999962</v>
      </c>
      <c r="E35" s="81">
        <v>3082.53</v>
      </c>
      <c r="F35" s="81">
        <v>845.33</v>
      </c>
      <c r="G35" s="81">
        <v>4174.34</v>
      </c>
      <c r="H35" s="81">
        <v>1145.79</v>
      </c>
      <c r="I35" s="81">
        <v>10031.21</v>
      </c>
      <c r="J35" s="81">
        <v>2751.9</v>
      </c>
      <c r="K35" s="81">
        <v>6948.55</v>
      </c>
      <c r="L35" s="81">
        <v>1906.6</v>
      </c>
      <c r="M35" s="78">
        <v>2466.07</v>
      </c>
      <c r="N35" s="82">
        <v>676.22</v>
      </c>
      <c r="O35" s="89">
        <v>0</v>
      </c>
      <c r="P35" s="89">
        <v>0</v>
      </c>
      <c r="Q35" s="89">
        <v>0</v>
      </c>
      <c r="R35" s="89">
        <v>0</v>
      </c>
      <c r="S35" s="81">
        <f t="shared" si="27"/>
        <v>26702.7</v>
      </c>
      <c r="T35" s="126">
        <f t="shared" si="28"/>
        <v>7325.839999999999</v>
      </c>
      <c r="U35" s="81">
        <v>3216.57</v>
      </c>
      <c r="V35" s="81">
        <v>4366.58</v>
      </c>
      <c r="W35" s="81">
        <v>10491.96</v>
      </c>
      <c r="X35" s="81">
        <v>7268.66</v>
      </c>
      <c r="Y35" s="81">
        <v>2564.72</v>
      </c>
      <c r="Z35" s="81">
        <v>0</v>
      </c>
      <c r="AA35" s="89">
        <v>0</v>
      </c>
      <c r="AB35" s="89">
        <f t="shared" si="43"/>
        <v>27908.49</v>
      </c>
      <c r="AC35" s="140">
        <f t="shared" si="29"/>
        <v>38753.191</v>
      </c>
      <c r="AD35" s="129">
        <f t="shared" si="30"/>
        <v>0</v>
      </c>
      <c r="AE35" s="129">
        <f t="shared" si="31"/>
        <v>0</v>
      </c>
      <c r="AF35" s="129"/>
      <c r="AG35" s="24">
        <f t="shared" si="32"/>
        <v>2604.444</v>
      </c>
      <c r="AH35" s="24">
        <f t="shared" si="33"/>
        <v>868.148</v>
      </c>
      <c r="AI35" s="24">
        <f t="shared" si="34"/>
        <v>4340.74</v>
      </c>
      <c r="AJ35" s="24">
        <v>0</v>
      </c>
      <c r="AK35" s="24">
        <f t="shared" si="35"/>
        <v>4253.9252</v>
      </c>
      <c r="AL35" s="24">
        <v>0</v>
      </c>
      <c r="AM35" s="24">
        <f t="shared" si="36"/>
        <v>9766.664999999999</v>
      </c>
      <c r="AN35" s="24">
        <v>0</v>
      </c>
      <c r="AO35" s="24"/>
      <c r="AP35" s="24"/>
      <c r="AQ35" s="130"/>
      <c r="AR35" s="130"/>
      <c r="AS35" s="86">
        <v>1706</v>
      </c>
      <c r="AT35" s="86"/>
      <c r="AU35" s="86">
        <f t="shared" si="37"/>
        <v>0</v>
      </c>
      <c r="AV35" s="131"/>
      <c r="AW35" s="189">
        <v>392</v>
      </c>
      <c r="AX35" s="24">
        <f t="shared" si="38"/>
        <v>548.8</v>
      </c>
      <c r="AY35" s="133"/>
      <c r="AZ35" s="173"/>
      <c r="BA35" s="134">
        <f t="shared" si="39"/>
        <v>0</v>
      </c>
      <c r="BB35" s="134">
        <f t="shared" si="40"/>
        <v>24088.7222</v>
      </c>
      <c r="BC35" s="135"/>
      <c r="BD35" s="169"/>
      <c r="BE35" s="136">
        <f t="shared" si="41"/>
        <v>14664.468799999999</v>
      </c>
      <c r="BF35" s="136">
        <f t="shared" si="42"/>
        <v>1205.7900000000009</v>
      </c>
    </row>
    <row r="36" spans="1:58" ht="12.75">
      <c r="A36" s="165" t="s">
        <v>49</v>
      </c>
      <c r="B36" s="80">
        <v>4340.74</v>
      </c>
      <c r="C36" s="172">
        <f t="shared" si="25"/>
        <v>37547.401</v>
      </c>
      <c r="D36" s="168">
        <f t="shared" si="26"/>
        <v>3448.2810000000013</v>
      </c>
      <c r="E36" s="88">
        <v>3936.17</v>
      </c>
      <c r="F36" s="81">
        <v>0</v>
      </c>
      <c r="G36" s="81">
        <v>5330.94</v>
      </c>
      <c r="H36" s="81">
        <v>0</v>
      </c>
      <c r="I36" s="81">
        <v>12809.67</v>
      </c>
      <c r="J36" s="81">
        <v>0</v>
      </c>
      <c r="K36" s="81">
        <v>8873.4</v>
      </c>
      <c r="L36" s="81">
        <v>0</v>
      </c>
      <c r="M36" s="78">
        <v>3148.94</v>
      </c>
      <c r="N36" s="82">
        <v>0</v>
      </c>
      <c r="O36" s="89">
        <v>0</v>
      </c>
      <c r="P36" s="89">
        <v>0</v>
      </c>
      <c r="Q36" s="89"/>
      <c r="R36" s="89"/>
      <c r="S36" s="81">
        <f t="shared" si="27"/>
        <v>34099.12</v>
      </c>
      <c r="T36" s="126">
        <f t="shared" si="28"/>
        <v>0</v>
      </c>
      <c r="U36" s="88">
        <v>2831.2</v>
      </c>
      <c r="V36" s="81">
        <v>3834.6</v>
      </c>
      <c r="W36" s="81">
        <v>9213.99</v>
      </c>
      <c r="X36" s="81">
        <v>6382.73</v>
      </c>
      <c r="Y36" s="81">
        <v>2265.08</v>
      </c>
      <c r="Z36" s="81">
        <v>0</v>
      </c>
      <c r="AA36" s="89">
        <v>0</v>
      </c>
      <c r="AB36" s="89">
        <f t="shared" si="43"/>
        <v>24527.6</v>
      </c>
      <c r="AC36" s="140">
        <f t="shared" si="29"/>
        <v>27975.881</v>
      </c>
      <c r="AD36" s="129">
        <f t="shared" si="30"/>
        <v>0</v>
      </c>
      <c r="AE36" s="129">
        <f t="shared" si="31"/>
        <v>0</v>
      </c>
      <c r="AF36" s="129"/>
      <c r="AG36" s="24">
        <f t="shared" si="32"/>
        <v>2604.444</v>
      </c>
      <c r="AH36" s="24">
        <f t="shared" si="33"/>
        <v>868.148</v>
      </c>
      <c r="AI36" s="24">
        <f t="shared" si="34"/>
        <v>4340.74</v>
      </c>
      <c r="AJ36" s="24">
        <v>0</v>
      </c>
      <c r="AK36" s="24">
        <f t="shared" si="35"/>
        <v>4253.9252</v>
      </c>
      <c r="AL36" s="24">
        <v>0</v>
      </c>
      <c r="AM36" s="24">
        <f t="shared" si="36"/>
        <v>9766.664999999999</v>
      </c>
      <c r="AN36" s="24">
        <v>0</v>
      </c>
      <c r="AO36" s="24"/>
      <c r="AP36" s="24"/>
      <c r="AQ36" s="130"/>
      <c r="AR36" s="130"/>
      <c r="AS36" s="86"/>
      <c r="AT36" s="86">
        <f>6186.44+915.26</f>
        <v>7101.7</v>
      </c>
      <c r="AU36" s="86">
        <f>AT36*0.18-0.01</f>
        <v>1278.2959999999998</v>
      </c>
      <c r="AV36" s="131"/>
      <c r="AW36" s="189">
        <v>264</v>
      </c>
      <c r="AX36" s="24">
        <f t="shared" si="38"/>
        <v>369.59999999999997</v>
      </c>
      <c r="AY36" s="133"/>
      <c r="AZ36" s="173"/>
      <c r="BA36" s="134">
        <f t="shared" si="39"/>
        <v>0</v>
      </c>
      <c r="BB36" s="134">
        <f t="shared" si="40"/>
        <v>30583.5182</v>
      </c>
      <c r="BC36" s="135"/>
      <c r="BD36" s="17"/>
      <c r="BE36" s="136">
        <f t="shared" si="41"/>
        <v>-2607.6371999999974</v>
      </c>
      <c r="BF36" s="136">
        <f t="shared" si="42"/>
        <v>-9571.520000000004</v>
      </c>
    </row>
    <row r="37" spans="1:58" ht="12.75">
      <c r="A37" s="13" t="s">
        <v>50</v>
      </c>
      <c r="B37" s="80">
        <v>4340.74</v>
      </c>
      <c r="C37" s="172">
        <f t="shared" si="25"/>
        <v>37547.401</v>
      </c>
      <c r="D37" s="168">
        <f t="shared" si="26"/>
        <v>3395.881000000002</v>
      </c>
      <c r="E37" s="88">
        <v>3942.34</v>
      </c>
      <c r="F37" s="81">
        <v>0</v>
      </c>
      <c r="G37" s="81">
        <v>5338.96</v>
      </c>
      <c r="H37" s="81">
        <v>0</v>
      </c>
      <c r="I37" s="81">
        <v>12829.4</v>
      </c>
      <c r="J37" s="81">
        <v>0</v>
      </c>
      <c r="K37" s="81">
        <v>8886.95</v>
      </c>
      <c r="L37" s="81">
        <v>0</v>
      </c>
      <c r="M37" s="78">
        <v>3153.87</v>
      </c>
      <c r="N37" s="82">
        <v>0</v>
      </c>
      <c r="O37" s="89">
        <v>0</v>
      </c>
      <c r="P37" s="89">
        <v>0</v>
      </c>
      <c r="Q37" s="89"/>
      <c r="R37" s="89"/>
      <c r="S37" s="81">
        <f t="shared" si="27"/>
        <v>34151.52</v>
      </c>
      <c r="T37" s="126">
        <f t="shared" si="28"/>
        <v>0</v>
      </c>
      <c r="U37" s="181">
        <v>3910.24</v>
      </c>
      <c r="V37" s="181">
        <v>5298.72</v>
      </c>
      <c r="W37" s="181">
        <v>13219.19</v>
      </c>
      <c r="X37" s="181">
        <v>8820.16</v>
      </c>
      <c r="Y37" s="181">
        <v>3125.38</v>
      </c>
      <c r="Z37" s="181">
        <v>0</v>
      </c>
      <c r="AA37" s="182">
        <v>0</v>
      </c>
      <c r="AB37" s="89">
        <f t="shared" si="43"/>
        <v>34373.69</v>
      </c>
      <c r="AC37" s="140">
        <f t="shared" si="29"/>
        <v>37769.571</v>
      </c>
      <c r="AD37" s="129">
        <f t="shared" si="30"/>
        <v>0</v>
      </c>
      <c r="AE37" s="129">
        <f t="shared" si="31"/>
        <v>0</v>
      </c>
      <c r="AF37" s="129"/>
      <c r="AG37" s="24">
        <f t="shared" si="32"/>
        <v>2604.444</v>
      </c>
      <c r="AH37" s="24">
        <f t="shared" si="33"/>
        <v>868.148</v>
      </c>
      <c r="AI37" s="24">
        <f t="shared" si="34"/>
        <v>4340.74</v>
      </c>
      <c r="AJ37" s="24">
        <v>0</v>
      </c>
      <c r="AK37" s="24">
        <f t="shared" si="35"/>
        <v>4253.9252</v>
      </c>
      <c r="AL37" s="24">
        <v>0</v>
      </c>
      <c r="AM37" s="24">
        <f t="shared" si="36"/>
        <v>9766.664999999999</v>
      </c>
      <c r="AN37" s="24">
        <v>0</v>
      </c>
      <c r="AO37" s="24"/>
      <c r="AP37" s="24"/>
      <c r="AQ37" s="130"/>
      <c r="AR37" s="130"/>
      <c r="AS37" s="86"/>
      <c r="AT37" s="86">
        <f>47.8</f>
        <v>47.8</v>
      </c>
      <c r="AU37" s="86">
        <f>AT37*0.18</f>
        <v>8.604</v>
      </c>
      <c r="AV37" s="131"/>
      <c r="AW37" s="189">
        <v>157</v>
      </c>
      <c r="AX37" s="24">
        <f t="shared" si="38"/>
        <v>219.79999999999998</v>
      </c>
      <c r="AY37" s="133"/>
      <c r="AZ37" s="173"/>
      <c r="BA37" s="134">
        <f t="shared" si="39"/>
        <v>0</v>
      </c>
      <c r="BB37" s="134">
        <f t="shared" si="40"/>
        <v>22110.1262</v>
      </c>
      <c r="BC37" s="135"/>
      <c r="BD37" s="17"/>
      <c r="BE37" s="136">
        <f t="shared" si="41"/>
        <v>15659.444800000005</v>
      </c>
      <c r="BF37" s="136">
        <f t="shared" si="42"/>
        <v>222.17000000000553</v>
      </c>
    </row>
    <row r="38" spans="1:58" ht="13.5" thickBot="1">
      <c r="A38" s="159" t="s">
        <v>51</v>
      </c>
      <c r="B38" s="80">
        <v>4340.74</v>
      </c>
      <c r="C38" s="172">
        <f t="shared" si="25"/>
        <v>37547.401</v>
      </c>
      <c r="D38" s="168">
        <f t="shared" si="26"/>
        <v>3312.970999999996</v>
      </c>
      <c r="E38" s="81">
        <v>3952.08</v>
      </c>
      <c r="F38" s="81">
        <v>0</v>
      </c>
      <c r="G38" s="81">
        <v>5351.64</v>
      </c>
      <c r="H38" s="81">
        <v>0</v>
      </c>
      <c r="I38" s="81">
        <v>12860.61</v>
      </c>
      <c r="J38" s="81">
        <v>0</v>
      </c>
      <c r="K38" s="81">
        <v>8908.44</v>
      </c>
      <c r="L38" s="81">
        <v>0</v>
      </c>
      <c r="M38" s="78">
        <v>3161.66</v>
      </c>
      <c r="N38" s="82">
        <v>0</v>
      </c>
      <c r="O38" s="89">
        <v>0</v>
      </c>
      <c r="P38" s="89">
        <v>0</v>
      </c>
      <c r="Q38" s="89"/>
      <c r="R38" s="89"/>
      <c r="S38" s="81">
        <f t="shared" si="27"/>
        <v>34234.43000000001</v>
      </c>
      <c r="T38" s="126">
        <f t="shared" si="28"/>
        <v>0</v>
      </c>
      <c r="U38" s="81">
        <v>3864.77</v>
      </c>
      <c r="V38" s="81">
        <v>5237.49</v>
      </c>
      <c r="W38" s="81">
        <v>12057.03</v>
      </c>
      <c r="X38" s="81">
        <v>8473.02</v>
      </c>
      <c r="Y38" s="81">
        <v>3000.78</v>
      </c>
      <c r="Z38" s="81">
        <v>0</v>
      </c>
      <c r="AA38" s="89">
        <v>0</v>
      </c>
      <c r="AB38" s="89">
        <f t="shared" si="43"/>
        <v>32633.09</v>
      </c>
      <c r="AC38" s="140">
        <f t="shared" si="29"/>
        <v>35946.060999999994</v>
      </c>
      <c r="AD38" s="129">
        <f t="shared" si="30"/>
        <v>0</v>
      </c>
      <c r="AE38" s="129">
        <f t="shared" si="31"/>
        <v>0</v>
      </c>
      <c r="AF38" s="129"/>
      <c r="AG38" s="24">
        <f t="shared" si="32"/>
        <v>2604.444</v>
      </c>
      <c r="AH38" s="24">
        <f t="shared" si="33"/>
        <v>868.148</v>
      </c>
      <c r="AI38" s="24">
        <f t="shared" si="34"/>
        <v>4340.74</v>
      </c>
      <c r="AJ38" s="24">
        <v>0</v>
      </c>
      <c r="AK38" s="24">
        <f t="shared" si="35"/>
        <v>4253.9252</v>
      </c>
      <c r="AL38" s="24">
        <v>0</v>
      </c>
      <c r="AM38" s="24">
        <f t="shared" si="36"/>
        <v>9766.664999999999</v>
      </c>
      <c r="AN38" s="24">
        <v>0</v>
      </c>
      <c r="AO38" s="24"/>
      <c r="AP38" s="24"/>
      <c r="AQ38" s="130"/>
      <c r="AR38" s="130"/>
      <c r="AS38" s="86">
        <v>12274</v>
      </c>
      <c r="AT38" s="86"/>
      <c r="AU38" s="183">
        <f>AT38*0.18</f>
        <v>0</v>
      </c>
      <c r="AV38" s="131"/>
      <c r="AW38" s="189">
        <v>170</v>
      </c>
      <c r="AX38" s="24">
        <f t="shared" si="38"/>
        <v>237.99999999999997</v>
      </c>
      <c r="AY38" s="133"/>
      <c r="AZ38" s="173"/>
      <c r="BA38" s="134">
        <f t="shared" si="39"/>
        <v>0</v>
      </c>
      <c r="BB38" s="134">
        <f t="shared" si="40"/>
        <v>34345.9222</v>
      </c>
      <c r="BC38" s="135"/>
      <c r="BD38" s="169"/>
      <c r="BE38" s="136">
        <f t="shared" si="41"/>
        <v>1600.1387999999934</v>
      </c>
      <c r="BF38" s="136">
        <f t="shared" si="42"/>
        <v>-1601.3400000000074</v>
      </c>
    </row>
    <row r="39" spans="1:58" ht="12.75">
      <c r="A39" s="171" t="s">
        <v>39</v>
      </c>
      <c r="B39" s="80">
        <v>4340.74</v>
      </c>
      <c r="C39" s="172">
        <f t="shared" si="25"/>
        <v>37547.401</v>
      </c>
      <c r="D39" s="168">
        <f t="shared" si="26"/>
        <v>3384.8810000000008</v>
      </c>
      <c r="E39" s="83">
        <v>3943.63</v>
      </c>
      <c r="F39" s="83">
        <v>0</v>
      </c>
      <c r="G39" s="83">
        <v>5340.64</v>
      </c>
      <c r="H39" s="83">
        <v>0</v>
      </c>
      <c r="I39" s="83">
        <v>12833.54</v>
      </c>
      <c r="J39" s="83">
        <v>0</v>
      </c>
      <c r="K39" s="83">
        <v>8889.81</v>
      </c>
      <c r="L39" s="83">
        <v>0</v>
      </c>
      <c r="M39" s="84">
        <v>3154.9</v>
      </c>
      <c r="N39" s="85">
        <v>0</v>
      </c>
      <c r="O39" s="161">
        <v>0</v>
      </c>
      <c r="P39" s="161">
        <v>0</v>
      </c>
      <c r="Q39" s="161"/>
      <c r="R39" s="161"/>
      <c r="S39" s="81">
        <f t="shared" si="27"/>
        <v>34162.520000000004</v>
      </c>
      <c r="T39" s="126">
        <f t="shared" si="28"/>
        <v>0</v>
      </c>
      <c r="U39" s="81">
        <v>3363.56</v>
      </c>
      <c r="V39" s="81">
        <v>4556.06</v>
      </c>
      <c r="W39" s="81">
        <v>10946.82</v>
      </c>
      <c r="X39" s="81">
        <v>7583.23</v>
      </c>
      <c r="Y39" s="81">
        <v>2690.86</v>
      </c>
      <c r="Z39" s="81">
        <v>0</v>
      </c>
      <c r="AA39" s="89">
        <v>0</v>
      </c>
      <c r="AB39" s="89">
        <f t="shared" si="43"/>
        <v>29140.530000000002</v>
      </c>
      <c r="AC39" s="140">
        <f t="shared" si="29"/>
        <v>32525.411000000004</v>
      </c>
      <c r="AD39" s="129">
        <f t="shared" si="30"/>
        <v>0</v>
      </c>
      <c r="AE39" s="129">
        <f t="shared" si="31"/>
        <v>0</v>
      </c>
      <c r="AF39" s="129">
        <f>100</f>
        <v>100</v>
      </c>
      <c r="AG39" s="24">
        <f t="shared" si="32"/>
        <v>2604.444</v>
      </c>
      <c r="AH39" s="24">
        <f t="shared" si="33"/>
        <v>868.148</v>
      </c>
      <c r="AI39" s="24">
        <f t="shared" si="34"/>
        <v>4340.74</v>
      </c>
      <c r="AJ39" s="24">
        <v>0</v>
      </c>
      <c r="AK39" s="24">
        <f t="shared" si="35"/>
        <v>4253.9252</v>
      </c>
      <c r="AL39" s="24">
        <v>0</v>
      </c>
      <c r="AM39" s="24">
        <f t="shared" si="36"/>
        <v>9766.664999999999</v>
      </c>
      <c r="AN39" s="24">
        <v>0</v>
      </c>
      <c r="AO39" s="24"/>
      <c r="AP39" s="24"/>
      <c r="AQ39" s="130"/>
      <c r="AR39" s="130"/>
      <c r="AS39" s="86">
        <v>1378</v>
      </c>
      <c r="AT39" s="86"/>
      <c r="AU39" s="86">
        <f>AT39*0.18</f>
        <v>0</v>
      </c>
      <c r="AV39" s="131"/>
      <c r="AW39" s="189">
        <v>120</v>
      </c>
      <c r="AX39" s="24">
        <f t="shared" si="38"/>
        <v>168</v>
      </c>
      <c r="AY39" s="133"/>
      <c r="AZ39" s="173"/>
      <c r="BA39" s="134">
        <f t="shared" si="39"/>
        <v>0</v>
      </c>
      <c r="BB39" s="134">
        <f t="shared" si="40"/>
        <v>23379.9222</v>
      </c>
      <c r="BC39" s="135">
        <f>25</f>
        <v>25</v>
      </c>
      <c r="BD39" s="174"/>
      <c r="BE39" s="136">
        <f t="shared" si="41"/>
        <v>9220.488800000003</v>
      </c>
      <c r="BF39" s="136">
        <f t="shared" si="42"/>
        <v>-5021.990000000002</v>
      </c>
    </row>
    <row r="40" spans="1:58" ht="12.75">
      <c r="A40" s="13" t="s">
        <v>40</v>
      </c>
      <c r="B40" s="80">
        <v>4340.74</v>
      </c>
      <c r="C40" s="172">
        <f t="shared" si="25"/>
        <v>37547.401</v>
      </c>
      <c r="D40" s="168">
        <f t="shared" si="26"/>
        <v>3351.121000000001</v>
      </c>
      <c r="E40" s="81">
        <v>3947.6</v>
      </c>
      <c r="F40" s="81">
        <v>0</v>
      </c>
      <c r="G40" s="81">
        <v>5345.8</v>
      </c>
      <c r="H40" s="81">
        <v>0</v>
      </c>
      <c r="I40" s="81">
        <v>12846.25</v>
      </c>
      <c r="J40" s="81">
        <v>0</v>
      </c>
      <c r="K40" s="81">
        <v>8898.55</v>
      </c>
      <c r="L40" s="81">
        <v>0</v>
      </c>
      <c r="M40" s="78">
        <v>3158.08</v>
      </c>
      <c r="N40" s="82">
        <v>0</v>
      </c>
      <c r="O40" s="89">
        <v>0</v>
      </c>
      <c r="P40" s="89">
        <v>0</v>
      </c>
      <c r="Q40" s="89"/>
      <c r="R40" s="89"/>
      <c r="S40" s="81">
        <f t="shared" si="27"/>
        <v>34196.28</v>
      </c>
      <c r="T40" s="126">
        <f t="shared" si="28"/>
        <v>0</v>
      </c>
      <c r="U40" s="88">
        <v>3540.01</v>
      </c>
      <c r="V40" s="81">
        <v>4794.55</v>
      </c>
      <c r="W40" s="81">
        <v>11719.08</v>
      </c>
      <c r="X40" s="81">
        <v>8193</v>
      </c>
      <c r="Y40" s="81">
        <v>2907.43</v>
      </c>
      <c r="Z40" s="81">
        <v>0</v>
      </c>
      <c r="AA40" s="89">
        <v>0</v>
      </c>
      <c r="AB40" s="89">
        <f t="shared" si="43"/>
        <v>31154.07</v>
      </c>
      <c r="AC40" s="140">
        <f t="shared" si="29"/>
        <v>34505.191</v>
      </c>
      <c r="AD40" s="129">
        <f t="shared" si="30"/>
        <v>0</v>
      </c>
      <c r="AE40" s="129">
        <f t="shared" si="31"/>
        <v>0</v>
      </c>
      <c r="AF40" s="129">
        <f>100</f>
        <v>100</v>
      </c>
      <c r="AG40" s="24">
        <f t="shared" si="32"/>
        <v>2604.444</v>
      </c>
      <c r="AH40" s="24">
        <f t="shared" si="33"/>
        <v>868.148</v>
      </c>
      <c r="AI40" s="24">
        <f t="shared" si="34"/>
        <v>4340.74</v>
      </c>
      <c r="AJ40" s="24">
        <v>0</v>
      </c>
      <c r="AK40" s="24">
        <f t="shared" si="35"/>
        <v>4253.9252</v>
      </c>
      <c r="AL40" s="24">
        <v>0</v>
      </c>
      <c r="AM40" s="24">
        <f t="shared" si="36"/>
        <v>9766.664999999999</v>
      </c>
      <c r="AN40" s="24">
        <v>0</v>
      </c>
      <c r="AO40" s="24"/>
      <c r="AP40" s="24"/>
      <c r="AQ40" s="130"/>
      <c r="AR40" s="130"/>
      <c r="AS40" s="86">
        <v>303</v>
      </c>
      <c r="AT40" s="86">
        <f>12000+1563</f>
        <v>13563</v>
      </c>
      <c r="AU40" s="86">
        <f>0*0.18</f>
        <v>0</v>
      </c>
      <c r="AV40" s="131"/>
      <c r="AW40" s="189">
        <v>200</v>
      </c>
      <c r="AX40" s="24">
        <f t="shared" si="38"/>
        <v>280</v>
      </c>
      <c r="AY40" s="133"/>
      <c r="AZ40" s="173"/>
      <c r="BA40" s="134">
        <f t="shared" si="39"/>
        <v>0</v>
      </c>
      <c r="BB40" s="134">
        <f t="shared" si="40"/>
        <v>35979.9222</v>
      </c>
      <c r="BC40" s="135">
        <f>25</f>
        <v>25</v>
      </c>
      <c r="BD40" s="61"/>
      <c r="BE40" s="136">
        <f t="shared" si="41"/>
        <v>-1399.731200000002</v>
      </c>
      <c r="BF40" s="136">
        <f t="shared" si="42"/>
        <v>-3042.209999999999</v>
      </c>
    </row>
    <row r="41" spans="1:58" s="138" customFormat="1" ht="12.75">
      <c r="A41" s="123" t="s">
        <v>41</v>
      </c>
      <c r="B41" s="80">
        <v>4340.74</v>
      </c>
      <c r="C41" s="172">
        <f t="shared" si="25"/>
        <v>37547.401</v>
      </c>
      <c r="D41" s="168">
        <f t="shared" si="26"/>
        <v>3364.821000000001</v>
      </c>
      <c r="E41" s="81">
        <v>3945.99</v>
      </c>
      <c r="F41" s="81">
        <v>0</v>
      </c>
      <c r="G41" s="81">
        <v>5343.71</v>
      </c>
      <c r="H41" s="81">
        <v>0</v>
      </c>
      <c r="I41" s="81">
        <v>12841.09</v>
      </c>
      <c r="J41" s="81">
        <v>0</v>
      </c>
      <c r="K41" s="81">
        <v>8895</v>
      </c>
      <c r="L41" s="81">
        <v>0</v>
      </c>
      <c r="M41" s="78">
        <v>3156.79</v>
      </c>
      <c r="N41" s="82">
        <v>0</v>
      </c>
      <c r="O41" s="89">
        <v>0</v>
      </c>
      <c r="P41" s="89">
        <v>0</v>
      </c>
      <c r="Q41" s="89"/>
      <c r="R41" s="89"/>
      <c r="S41" s="81">
        <f t="shared" si="27"/>
        <v>34182.58</v>
      </c>
      <c r="T41" s="126">
        <f t="shared" si="28"/>
        <v>0</v>
      </c>
      <c r="U41" s="81">
        <v>4079.64</v>
      </c>
      <c r="V41" s="81">
        <v>5526.09</v>
      </c>
      <c r="W41" s="81">
        <v>14734.99</v>
      </c>
      <c r="X41" s="81">
        <v>9220.72</v>
      </c>
      <c r="Y41" s="81">
        <v>3270.84</v>
      </c>
      <c r="Z41" s="81">
        <v>0</v>
      </c>
      <c r="AA41" s="89">
        <v>0</v>
      </c>
      <c r="AB41" s="89">
        <f t="shared" si="43"/>
        <v>36832.28</v>
      </c>
      <c r="AC41" s="140">
        <f t="shared" si="29"/>
        <v>40197.101</v>
      </c>
      <c r="AD41" s="129">
        <f t="shared" si="30"/>
        <v>0</v>
      </c>
      <c r="AE41" s="129">
        <f t="shared" si="31"/>
        <v>0</v>
      </c>
      <c r="AF41" s="129">
        <f>100</f>
        <v>100</v>
      </c>
      <c r="AG41" s="24">
        <f t="shared" si="32"/>
        <v>2604.444</v>
      </c>
      <c r="AH41" s="24">
        <f t="shared" si="33"/>
        <v>868.148</v>
      </c>
      <c r="AI41" s="24">
        <f t="shared" si="34"/>
        <v>4340.74</v>
      </c>
      <c r="AJ41" s="24">
        <v>0</v>
      </c>
      <c r="AK41" s="24">
        <f t="shared" si="35"/>
        <v>4253.9252</v>
      </c>
      <c r="AL41" s="24">
        <v>0</v>
      </c>
      <c r="AM41" s="24">
        <f t="shared" si="36"/>
        <v>9766.664999999999</v>
      </c>
      <c r="AN41" s="24">
        <v>0</v>
      </c>
      <c r="AO41" s="24"/>
      <c r="AP41" s="24"/>
      <c r="AQ41" s="130"/>
      <c r="AR41" s="130"/>
      <c r="AS41" s="86"/>
      <c r="AT41" s="86">
        <v>16280</v>
      </c>
      <c r="AU41" s="86">
        <f>0*0.18</f>
        <v>0</v>
      </c>
      <c r="AV41" s="131"/>
      <c r="AW41" s="189">
        <v>78</v>
      </c>
      <c r="AX41" s="24">
        <f t="shared" si="38"/>
        <v>109.19999999999999</v>
      </c>
      <c r="AY41" s="133"/>
      <c r="AZ41" s="173"/>
      <c r="BA41" s="134">
        <f t="shared" si="39"/>
        <v>0</v>
      </c>
      <c r="BB41" s="134">
        <f t="shared" si="40"/>
        <v>38223.1222</v>
      </c>
      <c r="BC41" s="135">
        <f>25</f>
        <v>25</v>
      </c>
      <c r="BD41" s="79"/>
      <c r="BE41" s="136">
        <f t="shared" si="41"/>
        <v>2048.9788000000044</v>
      </c>
      <c r="BF41" s="136">
        <f t="shared" si="42"/>
        <v>2649.699999999997</v>
      </c>
    </row>
    <row r="42" spans="1:58" s="23" customFormat="1" ht="12.75">
      <c r="A42" s="18" t="s">
        <v>3</v>
      </c>
      <c r="B42" s="19"/>
      <c r="C42" s="19">
        <f>SUM(C30:C41)</f>
        <v>450503.0720000001</v>
      </c>
      <c r="D42" s="19">
        <f aca="true" t="shared" si="44" ref="D42:BF42">SUM(D30:D41)</f>
        <v>41438.682</v>
      </c>
      <c r="E42" s="19">
        <f t="shared" si="44"/>
        <v>42097.66999999999</v>
      </c>
      <c r="F42" s="19">
        <f t="shared" si="44"/>
        <v>5121.84</v>
      </c>
      <c r="G42" s="19">
        <f t="shared" si="44"/>
        <v>57009.38</v>
      </c>
      <c r="H42" s="19">
        <f t="shared" si="44"/>
        <v>6942.35</v>
      </c>
      <c r="I42" s="19">
        <f t="shared" si="44"/>
        <v>136995.34</v>
      </c>
      <c r="J42" s="19">
        <f t="shared" si="44"/>
        <v>16673.65</v>
      </c>
      <c r="K42" s="19">
        <f t="shared" si="44"/>
        <v>94896.57</v>
      </c>
      <c r="L42" s="19">
        <f t="shared" si="44"/>
        <v>11552.04</v>
      </c>
      <c r="M42" s="19">
        <f t="shared" si="44"/>
        <v>33678.3</v>
      </c>
      <c r="N42" s="19">
        <f t="shared" si="44"/>
        <v>4097.25</v>
      </c>
      <c r="O42" s="19">
        <f t="shared" si="44"/>
        <v>0</v>
      </c>
      <c r="P42" s="19">
        <f t="shared" si="44"/>
        <v>0</v>
      </c>
      <c r="Q42" s="19">
        <f t="shared" si="44"/>
        <v>0</v>
      </c>
      <c r="R42" s="19">
        <f t="shared" si="44"/>
        <v>0</v>
      </c>
      <c r="S42" s="19">
        <f t="shared" si="44"/>
        <v>364677.26000000007</v>
      </c>
      <c r="T42" s="19">
        <f t="shared" si="44"/>
        <v>44387.13</v>
      </c>
      <c r="U42" s="19">
        <f t="shared" si="44"/>
        <v>39601.780000000006</v>
      </c>
      <c r="V42" s="19">
        <f t="shared" si="44"/>
        <v>53637.66</v>
      </c>
      <c r="W42" s="19">
        <f t="shared" si="44"/>
        <v>130514.52000000002</v>
      </c>
      <c r="X42" s="19">
        <f t="shared" si="44"/>
        <v>89281.31</v>
      </c>
      <c r="Y42" s="19">
        <f t="shared" si="44"/>
        <v>31661.78</v>
      </c>
      <c r="Z42" s="19">
        <f t="shared" si="44"/>
        <v>0</v>
      </c>
      <c r="AA42" s="19">
        <f t="shared" si="44"/>
        <v>0</v>
      </c>
      <c r="AB42" s="19">
        <f t="shared" si="44"/>
        <v>344697.05000000005</v>
      </c>
      <c r="AC42" s="19">
        <f t="shared" si="44"/>
        <v>430522.862</v>
      </c>
      <c r="AD42" s="19">
        <f t="shared" si="44"/>
        <v>0</v>
      </c>
      <c r="AE42" s="19">
        <f t="shared" si="44"/>
        <v>0</v>
      </c>
      <c r="AF42" s="19">
        <f t="shared" si="44"/>
        <v>300</v>
      </c>
      <c r="AG42" s="19">
        <f t="shared" si="44"/>
        <v>31248.767999999996</v>
      </c>
      <c r="AH42" s="19">
        <f t="shared" si="44"/>
        <v>10416.256</v>
      </c>
      <c r="AI42" s="19">
        <f t="shared" si="44"/>
        <v>52081.279999999984</v>
      </c>
      <c r="AJ42" s="19">
        <f t="shared" si="44"/>
        <v>0</v>
      </c>
      <c r="AK42" s="19">
        <f t="shared" si="44"/>
        <v>51039.654399999985</v>
      </c>
      <c r="AL42" s="19">
        <f t="shared" si="44"/>
        <v>0</v>
      </c>
      <c r="AM42" s="19">
        <f t="shared" si="44"/>
        <v>117182.87999999996</v>
      </c>
      <c r="AN42" s="19">
        <f t="shared" si="44"/>
        <v>0</v>
      </c>
      <c r="AO42" s="19">
        <f t="shared" si="44"/>
        <v>4795.200000000001</v>
      </c>
      <c r="AP42" s="19">
        <f t="shared" si="44"/>
        <v>0</v>
      </c>
      <c r="AQ42" s="175">
        <f t="shared" si="44"/>
        <v>9000</v>
      </c>
      <c r="AR42" s="175">
        <f t="shared" si="44"/>
        <v>0</v>
      </c>
      <c r="AS42" s="20">
        <f t="shared" si="44"/>
        <v>45842</v>
      </c>
      <c r="AT42" s="20">
        <f t="shared" si="44"/>
        <v>58459.5</v>
      </c>
      <c r="AU42" s="20">
        <f t="shared" si="44"/>
        <v>5150.96</v>
      </c>
      <c r="AV42" s="19">
        <f t="shared" si="44"/>
        <v>0</v>
      </c>
      <c r="AW42" s="19">
        <f t="shared" si="44"/>
        <v>2020</v>
      </c>
      <c r="AX42" s="19">
        <f t="shared" si="44"/>
        <v>2827.999999999999</v>
      </c>
      <c r="AY42" s="19">
        <f t="shared" si="44"/>
        <v>0</v>
      </c>
      <c r="AZ42" s="19">
        <f t="shared" si="44"/>
        <v>0</v>
      </c>
      <c r="BA42" s="19">
        <f t="shared" si="44"/>
        <v>0</v>
      </c>
      <c r="BB42" s="19">
        <f t="shared" si="44"/>
        <v>388044.49840000004</v>
      </c>
      <c r="BC42" s="19">
        <f t="shared" si="44"/>
        <v>75</v>
      </c>
      <c r="BD42" s="19">
        <f t="shared" si="44"/>
        <v>0</v>
      </c>
      <c r="BE42" s="19">
        <f t="shared" si="44"/>
        <v>42703.36359999998</v>
      </c>
      <c r="BF42" s="176">
        <f t="shared" si="44"/>
        <v>-19980.210000000014</v>
      </c>
    </row>
    <row r="43" spans="1:58" s="23" customFormat="1" ht="12.75">
      <c r="A43" s="18"/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1"/>
      <c r="V43" s="21"/>
      <c r="W43" s="21"/>
      <c r="X43" s="21"/>
      <c r="Y43" s="21"/>
      <c r="Z43" s="21"/>
      <c r="AA43" s="21"/>
      <c r="AB43" s="21"/>
      <c r="AC43" s="21"/>
      <c r="AD43" s="107"/>
      <c r="AE43" s="107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77"/>
      <c r="AQ43" s="177"/>
      <c r="AR43" s="177"/>
      <c r="AS43" s="77"/>
      <c r="AT43" s="77"/>
      <c r="AU43" s="77"/>
      <c r="AV43" s="22"/>
      <c r="AW43" s="22"/>
      <c r="AX43" s="91"/>
      <c r="AY43" s="57"/>
      <c r="AZ43" s="57"/>
      <c r="BA43" s="57"/>
      <c r="BB43" s="57"/>
      <c r="BC43" s="57"/>
      <c r="BD43" s="57"/>
      <c r="BE43" s="57"/>
      <c r="BF43" s="178"/>
    </row>
    <row r="44" spans="1:58" s="23" customFormat="1" ht="13.5" thickBot="1">
      <c r="A44" s="26" t="s">
        <v>52</v>
      </c>
      <c r="B44" s="27"/>
      <c r="C44" s="27">
        <f>C28+C42</f>
        <v>1013745.4000000001</v>
      </c>
      <c r="D44" s="27">
        <f aca="true" t="shared" si="45" ref="D44:BF44">D28+D42</f>
        <v>117032.1570136</v>
      </c>
      <c r="E44" s="27">
        <f t="shared" si="45"/>
        <v>85763.44999999998</v>
      </c>
      <c r="F44" s="27">
        <f t="shared" si="45"/>
        <v>17754.22</v>
      </c>
      <c r="G44" s="27">
        <f t="shared" si="45"/>
        <v>116058.8</v>
      </c>
      <c r="H44" s="27">
        <f t="shared" si="45"/>
        <v>24034.300000000003</v>
      </c>
      <c r="I44" s="27">
        <f t="shared" si="45"/>
        <v>279002.2</v>
      </c>
      <c r="J44" s="27">
        <f t="shared" si="45"/>
        <v>57766.579999999994</v>
      </c>
      <c r="K44" s="27">
        <f t="shared" si="45"/>
        <v>193245.63</v>
      </c>
      <c r="L44" s="27">
        <f t="shared" si="45"/>
        <v>40012.75</v>
      </c>
      <c r="M44" s="27">
        <f t="shared" si="45"/>
        <v>68629.05</v>
      </c>
      <c r="N44" s="27">
        <f t="shared" si="45"/>
        <v>14202.67</v>
      </c>
      <c r="O44" s="27">
        <f t="shared" si="45"/>
        <v>0</v>
      </c>
      <c r="P44" s="27">
        <f t="shared" si="45"/>
        <v>0</v>
      </c>
      <c r="Q44" s="27">
        <f t="shared" si="45"/>
        <v>0</v>
      </c>
      <c r="R44" s="27">
        <f t="shared" si="45"/>
        <v>0</v>
      </c>
      <c r="S44" s="27">
        <f t="shared" si="45"/>
        <v>742699.1300000001</v>
      </c>
      <c r="T44" s="27">
        <f t="shared" si="45"/>
        <v>153770.52</v>
      </c>
      <c r="U44" s="27">
        <f t="shared" si="45"/>
        <v>78966.85</v>
      </c>
      <c r="V44" s="27">
        <f t="shared" si="45"/>
        <v>106833</v>
      </c>
      <c r="W44" s="27">
        <f t="shared" si="45"/>
        <v>258453.90000000002</v>
      </c>
      <c r="X44" s="27">
        <f t="shared" si="45"/>
        <v>177884.3</v>
      </c>
      <c r="Y44" s="27">
        <f t="shared" si="45"/>
        <v>63178.86</v>
      </c>
      <c r="Z44" s="27">
        <f t="shared" si="45"/>
        <v>0</v>
      </c>
      <c r="AA44" s="27">
        <f t="shared" si="45"/>
        <v>0</v>
      </c>
      <c r="AB44" s="27">
        <f t="shared" si="45"/>
        <v>685316.91</v>
      </c>
      <c r="AC44" s="27">
        <f t="shared" si="45"/>
        <v>956119.5870135999</v>
      </c>
      <c r="AD44" s="27">
        <f t="shared" si="45"/>
        <v>0</v>
      </c>
      <c r="AE44" s="27">
        <f t="shared" si="45"/>
        <v>0</v>
      </c>
      <c r="AF44" s="27">
        <f t="shared" si="45"/>
        <v>300</v>
      </c>
      <c r="AG44" s="27">
        <f t="shared" si="45"/>
        <v>69275.41919999999</v>
      </c>
      <c r="AH44" s="27">
        <f t="shared" si="45"/>
        <v>23213.01691208</v>
      </c>
      <c r="AI44" s="27">
        <f t="shared" si="45"/>
        <v>105401.9746393</v>
      </c>
      <c r="AJ44" s="27">
        <f t="shared" si="45"/>
        <v>9597.725035074001</v>
      </c>
      <c r="AK44" s="27">
        <f t="shared" si="45"/>
        <v>104992.23695177199</v>
      </c>
      <c r="AL44" s="27">
        <f t="shared" si="45"/>
        <v>9711.464859318958</v>
      </c>
      <c r="AM44" s="27">
        <f t="shared" si="45"/>
        <v>235331.9613604067</v>
      </c>
      <c r="AN44" s="27">
        <f t="shared" si="45"/>
        <v>21266.83464487322</v>
      </c>
      <c r="AO44" s="27">
        <f t="shared" si="45"/>
        <v>4795.200000000001</v>
      </c>
      <c r="AP44" s="27">
        <f t="shared" si="45"/>
        <v>0</v>
      </c>
      <c r="AQ44" s="179">
        <f t="shared" si="45"/>
        <v>54079.56</v>
      </c>
      <c r="AR44" s="179">
        <f t="shared" si="45"/>
        <v>8114.3207999999995</v>
      </c>
      <c r="AS44" s="180">
        <f t="shared" si="45"/>
        <v>162593.06</v>
      </c>
      <c r="AT44" s="180">
        <f t="shared" si="45"/>
        <v>58659.5</v>
      </c>
      <c r="AU44" s="180">
        <f t="shared" si="45"/>
        <v>26202.1608</v>
      </c>
      <c r="AV44" s="27">
        <f t="shared" si="45"/>
        <v>0</v>
      </c>
      <c r="AW44" s="27">
        <f t="shared" si="45"/>
        <v>7392</v>
      </c>
      <c r="AX44" s="27">
        <f t="shared" si="45"/>
        <v>9927.6352</v>
      </c>
      <c r="AY44" s="27">
        <f t="shared" si="45"/>
        <v>27.753600000000002</v>
      </c>
      <c r="AZ44" s="27">
        <f t="shared" si="45"/>
        <v>119508</v>
      </c>
      <c r="BA44" s="27">
        <f t="shared" si="45"/>
        <v>21511.44</v>
      </c>
      <c r="BB44" s="27">
        <f t="shared" si="45"/>
        <v>1044181.5104028251</v>
      </c>
      <c r="BC44" s="27">
        <f t="shared" si="45"/>
        <v>75</v>
      </c>
      <c r="BD44" s="27">
        <f t="shared" si="45"/>
        <v>656137.012002825</v>
      </c>
      <c r="BE44" s="27">
        <f t="shared" si="45"/>
        <v>-87836.92338922496</v>
      </c>
      <c r="BF44" s="27">
        <f t="shared" si="45"/>
        <v>-57382.22000000002</v>
      </c>
    </row>
  </sheetData>
  <sheetProtection/>
  <mergeCells count="67">
    <mergeCell ref="A1:N1"/>
    <mergeCell ref="A3:A6"/>
    <mergeCell ref="B3:B6"/>
    <mergeCell ref="C3:C6"/>
    <mergeCell ref="D3:D6"/>
    <mergeCell ref="AJ5:AJ6"/>
    <mergeCell ref="AK5:AK6"/>
    <mergeCell ref="AL5:AL6"/>
    <mergeCell ref="S3:T4"/>
    <mergeCell ref="U3:AB4"/>
    <mergeCell ref="AC3:AC6"/>
    <mergeCell ref="AD3:AD6"/>
    <mergeCell ref="T5:T6"/>
    <mergeCell ref="U5:U6"/>
    <mergeCell ref="V5:V6"/>
    <mergeCell ref="I5:I6"/>
    <mergeCell ref="J5:J6"/>
    <mergeCell ref="K5:K6"/>
    <mergeCell ref="AG5:AG6"/>
    <mergeCell ref="W5:W6"/>
    <mergeCell ref="X5:X6"/>
    <mergeCell ref="Y5:Y6"/>
    <mergeCell ref="E5:E6"/>
    <mergeCell ref="F5:F6"/>
    <mergeCell ref="G5:G6"/>
    <mergeCell ref="H5:H6"/>
    <mergeCell ref="AM5:AM6"/>
    <mergeCell ref="AN5:AN6"/>
    <mergeCell ref="L5:L6"/>
    <mergeCell ref="M5:M6"/>
    <mergeCell ref="N5:N6"/>
    <mergeCell ref="O5:O6"/>
    <mergeCell ref="P5:P6"/>
    <mergeCell ref="Q5:Q6"/>
    <mergeCell ref="AH5:AH6"/>
    <mergeCell ref="AI5:AI6"/>
    <mergeCell ref="E3:F4"/>
    <mergeCell ref="G3:H4"/>
    <mergeCell ref="I3:J4"/>
    <mergeCell ref="K3:L4"/>
    <mergeCell ref="M3:N4"/>
    <mergeCell ref="O3:P4"/>
    <mergeCell ref="Q3:R4"/>
    <mergeCell ref="AF3:AF6"/>
    <mergeCell ref="R5:R6"/>
    <mergeCell ref="S5:S6"/>
    <mergeCell ref="Z5:Z6"/>
    <mergeCell ref="AA5:AA6"/>
    <mergeCell ref="AB5:AB6"/>
    <mergeCell ref="AE3:AE6"/>
    <mergeCell ref="BF3:BF6"/>
    <mergeCell ref="BC4:BC6"/>
    <mergeCell ref="BD4:BD6"/>
    <mergeCell ref="AV5:AX5"/>
    <mergeCell ref="AY5:AY6"/>
    <mergeCell ref="AZ5:AZ6"/>
    <mergeCell ref="BA5:BA6"/>
    <mergeCell ref="BB5:BB6"/>
    <mergeCell ref="AG3:BB4"/>
    <mergeCell ref="BC3:BD3"/>
    <mergeCell ref="BE3:BE6"/>
    <mergeCell ref="AO5:AO6"/>
    <mergeCell ref="AP5:AP6"/>
    <mergeCell ref="AQ5:AQ6"/>
    <mergeCell ref="AR5:AR6"/>
    <mergeCell ref="AS5:AS6"/>
    <mergeCell ref="AT5:AT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40">
      <selection activeCell="C55" sqref="C55:D55"/>
    </sheetView>
  </sheetViews>
  <sheetFormatPr defaultColWidth="9.125" defaultRowHeight="12.75"/>
  <cols>
    <col min="1" max="1" width="10.125" style="2" bestFit="1" customWidth="1"/>
    <col min="2" max="2" width="10.375" style="2" customWidth="1"/>
    <col min="3" max="3" width="11.625" style="2" customWidth="1"/>
    <col min="4" max="4" width="11.0039062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11.75390625" style="2" customWidth="1"/>
    <col min="11" max="11" width="10.375" style="2" customWidth="1"/>
    <col min="12" max="12" width="10.125" style="2" customWidth="1"/>
    <col min="13" max="13" width="8.875" style="2" customWidth="1"/>
    <col min="14" max="14" width="12.25390625" style="2" customWidth="1"/>
    <col min="15" max="15" width="10.75390625" style="2" customWidth="1"/>
    <col min="16" max="16" width="12.875" style="2" customWidth="1"/>
    <col min="17" max="16384" width="9.125" style="2" customWidth="1"/>
  </cols>
  <sheetData>
    <row r="1" ht="18.75">
      <c r="E1" s="28" t="s">
        <v>53</v>
      </c>
    </row>
    <row r="2" ht="18.75">
      <c r="E2" s="28" t="s">
        <v>54</v>
      </c>
    </row>
    <row r="6" spans="1:15" ht="12.75">
      <c r="A6" s="278" t="s">
        <v>78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</row>
    <row r="7" spans="1:15" ht="12.75">
      <c r="A7" s="277" t="s">
        <v>93</v>
      </c>
      <c r="B7" s="277"/>
      <c r="C7" s="277"/>
      <c r="D7" s="277"/>
      <c r="E7" s="277"/>
      <c r="F7" s="277"/>
      <c r="G7" s="277"/>
      <c r="H7" s="109"/>
      <c r="I7" s="109"/>
      <c r="J7" s="109"/>
      <c r="K7" s="109"/>
      <c r="L7" s="109"/>
      <c r="M7" s="109"/>
      <c r="N7" s="109"/>
      <c r="O7" s="109"/>
    </row>
    <row r="8" spans="1:15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5" ht="13.5" thickBot="1">
      <c r="A9" s="30" t="s">
        <v>55</v>
      </c>
      <c r="D9" s="4"/>
      <c r="E9" s="30">
        <v>8.65</v>
      </c>
    </row>
    <row r="10" spans="1:16" ht="12.75" customHeight="1">
      <c r="A10" s="279" t="s">
        <v>56</v>
      </c>
      <c r="B10" s="282" t="s">
        <v>0</v>
      </c>
      <c r="C10" s="285" t="s">
        <v>57</v>
      </c>
      <c r="D10" s="288" t="s">
        <v>2</v>
      </c>
      <c r="E10" s="291" t="s">
        <v>58</v>
      </c>
      <c r="F10" s="112"/>
      <c r="G10" s="275" t="s">
        <v>75</v>
      </c>
      <c r="H10" s="275"/>
      <c r="I10" s="294" t="s">
        <v>8</v>
      </c>
      <c r="J10" s="295"/>
      <c r="K10" s="295"/>
      <c r="L10" s="295"/>
      <c r="M10" s="295"/>
      <c r="N10" s="296"/>
      <c r="O10" s="300" t="s">
        <v>59</v>
      </c>
      <c r="P10" s="263" t="s">
        <v>10</v>
      </c>
    </row>
    <row r="11" spans="1:16" ht="12.75">
      <c r="A11" s="280"/>
      <c r="B11" s="283"/>
      <c r="C11" s="286"/>
      <c r="D11" s="289"/>
      <c r="E11" s="292"/>
      <c r="F11" s="293"/>
      <c r="G11" s="276"/>
      <c r="H11" s="276"/>
      <c r="I11" s="297"/>
      <c r="J11" s="298"/>
      <c r="K11" s="298"/>
      <c r="L11" s="298"/>
      <c r="M11" s="298"/>
      <c r="N11" s="299"/>
      <c r="O11" s="301"/>
      <c r="P11" s="264"/>
    </row>
    <row r="12" spans="1:16" ht="26.25" customHeight="1">
      <c r="A12" s="280"/>
      <c r="B12" s="283"/>
      <c r="C12" s="286"/>
      <c r="D12" s="289"/>
      <c r="E12" s="266" t="s">
        <v>60</v>
      </c>
      <c r="F12" s="212"/>
      <c r="G12" s="32" t="s">
        <v>61</v>
      </c>
      <c r="H12" s="267" t="s">
        <v>5</v>
      </c>
      <c r="I12" s="269" t="s">
        <v>62</v>
      </c>
      <c r="J12" s="271" t="s">
        <v>30</v>
      </c>
      <c r="K12" s="271" t="s">
        <v>63</v>
      </c>
      <c r="L12" s="271" t="s">
        <v>35</v>
      </c>
      <c r="M12" s="271" t="s">
        <v>64</v>
      </c>
      <c r="N12" s="273" t="s">
        <v>37</v>
      </c>
      <c r="O12" s="301"/>
      <c r="P12" s="264"/>
    </row>
    <row r="13" spans="1:16" ht="66.75" customHeight="1" thickBot="1">
      <c r="A13" s="281"/>
      <c r="B13" s="284"/>
      <c r="C13" s="287"/>
      <c r="D13" s="290"/>
      <c r="E13" s="33" t="s">
        <v>65</v>
      </c>
      <c r="F13" s="34" t="s">
        <v>19</v>
      </c>
      <c r="G13" s="35" t="s">
        <v>76</v>
      </c>
      <c r="H13" s="268"/>
      <c r="I13" s="270"/>
      <c r="J13" s="272"/>
      <c r="K13" s="272"/>
      <c r="L13" s="272"/>
      <c r="M13" s="272"/>
      <c r="N13" s="274"/>
      <c r="O13" s="302"/>
      <c r="P13" s="265"/>
    </row>
    <row r="14" spans="1:16" ht="13.5" thickBot="1">
      <c r="A14" s="36">
        <v>1</v>
      </c>
      <c r="B14" s="37">
        <v>2</v>
      </c>
      <c r="C14" s="38">
        <v>3</v>
      </c>
      <c r="D14" s="36">
        <v>4</v>
      </c>
      <c r="E14" s="37">
        <v>5</v>
      </c>
      <c r="F14" s="39">
        <v>6</v>
      </c>
      <c r="G14" s="40">
        <v>7</v>
      </c>
      <c r="H14" s="92">
        <v>8</v>
      </c>
      <c r="I14" s="36">
        <v>9</v>
      </c>
      <c r="J14" s="37">
        <v>10</v>
      </c>
      <c r="K14" s="37">
        <v>11</v>
      </c>
      <c r="L14" s="37">
        <v>12</v>
      </c>
      <c r="M14" s="37">
        <v>13</v>
      </c>
      <c r="N14" s="101">
        <v>14</v>
      </c>
      <c r="O14" s="184">
        <v>15</v>
      </c>
      <c r="P14" s="41">
        <v>16</v>
      </c>
    </row>
    <row r="15" spans="1:16" ht="12.75">
      <c r="A15" s="8" t="s">
        <v>38</v>
      </c>
      <c r="B15" s="9"/>
      <c r="C15" s="31"/>
      <c r="D15" s="8"/>
      <c r="E15" s="9"/>
      <c r="F15" s="11"/>
      <c r="G15" s="42"/>
      <c r="H15" s="93"/>
      <c r="I15" s="8"/>
      <c r="J15" s="9"/>
      <c r="K15" s="9"/>
      <c r="L15" s="9"/>
      <c r="M15" s="9"/>
      <c r="N15" s="102"/>
      <c r="O15" s="185"/>
      <c r="P15" s="43"/>
    </row>
    <row r="16" spans="1:18" ht="12.75">
      <c r="A16" s="13" t="s">
        <v>39</v>
      </c>
      <c r="B16" s="14">
        <f>Лист1!B9</f>
        <v>4342.4</v>
      </c>
      <c r="C16" s="44">
        <f>Лист1!C9</f>
        <v>37561.759999999995</v>
      </c>
      <c r="D16" s="45">
        <f>Лист1!D9</f>
        <v>9047.8767488</v>
      </c>
      <c r="E16" s="15">
        <f>Лист1!S9</f>
        <v>24781.98</v>
      </c>
      <c r="F16" s="17">
        <f>Лист1!T9</f>
        <v>6906.17</v>
      </c>
      <c r="G16" s="46">
        <f>Лист1!AB9</f>
        <v>650.18</v>
      </c>
      <c r="H16" s="99">
        <f>Лист1!AC9</f>
        <v>16604.2267488</v>
      </c>
      <c r="I16" s="47">
        <f>Лист1!AG9</f>
        <v>2605.4399999999996</v>
      </c>
      <c r="J16" s="15">
        <f>Лист1!AI9+Лист1!AJ9</f>
        <v>4364.6386575999995</v>
      </c>
      <c r="K16" s="15">
        <f>Лист1!AH9+Лист1!AK9+Лист1!AL9+Лист1!AM9+Лист1!AN9+Лист1!AO9+Лист1!AP9+Лист1!AQ9+Лист1!AR9</f>
        <v>15326.036597439997</v>
      </c>
      <c r="L16" s="16">
        <f>Лист1!AS9+Лист1!AT9+Лист1!AU9</f>
        <v>15270.745799999999</v>
      </c>
      <c r="M16" s="16">
        <f>Лист1!AX9</f>
        <v>0</v>
      </c>
      <c r="N16" s="105">
        <f>Лист1!BB9</f>
        <v>37566.86105504</v>
      </c>
      <c r="O16" s="186">
        <f>Лист1!BE9</f>
        <v>-20962.634306239997</v>
      </c>
      <c r="P16" s="48">
        <f>Лист1!BF9</f>
        <v>-24131.8</v>
      </c>
      <c r="Q16" s="1"/>
      <c r="R16" s="1"/>
    </row>
    <row r="17" spans="1:18" ht="12.75">
      <c r="A17" s="13" t="s">
        <v>40</v>
      </c>
      <c r="B17" s="14">
        <f>Лист1!B10</f>
        <v>4342.4</v>
      </c>
      <c r="C17" s="44">
        <f>Лист1!C10</f>
        <v>37561.759999999995</v>
      </c>
      <c r="D17" s="45">
        <f>Лист1!D10</f>
        <v>9047.8767488</v>
      </c>
      <c r="E17" s="15">
        <f>Лист1!S10</f>
        <v>23775.36</v>
      </c>
      <c r="F17" s="17">
        <f>Лист1!T10</f>
        <v>6802.69</v>
      </c>
      <c r="G17" s="46">
        <f>Лист1!AB10</f>
        <v>19911.14</v>
      </c>
      <c r="H17" s="99">
        <f>Лист1!AC10</f>
        <v>35761.7067488</v>
      </c>
      <c r="I17" s="47">
        <f>Лист1!AG10</f>
        <v>2605.4399999999996</v>
      </c>
      <c r="J17" s="15">
        <f>Лист1!AI10+Лист1!AJ10</f>
        <v>4364.6386575999995</v>
      </c>
      <c r="K17" s="15">
        <f>Лист1!AH10+Лист1!AK10+Лист1!AL10+Лист1!AM10+Лист1!AN10+Лист1!AO10+Лист1!AP10+Лист1!AQ10+Лист1!AR10</f>
        <v>15279.781352639997</v>
      </c>
      <c r="L17" s="16">
        <f>Лист1!AS10+Лист1!AT10+Лист1!AU10</f>
        <v>2277.4</v>
      </c>
      <c r="M17" s="16">
        <f>Лист1!AX10</f>
        <v>0</v>
      </c>
      <c r="N17" s="105">
        <f>Лист1!BB10</f>
        <v>24527.26001024</v>
      </c>
      <c r="O17" s="186">
        <f>Лист1!BE10</f>
        <v>11234.446738560004</v>
      </c>
      <c r="P17" s="48">
        <f>Лист1!BF10</f>
        <v>-3864.220000000001</v>
      </c>
      <c r="Q17" s="1"/>
      <c r="R17" s="1"/>
    </row>
    <row r="18" spans="1:18" ht="13.5" thickBot="1">
      <c r="A18" s="49" t="s">
        <v>41</v>
      </c>
      <c r="B18" s="14">
        <f>Лист1!B11</f>
        <v>4342.4</v>
      </c>
      <c r="C18" s="44">
        <f>Лист1!C11</f>
        <v>37561.759999999995</v>
      </c>
      <c r="D18" s="45">
        <f>Лист1!D11</f>
        <v>9027.969016</v>
      </c>
      <c r="E18" s="15">
        <f>Лист1!S11</f>
        <v>24083.28</v>
      </c>
      <c r="F18" s="17">
        <f>Лист1!T11</f>
        <v>6822.3099999999995</v>
      </c>
      <c r="G18" s="46">
        <f>Лист1!AB11</f>
        <v>26685.079999999998</v>
      </c>
      <c r="H18" s="99">
        <f>Лист1!AC11</f>
        <v>42535.359015999995</v>
      </c>
      <c r="I18" s="47">
        <f>Лист1!AG11</f>
        <v>2605.4399999999996</v>
      </c>
      <c r="J18" s="15">
        <f>Лист1!AI11+Лист1!AJ11</f>
        <v>4351.94285824</v>
      </c>
      <c r="K18" s="15">
        <f>Лист1!AH11+Лист1!AK11+Лист1!AL11+Лист1!AM11+Лист1!AN11+Лист1!AO11+Лист1!AP11+Лист1!AQ11+Лист1!AR11</f>
        <v>15255.370360351995</v>
      </c>
      <c r="L18" s="16">
        <f>Лист1!AS11+Лист1!AT11+Лист1!AU11</f>
        <v>9535.58</v>
      </c>
      <c r="M18" s="16">
        <f>Лист1!AX11</f>
        <v>0</v>
      </c>
      <c r="N18" s="105">
        <f>Лист1!BB11</f>
        <v>31748.333218592</v>
      </c>
      <c r="O18" s="186">
        <f>Лист1!BE11</f>
        <v>10787.025797407994</v>
      </c>
      <c r="P18" s="48">
        <f>Лист1!BF11</f>
        <v>2601.7999999999993</v>
      </c>
      <c r="Q18" s="1"/>
      <c r="R18" s="1"/>
    </row>
    <row r="19" spans="1:18" s="23" customFormat="1" ht="13.5" thickBot="1">
      <c r="A19" s="50" t="s">
        <v>3</v>
      </c>
      <c r="B19" s="51"/>
      <c r="C19" s="52">
        <f>SUM(C16:C18)</f>
        <v>112685.27999999998</v>
      </c>
      <c r="D19" s="52">
        <f aca="true" t="shared" si="0" ref="D19:P19">SUM(D16:D18)</f>
        <v>27123.722513599998</v>
      </c>
      <c r="E19" s="52">
        <f t="shared" si="0"/>
        <v>72640.62</v>
      </c>
      <c r="F19" s="52">
        <f t="shared" si="0"/>
        <v>20531.17</v>
      </c>
      <c r="G19" s="52">
        <f t="shared" si="0"/>
        <v>47246.399999999994</v>
      </c>
      <c r="H19" s="52">
        <f t="shared" si="0"/>
        <v>94901.2925136</v>
      </c>
      <c r="I19" s="52">
        <f t="shared" si="0"/>
        <v>7816.319999999999</v>
      </c>
      <c r="J19" s="52">
        <f t="shared" si="0"/>
        <v>13081.220173439999</v>
      </c>
      <c r="K19" s="52">
        <f t="shared" si="0"/>
        <v>45861.18831043199</v>
      </c>
      <c r="L19" s="52">
        <f t="shared" si="0"/>
        <v>27083.7258</v>
      </c>
      <c r="M19" s="52">
        <f t="shared" si="0"/>
        <v>0</v>
      </c>
      <c r="N19" s="52">
        <f t="shared" si="0"/>
        <v>93842.454283872</v>
      </c>
      <c r="O19" s="52">
        <f t="shared" si="0"/>
        <v>1058.8382297280004</v>
      </c>
      <c r="P19" s="52">
        <f t="shared" si="0"/>
        <v>-25394.22</v>
      </c>
      <c r="Q19" s="57"/>
      <c r="R19" s="57"/>
    </row>
    <row r="20" spans="1:18" ht="12.75">
      <c r="A20" s="8" t="s">
        <v>42</v>
      </c>
      <c r="B20" s="72"/>
      <c r="C20" s="58"/>
      <c r="D20" s="59"/>
      <c r="E20" s="60"/>
      <c r="F20" s="61"/>
      <c r="G20" s="62"/>
      <c r="H20" s="100"/>
      <c r="I20" s="63"/>
      <c r="J20" s="60"/>
      <c r="K20" s="60"/>
      <c r="L20" s="73"/>
      <c r="M20" s="73"/>
      <c r="N20" s="106"/>
      <c r="O20" s="187"/>
      <c r="P20" s="74"/>
      <c r="Q20" s="1"/>
      <c r="R20" s="1"/>
    </row>
    <row r="21" spans="1:18" ht="12.75">
      <c r="A21" s="13" t="s">
        <v>43</v>
      </c>
      <c r="B21" s="14">
        <f>Лист1!B14</f>
        <v>4342.4</v>
      </c>
      <c r="C21" s="44">
        <f>Лист1!C14</f>
        <v>37561.759999999995</v>
      </c>
      <c r="D21" s="45">
        <f>Лист1!D14</f>
        <v>4695.219999999999</v>
      </c>
      <c r="E21" s="15">
        <f>Лист1!S14</f>
        <v>24393.9</v>
      </c>
      <c r="F21" s="17">
        <f>Лист1!T14</f>
        <v>6709.610000000001</v>
      </c>
      <c r="G21" s="46">
        <f>Лист1!AB14</f>
        <v>16893.3</v>
      </c>
      <c r="H21" s="99">
        <f>Лист1!AC14</f>
        <v>28298.129999999997</v>
      </c>
      <c r="I21" s="47">
        <f>Лист1!AG14</f>
        <v>2344.8959999999997</v>
      </c>
      <c r="J21" s="15">
        <f>Лист1!AI14+Лист1!AJ14</f>
        <v>3776.1317823999993</v>
      </c>
      <c r="K21" s="15">
        <f>Лист1!AH14+Лист1!AK14+Лист1!AL14+Лист1!AM14+Лист1!AN14+Лист1!AO14+Лист1!AP14+Лист1!AQ14+Лист1!AR14</f>
        <v>12968.402080191998</v>
      </c>
      <c r="L21" s="16">
        <f>Лист1!AS14+Лист1!AT14+Лист1!AU14</f>
        <v>24650.21</v>
      </c>
      <c r="M21" s="16">
        <f>Лист1!AX14</f>
        <v>0</v>
      </c>
      <c r="N21" s="105">
        <f>Лист1!BB14</f>
        <v>43739.63986259199</v>
      </c>
      <c r="O21" s="186">
        <f>Лист1!BE14</f>
        <v>-15441.509862591993</v>
      </c>
      <c r="P21" s="48">
        <f>Лист1!BF14</f>
        <v>-7500.600000000002</v>
      </c>
      <c r="Q21" s="1"/>
      <c r="R21" s="1"/>
    </row>
    <row r="22" spans="1:18" ht="12.75">
      <c r="A22" s="13" t="s">
        <v>44</v>
      </c>
      <c r="B22" s="14">
        <f>Лист1!B15</f>
        <v>4342.4</v>
      </c>
      <c r="C22" s="44">
        <f>Лист1!C15</f>
        <v>37561.759999999995</v>
      </c>
      <c r="D22" s="45">
        <f>Лист1!D15</f>
        <v>4695.219999999999</v>
      </c>
      <c r="E22" s="15">
        <f>Лист1!S15</f>
        <v>24183.120000000003</v>
      </c>
      <c r="F22" s="17">
        <f>Лист1!T15</f>
        <v>6844.89</v>
      </c>
      <c r="G22" s="46">
        <f>Лист1!AB15</f>
        <v>19200.95</v>
      </c>
      <c r="H22" s="99">
        <f>Лист1!AC15</f>
        <v>30741.06</v>
      </c>
      <c r="I22" s="47">
        <f>Лист1!AG15</f>
        <v>2344.8959999999997</v>
      </c>
      <c r="J22" s="15">
        <f>Лист1!AI15+Лист1!AJ15</f>
        <v>3776.1553823999993</v>
      </c>
      <c r="K22" s="15">
        <f>Лист1!AH15+Лист1!AK15+Лист1!AL15+Лист1!AM15+Лист1!AN15+Лист1!AO15+Лист1!AP15+Лист1!AQ15+Лист1!AR15</f>
        <v>12987.123469311997</v>
      </c>
      <c r="L22" s="16">
        <f>Лист1!AS15+Лист1!AT15+Лист1!AU15</f>
        <v>5942.48</v>
      </c>
      <c r="M22" s="16">
        <f>Лист1!AX15</f>
        <v>9.2512</v>
      </c>
      <c r="N22" s="105">
        <f>Лист1!BB15</f>
        <v>25050.654851712</v>
      </c>
      <c r="O22" s="186">
        <f>Лист1!BE15</f>
        <v>5690.405148288002</v>
      </c>
      <c r="P22" s="48">
        <f>Лист1!BF15</f>
        <v>-4982.170000000002</v>
      </c>
      <c r="Q22" s="1"/>
      <c r="R22" s="1"/>
    </row>
    <row r="23" spans="1:18" ht="12.75">
      <c r="A23" s="13" t="s">
        <v>45</v>
      </c>
      <c r="B23" s="14">
        <f>Лист1!B16</f>
        <v>4342.44</v>
      </c>
      <c r="C23" s="44">
        <f>Лист1!C16</f>
        <v>37562.106</v>
      </c>
      <c r="D23" s="45">
        <f>Лист1!D16</f>
        <v>4695.26325</v>
      </c>
      <c r="E23" s="15">
        <f>Лист1!S16</f>
        <v>22823.38</v>
      </c>
      <c r="F23" s="17">
        <f>Лист1!T16</f>
        <v>7571.4800000000005</v>
      </c>
      <c r="G23" s="46">
        <f>Лист1!AB16</f>
        <v>26088.500000000004</v>
      </c>
      <c r="H23" s="99">
        <f>Лист1!AC16</f>
        <v>38355.24325</v>
      </c>
      <c r="I23" s="47">
        <f>Лист1!AG16</f>
        <v>2344.9175999999998</v>
      </c>
      <c r="J23" s="15">
        <f>Лист1!AI16+Лист1!AJ16</f>
        <v>3778.3679001</v>
      </c>
      <c r="K23" s="15">
        <f>Лист1!AH16+Лист1!AK16+Лист1!AL16+Лист1!AM16+Лист1!AN16+Лист1!AO16+Лист1!AP16+Лист1!AQ16+Лист1!AR16</f>
        <v>21175.6240334312</v>
      </c>
      <c r="L23" s="16">
        <f>Лист1!AS16+Лист1!AT16+Лист1!AU16</f>
        <v>23123.28</v>
      </c>
      <c r="M23" s="16">
        <f>Лист1!AX16</f>
        <v>18.5024</v>
      </c>
      <c r="N23" s="105">
        <f>Лист1!BB16</f>
        <v>50422.1895335312</v>
      </c>
      <c r="O23" s="186">
        <f>Лист1!BE16</f>
        <v>-12066.9462835312</v>
      </c>
      <c r="P23" s="48">
        <f>Лист1!BF16</f>
        <v>3265.1200000000026</v>
      </c>
      <c r="Q23" s="1"/>
      <c r="R23" s="1"/>
    </row>
    <row r="24" spans="1:18" ht="12.75">
      <c r="A24" s="13" t="s">
        <v>46</v>
      </c>
      <c r="B24" s="14">
        <f>Лист1!B17</f>
        <v>4342.44</v>
      </c>
      <c r="C24" s="44">
        <f>Лист1!C17</f>
        <v>37562.106</v>
      </c>
      <c r="D24" s="45">
        <f>Лист1!D17</f>
        <v>4695.26325</v>
      </c>
      <c r="E24" s="15">
        <f>Лист1!S17</f>
        <v>24223.18</v>
      </c>
      <c r="F24" s="17">
        <f>Лист1!T17</f>
        <v>6863.38</v>
      </c>
      <c r="G24" s="46">
        <f>Лист1!AB17</f>
        <v>24257</v>
      </c>
      <c r="H24" s="99">
        <f>Лист1!AC17</f>
        <v>35815.64325</v>
      </c>
      <c r="I24" s="47">
        <f>Лист1!AG17</f>
        <v>2344.9175999999998</v>
      </c>
      <c r="J24" s="15">
        <f>Лист1!AI17+Лист1!AJ17</f>
        <v>3891.1745036879997</v>
      </c>
      <c r="K24" s="15">
        <f>Лист1!AH17+Лист1!AK17+Лист1!AL17+Лист1!AM17+Лист1!AN17+Лист1!AO17+Лист1!AP17+Лист1!AQ17+Лист1!AR17</f>
        <v>33995.4834805984</v>
      </c>
      <c r="L24" s="16">
        <f>Лист1!AS17+Лист1!AT17+Лист1!AU17</f>
        <v>2330.3466</v>
      </c>
      <c r="M24" s="16">
        <f>Лист1!AX17</f>
        <v>140.08960000000002</v>
      </c>
      <c r="N24" s="105">
        <f>Лист1!BB17</f>
        <v>42729.765384286395</v>
      </c>
      <c r="O24" s="186">
        <f>Лист1!BE17</f>
        <v>-6914.122134286394</v>
      </c>
      <c r="P24" s="48">
        <f>Лист1!BF17</f>
        <v>33.81999999999971</v>
      </c>
      <c r="Q24" s="1"/>
      <c r="R24" s="1"/>
    </row>
    <row r="25" spans="1:18" ht="12.75">
      <c r="A25" s="13" t="s">
        <v>47</v>
      </c>
      <c r="B25" s="14">
        <f>Лист1!B18</f>
        <v>4342.4</v>
      </c>
      <c r="C25" s="44">
        <f>Лист1!C18</f>
        <v>37561.759999999995</v>
      </c>
      <c r="D25" s="45">
        <f>Лист1!D18</f>
        <v>3694.46</v>
      </c>
      <c r="E25" s="15">
        <f>Лист1!S18</f>
        <v>26208.96</v>
      </c>
      <c r="F25" s="17">
        <f>Лист1!T18</f>
        <v>7658.34</v>
      </c>
      <c r="G25" s="46">
        <f>Лист1!AB18</f>
        <v>23623.879999999997</v>
      </c>
      <c r="H25" s="99">
        <f>Лист1!AC18</f>
        <v>34976.67999999999</v>
      </c>
      <c r="I25" s="47">
        <f>Лист1!AG18</f>
        <v>2605.4399999999996</v>
      </c>
      <c r="J25" s="15">
        <f>Лист1!AI18+Лист1!AJ18</f>
        <v>4355.427199999999</v>
      </c>
      <c r="K25" s="15">
        <f>Лист1!AH18+Лист1!AK18+Лист1!AL18+Лист1!AM18+Лист1!AN18+Лист1!AO18+Лист1!AP18+Лист1!AQ18+Лист1!AR18</f>
        <v>19917.026479999997</v>
      </c>
      <c r="L25" s="16">
        <f>Лист1!AS18+Лист1!AT18+Лист1!AU18</f>
        <v>25606.790599999997</v>
      </c>
      <c r="M25" s="16">
        <f>Лист1!AX18</f>
        <v>19.823999999999998</v>
      </c>
      <c r="N25" s="105">
        <f>Лист1!BB18</f>
        <v>52504.508279999995</v>
      </c>
      <c r="O25" s="186">
        <f>Лист1!BE18</f>
        <v>-17527.82828</v>
      </c>
      <c r="P25" s="48">
        <f>Лист1!BF18</f>
        <v>-2585.0800000000017</v>
      </c>
      <c r="Q25" s="1"/>
      <c r="R25" s="1"/>
    </row>
    <row r="26" spans="1:18" ht="12.75">
      <c r="A26" s="13" t="s">
        <v>48</v>
      </c>
      <c r="B26" s="14">
        <f>Лист1!B19</f>
        <v>4342.4</v>
      </c>
      <c r="C26" s="44">
        <f>Лист1!C19</f>
        <v>37561.759999999995</v>
      </c>
      <c r="D26" s="45">
        <f>Лист1!D19</f>
        <v>4689.699999999998</v>
      </c>
      <c r="E26" s="15">
        <f>Лист1!S19</f>
        <v>25213.72</v>
      </c>
      <c r="F26" s="17">
        <f>Лист1!T19</f>
        <v>7658.34</v>
      </c>
      <c r="G26" s="46">
        <f>Лист1!AB19</f>
        <v>22633.68</v>
      </c>
      <c r="H26" s="99">
        <f>Лист1!AC19</f>
        <v>34981.72</v>
      </c>
      <c r="I26" s="47">
        <f>Лист1!AG19</f>
        <v>2605.4399999999996</v>
      </c>
      <c r="J26" s="15">
        <f>Лист1!AI19+Лист1!AJ19</f>
        <v>4355.427199999999</v>
      </c>
      <c r="K26" s="15">
        <f>Лист1!AH19+Лист1!AK19+Лист1!AL19+Лист1!AM19+Лист1!AN19+Лист1!AO19+Лист1!AP19+Лист1!AQ19+Лист1!AR19</f>
        <v>24248.076296</v>
      </c>
      <c r="L26" s="16">
        <f>Лист1!AS19+Лист1!AT19+Лист1!AU19</f>
        <v>6999.535800000001</v>
      </c>
      <c r="M26" s="16">
        <f>Лист1!AX19</f>
        <v>5758.2112</v>
      </c>
      <c r="N26" s="105">
        <f>Лист1!BB19</f>
        <v>43966.690495999996</v>
      </c>
      <c r="O26" s="186">
        <f>Лист1!BE19</f>
        <v>-8984.970495999994</v>
      </c>
      <c r="P26" s="48">
        <f>Лист1!BF19</f>
        <v>-2580.040000000001</v>
      </c>
      <c r="Q26" s="1"/>
      <c r="R26" s="1"/>
    </row>
    <row r="27" spans="1:18" ht="12.75">
      <c r="A27" s="13" t="s">
        <v>49</v>
      </c>
      <c r="B27" s="14">
        <f>Лист1!B20</f>
        <v>4338.84</v>
      </c>
      <c r="C27" s="44">
        <f>Лист1!C20</f>
        <v>37530.966</v>
      </c>
      <c r="D27" s="45">
        <f>Лист1!D20</f>
        <v>3482.766000000011</v>
      </c>
      <c r="E27" s="15">
        <f>Лист1!S20</f>
        <v>26639.510000000002</v>
      </c>
      <c r="F27" s="17">
        <f>Лист1!T20</f>
        <v>7408.6900000000005</v>
      </c>
      <c r="G27" s="46">
        <f>Лист1!AB20</f>
        <v>26204.010000000002</v>
      </c>
      <c r="H27" s="99">
        <f>Лист1!AC20</f>
        <v>37095.466000000015</v>
      </c>
      <c r="I27" s="47">
        <f>Лист1!AG20</f>
        <v>2603.304</v>
      </c>
      <c r="J27" s="15">
        <f>Лист1!AI20+Лист1!AJ20</f>
        <v>4289.624971764</v>
      </c>
      <c r="K27" s="15">
        <f>Лист1!AH20+Лист1!AK20+Лист1!AL20+Лист1!AM20+Лист1!AN20+Лист1!AO20+Лист1!AP20+Лист1!AQ20+Лист1!AR20</f>
        <v>14757.855293544</v>
      </c>
      <c r="L27" s="16">
        <f>Лист1!AS20+Лист1!AT20+Лист1!AU20</f>
        <v>1418.36</v>
      </c>
      <c r="M27" s="16">
        <f>Лист1!AX20</f>
        <v>233.9232</v>
      </c>
      <c r="N27" s="105">
        <f>Лист1!BB20</f>
        <v>23303.067465308002</v>
      </c>
      <c r="O27" s="186">
        <f>Лист1!BE20</f>
        <v>13792.398534692013</v>
      </c>
      <c r="P27" s="48">
        <f>Лист1!BF20</f>
        <v>-435.5</v>
      </c>
      <c r="Q27" s="1"/>
      <c r="R27" s="1"/>
    </row>
    <row r="28" spans="1:18" ht="12.75">
      <c r="A28" s="13" t="s">
        <v>50</v>
      </c>
      <c r="B28" s="14">
        <f>Лист1!B21</f>
        <v>4338.84</v>
      </c>
      <c r="C28" s="44">
        <f>Лист1!C21</f>
        <v>37530.966</v>
      </c>
      <c r="D28" s="45">
        <f>Лист1!D21</f>
        <v>3470.415999999995</v>
      </c>
      <c r="E28" s="15">
        <f>Лист1!S21</f>
        <v>26410.390000000003</v>
      </c>
      <c r="F28" s="17">
        <f>Лист1!T21</f>
        <v>7650.16</v>
      </c>
      <c r="G28" s="46">
        <f>Лист1!AB21</f>
        <v>25143.03</v>
      </c>
      <c r="H28" s="99">
        <f>Лист1!AC21</f>
        <v>36263.60599999999</v>
      </c>
      <c r="I28" s="47">
        <f>Лист1!AG21</f>
        <v>2603.304</v>
      </c>
      <c r="J28" s="15">
        <f>Лист1!AI21+Лист1!AJ21</f>
        <v>4287.7101548952</v>
      </c>
      <c r="K28" s="15">
        <f>Лист1!AH21+Лист1!AK21+Лист1!AL21+Лист1!AM21+Лист1!AN21+Лист1!AO21+Лист1!AP21+Лист1!AQ21+Лист1!AR21</f>
        <v>23735.19820312</v>
      </c>
      <c r="L28" s="16">
        <f>Лист1!AS21+Лист1!AT21+Лист1!AU21</f>
        <v>0</v>
      </c>
      <c r="M28" s="16">
        <f>Лист1!AX21</f>
        <v>63.436800000000005</v>
      </c>
      <c r="N28" s="105">
        <f>Лист1!BB21</f>
        <v>30689.6491580152</v>
      </c>
      <c r="O28" s="186">
        <f>Лист1!BE21</f>
        <v>5573.956841984793</v>
      </c>
      <c r="P28" s="48">
        <f>Лист1!BF21</f>
        <v>-1267.3600000000042</v>
      </c>
      <c r="Q28" s="1"/>
      <c r="R28" s="1"/>
    </row>
    <row r="29" spans="1:18" ht="12.75">
      <c r="A29" s="13" t="s">
        <v>51</v>
      </c>
      <c r="B29" s="14">
        <f>Лист1!B22</f>
        <v>4338.84</v>
      </c>
      <c r="C29" s="44">
        <f>Лист1!C22</f>
        <v>37530.966</v>
      </c>
      <c r="D29" s="45">
        <f>Лист1!D22</f>
        <v>3471.1459999999984</v>
      </c>
      <c r="E29" s="15">
        <f>Лист1!S22</f>
        <v>26409.67</v>
      </c>
      <c r="F29" s="17">
        <f>Лист1!T22</f>
        <v>7650.15</v>
      </c>
      <c r="G29" s="46">
        <f>Лист1!AB22</f>
        <v>24093.93</v>
      </c>
      <c r="H29" s="99">
        <f>Лист1!AC22</f>
        <v>35215.225999999995</v>
      </c>
      <c r="I29" s="47">
        <f>Лист1!AG22</f>
        <v>2603.304</v>
      </c>
      <c r="J29" s="15">
        <f>Лист1!AI22+Лист1!AJ22</f>
        <v>4286.9703392868005</v>
      </c>
      <c r="K29" s="15">
        <f>Лист1!AH22+Лист1!AK22+Лист1!AL22+Лист1!AM22+Лист1!AN22+Лист1!AO22+Лист1!AP22+Лист1!AQ22+Лист1!AR22</f>
        <v>14752.798609821359</v>
      </c>
      <c r="L29" s="16">
        <f>Лист1!AS22+Лист1!AT22+Лист1!AU22</f>
        <v>0</v>
      </c>
      <c r="M29" s="16">
        <f>Лист1!AX22</f>
        <v>145.376</v>
      </c>
      <c r="N29" s="105">
        <f>Лист1!BB22</f>
        <v>21788.448949108162</v>
      </c>
      <c r="O29" s="186">
        <f>Лист1!BE22</f>
        <v>13426.777050891833</v>
      </c>
      <c r="P29" s="48">
        <f>Лист1!BF22</f>
        <v>-2315.739999999998</v>
      </c>
      <c r="Q29" s="1"/>
      <c r="R29" s="1"/>
    </row>
    <row r="30" spans="1:18" ht="12.75">
      <c r="A30" s="13" t="s">
        <v>39</v>
      </c>
      <c r="B30" s="14">
        <f>Лист1!B23</f>
        <v>4338.84</v>
      </c>
      <c r="C30" s="44">
        <f>Лист1!C23</f>
        <v>37530.966</v>
      </c>
      <c r="D30" s="45">
        <f>Лист1!D23</f>
        <v>3480.486000000003</v>
      </c>
      <c r="E30" s="15">
        <f>Лист1!S23</f>
        <v>26386.57</v>
      </c>
      <c r="F30" s="17">
        <f>Лист1!T23</f>
        <v>7663.91</v>
      </c>
      <c r="G30" s="46">
        <f>Лист1!AB23</f>
        <v>31487.079999999998</v>
      </c>
      <c r="H30" s="99">
        <f>Лист1!AC23</f>
        <v>42631.476</v>
      </c>
      <c r="I30" s="47">
        <f>Лист1!AG23</f>
        <v>2603.304</v>
      </c>
      <c r="J30" s="15">
        <f>Лист1!AI23+Лист1!AJ23</f>
        <v>4336.4970264</v>
      </c>
      <c r="K30" s="15">
        <f>Лист1!AH23+Лист1!AK23+Лист1!AL23+Лист1!AM23+Лист1!AN23+Лист1!AO23+Лист1!AP23+Лист1!AQ23+Лист1!AR23</f>
        <v>14879.617895999998</v>
      </c>
      <c r="L30" s="16">
        <f>Лист1!AS23+Лист1!AT23+Лист1!AU23</f>
        <v>10426.952</v>
      </c>
      <c r="M30" s="16">
        <f>Лист1!AX23</f>
        <v>244.496</v>
      </c>
      <c r="N30" s="105">
        <f>Лист1!BB23</f>
        <v>79497.3469224</v>
      </c>
      <c r="O30" s="186">
        <f>Лист1!BE23</f>
        <v>-36865.8709224</v>
      </c>
      <c r="P30" s="48">
        <f>Лист1!BF23</f>
        <v>5100.509999999998</v>
      </c>
      <c r="Q30" s="1"/>
      <c r="R30" s="1"/>
    </row>
    <row r="31" spans="1:18" ht="12.75">
      <c r="A31" s="13" t="s">
        <v>40</v>
      </c>
      <c r="B31" s="14">
        <f>Лист1!B24</f>
        <v>4338.84</v>
      </c>
      <c r="C31" s="44">
        <f>Лист1!C24</f>
        <v>37530.966</v>
      </c>
      <c r="D31" s="45">
        <f>Лист1!D24</f>
        <v>3521.156</v>
      </c>
      <c r="E31" s="15">
        <f>Лист1!S24</f>
        <v>26339.109999999997</v>
      </c>
      <c r="F31" s="17">
        <f>Лист1!T24</f>
        <v>7670.700000000001</v>
      </c>
      <c r="G31" s="46">
        <f>Лист1!AB24</f>
        <v>26419.56</v>
      </c>
      <c r="H31" s="99">
        <f>Лист1!AC24</f>
        <v>37611.416</v>
      </c>
      <c r="I31" s="47">
        <f>Лист1!AG24</f>
        <v>2603.304</v>
      </c>
      <c r="J31" s="15">
        <f>Лист1!AI24+Лист1!AJ24</f>
        <v>4351.85652</v>
      </c>
      <c r="K31" s="15">
        <f>Лист1!AH24+Лист1!AK24+Лист1!AL24+Лист1!AM24+Лист1!AN24+Лист1!AO24+Лист1!AP24+Лист1!AQ24+Лист1!AR24</f>
        <v>14896.105488</v>
      </c>
      <c r="L31" s="16">
        <f>Лист1!AS24+Лист1!AT24+Лист1!AU24</f>
        <v>3963.62</v>
      </c>
      <c r="M31" s="16">
        <f>Лист1!AX24</f>
        <v>270.928</v>
      </c>
      <c r="N31" s="105">
        <f>Лист1!BB24</f>
        <v>73092.294008</v>
      </c>
      <c r="O31" s="186">
        <f>Лист1!BE24</f>
        <v>-35480.878008</v>
      </c>
      <c r="P31" s="48">
        <f>Лист1!BF24</f>
        <v>80.45000000000437</v>
      </c>
      <c r="Q31" s="1"/>
      <c r="R31" s="1"/>
    </row>
    <row r="32" spans="1:18" ht="13.5" thickBot="1">
      <c r="A32" s="49" t="s">
        <v>41</v>
      </c>
      <c r="B32" s="14">
        <f>Лист1!B25</f>
        <v>4338.84</v>
      </c>
      <c r="C32" s="44">
        <f>Лист1!C25</f>
        <v>37530.966</v>
      </c>
      <c r="D32" s="45">
        <f>Лист1!D25</f>
        <v>3878.6559999999936</v>
      </c>
      <c r="E32" s="15">
        <f>Лист1!S25</f>
        <v>26149.74</v>
      </c>
      <c r="F32" s="17">
        <f>Лист1!T25</f>
        <v>7502.57</v>
      </c>
      <c r="G32" s="46">
        <f>Лист1!AB25</f>
        <v>27328.54</v>
      </c>
      <c r="H32" s="99">
        <f>Лист1!AC25</f>
        <v>38709.765999999996</v>
      </c>
      <c r="I32" s="47">
        <f>Лист1!AG25</f>
        <v>2603.304</v>
      </c>
      <c r="J32" s="15">
        <f>Лист1!AI25+Лист1!AJ25</f>
        <v>4351.85652</v>
      </c>
      <c r="K32" s="15">
        <f>Лист1!AH25+Лист1!AK25+Лист1!AL25+Лист1!AM25+Лист1!AN25+Лист1!AO25+Лист1!AP25+Лист1!AQ25+Лист1!AR25</f>
        <v>14896.105488</v>
      </c>
      <c r="L32" s="16">
        <f>Лист1!AS25+Лист1!AT25+Лист1!AU25</f>
        <v>6456.96</v>
      </c>
      <c r="M32" s="16">
        <f>Лист1!AX25</f>
        <v>195.5968</v>
      </c>
      <c r="N32" s="105">
        <f>Лист1!BB25</f>
        <v>75510.302808</v>
      </c>
      <c r="O32" s="186">
        <f>Лист1!BE25</f>
        <v>-36800.536808</v>
      </c>
      <c r="P32" s="48">
        <f>Лист1!BF25</f>
        <v>1178.7999999999993</v>
      </c>
      <c r="Q32" s="1"/>
      <c r="R32" s="1"/>
    </row>
    <row r="33" spans="1:18" s="23" customFormat="1" ht="13.5" thickBot="1">
      <c r="A33" s="50" t="s">
        <v>3</v>
      </c>
      <c r="B33" s="51"/>
      <c r="C33" s="52">
        <f aca="true" t="shared" si="1" ref="C33:P33">SUM(C21:C32)</f>
        <v>450557.04800000007</v>
      </c>
      <c r="D33" s="53">
        <f t="shared" si="1"/>
        <v>48469.7525</v>
      </c>
      <c r="E33" s="52">
        <f t="shared" si="1"/>
        <v>305381.25</v>
      </c>
      <c r="F33" s="54">
        <f t="shared" si="1"/>
        <v>88852.22</v>
      </c>
      <c r="G33" s="55">
        <f t="shared" si="1"/>
        <v>293373.45999999996</v>
      </c>
      <c r="H33" s="94">
        <f t="shared" si="1"/>
        <v>430695.43249999994</v>
      </c>
      <c r="I33" s="53">
        <f t="shared" si="1"/>
        <v>30210.331199999997</v>
      </c>
      <c r="J33" s="52">
        <f t="shared" si="1"/>
        <v>49837.199500934</v>
      </c>
      <c r="K33" s="52">
        <f t="shared" si="1"/>
        <v>223209.41681801897</v>
      </c>
      <c r="L33" s="52">
        <f t="shared" si="1"/>
        <v>110918.535</v>
      </c>
      <c r="M33" s="52">
        <f t="shared" si="1"/>
        <v>7099.635200000001</v>
      </c>
      <c r="N33" s="103">
        <f t="shared" si="1"/>
        <v>562294.557718953</v>
      </c>
      <c r="O33" s="53">
        <f t="shared" si="1"/>
        <v>-131599.12521895295</v>
      </c>
      <c r="P33" s="56">
        <f t="shared" si="1"/>
        <v>-12007.790000000005</v>
      </c>
      <c r="Q33" s="57"/>
      <c r="R33" s="57"/>
    </row>
    <row r="34" spans="1:18" ht="13.5" thickBot="1">
      <c r="A34" s="96" t="s">
        <v>66</v>
      </c>
      <c r="B34" s="97"/>
      <c r="C34" s="97"/>
      <c r="D34" s="97"/>
      <c r="E34" s="97"/>
      <c r="F34" s="97"/>
      <c r="G34" s="97"/>
      <c r="H34" s="98"/>
      <c r="I34" s="97"/>
      <c r="J34" s="97"/>
      <c r="K34" s="97"/>
      <c r="L34" s="97"/>
      <c r="M34" s="97"/>
      <c r="N34" s="98"/>
      <c r="O34" s="97"/>
      <c r="P34" s="64"/>
      <c r="Q34" s="1"/>
      <c r="R34" s="1"/>
    </row>
    <row r="35" spans="1:18" s="23" customFormat="1" ht="13.5" thickBot="1">
      <c r="A35" s="65" t="s">
        <v>52</v>
      </c>
      <c r="B35" s="66"/>
      <c r="C35" s="67">
        <f>C19+C33</f>
        <v>563242.3280000001</v>
      </c>
      <c r="D35" s="68">
        <f aca="true" t="shared" si="2" ref="D35:P35">D19+D33</f>
        <v>75593.4750136</v>
      </c>
      <c r="E35" s="66">
        <f t="shared" si="2"/>
        <v>378021.87</v>
      </c>
      <c r="F35" s="67">
        <f t="shared" si="2"/>
        <v>109383.39</v>
      </c>
      <c r="G35" s="68">
        <f t="shared" si="2"/>
        <v>340619.86</v>
      </c>
      <c r="H35" s="95">
        <f t="shared" si="2"/>
        <v>525596.7250136</v>
      </c>
      <c r="I35" s="68">
        <f t="shared" si="2"/>
        <v>38026.65119999999</v>
      </c>
      <c r="J35" s="66">
        <f t="shared" si="2"/>
        <v>62918.419674374</v>
      </c>
      <c r="K35" s="66">
        <f t="shared" si="2"/>
        <v>269070.60512845096</v>
      </c>
      <c r="L35" s="66">
        <f t="shared" si="2"/>
        <v>138002.2608</v>
      </c>
      <c r="M35" s="66">
        <f t="shared" si="2"/>
        <v>7099.635200000001</v>
      </c>
      <c r="N35" s="104">
        <f t="shared" si="2"/>
        <v>656137.012002825</v>
      </c>
      <c r="O35" s="188">
        <f t="shared" si="2"/>
        <v>-130540.28698922494</v>
      </c>
      <c r="P35" s="69">
        <f t="shared" si="2"/>
        <v>-37402.01000000001</v>
      </c>
      <c r="Q35" s="70"/>
      <c r="R35" s="57"/>
    </row>
    <row r="36" spans="1:18" ht="12.75">
      <c r="A36" s="8" t="s">
        <v>92</v>
      </c>
      <c r="B36" s="72"/>
      <c r="C36" s="58"/>
      <c r="D36" s="59"/>
      <c r="E36" s="60"/>
      <c r="F36" s="61"/>
      <c r="G36" s="62"/>
      <c r="H36" s="100"/>
      <c r="I36" s="63"/>
      <c r="J36" s="60"/>
      <c r="K36" s="60"/>
      <c r="L36" s="73"/>
      <c r="M36" s="73"/>
      <c r="N36" s="106"/>
      <c r="O36" s="187"/>
      <c r="P36" s="74"/>
      <c r="Q36" s="1"/>
      <c r="R36" s="1"/>
    </row>
    <row r="37" spans="1:18" ht="12.75">
      <c r="A37" s="13" t="s">
        <v>43</v>
      </c>
      <c r="B37" s="14">
        <f>Лист1!B30</f>
        <v>4338.84</v>
      </c>
      <c r="C37" s="44">
        <f>Лист1!C30</f>
        <v>37530.966</v>
      </c>
      <c r="D37" s="45">
        <f>Лист1!D30</f>
        <v>3521.9360000000033</v>
      </c>
      <c r="E37" s="15">
        <f>Лист1!S30</f>
        <v>26519.719999999998</v>
      </c>
      <c r="F37" s="17">
        <f>Лист1!T30</f>
        <v>7489.31</v>
      </c>
      <c r="G37" s="46">
        <f>Лист1!AB30</f>
        <v>22557.86</v>
      </c>
      <c r="H37" s="99">
        <f>Лист1!AC30</f>
        <v>33569.106</v>
      </c>
      <c r="I37" s="47">
        <f>Лист1!AG30</f>
        <v>2603.304</v>
      </c>
      <c r="J37" s="15">
        <f>Лист1!AI30+Лист1!AJ30</f>
        <v>4338.84</v>
      </c>
      <c r="K37" s="15">
        <f>Лист1!AH30+Лист1!AK30+Лист1!AL30+Лист1!AM30+Лист1!AN30+Лист1!AO30+Лист1!AP30+Лист1!AQ30+Лист1!AR30</f>
        <v>14882.2212</v>
      </c>
      <c r="L37" s="16">
        <f>Лист1!AS30+Лист1!AT30+Лист1!AU30</f>
        <v>10675</v>
      </c>
      <c r="M37" s="16">
        <f>Лист1!AX30</f>
        <v>114.8</v>
      </c>
      <c r="N37" s="105">
        <f>Лист1!BB30</f>
        <v>32614.1652</v>
      </c>
      <c r="O37" s="186">
        <f>Лист1!BE30</f>
        <v>954.9408000000003</v>
      </c>
      <c r="P37" s="48">
        <f>Лист1!BF30</f>
        <v>-3961.859999999997</v>
      </c>
      <c r="Q37" s="1"/>
      <c r="R37" s="1"/>
    </row>
    <row r="38" spans="1:18" ht="12.75">
      <c r="A38" s="13" t="s">
        <v>44</v>
      </c>
      <c r="B38" s="14">
        <f>Лист1!B31</f>
        <v>4338.84</v>
      </c>
      <c r="C38" s="44">
        <f>Лист1!C31</f>
        <v>37530.966</v>
      </c>
      <c r="D38" s="45">
        <f>Лист1!D31</f>
        <v>3573.4959999999965</v>
      </c>
      <c r="E38" s="15">
        <f>Лист1!S31</f>
        <v>26678.76</v>
      </c>
      <c r="F38" s="17">
        <f>Лист1!T31</f>
        <v>7278.709999999999</v>
      </c>
      <c r="G38" s="46">
        <f>Лист1!AB31</f>
        <v>34441.17</v>
      </c>
      <c r="H38" s="99">
        <f>Лист1!AC31</f>
        <v>45293.37599999999</v>
      </c>
      <c r="I38" s="47">
        <f>Лист1!AG31</f>
        <v>2603.304</v>
      </c>
      <c r="J38" s="15">
        <f>Лист1!AI31+Лист1!AJ31</f>
        <v>4338.84</v>
      </c>
      <c r="K38" s="15">
        <f>Лист1!AH31+Лист1!AK31+Лист1!AL31+Лист1!AM31+Лист1!AN31+Лист1!AO31+Лист1!AP31+Лист1!AQ31+Лист1!AR31</f>
        <v>19677.4212</v>
      </c>
      <c r="L38" s="16">
        <f>Лист1!AS31+Лист1!AT31+Лист1!AU31</f>
        <v>542</v>
      </c>
      <c r="M38" s="16">
        <f>Лист1!AX31</f>
        <v>190.39999999999998</v>
      </c>
      <c r="N38" s="105">
        <f>Лист1!BB31</f>
        <v>27351.965200000002</v>
      </c>
      <c r="O38" s="186">
        <f>Лист1!BE31</f>
        <v>17941.410799999987</v>
      </c>
      <c r="P38" s="48">
        <f>Лист1!BF31</f>
        <v>7762.41</v>
      </c>
      <c r="Q38" s="1"/>
      <c r="R38" s="1"/>
    </row>
    <row r="39" spans="1:18" ht="12.75">
      <c r="A39" s="13" t="s">
        <v>45</v>
      </c>
      <c r="B39" s="14">
        <f>Лист1!B32</f>
        <v>4338.84</v>
      </c>
      <c r="C39" s="44">
        <f>Лист1!C32</f>
        <v>37530.966</v>
      </c>
      <c r="D39" s="45">
        <f>Лист1!D32</f>
        <v>3521.9460000000004</v>
      </c>
      <c r="E39" s="15">
        <f>Лист1!S32</f>
        <v>26577.93</v>
      </c>
      <c r="F39" s="17">
        <f>Лист1!T32</f>
        <v>7431.09</v>
      </c>
      <c r="G39" s="46">
        <f>Лист1!AB32</f>
        <v>28874.3</v>
      </c>
      <c r="H39" s="99">
        <f>Лист1!AC32</f>
        <v>39827.335999999996</v>
      </c>
      <c r="I39" s="47">
        <f>Лист1!AG32</f>
        <v>2603.304</v>
      </c>
      <c r="J39" s="15">
        <f>Лист1!AI32+Лист1!AJ32</f>
        <v>4338.84</v>
      </c>
      <c r="K39" s="15">
        <f>Лист1!AH32+Лист1!AK32+Лист1!AL32+Лист1!AM32+Лист1!AN32+Лист1!AO32+Лист1!AP32+Лист1!AQ32+Лист1!AR32</f>
        <v>14882.2212</v>
      </c>
      <c r="L39" s="16">
        <f>Лист1!AS32+Лист1!AT32+Лист1!AU32</f>
        <v>3707</v>
      </c>
      <c r="M39" s="16">
        <f>Лист1!AX32</f>
        <v>4.199999999999999</v>
      </c>
      <c r="N39" s="105">
        <f>Лист1!BB32</f>
        <v>25535.5652</v>
      </c>
      <c r="O39" s="186">
        <f>Лист1!BE32</f>
        <v>14291.770799999995</v>
      </c>
      <c r="P39" s="48">
        <f>Лист1!BF32</f>
        <v>2296.369999999999</v>
      </c>
      <c r="Q39" s="1"/>
      <c r="R39" s="1"/>
    </row>
    <row r="40" spans="1:18" ht="12.75">
      <c r="A40" s="13" t="s">
        <v>46</v>
      </c>
      <c r="B40" s="14">
        <f>Лист1!B33</f>
        <v>4338.84</v>
      </c>
      <c r="C40" s="44">
        <f>Лист1!C33</f>
        <v>37530.966</v>
      </c>
      <c r="D40" s="45">
        <f>Лист1!D33</f>
        <v>3521.9460000000004</v>
      </c>
      <c r="E40" s="15">
        <f>Лист1!S33</f>
        <v>26577.93</v>
      </c>
      <c r="F40" s="17">
        <f>Лист1!T33</f>
        <v>7431.09</v>
      </c>
      <c r="G40" s="46">
        <f>Лист1!AB33</f>
        <v>24257</v>
      </c>
      <c r="H40" s="99">
        <f>Лист1!AC33</f>
        <v>35210.036</v>
      </c>
      <c r="I40" s="47">
        <f>Лист1!AG33</f>
        <v>2603.304</v>
      </c>
      <c r="J40" s="15">
        <f>Лист1!AI33+Лист1!AJ33</f>
        <v>4338.84</v>
      </c>
      <c r="K40" s="15">
        <f>Лист1!AH33+Лист1!AK33+Лист1!AL33+Лист1!AM33+Лист1!AN33+Лист1!AO33+Лист1!AP33+Лист1!AQ33+Лист1!AR33</f>
        <v>23882.2212</v>
      </c>
      <c r="L40" s="16">
        <f>Лист1!AS33+Лист1!AT33+Лист1!AU33</f>
        <v>27329.06</v>
      </c>
      <c r="M40" s="16">
        <f>Лист1!AX33</f>
        <v>-7386.4</v>
      </c>
      <c r="N40" s="105">
        <f>Лист1!BB33</f>
        <v>50767.0252</v>
      </c>
      <c r="O40" s="186">
        <f>Лист1!BE33</f>
        <v>-15556.989199999996</v>
      </c>
      <c r="P40" s="48">
        <f>Лист1!BF33</f>
        <v>-2320.9300000000003</v>
      </c>
      <c r="Q40" s="1"/>
      <c r="R40" s="1"/>
    </row>
    <row r="41" spans="1:18" ht="12.75">
      <c r="A41" s="13" t="s">
        <v>47</v>
      </c>
      <c r="B41" s="14">
        <f>Лист1!B34</f>
        <v>4340.74</v>
      </c>
      <c r="C41" s="44">
        <f>Лист1!C34</f>
        <v>37547.401</v>
      </c>
      <c r="D41" s="45">
        <f>Лист1!D34</f>
        <v>3522.540999999996</v>
      </c>
      <c r="E41" s="15">
        <f>Лист1!S34</f>
        <v>26593.770000000004</v>
      </c>
      <c r="F41" s="17">
        <f>Лист1!T34</f>
        <v>7431.09</v>
      </c>
      <c r="G41" s="46">
        <f>Лист1!AB34</f>
        <v>17996.969999999998</v>
      </c>
      <c r="H41" s="99">
        <f>Лист1!AC34</f>
        <v>28950.600999999995</v>
      </c>
      <c r="I41" s="47">
        <f>Лист1!AG34</f>
        <v>2604.444</v>
      </c>
      <c r="J41" s="15">
        <f>Лист1!AI34+Лист1!AJ34</f>
        <v>4340.74</v>
      </c>
      <c r="K41" s="15">
        <f>Лист1!AH34+Лист1!AK34+Лист1!AL34+Лист1!AM34+Лист1!AN34+Лист1!AO34+Лист1!AP34+Лист1!AQ34+Лист1!AR34</f>
        <v>14888.7382</v>
      </c>
      <c r="L41" s="16">
        <f>Лист1!AS34+Лист1!AT34+Лист1!AU34</f>
        <v>13259</v>
      </c>
      <c r="M41" s="16">
        <f>Лист1!AX34</f>
        <v>7971.599999999999</v>
      </c>
      <c r="N41" s="105">
        <f>Лист1!BB34</f>
        <v>43064.5222</v>
      </c>
      <c r="O41" s="186">
        <f>Лист1!BE34</f>
        <v>-14113.921200000004</v>
      </c>
      <c r="P41" s="48">
        <f>Лист1!BF34</f>
        <v>-8596.800000000007</v>
      </c>
      <c r="Q41" s="1"/>
      <c r="R41" s="1"/>
    </row>
    <row r="42" spans="1:18" ht="12.75">
      <c r="A42" s="13" t="s">
        <v>48</v>
      </c>
      <c r="B42" s="14">
        <f>Лист1!B35</f>
        <v>4340.74</v>
      </c>
      <c r="C42" s="44">
        <f>Лист1!C35</f>
        <v>37547.401</v>
      </c>
      <c r="D42" s="45">
        <f>Лист1!D35</f>
        <v>3518.8609999999962</v>
      </c>
      <c r="E42" s="15">
        <f>Лист1!S35</f>
        <v>26702.7</v>
      </c>
      <c r="F42" s="17">
        <f>Лист1!T35</f>
        <v>7325.839999999999</v>
      </c>
      <c r="G42" s="46">
        <f>Лист1!AB35</f>
        <v>27908.49</v>
      </c>
      <c r="H42" s="99">
        <f>Лист1!AC35</f>
        <v>38753.191</v>
      </c>
      <c r="I42" s="47">
        <f>Лист1!AG35</f>
        <v>2604.444</v>
      </c>
      <c r="J42" s="15">
        <f>Лист1!AI35+Лист1!AJ35</f>
        <v>4340.74</v>
      </c>
      <c r="K42" s="15">
        <f>Лист1!AH35+Лист1!AK35+Лист1!AL35+Лист1!AM35+Лист1!AN35+Лист1!AO35+Лист1!AP35+Лист1!AQ35+Лист1!AR35</f>
        <v>14888.7382</v>
      </c>
      <c r="L42" s="16">
        <f>Лист1!AS35+Лист1!AT35+Лист1!AU35</f>
        <v>1706</v>
      </c>
      <c r="M42" s="16">
        <f>Лист1!AX35</f>
        <v>548.8</v>
      </c>
      <c r="N42" s="105">
        <f>Лист1!BB35</f>
        <v>24088.7222</v>
      </c>
      <c r="O42" s="186">
        <f>Лист1!BE35</f>
        <v>14664.468799999999</v>
      </c>
      <c r="P42" s="48">
        <f>Лист1!BF35</f>
        <v>1205.7900000000009</v>
      </c>
      <c r="Q42" s="1"/>
      <c r="R42" s="1"/>
    </row>
    <row r="43" spans="1:18" ht="12.75">
      <c r="A43" s="13" t="s">
        <v>49</v>
      </c>
      <c r="B43" s="14">
        <f>Лист1!B36</f>
        <v>4340.74</v>
      </c>
      <c r="C43" s="44">
        <f>Лист1!C36</f>
        <v>37547.401</v>
      </c>
      <c r="D43" s="45">
        <f>Лист1!D36</f>
        <v>3448.2810000000013</v>
      </c>
      <c r="E43" s="15">
        <f>Лист1!S36</f>
        <v>34099.12</v>
      </c>
      <c r="F43" s="17">
        <f>Лист1!T36</f>
        <v>0</v>
      </c>
      <c r="G43" s="46">
        <f>Лист1!AB36</f>
        <v>24527.6</v>
      </c>
      <c r="H43" s="99">
        <f>Лист1!AC36</f>
        <v>27975.881</v>
      </c>
      <c r="I43" s="47">
        <f>Лист1!AG36</f>
        <v>2604.444</v>
      </c>
      <c r="J43" s="15">
        <f>Лист1!AI36+Лист1!AJ36</f>
        <v>4340.74</v>
      </c>
      <c r="K43" s="15">
        <f>Лист1!AH36+Лист1!AK36+Лист1!AL36+Лист1!AM36+Лист1!AN36+Лист1!AO36+Лист1!AP36+Лист1!AQ36+Лист1!AR36</f>
        <v>14888.7382</v>
      </c>
      <c r="L43" s="16">
        <f>Лист1!AS36+Лист1!AT36+Лист1!AU36</f>
        <v>8379.996</v>
      </c>
      <c r="M43" s="16">
        <f>Лист1!AX36</f>
        <v>369.59999999999997</v>
      </c>
      <c r="N43" s="105">
        <f>Лист1!BB36</f>
        <v>30583.5182</v>
      </c>
      <c r="O43" s="186">
        <f>Лист1!BE36</f>
        <v>-2607.6371999999974</v>
      </c>
      <c r="P43" s="48">
        <f>Лист1!BF36</f>
        <v>-9571.520000000004</v>
      </c>
      <c r="Q43" s="1"/>
      <c r="R43" s="1"/>
    </row>
    <row r="44" spans="1:18" ht="12.75">
      <c r="A44" s="13" t="s">
        <v>50</v>
      </c>
      <c r="B44" s="14">
        <f>Лист1!B37</f>
        <v>4340.74</v>
      </c>
      <c r="C44" s="44">
        <f>Лист1!C37</f>
        <v>37547.401</v>
      </c>
      <c r="D44" s="45">
        <f>Лист1!D37</f>
        <v>3395.881000000002</v>
      </c>
      <c r="E44" s="15">
        <f>Лист1!S37</f>
        <v>34151.52</v>
      </c>
      <c r="F44" s="17">
        <f>Лист1!T37</f>
        <v>0</v>
      </c>
      <c r="G44" s="46">
        <f>Лист1!AB37</f>
        <v>34373.69</v>
      </c>
      <c r="H44" s="99">
        <f>Лист1!AC37</f>
        <v>37769.571</v>
      </c>
      <c r="I44" s="47">
        <f>Лист1!AG37</f>
        <v>2604.444</v>
      </c>
      <c r="J44" s="15">
        <f>Лист1!AI37+Лист1!AJ37</f>
        <v>4340.74</v>
      </c>
      <c r="K44" s="15">
        <f>Лист1!AH37+Лист1!AK37+Лист1!AL37+Лист1!AM37+Лист1!AN37+Лист1!AO37+Лист1!AP37+Лист1!AQ37+Лист1!AR37</f>
        <v>14888.7382</v>
      </c>
      <c r="L44" s="16">
        <f>Лист1!AS37+Лист1!AT37+Лист1!AU37</f>
        <v>56.403999999999996</v>
      </c>
      <c r="M44" s="16">
        <f>Лист1!AX37</f>
        <v>219.79999999999998</v>
      </c>
      <c r="N44" s="105">
        <f>Лист1!BB37</f>
        <v>22110.1262</v>
      </c>
      <c r="O44" s="186">
        <f>Лист1!BE37</f>
        <v>15659.444800000005</v>
      </c>
      <c r="P44" s="48">
        <f>Лист1!BF37</f>
        <v>222.17000000000553</v>
      </c>
      <c r="Q44" s="1"/>
      <c r="R44" s="1"/>
    </row>
    <row r="45" spans="1:18" ht="12.75">
      <c r="A45" s="13" t="s">
        <v>51</v>
      </c>
      <c r="B45" s="14">
        <f>Лист1!B38</f>
        <v>4340.74</v>
      </c>
      <c r="C45" s="44">
        <f>Лист1!C38</f>
        <v>37547.401</v>
      </c>
      <c r="D45" s="45">
        <f>Лист1!D38</f>
        <v>3312.970999999996</v>
      </c>
      <c r="E45" s="15">
        <f>Лист1!S38</f>
        <v>34234.43000000001</v>
      </c>
      <c r="F45" s="17">
        <f>Лист1!T38</f>
        <v>0</v>
      </c>
      <c r="G45" s="46">
        <f>Лист1!AB38</f>
        <v>32633.09</v>
      </c>
      <c r="H45" s="99">
        <f>Лист1!AC38</f>
        <v>35946.060999999994</v>
      </c>
      <c r="I45" s="47">
        <f>Лист1!AG38</f>
        <v>2604.444</v>
      </c>
      <c r="J45" s="15">
        <f>Лист1!AI38+Лист1!AJ38</f>
        <v>4340.74</v>
      </c>
      <c r="K45" s="15">
        <f>Лист1!AH38+Лист1!AK38+Лист1!AL38+Лист1!AM38+Лист1!AN38+Лист1!AO38+Лист1!AP38+Лист1!AQ38+Лист1!AR38</f>
        <v>14888.7382</v>
      </c>
      <c r="L45" s="16">
        <f>Лист1!AS38+Лист1!AT38+Лист1!AU38</f>
        <v>12274</v>
      </c>
      <c r="M45" s="16">
        <f>Лист1!AX38</f>
        <v>237.99999999999997</v>
      </c>
      <c r="N45" s="105">
        <f>Лист1!BB38</f>
        <v>34345.9222</v>
      </c>
      <c r="O45" s="186">
        <f>Лист1!BE38</f>
        <v>1600.1387999999934</v>
      </c>
      <c r="P45" s="48">
        <f>Лист1!BF38</f>
        <v>-1601.3400000000074</v>
      </c>
      <c r="Q45" s="1"/>
      <c r="R45" s="1"/>
    </row>
    <row r="46" spans="1:18" ht="12.75">
      <c r="A46" s="13" t="s">
        <v>39</v>
      </c>
      <c r="B46" s="14">
        <f>Лист1!B39</f>
        <v>4340.74</v>
      </c>
      <c r="C46" s="44">
        <f>Лист1!C39</f>
        <v>37547.401</v>
      </c>
      <c r="D46" s="45">
        <f>Лист1!D39</f>
        <v>3384.8810000000008</v>
      </c>
      <c r="E46" s="15">
        <f>Лист1!S39</f>
        <v>34162.520000000004</v>
      </c>
      <c r="F46" s="17">
        <f>Лист1!T39</f>
        <v>0</v>
      </c>
      <c r="G46" s="46">
        <f>Лист1!AB39</f>
        <v>29140.530000000002</v>
      </c>
      <c r="H46" s="99">
        <f>Лист1!AC39</f>
        <v>32525.411000000004</v>
      </c>
      <c r="I46" s="47">
        <f>Лист1!AG39</f>
        <v>2604.444</v>
      </c>
      <c r="J46" s="15">
        <f>Лист1!AI39+Лист1!AJ39</f>
        <v>4340.74</v>
      </c>
      <c r="K46" s="15">
        <f>Лист1!AH39+Лист1!AK39+Лист1!AL39+Лист1!AM39+Лист1!AN39+Лист1!AO39+Лист1!AP39+Лист1!AQ39+Лист1!AR39</f>
        <v>14888.7382</v>
      </c>
      <c r="L46" s="16">
        <f>Лист1!AS39+Лист1!AT39+Лист1!AU39</f>
        <v>1378</v>
      </c>
      <c r="M46" s="16">
        <f>Лист1!AX39</f>
        <v>168</v>
      </c>
      <c r="N46" s="105">
        <f>Лист1!BB39</f>
        <v>23379.9222</v>
      </c>
      <c r="O46" s="186">
        <f>Лист1!BE39</f>
        <v>9220.488800000003</v>
      </c>
      <c r="P46" s="48">
        <f>Лист1!BF39</f>
        <v>-5021.990000000002</v>
      </c>
      <c r="Q46" s="1"/>
      <c r="R46" s="1"/>
    </row>
    <row r="47" spans="1:18" ht="12.75">
      <c r="A47" s="13" t="s">
        <v>40</v>
      </c>
      <c r="B47" s="14">
        <f>Лист1!B40</f>
        <v>4340.74</v>
      </c>
      <c r="C47" s="44">
        <f>Лист1!C40</f>
        <v>37547.401</v>
      </c>
      <c r="D47" s="45">
        <f>Лист1!D40</f>
        <v>3351.121000000001</v>
      </c>
      <c r="E47" s="15">
        <f>Лист1!S40</f>
        <v>34196.28</v>
      </c>
      <c r="F47" s="17">
        <f>Лист1!T40</f>
        <v>0</v>
      </c>
      <c r="G47" s="46">
        <f>Лист1!AB40</f>
        <v>31154.07</v>
      </c>
      <c r="H47" s="99">
        <f>Лист1!AC40</f>
        <v>34505.191</v>
      </c>
      <c r="I47" s="47">
        <f>Лист1!AG40</f>
        <v>2604.444</v>
      </c>
      <c r="J47" s="15">
        <f>Лист1!AI40+Лист1!AJ40</f>
        <v>4340.74</v>
      </c>
      <c r="K47" s="15">
        <f>Лист1!AH40+Лист1!AK40+Лист1!AL40+Лист1!AM40+Лист1!AN40+Лист1!AO40+Лист1!AP40+Лист1!AQ40+Лист1!AR40</f>
        <v>14888.7382</v>
      </c>
      <c r="L47" s="16">
        <f>Лист1!AS40+Лист1!AT40+Лист1!AU40</f>
        <v>13866</v>
      </c>
      <c r="M47" s="16">
        <f>Лист1!AX40</f>
        <v>280</v>
      </c>
      <c r="N47" s="105">
        <f>Лист1!BB40</f>
        <v>35979.9222</v>
      </c>
      <c r="O47" s="186">
        <f>Лист1!BE40</f>
        <v>-1399.731200000002</v>
      </c>
      <c r="P47" s="48">
        <f>Лист1!BF40</f>
        <v>-3042.209999999999</v>
      </c>
      <c r="Q47" s="1"/>
      <c r="R47" s="1"/>
    </row>
    <row r="48" spans="1:18" ht="13.5" thickBot="1">
      <c r="A48" s="49" t="s">
        <v>41</v>
      </c>
      <c r="B48" s="14">
        <f>Лист1!B41</f>
        <v>4340.74</v>
      </c>
      <c r="C48" s="44">
        <f>Лист1!C41</f>
        <v>37547.401</v>
      </c>
      <c r="D48" s="45">
        <f>Лист1!D41</f>
        <v>3364.821000000001</v>
      </c>
      <c r="E48" s="15">
        <f>Лист1!S41</f>
        <v>34182.58</v>
      </c>
      <c r="F48" s="17">
        <f>Лист1!T41</f>
        <v>0</v>
      </c>
      <c r="G48" s="46">
        <f>Лист1!AB41</f>
        <v>36832.28</v>
      </c>
      <c r="H48" s="99">
        <f>Лист1!AC41</f>
        <v>40197.101</v>
      </c>
      <c r="I48" s="47">
        <f>Лист1!AG41</f>
        <v>2604.444</v>
      </c>
      <c r="J48" s="15">
        <f>Лист1!AI41+Лист1!AJ41</f>
        <v>4340.74</v>
      </c>
      <c r="K48" s="15">
        <f>Лист1!AH41+Лист1!AK41+Лист1!AL41+Лист1!AM41+Лист1!AN41+Лист1!AO41+Лист1!AP41+Лист1!AQ41+Лист1!AR41</f>
        <v>14888.7382</v>
      </c>
      <c r="L48" s="16">
        <f>Лист1!AS41+Лист1!AT41+Лист1!AU41</f>
        <v>16280</v>
      </c>
      <c r="M48" s="16">
        <f>Лист1!AX41</f>
        <v>109.19999999999999</v>
      </c>
      <c r="N48" s="105">
        <f>Лист1!BB41</f>
        <v>38223.1222</v>
      </c>
      <c r="O48" s="186">
        <f>Лист1!BE41</f>
        <v>2048.9788000000044</v>
      </c>
      <c r="P48" s="48">
        <f>Лист1!BF41</f>
        <v>2649.699999999997</v>
      </c>
      <c r="Q48" s="1"/>
      <c r="R48" s="1"/>
    </row>
    <row r="49" spans="1:18" s="23" customFormat="1" ht="13.5" thickBot="1">
      <c r="A49" s="50" t="s">
        <v>3</v>
      </c>
      <c r="B49" s="51"/>
      <c r="C49" s="52">
        <f aca="true" t="shared" si="3" ref="C49:P49">SUM(C37:C48)</f>
        <v>450503.0720000001</v>
      </c>
      <c r="D49" s="53">
        <f t="shared" si="3"/>
        <v>41438.682</v>
      </c>
      <c r="E49" s="52">
        <f t="shared" si="3"/>
        <v>364677.26000000007</v>
      </c>
      <c r="F49" s="54">
        <f t="shared" si="3"/>
        <v>44387.13</v>
      </c>
      <c r="G49" s="55">
        <f t="shared" si="3"/>
        <v>344697.05000000005</v>
      </c>
      <c r="H49" s="94">
        <f t="shared" si="3"/>
        <v>430522.862</v>
      </c>
      <c r="I49" s="53">
        <f t="shared" si="3"/>
        <v>31248.767999999996</v>
      </c>
      <c r="J49" s="52">
        <f t="shared" si="3"/>
        <v>52081.279999999984</v>
      </c>
      <c r="K49" s="52">
        <f t="shared" si="3"/>
        <v>192433.99039999995</v>
      </c>
      <c r="L49" s="52">
        <f t="shared" si="3"/>
        <v>109452.45999999999</v>
      </c>
      <c r="M49" s="52">
        <f t="shared" si="3"/>
        <v>2827.999999999999</v>
      </c>
      <c r="N49" s="103">
        <f t="shared" si="3"/>
        <v>388044.49840000004</v>
      </c>
      <c r="O49" s="53">
        <f t="shared" si="3"/>
        <v>42703.36359999998</v>
      </c>
      <c r="P49" s="56">
        <f t="shared" si="3"/>
        <v>-19980.210000000014</v>
      </c>
      <c r="Q49" s="57"/>
      <c r="R49" s="57"/>
    </row>
    <row r="50" spans="1:18" ht="13.5" thickBot="1">
      <c r="A50" s="96" t="s">
        <v>66</v>
      </c>
      <c r="B50" s="97"/>
      <c r="C50" s="97"/>
      <c r="D50" s="97"/>
      <c r="E50" s="97"/>
      <c r="F50" s="97"/>
      <c r="G50" s="97"/>
      <c r="H50" s="98"/>
      <c r="I50" s="97"/>
      <c r="J50" s="97"/>
      <c r="K50" s="97"/>
      <c r="L50" s="97"/>
      <c r="M50" s="97"/>
      <c r="N50" s="98"/>
      <c r="O50" s="97"/>
      <c r="P50" s="64"/>
      <c r="Q50" s="1"/>
      <c r="R50" s="1"/>
    </row>
    <row r="51" spans="1:18" s="23" customFormat="1" ht="13.5" thickBot="1">
      <c r="A51" s="65" t="s">
        <v>52</v>
      </c>
      <c r="B51" s="66"/>
      <c r="C51" s="67">
        <f>C35+C49</f>
        <v>1013745.4000000001</v>
      </c>
      <c r="D51" s="68">
        <f aca="true" t="shared" si="4" ref="D51:P51">D35+D49</f>
        <v>117032.1570136</v>
      </c>
      <c r="E51" s="66">
        <f t="shared" si="4"/>
        <v>742699.1300000001</v>
      </c>
      <c r="F51" s="67">
        <f t="shared" si="4"/>
        <v>153770.52</v>
      </c>
      <c r="G51" s="68">
        <f t="shared" si="4"/>
        <v>685316.91</v>
      </c>
      <c r="H51" s="95">
        <f t="shared" si="4"/>
        <v>956119.5870135999</v>
      </c>
      <c r="I51" s="68">
        <f t="shared" si="4"/>
        <v>69275.41919999999</v>
      </c>
      <c r="J51" s="66">
        <f t="shared" si="4"/>
        <v>114999.69967437399</v>
      </c>
      <c r="K51" s="66">
        <f t="shared" si="4"/>
        <v>461504.5955284509</v>
      </c>
      <c r="L51" s="66">
        <f t="shared" si="4"/>
        <v>247454.72079999998</v>
      </c>
      <c r="M51" s="66">
        <f t="shared" si="4"/>
        <v>9927.6352</v>
      </c>
      <c r="N51" s="104">
        <f t="shared" si="4"/>
        <v>1044181.5104028251</v>
      </c>
      <c r="O51" s="188">
        <f t="shared" si="4"/>
        <v>-87836.92338922496</v>
      </c>
      <c r="P51" s="69">
        <f t="shared" si="4"/>
        <v>-57382.22000000002</v>
      </c>
      <c r="Q51" s="70"/>
      <c r="R51" s="57"/>
    </row>
    <row r="53" spans="1:4" ht="12.75">
      <c r="A53" s="23" t="s">
        <v>67</v>
      </c>
      <c r="D53" s="2" t="s">
        <v>94</v>
      </c>
    </row>
    <row r="54" spans="1:4" ht="12.75">
      <c r="A54" s="25" t="s">
        <v>68</v>
      </c>
      <c r="B54" s="25" t="s">
        <v>69</v>
      </c>
      <c r="C54" s="260" t="s">
        <v>70</v>
      </c>
      <c r="D54" s="260"/>
    </row>
    <row r="55" spans="1:4" ht="12.75">
      <c r="A55" s="76">
        <v>282378.66</v>
      </c>
      <c r="B55" s="192">
        <v>16441</v>
      </c>
      <c r="C55" s="261">
        <f>A55-B55</f>
        <v>265937.66</v>
      </c>
      <c r="D55" s="262"/>
    </row>
    <row r="56" ht="12.75">
      <c r="A56" s="71"/>
    </row>
    <row r="57" ht="12.75">
      <c r="A57" s="71"/>
    </row>
    <row r="58" spans="1:7" ht="12.75">
      <c r="A58" s="2" t="s">
        <v>71</v>
      </c>
      <c r="G58" s="2" t="s">
        <v>72</v>
      </c>
    </row>
    <row r="59" ht="12.75">
      <c r="A59" s="1"/>
    </row>
    <row r="60" ht="12.75">
      <c r="A60" s="1"/>
    </row>
    <row r="61" ht="12.75">
      <c r="A61" s="1" t="s">
        <v>73</v>
      </c>
    </row>
    <row r="62" ht="12.75">
      <c r="A62" s="2" t="s">
        <v>74</v>
      </c>
    </row>
  </sheetData>
  <sheetProtection/>
  <mergeCells count="21">
    <mergeCell ref="O10:O13"/>
    <mergeCell ref="G10:H11"/>
    <mergeCell ref="M12:M13"/>
    <mergeCell ref="A7:G7"/>
    <mergeCell ref="A6:O6"/>
    <mergeCell ref="A10:A13"/>
    <mergeCell ref="B10:B13"/>
    <mergeCell ref="C10:C13"/>
    <mergeCell ref="D10:D13"/>
    <mergeCell ref="E10:F11"/>
    <mergeCell ref="I10:N11"/>
    <mergeCell ref="C54:D54"/>
    <mergeCell ref="C55:D55"/>
    <mergeCell ref="P10:P13"/>
    <mergeCell ref="E12:F12"/>
    <mergeCell ref="H12:H13"/>
    <mergeCell ref="I12:I13"/>
    <mergeCell ref="J12:J13"/>
    <mergeCell ref="K12:K13"/>
    <mergeCell ref="L12:L13"/>
    <mergeCell ref="N12:N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2010-07-06T03:28:48Z</cp:lastPrinted>
  <dcterms:created xsi:type="dcterms:W3CDTF">2010-04-03T04:08:20Z</dcterms:created>
  <dcterms:modified xsi:type="dcterms:W3CDTF">2011-03-31T07:16:44Z</dcterms:modified>
  <cp:category/>
  <cp:version/>
  <cp:contentType/>
  <cp:contentStatus/>
</cp:coreProperties>
</file>